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生产发行表" sheetId="2" r:id="rId2"/>
    <sheet name="生产物料推移表" sheetId="3" r:id="rId3"/>
  </sheets>
  <calcPr calcId="124519" fullCalcOnLoad="1"/>
</workbook>
</file>

<file path=xl/sharedStrings.xml><?xml version="1.0" encoding="utf-8"?>
<sst xmlns="http://schemas.openxmlformats.org/spreadsheetml/2006/main" count="9564" uniqueCount="666">
  <si>
    <t>生产物料BOM&amp;需求明细</t>
  </si>
  <si>
    <t>层级</t>
  </si>
  <si>
    <t>ERP编码</t>
  </si>
  <si>
    <t>名称</t>
  </si>
  <si>
    <t>模号</t>
  </si>
  <si>
    <t>BOM用量</t>
  </si>
  <si>
    <t>单位</t>
  </si>
  <si>
    <t>初期</t>
  </si>
  <si>
    <t>包装样式</t>
  </si>
  <si>
    <t>包装数量</t>
  </si>
  <si>
    <t>模穴类型</t>
  </si>
  <si>
    <t>模穴数量</t>
  </si>
  <si>
    <t>备注</t>
  </si>
  <si>
    <t>合计</t>
  </si>
  <si>
    <t>总成</t>
  </si>
  <si>
    <t>952-228000-100</t>
  </si>
  <si>
    <t>左前内门槛饰板总成-素雅黑</t>
  </si>
  <si>
    <t>注塑</t>
  </si>
  <si>
    <t>6215001AFC0000M10</t>
  </si>
  <si>
    <t>胶箱398#</t>
  </si>
  <si>
    <t>A18非门板</t>
  </si>
  <si>
    <t>需求</t>
  </si>
  <si>
    <t>952-228000-200</t>
  </si>
  <si>
    <t>右前内门槛饰板总成-素雅黑</t>
  </si>
  <si>
    <t>6215002AFC0000M10</t>
  </si>
  <si>
    <t>952-229000-100</t>
  </si>
  <si>
    <t>左后内门槛饰板总成-素雅黑</t>
  </si>
  <si>
    <t>组装
线边组装</t>
  </si>
  <si>
    <t>6215011AFC0000M10</t>
  </si>
  <si>
    <t>胶箱399#</t>
  </si>
  <si>
    <t>10</t>
  </si>
  <si>
    <t>.1</t>
  </si>
  <si>
    <t>852-229000-100</t>
  </si>
  <si>
    <t>左后内门槛饰板本体-素雅黑</t>
  </si>
  <si>
    <t>6215011AFC0000-1M10</t>
  </si>
  <si>
    <t>--</t>
  </si>
  <si>
    <t>-</t>
  </si>
  <si>
    <t>计划生产</t>
  </si>
  <si>
    <t>952-229000-200</t>
  </si>
  <si>
    <t>右后内门槛饰板总成-素雅黑</t>
  </si>
  <si>
    <t>6215012AFC0000M10</t>
  </si>
  <si>
    <t>852-229000-200</t>
  </si>
  <si>
    <t>右后内门槛饰板本体-素雅黑</t>
  </si>
  <si>
    <t>6215012AFC0000-1M10</t>
  </si>
  <si>
    <t>952-230000-100</t>
  </si>
  <si>
    <t>掀背门门槛饰板总成-素雅黑</t>
  </si>
  <si>
    <t>组装
线外作业</t>
  </si>
  <si>
    <t>6220003AFC0000M10</t>
  </si>
  <si>
    <t>铁架197#</t>
  </si>
  <si>
    <t>56</t>
  </si>
  <si>
    <t>852-230000-100</t>
  </si>
  <si>
    <t>掀背门门槛饰板本体-素雅黑</t>
  </si>
  <si>
    <t>6220003AFC0000-1M10</t>
  </si>
  <si>
    <t>852-231000-110</t>
  </si>
  <si>
    <t>掀背门门槛盖板 预装总成-素雅黑</t>
  </si>
  <si>
    <t>6220003AFC0000-9M10</t>
  </si>
  <si>
    <t>852-231000-100</t>
  </si>
  <si>
    <t>掀背门门槛盖板-素雅黑</t>
  </si>
  <si>
    <t>6220003AFC0000-2M10</t>
  </si>
  <si>
    <t>852-232000-110</t>
  </si>
  <si>
    <t>翻转盖板 预装总成-素雅黑</t>
  </si>
  <si>
    <t>6220003AFC0000-10M10</t>
  </si>
  <si>
    <t>852-232000-100</t>
  </si>
  <si>
    <t>翻转盖板-素雅黑</t>
  </si>
  <si>
    <t>6220003AFC0000-3M10</t>
  </si>
  <si>
    <t>852-233000-100</t>
  </si>
  <si>
    <t>挡片
遮光板</t>
  </si>
  <si>
    <t>注塑
线外焊接</t>
  </si>
  <si>
    <t>6220003AFC0000-4</t>
  </si>
  <si>
    <t>952-238000-100</t>
  </si>
  <si>
    <t>左前轮挡泥板总成</t>
  </si>
  <si>
    <t>7135001AFC0000</t>
  </si>
  <si>
    <t>铁架131#</t>
  </si>
  <si>
    <t>852-238000-100</t>
  </si>
  <si>
    <t>左前轮挡泥板本体</t>
  </si>
  <si>
    <t>7135011AFC0000</t>
  </si>
  <si>
    <t>852-240000-100</t>
  </si>
  <si>
    <t>左前轮挡泥板气坝</t>
  </si>
  <si>
    <t>7135021AFC0000</t>
  </si>
  <si>
    <t>952-238000-200</t>
  </si>
  <si>
    <t>右前轮挡泥板总成</t>
  </si>
  <si>
    <t>7135002AFC0000</t>
  </si>
  <si>
    <t>852-238000-200</t>
  </si>
  <si>
    <t>右前轮挡泥板本体</t>
  </si>
  <si>
    <t>7135012AFC0000</t>
  </si>
  <si>
    <t>852-240000-200</t>
  </si>
  <si>
    <t>右前轮挡泥板气坝</t>
  </si>
  <si>
    <t>7135022AFC0000</t>
  </si>
  <si>
    <t>952-239000-100</t>
  </si>
  <si>
    <t>左后轮挡泥板总成</t>
  </si>
  <si>
    <t>7135061AFC0000</t>
  </si>
  <si>
    <t>60</t>
  </si>
  <si>
    <t>852-239000-100</t>
  </si>
  <si>
    <t>左后轮挡泥板本体</t>
  </si>
  <si>
    <t>7135071AFC0000</t>
  </si>
  <si>
    <t>952-239000-200</t>
  </si>
  <si>
    <t>右后轮挡泥板总成</t>
  </si>
  <si>
    <t>7135062AFC0000</t>
  </si>
  <si>
    <t>852-239000-200</t>
  </si>
  <si>
    <t>右后轮挡泥板本体</t>
  </si>
  <si>
    <t>7135072AFC0000</t>
  </si>
  <si>
    <t>952-244000-100</t>
  </si>
  <si>
    <t>雨刮盖板总成</t>
  </si>
  <si>
    <t>7115003AFC0000</t>
  </si>
  <si>
    <t>铁架198#</t>
  </si>
  <si>
    <t>852-244000-100</t>
  </si>
  <si>
    <t>雨刮盖板本体</t>
  </si>
  <si>
    <t>7115004AFC0000</t>
  </si>
  <si>
    <t>952-245000-100</t>
  </si>
  <si>
    <t>雨刮盖板左侧盖板</t>
  </si>
  <si>
    <t>7115021AFC0000-1</t>
  </si>
  <si>
    <t>胶箱400#</t>
  </si>
  <si>
    <t>952-245000-200</t>
  </si>
  <si>
    <t>雨刮盖板右侧盖板</t>
  </si>
  <si>
    <t>7115022AFC0000-1</t>
  </si>
  <si>
    <t>胶箱401#</t>
  </si>
  <si>
    <t>952-246000-100</t>
  </si>
  <si>
    <t>左前轮眉总成</t>
  </si>
  <si>
    <t>7185001AFC0000</t>
  </si>
  <si>
    <t>铁架199#</t>
  </si>
  <si>
    <t>852-246000-100</t>
  </si>
  <si>
    <t>左前轮眉本体</t>
  </si>
  <si>
    <t>7185021AFC0000</t>
  </si>
  <si>
    <t>952-246000-200</t>
  </si>
  <si>
    <t>右前轮眉总成</t>
  </si>
  <si>
    <t>7185002AFC0000</t>
  </si>
  <si>
    <t>铁架200#</t>
  </si>
  <si>
    <t>852-246000-200</t>
  </si>
  <si>
    <t>右前轮眉本体</t>
  </si>
  <si>
    <t>7185022AFC0000</t>
  </si>
  <si>
    <t>952-247000-100</t>
  </si>
  <si>
    <t>左后轮眉前段总成</t>
  </si>
  <si>
    <t>7185061AFC0000</t>
  </si>
  <si>
    <t>胶箱402#</t>
  </si>
  <si>
    <t>852-247000-100</t>
  </si>
  <si>
    <t>左后轮眉前段本体</t>
  </si>
  <si>
    <t>7185081AFC0000</t>
  </si>
  <si>
    <t>952-247000-200</t>
  </si>
  <si>
    <t>右后轮眉前段总成</t>
  </si>
  <si>
    <t>7185062AFC0000</t>
  </si>
  <si>
    <t>852-247000-200</t>
  </si>
  <si>
    <t>右后轮眉前段本体</t>
  </si>
  <si>
    <t>7185082AFC0000</t>
  </si>
  <si>
    <t>952-248000-100</t>
  </si>
  <si>
    <t>左后轮眉后段总成</t>
  </si>
  <si>
    <t>7185071AFC0000</t>
  </si>
  <si>
    <t>胶箱403#</t>
  </si>
  <si>
    <t>852-248000-100</t>
  </si>
  <si>
    <t>左后轮眉后段本体</t>
  </si>
  <si>
    <t>7185091AFC0000</t>
  </si>
  <si>
    <t>952-248000-200</t>
  </si>
  <si>
    <t>右后轮眉后段总成</t>
  </si>
  <si>
    <t>7185072AFC0000</t>
  </si>
  <si>
    <t>胶箱404#</t>
  </si>
  <si>
    <t>852-248000-200</t>
  </si>
  <si>
    <t>右后轮眉后段本体</t>
  </si>
  <si>
    <t>7185092AFC0000</t>
  </si>
  <si>
    <t>952-249000-100</t>
  </si>
  <si>
    <t>中央下部导流板
中央上部导流板</t>
  </si>
  <si>
    <t>7145005AFC0000</t>
  </si>
  <si>
    <t>铁架201#</t>
  </si>
  <si>
    <t>952-241000-100</t>
  </si>
  <si>
    <t>左前门框B柱三角块</t>
  </si>
  <si>
    <t>注塑
线边组装</t>
  </si>
  <si>
    <t>5410291AFC0000</t>
  </si>
  <si>
    <t>胶箱320#</t>
  </si>
  <si>
    <t>48</t>
  </si>
  <si>
    <t>852-241000-100</t>
  </si>
  <si>
    <t>左前门框B柱三角块本体</t>
  </si>
  <si>
    <t>5410291AFC0000-1</t>
  </si>
  <si>
    <t>952-241000-200</t>
  </si>
  <si>
    <t>右前门框B柱三角块</t>
  </si>
  <si>
    <t>5410292AFC0000</t>
  </si>
  <si>
    <t>852-241000-200</t>
  </si>
  <si>
    <t>右前门框B柱三角块本体</t>
  </si>
  <si>
    <t>5410292AFC0000-1</t>
  </si>
  <si>
    <t>952-242000-100</t>
  </si>
  <si>
    <t>左后门框B柱三角块</t>
  </si>
  <si>
    <t>5410301AFC0000</t>
  </si>
  <si>
    <t>852-242000-100</t>
  </si>
  <si>
    <t>左后门框B柱三角块本体</t>
  </si>
  <si>
    <t>5410301AFC0000-1</t>
  </si>
  <si>
    <t>952-242000-200</t>
  </si>
  <si>
    <t>右后门框B柱三角块</t>
  </si>
  <si>
    <t>5410302AFC0000</t>
  </si>
  <si>
    <t>852-242000-200</t>
  </si>
  <si>
    <t>右后门框B柱三角块本体</t>
  </si>
  <si>
    <t>5410302AFC0000-1</t>
  </si>
  <si>
    <t>952-234000-100</t>
  </si>
  <si>
    <t>机舱后上护板</t>
  </si>
  <si>
    <t>7160019AFC0000</t>
  </si>
  <si>
    <t>铁架202#</t>
  </si>
  <si>
    <t>852-234000-100</t>
  </si>
  <si>
    <t>机舱后上护板本体</t>
  </si>
  <si>
    <t>7160038AFC0000</t>
  </si>
  <si>
    <t>852-235000-100</t>
  </si>
  <si>
    <t>膨胀箱盖板</t>
  </si>
  <si>
    <t>7160043AFC0000</t>
  </si>
  <si>
    <t>852-252000-100</t>
  </si>
  <si>
    <t>蓄电池盖板</t>
  </si>
  <si>
    <t xml:space="preserve">7160044AFC0000 </t>
  </si>
  <si>
    <t>952-236000-100</t>
  </si>
  <si>
    <t>机舱前上护板-高配</t>
  </si>
  <si>
    <t>7160018AFC0100</t>
  </si>
  <si>
    <t>铁架203#</t>
  </si>
  <si>
    <t>952-237000-100</t>
  </si>
  <si>
    <t>左翼子板上盖板总成-高配</t>
  </si>
  <si>
    <t>7160061AFC0100</t>
  </si>
  <si>
    <t>铁架204#</t>
  </si>
  <si>
    <t>852-237000-100</t>
  </si>
  <si>
    <t>左翼子板上盖板本体-高配</t>
  </si>
  <si>
    <t>7160071AFC0100</t>
  </si>
  <si>
    <t>952-237000-200</t>
  </si>
  <si>
    <t>右翼子板上盖板总成-高配</t>
  </si>
  <si>
    <t>7160062AFC0100</t>
  </si>
  <si>
    <t>铁架205#</t>
  </si>
  <si>
    <t>852-237000-200</t>
  </si>
  <si>
    <t>右翼子板上盖板本体 -高配</t>
  </si>
  <si>
    <t>7160072AFC0100</t>
  </si>
  <si>
    <t>952-236000-200</t>
  </si>
  <si>
    <t>机舱前上护板-低配</t>
  </si>
  <si>
    <t>7160018AFC0000</t>
  </si>
  <si>
    <t>952-237000-300</t>
  </si>
  <si>
    <t>左翼子板上盖板总成-低配</t>
  </si>
  <si>
    <t>7160061AFC0000</t>
  </si>
  <si>
    <t>852-237000-300</t>
  </si>
  <si>
    <t>左翼子板上盖板本体-低配</t>
  </si>
  <si>
    <t>7160071AFC0000</t>
  </si>
  <si>
    <t>952-237000-400</t>
  </si>
  <si>
    <t>右翼子板上盖板总成-低配</t>
  </si>
  <si>
    <t>7160062AFC0000</t>
  </si>
  <si>
    <t>852-237000-400</t>
  </si>
  <si>
    <t>右翼子板上盖板本体 -低配</t>
  </si>
  <si>
    <t>7160072AFC0000</t>
  </si>
  <si>
    <t>952-253000-100</t>
  </si>
  <si>
    <t>前围塑料导水槽本体</t>
  </si>
  <si>
    <t>7115030AFC0000</t>
  </si>
  <si>
    <t>胶箱322#</t>
  </si>
  <si>
    <t>6</t>
  </si>
  <si>
    <t>852-253000-100</t>
  </si>
  <si>
    <t>前围塑料导水槽</t>
  </si>
  <si>
    <t>7115030AFC0000-1</t>
  </si>
  <si>
    <t>952-000000-300</t>
  </si>
  <si>
    <t>前围塑料导水槽导风管前段</t>
  </si>
  <si>
    <t>外购总成件</t>
  </si>
  <si>
    <t>7115034AFC0000</t>
  </si>
  <si>
    <t>952-254000-100</t>
  </si>
  <si>
    <t>前围塑料导水槽导风管后段</t>
  </si>
  <si>
    <t>7115035AFC0000</t>
  </si>
  <si>
    <t>胶箱405#</t>
  </si>
  <si>
    <t>20</t>
  </si>
  <si>
    <t>852-254000-100</t>
  </si>
  <si>
    <t>前围塑料导水槽导风管后段本体</t>
  </si>
  <si>
    <t>7115035AFC0000-1</t>
  </si>
  <si>
    <t>952-000000-200</t>
  </si>
  <si>
    <t>前围塑料导水槽排水管</t>
  </si>
  <si>
    <t>外购件
线外组装</t>
  </si>
  <si>
    <t>7115033AFC0000</t>
  </si>
  <si>
    <t>25</t>
  </si>
  <si>
    <t>212-045000-000</t>
  </si>
  <si>
    <t>前围塑料导水槽排水管本体</t>
  </si>
  <si>
    <t>7115033AFC0000-1</t>
  </si>
  <si>
    <t>212-045200-000
952-000000-100</t>
  </si>
  <si>
    <t>前围塑料导水槽排水管安装支架</t>
  </si>
  <si>
    <t>外购件</t>
  </si>
  <si>
    <t>7115036AFC0000</t>
  </si>
  <si>
    <t>胶箱406#</t>
  </si>
  <si>
    <t>952-255000-100</t>
  </si>
  <si>
    <t>后地板底护板安装支架</t>
  </si>
  <si>
    <t>6740043AFC0000</t>
  </si>
  <si>
    <t>18</t>
  </si>
  <si>
    <t>852-255000-100</t>
  </si>
  <si>
    <t>后地板底护板安装支架本体</t>
  </si>
  <si>
    <t>6740043AFC0000-1</t>
  </si>
  <si>
    <t>952-257000-100</t>
  </si>
  <si>
    <t>组装
线边作业</t>
  </si>
  <si>
    <t>7135061AFC0100</t>
  </si>
  <si>
    <t>852-257000-100</t>
  </si>
  <si>
    <t>7135071AFC0100</t>
  </si>
  <si>
    <t>952-258000-100</t>
  </si>
  <si>
    <t>7135062AFC0100</t>
  </si>
  <si>
    <t>852-258000-100</t>
  </si>
  <si>
    <t>7135072AFC0100</t>
  </si>
  <si>
    <t>952-259000-100</t>
  </si>
  <si>
    <t>6740043AFC0100</t>
  </si>
  <si>
    <t>40</t>
  </si>
  <si>
    <t>852-259000-100</t>
  </si>
  <si>
    <t>6740050AFC0100</t>
  </si>
  <si>
    <t>952-338000-100</t>
  </si>
  <si>
    <t>雨刮轴导水板总成</t>
  </si>
  <si>
    <t>7115039AFC0000</t>
  </si>
  <si>
    <t>852-338000-100</t>
  </si>
  <si>
    <t>雨刮轴导水板本体</t>
  </si>
  <si>
    <t>7115039AFC0000-1</t>
  </si>
  <si>
    <t>952-078000-100</t>
  </si>
  <si>
    <t>下护板支架</t>
  </si>
  <si>
    <t>组装</t>
  </si>
  <si>
    <t>6740056ACN0000</t>
  </si>
  <si>
    <t>852-078000-100</t>
  </si>
  <si>
    <t>下护板支架本体</t>
  </si>
  <si>
    <t>6740059ACN0000</t>
  </si>
  <si>
    <t>952-055000-100</t>
  </si>
  <si>
    <t>蓄电池托盘</t>
  </si>
  <si>
    <t>7175003ACN0000</t>
  </si>
  <si>
    <t>外购件
线边组装</t>
  </si>
  <si>
    <t>A18非门板一级零件</t>
  </si>
  <si>
    <t>222-227000-000</t>
  </si>
  <si>
    <t>门槛卡扣</t>
  </si>
  <si>
    <t>A18二级零件</t>
  </si>
  <si>
    <t>212-037600-000</t>
  </si>
  <si>
    <t>无纺布1</t>
  </si>
  <si>
    <t>6220003AFC0000-7</t>
  </si>
  <si>
    <t>232-012600-000</t>
  </si>
  <si>
    <t>弹簧轴</t>
  </si>
  <si>
    <t>6220003AFC0000-5</t>
  </si>
  <si>
    <t>232-012700-000</t>
  </si>
  <si>
    <t>翻转弹簧
弹簧</t>
  </si>
  <si>
    <t>6220003AFC0000-6</t>
  </si>
  <si>
    <t>212-037700-000</t>
  </si>
  <si>
    <t>无纺布2</t>
  </si>
  <si>
    <t>6220003AFC0000-8</t>
  </si>
  <si>
    <t>222-014500-000</t>
  </si>
  <si>
    <t>门板卡扣ф9.9</t>
  </si>
  <si>
    <t>9110000253</t>
  </si>
  <si>
    <t>232-005100-000</t>
  </si>
  <si>
    <t>铆钉</t>
  </si>
  <si>
    <t>7135013BAC0000</t>
  </si>
  <si>
    <t>232-006600-000</t>
  </si>
  <si>
    <t>簧片螺母夹</t>
  </si>
  <si>
    <t>（管理支给件）
线外组装</t>
  </si>
  <si>
    <t>9000009214</t>
  </si>
  <si>
    <t>211-180000-000</t>
  </si>
  <si>
    <t>前轮档泥板吸音棉</t>
  </si>
  <si>
    <t>6730089AFC0000</t>
  </si>
  <si>
    <t>211-181000-000</t>
  </si>
  <si>
    <t>前轮挡泥板吸音棉Ⅰ</t>
  </si>
  <si>
    <t xml:space="preserve">6730174AFC0000 </t>
  </si>
  <si>
    <t>211-182000-000</t>
  </si>
  <si>
    <t>后轮挡泥板吸音棉Ⅰ</t>
  </si>
  <si>
    <t xml:space="preserve">6730205AFC0000 </t>
  </si>
  <si>
    <t>211-183000-000</t>
  </si>
  <si>
    <t>后轮挡泥板吸音棉Ⅱ</t>
  </si>
  <si>
    <t xml:space="preserve">6730206AFC0000 </t>
  </si>
  <si>
    <t>212-037800-000</t>
  </si>
  <si>
    <t>密封条1</t>
  </si>
  <si>
    <t>7115004AFC0000-1
7115003AFC0000-1</t>
  </si>
  <si>
    <t>212-037900-000</t>
  </si>
  <si>
    <t>密封条2</t>
  </si>
  <si>
    <t>7115004AFC0000-2
7115003AFC0000-2</t>
  </si>
  <si>
    <t>212-038000-000</t>
  </si>
  <si>
    <t>密封条3</t>
  </si>
  <si>
    <t>7115004AFC0000-4
7115003AFC0000-3</t>
  </si>
  <si>
    <t>262-000200-000</t>
  </si>
  <si>
    <t>K-520底涂</t>
  </si>
  <si>
    <t>（客户支给件）
线外组装</t>
  </si>
  <si>
    <t>222-275000-000</t>
  </si>
  <si>
    <t>风窗洗涤软管组件Ⅱ</t>
  </si>
  <si>
    <t>7530006AFC0000</t>
  </si>
  <si>
    <t>222-276000-000</t>
  </si>
  <si>
    <t>前风窗左洗涤喷嘴</t>
  </si>
  <si>
    <t>7530011AFC0000</t>
  </si>
  <si>
    <t>222-277000-000</t>
  </si>
  <si>
    <t>前风窗右洗涤喷嘴</t>
  </si>
  <si>
    <t>7530012AFC0000</t>
  </si>
  <si>
    <t>222-020800-000</t>
  </si>
  <si>
    <t>轮眉卡扣</t>
  </si>
  <si>
    <t>7185003ADU0000</t>
  </si>
  <si>
    <t>232-008400-000</t>
  </si>
  <si>
    <t>卡夹</t>
  </si>
  <si>
    <t>7185004BAD0000</t>
  </si>
  <si>
    <t>212-036700-000</t>
  </si>
  <si>
    <t>前轮眉密封条</t>
  </si>
  <si>
    <t>7185041AFC0000</t>
  </si>
  <si>
    <t>222-021000-000</t>
  </si>
  <si>
    <t>7155007BAD0000</t>
  </si>
  <si>
    <t>212-022000-000</t>
  </si>
  <si>
    <t>定位销密封垫</t>
  </si>
  <si>
    <t>7125007BAD0000</t>
  </si>
  <si>
    <t>212-039000-000</t>
  </si>
  <si>
    <t>双面胶1</t>
  </si>
  <si>
    <t>7185061AFC0000-3</t>
  </si>
  <si>
    <t>212-040000-000</t>
  </si>
  <si>
    <t>双面胶2</t>
  </si>
  <si>
    <t>7185061AFC0000-4</t>
  </si>
  <si>
    <t xml:space="preserve">212-048000-000 </t>
  </si>
  <si>
    <t>易撕纸</t>
  </si>
  <si>
    <t>7180003CAD0000</t>
  </si>
  <si>
    <t>212-041000-000</t>
  </si>
  <si>
    <t>后轮眉密封条</t>
  </si>
  <si>
    <t>7185121AFC0000</t>
  </si>
  <si>
    <t>212-042000-000</t>
  </si>
  <si>
    <t>泡棉块</t>
  </si>
  <si>
    <t>5410291AFC0000-2</t>
  </si>
  <si>
    <t>212-043000-000</t>
  </si>
  <si>
    <t>背胶泡棉</t>
  </si>
  <si>
    <t>5410291AFC0000-3</t>
  </si>
  <si>
    <t>222-031600-000</t>
  </si>
  <si>
    <t>蘑菇搭扣20×25</t>
  </si>
  <si>
    <t>9110004140</t>
  </si>
  <si>
    <t>222-007200-000</t>
  </si>
  <si>
    <t>卡扣</t>
  </si>
  <si>
    <t>6740024BAL0000</t>
  </si>
  <si>
    <t>212-044400-000</t>
  </si>
  <si>
    <t>前围塑料导水槽密封条</t>
  </si>
  <si>
    <t>7115030AFC0000-2</t>
  </si>
  <si>
    <t>211-185000-000</t>
  </si>
  <si>
    <t>发动机舱吸音棉Ⅱ</t>
  </si>
  <si>
    <t>6730208AFC0000</t>
  </si>
  <si>
    <t>212-044700-000</t>
  </si>
  <si>
    <t>前围塑料导水槽导风管前段本体</t>
  </si>
  <si>
    <t>7115034AFC0000-1</t>
  </si>
  <si>
    <t>212-044800-000</t>
  </si>
  <si>
    <t>导风管前段密封条</t>
  </si>
  <si>
    <t>7115034AFC0000-2</t>
  </si>
  <si>
    <t>211-184000-000</t>
  </si>
  <si>
    <t>发动机舱吸音棉Ⅰ</t>
  </si>
  <si>
    <t>6730207AFC0000</t>
  </si>
  <si>
    <t>212-044500-000</t>
  </si>
  <si>
    <t>导风管后段密封条</t>
  </si>
  <si>
    <t>7115035AFC0000-2</t>
  </si>
  <si>
    <t>212-045100-000</t>
  </si>
  <si>
    <t>前围塑料导水槽排水管管夹</t>
  </si>
  <si>
    <t>7115033AFC0000-2</t>
  </si>
  <si>
    <t>232-008900-000</t>
  </si>
  <si>
    <t>弹簧片螺母</t>
  </si>
  <si>
    <t>7106007BAC0000-1</t>
  </si>
  <si>
    <t>212-049300-000</t>
  </si>
  <si>
    <t xml:space="preserve">6730205AFC0100 </t>
  </si>
  <si>
    <t>212-049400-000</t>
  </si>
  <si>
    <t xml:space="preserve">6730206AFC0100 </t>
  </si>
  <si>
    <t>7106007BAC0000</t>
  </si>
  <si>
    <t>222-278000-000</t>
  </si>
  <si>
    <t>雨刮轴排水管</t>
  </si>
  <si>
    <t>7115043AFC0000</t>
  </si>
  <si>
    <t>952-221000-100</t>
  </si>
  <si>
    <t>掀背门上饰板总成-素雅黑</t>
  </si>
  <si>
    <t>6209003AFC0000-M10</t>
  </si>
  <si>
    <t>A18掀背门</t>
  </si>
  <si>
    <t>852-221000-100</t>
  </si>
  <si>
    <t>掀背门上饰板本体-素雅黑</t>
  </si>
  <si>
    <t>530</t>
  </si>
  <si>
    <t>6209015AFC0000-M10</t>
  </si>
  <si>
    <t>952-222000-100</t>
  </si>
  <si>
    <t>掀背门左饰板总成-素雅黑</t>
  </si>
  <si>
    <t>1</t>
  </si>
  <si>
    <t>6209001AFC0000-M10</t>
  </si>
  <si>
    <t>852-222000-100</t>
  </si>
  <si>
    <t>掀背门左饰板本体-素雅黑</t>
  </si>
  <si>
    <t>470</t>
  </si>
  <si>
    <t>6209021AFC0000-M10</t>
  </si>
  <si>
    <t>852-223000-100</t>
  </si>
  <si>
    <t>左侧饰板卡钉座</t>
  </si>
  <si>
    <t>90</t>
  </si>
  <si>
    <t>2</t>
  </si>
  <si>
    <t>6209001AFC0000-2</t>
  </si>
  <si>
    <t>952-222000-200</t>
  </si>
  <si>
    <t>掀背门右饰板总成-素雅黑</t>
  </si>
  <si>
    <t>6209002AFC0000-M10</t>
  </si>
  <si>
    <t>852-222000-200</t>
  </si>
  <si>
    <t>掀背门右饰板本体-素雅黑</t>
  </si>
  <si>
    <t>6209022AFC0000-M10</t>
  </si>
  <si>
    <t>852-223000-200</t>
  </si>
  <si>
    <t>右侧饰板卡钉座</t>
  </si>
  <si>
    <t>6209002AFC0000-2</t>
  </si>
  <si>
    <t>952-220000-100</t>
  </si>
  <si>
    <t>掀背门下饰板总成（手动）-素雅黑</t>
  </si>
  <si>
    <t>6209004AFC0000-M10</t>
  </si>
  <si>
    <t>852-220000-100</t>
  </si>
  <si>
    <t>掀背门下饰板本体-素雅黑</t>
  </si>
  <si>
    <t>1600</t>
  </si>
  <si>
    <t>6209016AFC0000-M10</t>
  </si>
  <si>
    <t>852-224000-100</t>
  </si>
  <si>
    <t>紧急解锁饰盖-素雅黑</t>
  </si>
  <si>
    <t>160</t>
  </si>
  <si>
    <t>6209004AFC0000-2M10</t>
  </si>
  <si>
    <t>952-211000-100</t>
  </si>
  <si>
    <t>掀背门扣手盒总成（低配）-素雅黑</t>
  </si>
  <si>
    <t>6209009AFC0000-M10</t>
  </si>
  <si>
    <t>852-211000-100</t>
  </si>
  <si>
    <t>掀背门扣手盒本体（低配）-素雅黑</t>
  </si>
  <si>
    <t>200</t>
  </si>
  <si>
    <t>6209009AFC0000-1M10</t>
  </si>
  <si>
    <t>852-226000-100</t>
  </si>
  <si>
    <t>掀背门扣手盒手握饰盖-素雅黑</t>
  </si>
  <si>
    <t>6209009AFC0000-2M10</t>
  </si>
  <si>
    <t>952-227000-100</t>
  </si>
  <si>
    <t>掀背门扣手螺栓饰盖-素雅黑</t>
  </si>
  <si>
    <t>6209013AFC0000-M10</t>
  </si>
  <si>
    <t>952-220000-200</t>
  </si>
  <si>
    <t>掀背门下饰板总成（电动）-素雅黑</t>
  </si>
  <si>
    <t>6209004AFC0100-M10</t>
  </si>
  <si>
    <t>952-225000-200</t>
  </si>
  <si>
    <t>掀背门扣手盒总成（高配）-素雅黑</t>
  </si>
  <si>
    <t>6209009AFC0100-M10</t>
  </si>
  <si>
    <t>852-225000-200</t>
  </si>
  <si>
    <t>掀背门扣手盒本体（高配）-素雅黑</t>
  </si>
  <si>
    <t>6209009AFC0100-1M10</t>
  </si>
  <si>
    <t>A18掀背门一级零件</t>
  </si>
  <si>
    <t>4</t>
  </si>
  <si>
    <t>A18掀背门二级零件</t>
  </si>
  <si>
    <t>212-043100-000</t>
  </si>
  <si>
    <t>6209016AFC0000-1</t>
  </si>
  <si>
    <t>211-200002-000</t>
  </si>
  <si>
    <t>6209001AFC0000-3</t>
  </si>
  <si>
    <t>3</t>
  </si>
  <si>
    <t>16</t>
  </si>
  <si>
    <t>222-023400-000</t>
  </si>
  <si>
    <t>6209004ARX0000-8</t>
  </si>
  <si>
    <t>212-037200-000</t>
  </si>
  <si>
    <t>6730026AFC0000</t>
  </si>
  <si>
    <t>232-011800-000</t>
  </si>
  <si>
    <t>272-003300-000</t>
  </si>
  <si>
    <t>8045017ARX0000</t>
  </si>
  <si>
    <t>952-180000-100</t>
  </si>
  <si>
    <t>左前门饰板总成（低中配）-角逐之夜</t>
  </si>
  <si>
    <t>6205001AFC0000 RT1</t>
  </si>
  <si>
    <t>0000RT1门板总成</t>
  </si>
  <si>
    <t>852-184000-110</t>
  </si>
  <si>
    <t>左前门上饰板总成-素雅黑</t>
  </si>
  <si>
    <t>6205031AFC0000-M10</t>
  </si>
  <si>
    <t>852-184000-111</t>
  </si>
  <si>
    <t>左前门上饰板表皮小总成-素雅黑</t>
  </si>
  <si>
    <t>6205031AFC0000-M10.1</t>
  </si>
  <si>
    <t>852-184000-100</t>
  </si>
  <si>
    <t>左前门上饰板骨架</t>
  </si>
  <si>
    <t>1000</t>
  </si>
  <si>
    <t>6205031AFC0000-1-1</t>
  </si>
  <si>
    <t>852-180000-100</t>
  </si>
  <si>
    <t>左前门饰板下本体-素雅黑</t>
  </si>
  <si>
    <t>6205011AFC0000-M10</t>
  </si>
  <si>
    <t>852-187000-110</t>
  </si>
  <si>
    <t>左前门嵌饰板总成（PVC）-角逐之夜</t>
  </si>
  <si>
    <t>6205071AFC0000 RT1</t>
  </si>
  <si>
    <t>852-187000-111</t>
  </si>
  <si>
    <t>左前门嵌饰板包覆总成（PVC）-角逐之夜</t>
  </si>
  <si>
    <t>6205071AFC0000-3 RT1</t>
  </si>
  <si>
    <t>852-187000-100</t>
  </si>
  <si>
    <t>左前门嵌饰板本体</t>
  </si>
  <si>
    <t>6205071AFC0000-3-1</t>
  </si>
  <si>
    <t>852-189000-110</t>
  </si>
  <si>
    <t>左前门扶手总成（PVC）-角逐之夜</t>
  </si>
  <si>
    <t>6205101AFC0000 RT1</t>
  </si>
  <si>
    <t>852-189000-111</t>
  </si>
  <si>
    <t>左前门扶手包覆总成（PVC）-角逐之夜</t>
  </si>
  <si>
    <t>6205101AFC0000-4 RT1</t>
  </si>
  <si>
    <t>852-189000-100</t>
  </si>
  <si>
    <t>左前门扶手骨架</t>
  </si>
  <si>
    <t>800</t>
  </si>
  <si>
    <t>6205101AFC0000-4-1</t>
  </si>
  <si>
    <t>852-191000-110</t>
  </si>
  <si>
    <t>左前门扶手面板总成-素雅黑</t>
  </si>
  <si>
    <t>6205001AFC0000-5M10</t>
  </si>
  <si>
    <t>852-191000-100</t>
  </si>
  <si>
    <t>左前门扶手面板-素雅黑</t>
  </si>
  <si>
    <t>250</t>
  </si>
  <si>
    <t>6205001AFC0000-5-1M10</t>
  </si>
  <si>
    <t>852-193000-100</t>
  </si>
  <si>
    <t>左前门开关面板底座-素雅黑</t>
  </si>
  <si>
    <t>6205001AFC0000-5-2M10</t>
  </si>
  <si>
    <t>852-195000-100</t>
  </si>
  <si>
    <t>左前门地图袋-素雅黑</t>
  </si>
  <si>
    <t>6205021AFC0000-M10</t>
  </si>
  <si>
    <t>852-201000-100</t>
  </si>
  <si>
    <t>左侧反射片</t>
  </si>
  <si>
    <t>120</t>
  </si>
  <si>
    <t>6205291AFC0000</t>
  </si>
  <si>
    <t>852-207000-110</t>
  </si>
  <si>
    <t>左前门拉手盒小总成-素雅黑</t>
  </si>
  <si>
    <t>6205001AFC0000-13M10</t>
  </si>
  <si>
    <t>852-207000-100</t>
  </si>
  <si>
    <t>左前门拉手盒-素雅黑</t>
  </si>
  <si>
    <t>6205001AFC0000-13-1M10</t>
  </si>
  <si>
    <t>852-209000-100</t>
  </si>
  <si>
    <t>左前门拉手盒饰盖-素雅黑</t>
  </si>
  <si>
    <t>6205001AFC0000-13-2M10</t>
  </si>
  <si>
    <t>952-213000-100</t>
  </si>
  <si>
    <t>左前门开关面板总成—低配</t>
  </si>
  <si>
    <t xml:space="preserve">6205161AFC99F0 </t>
  </si>
  <si>
    <t>952-218000-100</t>
  </si>
  <si>
    <t>左侧内开拉手螺栓饰盖-素雅黑</t>
  </si>
  <si>
    <t>6205006AFC0000 M10</t>
  </si>
  <si>
    <t>952-219000-100</t>
  </si>
  <si>
    <t>左前门拉手盒螺栓盖</t>
  </si>
  <si>
    <t>6205003AFC0000</t>
  </si>
  <si>
    <t>952-199000-100</t>
  </si>
  <si>
    <t>左前门后视镜维修盖总成</t>
  </si>
  <si>
    <t>5410441AFC0000</t>
  </si>
  <si>
    <t>852-199000-100</t>
  </si>
  <si>
    <t>左前门后视镜维修盖本体</t>
  </si>
  <si>
    <t>5410441AFC0000-1</t>
  </si>
  <si>
    <t>0000RT1门板总成一级零件</t>
  </si>
  <si>
    <t>0.25</t>
  </si>
  <si>
    <t>6205031AFC0000-1-2M10</t>
  </si>
  <si>
    <t>272-064300-000</t>
  </si>
  <si>
    <t>上饰板表皮-素雅黑</t>
  </si>
  <si>
    <t>4g</t>
  </si>
  <si>
    <t>#300</t>
  </si>
  <si>
    <t>262-002200-000</t>
  </si>
  <si>
    <t>溶剂胶水</t>
  </si>
  <si>
    <t>6205071AFC0000-3-2RT1</t>
  </si>
  <si>
    <t>272-064200-000</t>
  </si>
  <si>
    <t>左前门嵌饰板表皮总成（PVC）-角逐之夜</t>
  </si>
  <si>
    <t>6205001AFC0000-7</t>
  </si>
  <si>
    <t>222-175000-000</t>
  </si>
  <si>
    <t>左前门小饰条</t>
  </si>
  <si>
    <t>6205101AFC0000-4.1</t>
  </si>
  <si>
    <t>852-189000-112</t>
  </si>
  <si>
    <t>左前门扶手发泡总成</t>
  </si>
  <si>
    <t>6205101AFC0000-4-2</t>
  </si>
  <si>
    <t>222-172000-000</t>
  </si>
  <si>
    <t>左前门扶手发泡件</t>
  </si>
  <si>
    <t>6205101AFC0000-4-3RT1</t>
  </si>
  <si>
    <t>272-029800-000</t>
  </si>
  <si>
    <t>左前门扶手表皮总成（PVC）-角逐之夜</t>
  </si>
  <si>
    <t>6205242AFC0000</t>
  </si>
  <si>
    <t>222-176000-000</t>
  </si>
  <si>
    <t>左前门饰板装饰条—喷涂</t>
  </si>
  <si>
    <t>6205001AFC0000-9</t>
  </si>
  <si>
    <t>222-177000-000</t>
  </si>
  <si>
    <t>左前门低音喇叭LOGO</t>
  </si>
  <si>
    <t>0.0002L</t>
  </si>
  <si>
    <t>6205001AFC0000-10</t>
  </si>
  <si>
    <t>6205151AFC0000-M10</t>
  </si>
  <si>
    <t>272-064000-000</t>
  </si>
  <si>
    <t>左前门内开拉手总成-素雅黑</t>
  </si>
  <si>
    <t>28</t>
  </si>
  <si>
    <t>9000000811</t>
  </si>
  <si>
    <t>232-006500-000</t>
  </si>
  <si>
    <t>十字槽盘头套大垫自攻螺钉ST4.2×13</t>
  </si>
  <si>
    <t>门板卡扣Φ9.9</t>
  </si>
  <si>
    <t>6205008ADU0000-7</t>
  </si>
  <si>
    <t>211-016500-000</t>
  </si>
  <si>
    <t>不织布</t>
  </si>
  <si>
    <t xml:space="preserve">6730069AFC0000 </t>
  </si>
  <si>
    <t>212-037000-000</t>
  </si>
  <si>
    <t>前门吸音棉</t>
  </si>
  <si>
    <t>8245006ARD0000</t>
  </si>
  <si>
    <t>272-014100-000</t>
  </si>
  <si>
    <t>低频天线</t>
  </si>
  <si>
    <t>6205161AFC0000-1</t>
  </si>
  <si>
    <t>222-178000-000</t>
  </si>
  <si>
    <t>左前门开关面板本体</t>
  </si>
  <si>
    <t>6205161AFC0000-2</t>
  </si>
  <si>
    <t>222-179000-000</t>
  </si>
  <si>
    <t>左前门开关面板亮条</t>
  </si>
  <si>
    <t>MST-0061</t>
  </si>
  <si>
    <t>232-012000-000</t>
  </si>
  <si>
    <t>十字槽盘头套大垫自攻螺丝 ST2.9*9.5</t>
  </si>
  <si>
    <t>8227003ARD0300</t>
  </si>
  <si>
    <t>272-005800-000</t>
  </si>
  <si>
    <t>左前门集控开关</t>
  </si>
  <si>
    <t>8227005ATN0000</t>
  </si>
  <si>
    <t>272-015200-000</t>
  </si>
  <si>
    <t>外后视镜调节开关-低配</t>
  </si>
  <si>
    <t>5410441AFC0000-2</t>
  </si>
  <si>
    <t>212-036600-000</t>
  </si>
  <si>
    <t>后视镜维修盖泡棉</t>
  </si>
  <si>
    <t>0000RT1门板总成二级零件</t>
  </si>
  <si>
    <t>生产发行表</t>
  </si>
  <si>
    <t>本工作表只能对“需求”项进行操作</t>
  </si>
  <si>
    <t>生产推移表</t>
  </si>
  <si>
    <t>本工作表只能对“计划生产”项进行操作</t>
  </si>
  <si>
    <t>实际生产</t>
  </si>
  <si>
    <t>扫描入库</t>
  </si>
  <si>
    <t>不良</t>
  </si>
  <si>
    <t>结存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</si>
</sst>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352"/>
  <sheetViews>
    <sheetView tabSelected="1" workbookViewId="0"/>
  </sheetViews>
  <sheetFormatPr defaultRowHeight="15"/>
  <sheetData>
    <row r="1" spans="1:44">
      <c r="A1" t="s">
        <v>0</v>
      </c>
    </row>
    <row r="2" spans="1:4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B2">
        <v>16</v>
      </c>
      <c r="AC2">
        <v>17</v>
      </c>
      <c r="AD2">
        <v>18</v>
      </c>
      <c r="AE2">
        <v>19</v>
      </c>
      <c r="AF2">
        <v>20</v>
      </c>
      <c r="AG2">
        <v>21</v>
      </c>
      <c r="AH2">
        <v>22</v>
      </c>
      <c r="AI2">
        <v>23</v>
      </c>
      <c r="AJ2">
        <v>24</v>
      </c>
      <c r="AK2">
        <v>25</v>
      </c>
      <c r="AL2">
        <v>26</v>
      </c>
      <c r="AM2">
        <v>27</v>
      </c>
      <c r="AN2">
        <v>28</v>
      </c>
      <c r="AO2">
        <v>29</v>
      </c>
      <c r="AP2">
        <v>30</v>
      </c>
      <c r="AQ2">
        <v>31</v>
      </c>
      <c r="AR2" t="s">
        <v>13</v>
      </c>
    </row>
    <row r="3" spans="1:44">
      <c r="A3" t="s">
        <v>14</v>
      </c>
      <c r="B3" t="s">
        <v>15</v>
      </c>
      <c r="C3" t="s">
        <v>16</v>
      </c>
      <c r="D3" t="s">
        <v>17</v>
      </c>
      <c r="E3">
        <v>1</v>
      </c>
      <c r="F3" t="s">
        <v>18</v>
      </c>
      <c r="H3" t="s">
        <v>19</v>
      </c>
      <c r="I3">
        <v>12</v>
      </c>
      <c r="K3" t="s">
        <v>20</v>
      </c>
      <c r="L3" t="s">
        <v>21</v>
      </c>
      <c r="M3">
        <f>vlookup("952-228000-100",生产发行表!B:AZ,column(l1),0)</f>
        <v>0</v>
      </c>
      <c r="N3">
        <f>vlookup("952-228000-100",生产发行表!B:AZ,column(m1),0)</f>
        <v>0</v>
      </c>
      <c r="O3">
        <f>vlookup("952-228000-100",生产发行表!B:AZ,column(n1),0)</f>
        <v>0</v>
      </c>
      <c r="P3">
        <f>vlookup("952-228000-100",生产发行表!B:AZ,column(o1),0)</f>
        <v>0</v>
      </c>
      <c r="Q3">
        <f>vlookup("952-228000-100",生产发行表!B:AZ,column(p1),0)</f>
        <v>0</v>
      </c>
      <c r="R3">
        <f>vlookup("952-228000-100",生产发行表!B:AZ,column(q1),0)</f>
        <v>0</v>
      </c>
      <c r="S3">
        <f>vlookup("952-228000-100",生产发行表!B:AZ,column(r1),0)</f>
        <v>0</v>
      </c>
      <c r="T3">
        <f>vlookup("952-228000-100",生产发行表!B:AZ,column(s1),0)</f>
        <v>0</v>
      </c>
      <c r="U3">
        <f>vlookup("952-228000-100",生产发行表!B:AZ,column(t1),0)</f>
        <v>0</v>
      </c>
      <c r="V3">
        <f>vlookup("952-228000-100",生产发行表!B:AZ,column(u1),0)</f>
        <v>0</v>
      </c>
      <c r="W3">
        <f>vlookup("952-228000-100",生产发行表!B:AZ,column(v1),0)</f>
        <v>0</v>
      </c>
      <c r="X3">
        <f>vlookup("952-228000-100",生产发行表!B:AZ,column(w1),0)</f>
        <v>0</v>
      </c>
      <c r="Y3">
        <f>vlookup("952-228000-100",生产发行表!B:AZ,column(x1),0)</f>
        <v>0</v>
      </c>
      <c r="Z3">
        <f>vlookup("952-228000-100",生产发行表!B:AZ,column(y1),0)</f>
        <v>0</v>
      </c>
      <c r="AA3">
        <f>vlookup("952-228000-100",生产发行表!B:AZ,column(z1),0)</f>
        <v>0</v>
      </c>
      <c r="AB3">
        <f>vlookup("952-228000-100",生产发行表!B:AZ,column(aa1),0)</f>
        <v>0</v>
      </c>
      <c r="AC3">
        <f>vlookup("952-228000-100",生产发行表!B:AZ,column(ab1),0)</f>
        <v>0</v>
      </c>
      <c r="AD3">
        <f>vlookup("952-228000-100",生产发行表!B:AZ,column(ac1),0)</f>
        <v>0</v>
      </c>
      <c r="AE3">
        <f>vlookup("952-228000-100",生产发行表!B:AZ,column(ad1),0)</f>
        <v>0</v>
      </c>
      <c r="AF3">
        <f>vlookup("952-228000-100",生产发行表!B:AZ,column(ae1),0)</f>
        <v>0</v>
      </c>
      <c r="AG3">
        <f>vlookup("952-228000-100",生产发行表!B:AZ,column(af1),0)</f>
        <v>0</v>
      </c>
      <c r="AH3">
        <f>vlookup("952-228000-100",生产发行表!B:AZ,column(ag1),0)</f>
        <v>0</v>
      </c>
      <c r="AI3">
        <f>vlookup("952-228000-100",生产发行表!B:AZ,column(ah1),0)</f>
        <v>0</v>
      </c>
      <c r="AJ3">
        <f>vlookup("952-228000-100",生产发行表!B:AZ,column(ai1),0)</f>
        <v>0</v>
      </c>
      <c r="AK3">
        <f>vlookup("952-228000-100",生产发行表!B:AZ,column(aj1),0)</f>
        <v>0</v>
      </c>
      <c r="AL3">
        <f>vlookup("952-228000-100",生产发行表!B:AZ,column(ak1),0)</f>
        <v>0</v>
      </c>
      <c r="AM3">
        <f>vlookup("952-228000-100",生产发行表!B:AZ,column(al1),0)</f>
        <v>0</v>
      </c>
      <c r="AN3">
        <f>vlookup("952-228000-100",生产发行表!B:AZ,column(am1),0)</f>
        <v>0</v>
      </c>
      <c r="AO3">
        <f>vlookup("952-228000-100",生产发行表!B:AZ,column(an1),0)</f>
        <v>0</v>
      </c>
      <c r="AP3">
        <f>vlookup("952-228000-100",生产发行表!B:AZ,column(ao1),0)</f>
        <v>0</v>
      </c>
      <c r="AQ3">
        <f>vlookup("952-228000-100",生产发行表!B:AZ,column(ap1),0)</f>
        <v>0</v>
      </c>
      <c r="AR3">
        <f>vlookup("952-228000-100",生产发行表!B:AZ,column(aq1),0)</f>
        <v>0</v>
      </c>
    </row>
    <row r="4" spans="1:44">
      <c r="A4" t="s">
        <v>14</v>
      </c>
      <c r="B4" t="s">
        <v>22</v>
      </c>
      <c r="C4" t="s">
        <v>23</v>
      </c>
      <c r="D4" t="s">
        <v>17</v>
      </c>
      <c r="E4">
        <v>1</v>
      </c>
      <c r="F4" t="s">
        <v>24</v>
      </c>
      <c r="H4" t="s">
        <v>19</v>
      </c>
      <c r="I4">
        <v>12</v>
      </c>
      <c r="K4" t="s">
        <v>20</v>
      </c>
      <c r="L4" t="s">
        <v>21</v>
      </c>
      <c r="M4">
        <f>vlookup("952-228000-200",生产发行表!B:AZ,column(l1),0)</f>
        <v>0</v>
      </c>
      <c r="N4">
        <f>vlookup("952-228000-200",生产发行表!B:AZ,column(m1),0)</f>
        <v>0</v>
      </c>
      <c r="O4">
        <f>vlookup("952-228000-200",生产发行表!B:AZ,column(n1),0)</f>
        <v>0</v>
      </c>
      <c r="P4">
        <f>vlookup("952-228000-200",生产发行表!B:AZ,column(o1),0)</f>
        <v>0</v>
      </c>
      <c r="Q4">
        <f>vlookup("952-228000-200",生产发行表!B:AZ,column(p1),0)</f>
        <v>0</v>
      </c>
      <c r="R4">
        <f>vlookup("952-228000-200",生产发行表!B:AZ,column(q1),0)</f>
        <v>0</v>
      </c>
      <c r="S4">
        <f>vlookup("952-228000-200",生产发行表!B:AZ,column(r1),0)</f>
        <v>0</v>
      </c>
      <c r="T4">
        <f>vlookup("952-228000-200",生产发行表!B:AZ,column(s1),0)</f>
        <v>0</v>
      </c>
      <c r="U4">
        <f>vlookup("952-228000-200",生产发行表!B:AZ,column(t1),0)</f>
        <v>0</v>
      </c>
      <c r="V4">
        <f>vlookup("952-228000-200",生产发行表!B:AZ,column(u1),0)</f>
        <v>0</v>
      </c>
      <c r="W4">
        <f>vlookup("952-228000-200",生产发行表!B:AZ,column(v1),0)</f>
        <v>0</v>
      </c>
      <c r="X4">
        <f>vlookup("952-228000-200",生产发行表!B:AZ,column(w1),0)</f>
        <v>0</v>
      </c>
      <c r="Y4">
        <f>vlookup("952-228000-200",生产发行表!B:AZ,column(x1),0)</f>
        <v>0</v>
      </c>
      <c r="Z4">
        <f>vlookup("952-228000-200",生产发行表!B:AZ,column(y1),0)</f>
        <v>0</v>
      </c>
      <c r="AA4">
        <f>vlookup("952-228000-200",生产发行表!B:AZ,column(z1),0)</f>
        <v>0</v>
      </c>
      <c r="AB4">
        <f>vlookup("952-228000-200",生产发行表!B:AZ,column(aa1),0)</f>
        <v>0</v>
      </c>
      <c r="AC4">
        <f>vlookup("952-228000-200",生产发行表!B:AZ,column(ab1),0)</f>
        <v>0</v>
      </c>
      <c r="AD4">
        <f>vlookup("952-228000-200",生产发行表!B:AZ,column(ac1),0)</f>
        <v>0</v>
      </c>
      <c r="AE4">
        <f>vlookup("952-228000-200",生产发行表!B:AZ,column(ad1),0)</f>
        <v>0</v>
      </c>
      <c r="AF4">
        <f>vlookup("952-228000-200",生产发行表!B:AZ,column(ae1),0)</f>
        <v>0</v>
      </c>
      <c r="AG4">
        <f>vlookup("952-228000-200",生产发行表!B:AZ,column(af1),0)</f>
        <v>0</v>
      </c>
      <c r="AH4">
        <f>vlookup("952-228000-200",生产发行表!B:AZ,column(ag1),0)</f>
        <v>0</v>
      </c>
      <c r="AI4">
        <f>vlookup("952-228000-200",生产发行表!B:AZ,column(ah1),0)</f>
        <v>0</v>
      </c>
      <c r="AJ4">
        <f>vlookup("952-228000-200",生产发行表!B:AZ,column(ai1),0)</f>
        <v>0</v>
      </c>
      <c r="AK4">
        <f>vlookup("952-228000-200",生产发行表!B:AZ,column(aj1),0)</f>
        <v>0</v>
      </c>
      <c r="AL4">
        <f>vlookup("952-228000-200",生产发行表!B:AZ,column(ak1),0)</f>
        <v>0</v>
      </c>
      <c r="AM4">
        <f>vlookup("952-228000-200",生产发行表!B:AZ,column(al1),0)</f>
        <v>0</v>
      </c>
      <c r="AN4">
        <f>vlookup("952-228000-200",生产发行表!B:AZ,column(am1),0)</f>
        <v>0</v>
      </c>
      <c r="AO4">
        <f>vlookup("952-228000-200",生产发行表!B:AZ,column(an1),0)</f>
        <v>0</v>
      </c>
      <c r="AP4">
        <f>vlookup("952-228000-200",生产发行表!B:AZ,column(ao1),0)</f>
        <v>0</v>
      </c>
      <c r="AQ4">
        <f>vlookup("952-228000-200",生产发行表!B:AZ,column(ap1),0)</f>
        <v>0</v>
      </c>
      <c r="AR4">
        <f>vlookup("952-228000-200",生产发行表!B:AZ,column(aq1),0)</f>
        <v>0</v>
      </c>
    </row>
    <row r="5" spans="1:44">
      <c r="A5" t="s">
        <v>14</v>
      </c>
      <c r="B5" t="s">
        <v>25</v>
      </c>
      <c r="C5" t="s">
        <v>26</v>
      </c>
      <c r="D5" t="s">
        <v>27</v>
      </c>
      <c r="E5">
        <v>1</v>
      </c>
      <c r="F5" t="s">
        <v>28</v>
      </c>
      <c r="H5" t="s">
        <v>29</v>
      </c>
      <c r="I5" t="s">
        <v>30</v>
      </c>
      <c r="K5" t="s">
        <v>20</v>
      </c>
      <c r="L5" t="s">
        <v>21</v>
      </c>
      <c r="M5">
        <f>vlookup("952-229000-100",生产发行表!B:AZ,column(l1),0)</f>
        <v>0</v>
      </c>
      <c r="N5">
        <f>vlookup("952-229000-100",生产发行表!B:AZ,column(m1),0)</f>
        <v>0</v>
      </c>
      <c r="O5">
        <f>vlookup("952-229000-100",生产发行表!B:AZ,column(n1),0)</f>
        <v>0</v>
      </c>
      <c r="P5">
        <f>vlookup("952-229000-100",生产发行表!B:AZ,column(o1),0)</f>
        <v>0</v>
      </c>
      <c r="Q5">
        <f>vlookup("952-229000-100",生产发行表!B:AZ,column(p1),0)</f>
        <v>0</v>
      </c>
      <c r="R5">
        <f>vlookup("952-229000-100",生产发行表!B:AZ,column(q1),0)</f>
        <v>0</v>
      </c>
      <c r="S5">
        <f>vlookup("952-229000-100",生产发行表!B:AZ,column(r1),0)</f>
        <v>0</v>
      </c>
      <c r="T5">
        <f>vlookup("952-229000-100",生产发行表!B:AZ,column(s1),0)</f>
        <v>0</v>
      </c>
      <c r="U5">
        <f>vlookup("952-229000-100",生产发行表!B:AZ,column(t1),0)</f>
        <v>0</v>
      </c>
      <c r="V5">
        <f>vlookup("952-229000-100",生产发行表!B:AZ,column(u1),0)</f>
        <v>0</v>
      </c>
      <c r="W5">
        <f>vlookup("952-229000-100",生产发行表!B:AZ,column(v1),0)</f>
        <v>0</v>
      </c>
      <c r="X5">
        <f>vlookup("952-229000-100",生产发行表!B:AZ,column(w1),0)</f>
        <v>0</v>
      </c>
      <c r="Y5">
        <f>vlookup("952-229000-100",生产发行表!B:AZ,column(x1),0)</f>
        <v>0</v>
      </c>
      <c r="Z5">
        <f>vlookup("952-229000-100",生产发行表!B:AZ,column(y1),0)</f>
        <v>0</v>
      </c>
      <c r="AA5">
        <f>vlookup("952-229000-100",生产发行表!B:AZ,column(z1),0)</f>
        <v>0</v>
      </c>
      <c r="AB5">
        <f>vlookup("952-229000-100",生产发行表!B:AZ,column(aa1),0)</f>
        <v>0</v>
      </c>
      <c r="AC5">
        <f>vlookup("952-229000-100",生产发行表!B:AZ,column(ab1),0)</f>
        <v>0</v>
      </c>
      <c r="AD5">
        <f>vlookup("952-229000-100",生产发行表!B:AZ,column(ac1),0)</f>
        <v>0</v>
      </c>
      <c r="AE5">
        <f>vlookup("952-229000-100",生产发行表!B:AZ,column(ad1),0)</f>
        <v>0</v>
      </c>
      <c r="AF5">
        <f>vlookup("952-229000-100",生产发行表!B:AZ,column(ae1),0)</f>
        <v>0</v>
      </c>
      <c r="AG5">
        <f>vlookup("952-229000-100",生产发行表!B:AZ,column(af1),0)</f>
        <v>0</v>
      </c>
      <c r="AH5">
        <f>vlookup("952-229000-100",生产发行表!B:AZ,column(ag1),0)</f>
        <v>0</v>
      </c>
      <c r="AI5">
        <f>vlookup("952-229000-100",生产发行表!B:AZ,column(ah1),0)</f>
        <v>0</v>
      </c>
      <c r="AJ5">
        <f>vlookup("952-229000-100",生产发行表!B:AZ,column(ai1),0)</f>
        <v>0</v>
      </c>
      <c r="AK5">
        <f>vlookup("952-229000-100",生产发行表!B:AZ,column(aj1),0)</f>
        <v>0</v>
      </c>
      <c r="AL5">
        <f>vlookup("952-229000-100",生产发行表!B:AZ,column(ak1),0)</f>
        <v>0</v>
      </c>
      <c r="AM5">
        <f>vlookup("952-229000-100",生产发行表!B:AZ,column(al1),0)</f>
        <v>0</v>
      </c>
      <c r="AN5">
        <f>vlookup("952-229000-100",生产发行表!B:AZ,column(am1),0)</f>
        <v>0</v>
      </c>
      <c r="AO5">
        <f>vlookup("952-229000-100",生产发行表!B:AZ,column(an1),0)</f>
        <v>0</v>
      </c>
      <c r="AP5">
        <f>vlookup("952-229000-100",生产发行表!B:AZ,column(ao1),0)</f>
        <v>0</v>
      </c>
      <c r="AQ5">
        <f>vlookup("952-229000-100",生产发行表!B:AZ,column(ap1),0)</f>
        <v>0</v>
      </c>
      <c r="AR5">
        <f>vlookup("952-229000-100",生产发行表!B:AZ,column(aq1),0)</f>
        <v>0</v>
      </c>
    </row>
    <row r="6" spans="1:44">
      <c r="A6" t="s">
        <v>31</v>
      </c>
      <c r="B6" t="s">
        <v>32</v>
      </c>
      <c r="C6" t="s">
        <v>33</v>
      </c>
      <c r="D6" t="s">
        <v>17</v>
      </c>
      <c r="E6">
        <v>1</v>
      </c>
      <c r="F6" t="s">
        <v>34</v>
      </c>
      <c r="H6" t="s">
        <v>35</v>
      </c>
      <c r="I6" t="s">
        <v>36</v>
      </c>
      <c r="K6" t="s">
        <v>20</v>
      </c>
      <c r="L6" t="s">
        <v>37</v>
      </c>
      <c r="M6">
        <f>sumifs(m:m,A:A,"总成",B:B,"952-229000-100")*INDIRECT(ADDRESS(6,5))</f>
        <v>0</v>
      </c>
      <c r="N6">
        <f>sumifs(n:n,A:A,"总成",B:B,"952-229000-100")*INDIRECT(ADDRESS(6,5))</f>
        <v>0</v>
      </c>
      <c r="O6">
        <f>sumifs(o:o,A:A,"总成",B:B,"952-229000-100")*INDIRECT(ADDRESS(6,5))</f>
        <v>0</v>
      </c>
      <c r="P6">
        <f>sumifs(p:p,A:A,"总成",B:B,"952-229000-100")*INDIRECT(ADDRESS(6,5))</f>
        <v>0</v>
      </c>
      <c r="Q6">
        <f>sumifs(q:q,A:A,"总成",B:B,"952-229000-100")*INDIRECT(ADDRESS(6,5))</f>
        <v>0</v>
      </c>
      <c r="R6">
        <f>sumifs(r:r,A:A,"总成",B:B,"952-229000-100")*INDIRECT(ADDRESS(6,5))</f>
        <v>0</v>
      </c>
      <c r="S6">
        <f>sumifs(s:s,A:A,"总成",B:B,"952-229000-100")*INDIRECT(ADDRESS(6,5))</f>
        <v>0</v>
      </c>
      <c r="T6">
        <f>sumifs(t:t,A:A,"总成",B:B,"952-229000-100")*INDIRECT(ADDRESS(6,5))</f>
        <v>0</v>
      </c>
      <c r="U6">
        <f>sumifs(u:u,A:A,"总成",B:B,"952-229000-100")*INDIRECT(ADDRESS(6,5))</f>
        <v>0</v>
      </c>
      <c r="V6">
        <f>sumifs(v:v,A:A,"总成",B:B,"952-229000-100")*INDIRECT(ADDRESS(6,5))</f>
        <v>0</v>
      </c>
      <c r="W6">
        <f>sumifs(w:w,A:A,"总成",B:B,"952-229000-100")*INDIRECT(ADDRESS(6,5))</f>
        <v>0</v>
      </c>
      <c r="X6">
        <f>sumifs(x:x,A:A,"总成",B:B,"952-229000-100")*INDIRECT(ADDRESS(6,5))</f>
        <v>0</v>
      </c>
      <c r="Y6">
        <f>sumifs(y:y,A:A,"总成",B:B,"952-229000-100")*INDIRECT(ADDRESS(6,5))</f>
        <v>0</v>
      </c>
      <c r="Z6">
        <f>sumifs(z:z,A:A,"总成",B:B,"952-229000-100")*INDIRECT(ADDRESS(6,5))</f>
        <v>0</v>
      </c>
      <c r="AA6">
        <f>sumifs(aa:aa,A:A,"总成",B:B,"952-229000-100")*INDIRECT(ADDRESS(6,5))</f>
        <v>0</v>
      </c>
      <c r="AB6">
        <f>sumifs(ab:ab,A:A,"总成",B:B,"952-229000-100")*INDIRECT(ADDRESS(6,5))</f>
        <v>0</v>
      </c>
      <c r="AC6">
        <f>sumifs(ac:ac,A:A,"总成",B:B,"952-229000-100")*INDIRECT(ADDRESS(6,5))</f>
        <v>0</v>
      </c>
      <c r="AD6">
        <f>sumifs(ad:ad,A:A,"总成",B:B,"952-229000-100")*INDIRECT(ADDRESS(6,5))</f>
        <v>0</v>
      </c>
      <c r="AE6">
        <f>sumifs(ae:ae,A:A,"总成",B:B,"952-229000-100")*INDIRECT(ADDRESS(6,5))</f>
        <v>0</v>
      </c>
      <c r="AF6">
        <f>sumifs(af:af,A:A,"总成",B:B,"952-229000-100")*INDIRECT(ADDRESS(6,5))</f>
        <v>0</v>
      </c>
      <c r="AG6">
        <f>sumifs(ag:ag,A:A,"总成",B:B,"952-229000-100")*INDIRECT(ADDRESS(6,5))</f>
        <v>0</v>
      </c>
      <c r="AH6">
        <f>sumifs(ah:ah,A:A,"总成",B:B,"952-229000-100")*INDIRECT(ADDRESS(6,5))</f>
        <v>0</v>
      </c>
      <c r="AI6">
        <f>sumifs(ai:ai,A:A,"总成",B:B,"952-229000-100")*INDIRECT(ADDRESS(6,5))</f>
        <v>0</v>
      </c>
      <c r="AJ6">
        <f>sumifs(aj:aj,A:A,"总成",B:B,"952-229000-100")*INDIRECT(ADDRESS(6,5))</f>
        <v>0</v>
      </c>
      <c r="AK6">
        <f>sumifs(ak:ak,A:A,"总成",B:B,"952-229000-100")*INDIRECT(ADDRESS(6,5))</f>
        <v>0</v>
      </c>
      <c r="AL6">
        <f>sumifs(al:al,A:A,"总成",B:B,"952-229000-100")*INDIRECT(ADDRESS(6,5))</f>
        <v>0</v>
      </c>
      <c r="AM6">
        <f>sumifs(am:am,A:A,"总成",B:B,"952-229000-100")*INDIRECT(ADDRESS(6,5))</f>
        <v>0</v>
      </c>
      <c r="AN6">
        <f>sumifs(an:an,A:A,"总成",B:B,"952-229000-100")*INDIRECT(ADDRESS(6,5))</f>
        <v>0</v>
      </c>
      <c r="AO6">
        <f>sumifs(ao:ao,A:A,"总成",B:B,"952-229000-100")*INDIRECT(ADDRESS(6,5))</f>
        <v>0</v>
      </c>
      <c r="AP6">
        <f>sumifs(ap:ap,A:A,"总成",B:B,"952-229000-100")*INDIRECT(ADDRESS(6,5))</f>
        <v>0</v>
      </c>
      <c r="AQ6">
        <f>sumifs(aq:aq,A:A,"总成",B:B,"952-229000-100")*INDIRECT(ADDRESS(6,5))</f>
        <v>0</v>
      </c>
      <c r="AR6">
        <f>sumifs(ar:ar,A:A,"总成",B:B,"952-229000-100")*INDIRECT(ADDRESS(6,5))</f>
        <v>0</v>
      </c>
    </row>
    <row r="7" spans="1:44">
      <c r="A7" t="s">
        <v>14</v>
      </c>
      <c r="B7" t="s">
        <v>38</v>
      </c>
      <c r="C7" t="s">
        <v>39</v>
      </c>
      <c r="D7" t="s">
        <v>27</v>
      </c>
      <c r="E7">
        <v>1</v>
      </c>
      <c r="F7" t="s">
        <v>40</v>
      </c>
      <c r="H7" t="s">
        <v>29</v>
      </c>
      <c r="I7" t="s">
        <v>30</v>
      </c>
      <c r="K7" t="s">
        <v>20</v>
      </c>
      <c r="L7" t="s">
        <v>21</v>
      </c>
      <c r="M7">
        <f>vlookup("952-229000-200",生产发行表!B:AZ,column(l1),0)</f>
        <v>0</v>
      </c>
      <c r="N7">
        <f>vlookup("952-229000-200",生产发行表!B:AZ,column(m1),0)</f>
        <v>0</v>
      </c>
      <c r="O7">
        <f>vlookup("952-229000-200",生产发行表!B:AZ,column(n1),0)</f>
        <v>0</v>
      </c>
      <c r="P7">
        <f>vlookup("952-229000-200",生产发行表!B:AZ,column(o1),0)</f>
        <v>0</v>
      </c>
      <c r="Q7">
        <f>vlookup("952-229000-200",生产发行表!B:AZ,column(p1),0)</f>
        <v>0</v>
      </c>
      <c r="R7">
        <f>vlookup("952-229000-200",生产发行表!B:AZ,column(q1),0)</f>
        <v>0</v>
      </c>
      <c r="S7">
        <f>vlookup("952-229000-200",生产发行表!B:AZ,column(r1),0)</f>
        <v>0</v>
      </c>
      <c r="T7">
        <f>vlookup("952-229000-200",生产发行表!B:AZ,column(s1),0)</f>
        <v>0</v>
      </c>
      <c r="U7">
        <f>vlookup("952-229000-200",生产发行表!B:AZ,column(t1),0)</f>
        <v>0</v>
      </c>
      <c r="V7">
        <f>vlookup("952-229000-200",生产发行表!B:AZ,column(u1),0)</f>
        <v>0</v>
      </c>
      <c r="W7">
        <f>vlookup("952-229000-200",生产发行表!B:AZ,column(v1),0)</f>
        <v>0</v>
      </c>
      <c r="X7">
        <f>vlookup("952-229000-200",生产发行表!B:AZ,column(w1),0)</f>
        <v>0</v>
      </c>
      <c r="Y7">
        <f>vlookup("952-229000-200",生产发行表!B:AZ,column(x1),0)</f>
        <v>0</v>
      </c>
      <c r="Z7">
        <f>vlookup("952-229000-200",生产发行表!B:AZ,column(y1),0)</f>
        <v>0</v>
      </c>
      <c r="AA7">
        <f>vlookup("952-229000-200",生产发行表!B:AZ,column(z1),0)</f>
        <v>0</v>
      </c>
      <c r="AB7">
        <f>vlookup("952-229000-200",生产发行表!B:AZ,column(aa1),0)</f>
        <v>0</v>
      </c>
      <c r="AC7">
        <f>vlookup("952-229000-200",生产发行表!B:AZ,column(ab1),0)</f>
        <v>0</v>
      </c>
      <c r="AD7">
        <f>vlookup("952-229000-200",生产发行表!B:AZ,column(ac1),0)</f>
        <v>0</v>
      </c>
      <c r="AE7">
        <f>vlookup("952-229000-200",生产发行表!B:AZ,column(ad1),0)</f>
        <v>0</v>
      </c>
      <c r="AF7">
        <f>vlookup("952-229000-200",生产发行表!B:AZ,column(ae1),0)</f>
        <v>0</v>
      </c>
      <c r="AG7">
        <f>vlookup("952-229000-200",生产发行表!B:AZ,column(af1),0)</f>
        <v>0</v>
      </c>
      <c r="AH7">
        <f>vlookup("952-229000-200",生产发行表!B:AZ,column(ag1),0)</f>
        <v>0</v>
      </c>
      <c r="AI7">
        <f>vlookup("952-229000-200",生产发行表!B:AZ,column(ah1),0)</f>
        <v>0</v>
      </c>
      <c r="AJ7">
        <f>vlookup("952-229000-200",生产发行表!B:AZ,column(ai1),0)</f>
        <v>0</v>
      </c>
      <c r="AK7">
        <f>vlookup("952-229000-200",生产发行表!B:AZ,column(aj1),0)</f>
        <v>0</v>
      </c>
      <c r="AL7">
        <f>vlookup("952-229000-200",生产发行表!B:AZ,column(ak1),0)</f>
        <v>0</v>
      </c>
      <c r="AM7">
        <f>vlookup("952-229000-200",生产发行表!B:AZ,column(al1),0)</f>
        <v>0</v>
      </c>
      <c r="AN7">
        <f>vlookup("952-229000-200",生产发行表!B:AZ,column(am1),0)</f>
        <v>0</v>
      </c>
      <c r="AO7">
        <f>vlookup("952-229000-200",生产发行表!B:AZ,column(an1),0)</f>
        <v>0</v>
      </c>
      <c r="AP7">
        <f>vlookup("952-229000-200",生产发行表!B:AZ,column(ao1),0)</f>
        <v>0</v>
      </c>
      <c r="AQ7">
        <f>vlookup("952-229000-200",生产发行表!B:AZ,column(ap1),0)</f>
        <v>0</v>
      </c>
      <c r="AR7">
        <f>vlookup("952-229000-200",生产发行表!B:AZ,column(aq1),0)</f>
        <v>0</v>
      </c>
    </row>
    <row r="8" spans="1:44">
      <c r="A8" t="s">
        <v>31</v>
      </c>
      <c r="B8" t="s">
        <v>41</v>
      </c>
      <c r="C8" t="s">
        <v>42</v>
      </c>
      <c r="D8" t="s">
        <v>17</v>
      </c>
      <c r="E8">
        <v>1</v>
      </c>
      <c r="F8" t="s">
        <v>43</v>
      </c>
      <c r="H8" t="s">
        <v>35</v>
      </c>
      <c r="I8" t="s">
        <v>36</v>
      </c>
      <c r="K8" t="s">
        <v>20</v>
      </c>
      <c r="L8" t="s">
        <v>37</v>
      </c>
      <c r="M8">
        <f>sumifs(m:m,A:A,"总成",B:B,"952-229000-200")*INDIRECT(ADDRESS(8,5))</f>
        <v>0</v>
      </c>
      <c r="N8">
        <f>sumifs(n:n,A:A,"总成",B:B,"952-229000-200")*INDIRECT(ADDRESS(8,5))</f>
        <v>0</v>
      </c>
      <c r="O8">
        <f>sumifs(o:o,A:A,"总成",B:B,"952-229000-200")*INDIRECT(ADDRESS(8,5))</f>
        <v>0</v>
      </c>
      <c r="P8">
        <f>sumifs(p:p,A:A,"总成",B:B,"952-229000-200")*INDIRECT(ADDRESS(8,5))</f>
        <v>0</v>
      </c>
      <c r="Q8">
        <f>sumifs(q:q,A:A,"总成",B:B,"952-229000-200")*INDIRECT(ADDRESS(8,5))</f>
        <v>0</v>
      </c>
      <c r="R8">
        <f>sumifs(r:r,A:A,"总成",B:B,"952-229000-200")*INDIRECT(ADDRESS(8,5))</f>
        <v>0</v>
      </c>
      <c r="S8">
        <f>sumifs(s:s,A:A,"总成",B:B,"952-229000-200")*INDIRECT(ADDRESS(8,5))</f>
        <v>0</v>
      </c>
      <c r="T8">
        <f>sumifs(t:t,A:A,"总成",B:B,"952-229000-200")*INDIRECT(ADDRESS(8,5))</f>
        <v>0</v>
      </c>
      <c r="U8">
        <f>sumifs(u:u,A:A,"总成",B:B,"952-229000-200")*INDIRECT(ADDRESS(8,5))</f>
        <v>0</v>
      </c>
      <c r="V8">
        <f>sumifs(v:v,A:A,"总成",B:B,"952-229000-200")*INDIRECT(ADDRESS(8,5))</f>
        <v>0</v>
      </c>
      <c r="W8">
        <f>sumifs(w:w,A:A,"总成",B:B,"952-229000-200")*INDIRECT(ADDRESS(8,5))</f>
        <v>0</v>
      </c>
      <c r="X8">
        <f>sumifs(x:x,A:A,"总成",B:B,"952-229000-200")*INDIRECT(ADDRESS(8,5))</f>
        <v>0</v>
      </c>
      <c r="Y8">
        <f>sumifs(y:y,A:A,"总成",B:B,"952-229000-200")*INDIRECT(ADDRESS(8,5))</f>
        <v>0</v>
      </c>
      <c r="Z8">
        <f>sumifs(z:z,A:A,"总成",B:B,"952-229000-200")*INDIRECT(ADDRESS(8,5))</f>
        <v>0</v>
      </c>
      <c r="AA8">
        <f>sumifs(aa:aa,A:A,"总成",B:B,"952-229000-200")*INDIRECT(ADDRESS(8,5))</f>
        <v>0</v>
      </c>
      <c r="AB8">
        <f>sumifs(ab:ab,A:A,"总成",B:B,"952-229000-200")*INDIRECT(ADDRESS(8,5))</f>
        <v>0</v>
      </c>
      <c r="AC8">
        <f>sumifs(ac:ac,A:A,"总成",B:B,"952-229000-200")*INDIRECT(ADDRESS(8,5))</f>
        <v>0</v>
      </c>
      <c r="AD8">
        <f>sumifs(ad:ad,A:A,"总成",B:B,"952-229000-200")*INDIRECT(ADDRESS(8,5))</f>
        <v>0</v>
      </c>
      <c r="AE8">
        <f>sumifs(ae:ae,A:A,"总成",B:B,"952-229000-200")*INDIRECT(ADDRESS(8,5))</f>
        <v>0</v>
      </c>
      <c r="AF8">
        <f>sumifs(af:af,A:A,"总成",B:B,"952-229000-200")*INDIRECT(ADDRESS(8,5))</f>
        <v>0</v>
      </c>
      <c r="AG8">
        <f>sumifs(ag:ag,A:A,"总成",B:B,"952-229000-200")*INDIRECT(ADDRESS(8,5))</f>
        <v>0</v>
      </c>
      <c r="AH8">
        <f>sumifs(ah:ah,A:A,"总成",B:B,"952-229000-200")*INDIRECT(ADDRESS(8,5))</f>
        <v>0</v>
      </c>
      <c r="AI8">
        <f>sumifs(ai:ai,A:A,"总成",B:B,"952-229000-200")*INDIRECT(ADDRESS(8,5))</f>
        <v>0</v>
      </c>
      <c r="AJ8">
        <f>sumifs(aj:aj,A:A,"总成",B:B,"952-229000-200")*INDIRECT(ADDRESS(8,5))</f>
        <v>0</v>
      </c>
      <c r="AK8">
        <f>sumifs(ak:ak,A:A,"总成",B:B,"952-229000-200")*INDIRECT(ADDRESS(8,5))</f>
        <v>0</v>
      </c>
      <c r="AL8">
        <f>sumifs(al:al,A:A,"总成",B:B,"952-229000-200")*INDIRECT(ADDRESS(8,5))</f>
        <v>0</v>
      </c>
      <c r="AM8">
        <f>sumifs(am:am,A:A,"总成",B:B,"952-229000-200")*INDIRECT(ADDRESS(8,5))</f>
        <v>0</v>
      </c>
      <c r="AN8">
        <f>sumifs(an:an,A:A,"总成",B:B,"952-229000-200")*INDIRECT(ADDRESS(8,5))</f>
        <v>0</v>
      </c>
      <c r="AO8">
        <f>sumifs(ao:ao,A:A,"总成",B:B,"952-229000-200")*INDIRECT(ADDRESS(8,5))</f>
        <v>0</v>
      </c>
      <c r="AP8">
        <f>sumifs(ap:ap,A:A,"总成",B:B,"952-229000-200")*INDIRECT(ADDRESS(8,5))</f>
        <v>0</v>
      </c>
      <c r="AQ8">
        <f>sumifs(aq:aq,A:A,"总成",B:B,"952-229000-200")*INDIRECT(ADDRESS(8,5))</f>
        <v>0</v>
      </c>
      <c r="AR8">
        <f>sumifs(ar:ar,A:A,"总成",B:B,"952-229000-200")*INDIRECT(ADDRESS(8,5))</f>
        <v>0</v>
      </c>
    </row>
    <row r="9" spans="1:44">
      <c r="A9" t="s">
        <v>14</v>
      </c>
      <c r="B9" t="s">
        <v>44</v>
      </c>
      <c r="C9" t="s">
        <v>45</v>
      </c>
      <c r="D9" t="s">
        <v>46</v>
      </c>
      <c r="E9">
        <v>1</v>
      </c>
      <c r="F9" t="s">
        <v>47</v>
      </c>
      <c r="H9" t="s">
        <v>48</v>
      </c>
      <c r="I9" t="s">
        <v>49</v>
      </c>
      <c r="K9" t="s">
        <v>20</v>
      </c>
      <c r="L9" t="s">
        <v>21</v>
      </c>
      <c r="M9">
        <f>vlookup("952-230000-100",生产发行表!B:AZ,column(l1),0)</f>
        <v>0</v>
      </c>
      <c r="N9">
        <f>vlookup("952-230000-100",生产发行表!B:AZ,column(m1),0)</f>
        <v>0</v>
      </c>
      <c r="O9">
        <f>vlookup("952-230000-100",生产发行表!B:AZ,column(n1),0)</f>
        <v>0</v>
      </c>
      <c r="P9">
        <f>vlookup("952-230000-100",生产发行表!B:AZ,column(o1),0)</f>
        <v>0</v>
      </c>
      <c r="Q9">
        <f>vlookup("952-230000-100",生产发行表!B:AZ,column(p1),0)</f>
        <v>0</v>
      </c>
      <c r="R9">
        <f>vlookup("952-230000-100",生产发行表!B:AZ,column(q1),0)</f>
        <v>0</v>
      </c>
      <c r="S9">
        <f>vlookup("952-230000-100",生产发行表!B:AZ,column(r1),0)</f>
        <v>0</v>
      </c>
      <c r="T9">
        <f>vlookup("952-230000-100",生产发行表!B:AZ,column(s1),0)</f>
        <v>0</v>
      </c>
      <c r="U9">
        <f>vlookup("952-230000-100",生产发行表!B:AZ,column(t1),0)</f>
        <v>0</v>
      </c>
      <c r="V9">
        <f>vlookup("952-230000-100",生产发行表!B:AZ,column(u1),0)</f>
        <v>0</v>
      </c>
      <c r="W9">
        <f>vlookup("952-230000-100",生产发行表!B:AZ,column(v1),0)</f>
        <v>0</v>
      </c>
      <c r="X9">
        <f>vlookup("952-230000-100",生产发行表!B:AZ,column(w1),0)</f>
        <v>0</v>
      </c>
      <c r="Y9">
        <f>vlookup("952-230000-100",生产发行表!B:AZ,column(x1),0)</f>
        <v>0</v>
      </c>
      <c r="Z9">
        <f>vlookup("952-230000-100",生产发行表!B:AZ,column(y1),0)</f>
        <v>0</v>
      </c>
      <c r="AA9">
        <f>vlookup("952-230000-100",生产发行表!B:AZ,column(z1),0)</f>
        <v>0</v>
      </c>
      <c r="AB9">
        <f>vlookup("952-230000-100",生产发行表!B:AZ,column(aa1),0)</f>
        <v>0</v>
      </c>
      <c r="AC9">
        <f>vlookup("952-230000-100",生产发行表!B:AZ,column(ab1),0)</f>
        <v>0</v>
      </c>
      <c r="AD9">
        <f>vlookup("952-230000-100",生产发行表!B:AZ,column(ac1),0)</f>
        <v>0</v>
      </c>
      <c r="AE9">
        <f>vlookup("952-230000-100",生产发行表!B:AZ,column(ad1),0)</f>
        <v>0</v>
      </c>
      <c r="AF9">
        <f>vlookup("952-230000-100",生产发行表!B:AZ,column(ae1),0)</f>
        <v>0</v>
      </c>
      <c r="AG9">
        <f>vlookup("952-230000-100",生产发行表!B:AZ,column(af1),0)</f>
        <v>0</v>
      </c>
      <c r="AH9">
        <f>vlookup("952-230000-100",生产发行表!B:AZ,column(ag1),0)</f>
        <v>0</v>
      </c>
      <c r="AI9">
        <f>vlookup("952-230000-100",生产发行表!B:AZ,column(ah1),0)</f>
        <v>0</v>
      </c>
      <c r="AJ9">
        <f>vlookup("952-230000-100",生产发行表!B:AZ,column(ai1),0)</f>
        <v>0</v>
      </c>
      <c r="AK9">
        <f>vlookup("952-230000-100",生产发行表!B:AZ,column(aj1),0)</f>
        <v>0</v>
      </c>
      <c r="AL9">
        <f>vlookup("952-230000-100",生产发行表!B:AZ,column(ak1),0)</f>
        <v>0</v>
      </c>
      <c r="AM9">
        <f>vlookup("952-230000-100",生产发行表!B:AZ,column(al1),0)</f>
        <v>0</v>
      </c>
      <c r="AN9">
        <f>vlookup("952-230000-100",生产发行表!B:AZ,column(am1),0)</f>
        <v>0</v>
      </c>
      <c r="AO9">
        <f>vlookup("952-230000-100",生产发行表!B:AZ,column(an1),0)</f>
        <v>0</v>
      </c>
      <c r="AP9">
        <f>vlookup("952-230000-100",生产发行表!B:AZ,column(ao1),0)</f>
        <v>0</v>
      </c>
      <c r="AQ9">
        <f>vlookup("952-230000-100",生产发行表!B:AZ,column(ap1),0)</f>
        <v>0</v>
      </c>
      <c r="AR9">
        <f>vlookup("952-230000-100",生产发行表!B:AZ,column(aq1),0)</f>
        <v>0</v>
      </c>
    </row>
    <row r="10" spans="1:44">
      <c r="A10" t="s">
        <v>31</v>
      </c>
      <c r="B10" t="s">
        <v>50</v>
      </c>
      <c r="C10" t="s">
        <v>51</v>
      </c>
      <c r="D10" t="s">
        <v>17</v>
      </c>
      <c r="E10">
        <v>1</v>
      </c>
      <c r="F10" t="s">
        <v>52</v>
      </c>
      <c r="H10" t="s">
        <v>35</v>
      </c>
      <c r="I10" t="s">
        <v>36</v>
      </c>
      <c r="K10" t="s">
        <v>20</v>
      </c>
      <c r="L10" t="s">
        <v>37</v>
      </c>
      <c r="M10">
        <f>sumifs(m:m,A:A,"总成",B:B,"952-230000-100")*INDIRECT(ADDRESS(10,5))</f>
        <v>0</v>
      </c>
      <c r="N10">
        <f>sumifs(n:n,A:A,"总成",B:B,"952-230000-100")*INDIRECT(ADDRESS(10,5))</f>
        <v>0</v>
      </c>
      <c r="O10">
        <f>sumifs(o:o,A:A,"总成",B:B,"952-230000-100")*INDIRECT(ADDRESS(10,5))</f>
        <v>0</v>
      </c>
      <c r="P10">
        <f>sumifs(p:p,A:A,"总成",B:B,"952-230000-100")*INDIRECT(ADDRESS(10,5))</f>
        <v>0</v>
      </c>
      <c r="Q10">
        <f>sumifs(q:q,A:A,"总成",B:B,"952-230000-100")*INDIRECT(ADDRESS(10,5))</f>
        <v>0</v>
      </c>
      <c r="R10">
        <f>sumifs(r:r,A:A,"总成",B:B,"952-230000-100")*INDIRECT(ADDRESS(10,5))</f>
        <v>0</v>
      </c>
      <c r="S10">
        <f>sumifs(s:s,A:A,"总成",B:B,"952-230000-100")*INDIRECT(ADDRESS(10,5))</f>
        <v>0</v>
      </c>
      <c r="T10">
        <f>sumifs(t:t,A:A,"总成",B:B,"952-230000-100")*INDIRECT(ADDRESS(10,5))</f>
        <v>0</v>
      </c>
      <c r="U10">
        <f>sumifs(u:u,A:A,"总成",B:B,"952-230000-100")*INDIRECT(ADDRESS(10,5))</f>
        <v>0</v>
      </c>
      <c r="V10">
        <f>sumifs(v:v,A:A,"总成",B:B,"952-230000-100")*INDIRECT(ADDRESS(10,5))</f>
        <v>0</v>
      </c>
      <c r="W10">
        <f>sumifs(w:w,A:A,"总成",B:B,"952-230000-100")*INDIRECT(ADDRESS(10,5))</f>
        <v>0</v>
      </c>
      <c r="X10">
        <f>sumifs(x:x,A:A,"总成",B:B,"952-230000-100")*INDIRECT(ADDRESS(10,5))</f>
        <v>0</v>
      </c>
      <c r="Y10">
        <f>sumifs(y:y,A:A,"总成",B:B,"952-230000-100")*INDIRECT(ADDRESS(10,5))</f>
        <v>0</v>
      </c>
      <c r="Z10">
        <f>sumifs(z:z,A:A,"总成",B:B,"952-230000-100")*INDIRECT(ADDRESS(10,5))</f>
        <v>0</v>
      </c>
      <c r="AA10">
        <f>sumifs(aa:aa,A:A,"总成",B:B,"952-230000-100")*INDIRECT(ADDRESS(10,5))</f>
        <v>0</v>
      </c>
      <c r="AB10">
        <f>sumifs(ab:ab,A:A,"总成",B:B,"952-230000-100")*INDIRECT(ADDRESS(10,5))</f>
        <v>0</v>
      </c>
      <c r="AC10">
        <f>sumifs(ac:ac,A:A,"总成",B:B,"952-230000-100")*INDIRECT(ADDRESS(10,5))</f>
        <v>0</v>
      </c>
      <c r="AD10">
        <f>sumifs(ad:ad,A:A,"总成",B:B,"952-230000-100")*INDIRECT(ADDRESS(10,5))</f>
        <v>0</v>
      </c>
      <c r="AE10">
        <f>sumifs(ae:ae,A:A,"总成",B:B,"952-230000-100")*INDIRECT(ADDRESS(10,5))</f>
        <v>0</v>
      </c>
      <c r="AF10">
        <f>sumifs(af:af,A:A,"总成",B:B,"952-230000-100")*INDIRECT(ADDRESS(10,5))</f>
        <v>0</v>
      </c>
      <c r="AG10">
        <f>sumifs(ag:ag,A:A,"总成",B:B,"952-230000-100")*INDIRECT(ADDRESS(10,5))</f>
        <v>0</v>
      </c>
      <c r="AH10">
        <f>sumifs(ah:ah,A:A,"总成",B:B,"952-230000-100")*INDIRECT(ADDRESS(10,5))</f>
        <v>0</v>
      </c>
      <c r="AI10">
        <f>sumifs(ai:ai,A:A,"总成",B:B,"952-230000-100")*INDIRECT(ADDRESS(10,5))</f>
        <v>0</v>
      </c>
      <c r="AJ10">
        <f>sumifs(aj:aj,A:A,"总成",B:B,"952-230000-100")*INDIRECT(ADDRESS(10,5))</f>
        <v>0</v>
      </c>
      <c r="AK10">
        <f>sumifs(ak:ak,A:A,"总成",B:B,"952-230000-100")*INDIRECT(ADDRESS(10,5))</f>
        <v>0</v>
      </c>
      <c r="AL10">
        <f>sumifs(al:al,A:A,"总成",B:B,"952-230000-100")*INDIRECT(ADDRESS(10,5))</f>
        <v>0</v>
      </c>
      <c r="AM10">
        <f>sumifs(am:am,A:A,"总成",B:B,"952-230000-100")*INDIRECT(ADDRESS(10,5))</f>
        <v>0</v>
      </c>
      <c r="AN10">
        <f>sumifs(an:an,A:A,"总成",B:B,"952-230000-100")*INDIRECT(ADDRESS(10,5))</f>
        <v>0</v>
      </c>
      <c r="AO10">
        <f>sumifs(ao:ao,A:A,"总成",B:B,"952-230000-100")*INDIRECT(ADDRESS(10,5))</f>
        <v>0</v>
      </c>
      <c r="AP10">
        <f>sumifs(ap:ap,A:A,"总成",B:B,"952-230000-100")*INDIRECT(ADDRESS(10,5))</f>
        <v>0</v>
      </c>
      <c r="AQ10">
        <f>sumifs(aq:aq,A:A,"总成",B:B,"952-230000-100")*INDIRECT(ADDRESS(10,5))</f>
        <v>0</v>
      </c>
      <c r="AR10">
        <f>sumifs(ar:ar,A:A,"总成",B:B,"952-230000-100")*INDIRECT(ADDRESS(10,5))</f>
        <v>0</v>
      </c>
    </row>
    <row r="11" spans="1:44">
      <c r="A11" t="s">
        <v>31</v>
      </c>
      <c r="B11" t="s">
        <v>53</v>
      </c>
      <c r="C11" t="s">
        <v>54</v>
      </c>
      <c r="D11" t="s">
        <v>27</v>
      </c>
      <c r="E11">
        <v>1</v>
      </c>
      <c r="F11" t="s">
        <v>55</v>
      </c>
      <c r="H11" t="s">
        <v>35</v>
      </c>
      <c r="I11" t="s">
        <v>36</v>
      </c>
      <c r="K11" t="s">
        <v>20</v>
      </c>
      <c r="L11" t="s">
        <v>37</v>
      </c>
      <c r="M11">
        <f>sumifs(m:m,A:A,"总成",B:B,"952-230000-100")*INDIRECT(ADDRESS(11,5))</f>
        <v>0</v>
      </c>
      <c r="N11">
        <f>sumifs(n:n,A:A,"总成",B:B,"952-230000-100")*INDIRECT(ADDRESS(11,5))</f>
        <v>0</v>
      </c>
      <c r="O11">
        <f>sumifs(o:o,A:A,"总成",B:B,"952-230000-100")*INDIRECT(ADDRESS(11,5))</f>
        <v>0</v>
      </c>
      <c r="P11">
        <f>sumifs(p:p,A:A,"总成",B:B,"952-230000-100")*INDIRECT(ADDRESS(11,5))</f>
        <v>0</v>
      </c>
      <c r="Q11">
        <f>sumifs(q:q,A:A,"总成",B:B,"952-230000-100")*INDIRECT(ADDRESS(11,5))</f>
        <v>0</v>
      </c>
      <c r="R11">
        <f>sumifs(r:r,A:A,"总成",B:B,"952-230000-100")*INDIRECT(ADDRESS(11,5))</f>
        <v>0</v>
      </c>
      <c r="S11">
        <f>sumifs(s:s,A:A,"总成",B:B,"952-230000-100")*INDIRECT(ADDRESS(11,5))</f>
        <v>0</v>
      </c>
      <c r="T11">
        <f>sumifs(t:t,A:A,"总成",B:B,"952-230000-100")*INDIRECT(ADDRESS(11,5))</f>
        <v>0</v>
      </c>
      <c r="U11">
        <f>sumifs(u:u,A:A,"总成",B:B,"952-230000-100")*INDIRECT(ADDRESS(11,5))</f>
        <v>0</v>
      </c>
      <c r="V11">
        <f>sumifs(v:v,A:A,"总成",B:B,"952-230000-100")*INDIRECT(ADDRESS(11,5))</f>
        <v>0</v>
      </c>
      <c r="W11">
        <f>sumifs(w:w,A:A,"总成",B:B,"952-230000-100")*INDIRECT(ADDRESS(11,5))</f>
        <v>0</v>
      </c>
      <c r="X11">
        <f>sumifs(x:x,A:A,"总成",B:B,"952-230000-100")*INDIRECT(ADDRESS(11,5))</f>
        <v>0</v>
      </c>
      <c r="Y11">
        <f>sumifs(y:y,A:A,"总成",B:B,"952-230000-100")*INDIRECT(ADDRESS(11,5))</f>
        <v>0</v>
      </c>
      <c r="Z11">
        <f>sumifs(z:z,A:A,"总成",B:B,"952-230000-100")*INDIRECT(ADDRESS(11,5))</f>
        <v>0</v>
      </c>
      <c r="AA11">
        <f>sumifs(aa:aa,A:A,"总成",B:B,"952-230000-100")*INDIRECT(ADDRESS(11,5))</f>
        <v>0</v>
      </c>
      <c r="AB11">
        <f>sumifs(ab:ab,A:A,"总成",B:B,"952-230000-100")*INDIRECT(ADDRESS(11,5))</f>
        <v>0</v>
      </c>
      <c r="AC11">
        <f>sumifs(ac:ac,A:A,"总成",B:B,"952-230000-100")*INDIRECT(ADDRESS(11,5))</f>
        <v>0</v>
      </c>
      <c r="AD11">
        <f>sumifs(ad:ad,A:A,"总成",B:B,"952-230000-100")*INDIRECT(ADDRESS(11,5))</f>
        <v>0</v>
      </c>
      <c r="AE11">
        <f>sumifs(ae:ae,A:A,"总成",B:B,"952-230000-100")*INDIRECT(ADDRESS(11,5))</f>
        <v>0</v>
      </c>
      <c r="AF11">
        <f>sumifs(af:af,A:A,"总成",B:B,"952-230000-100")*INDIRECT(ADDRESS(11,5))</f>
        <v>0</v>
      </c>
      <c r="AG11">
        <f>sumifs(ag:ag,A:A,"总成",B:B,"952-230000-100")*INDIRECT(ADDRESS(11,5))</f>
        <v>0</v>
      </c>
      <c r="AH11">
        <f>sumifs(ah:ah,A:A,"总成",B:B,"952-230000-100")*INDIRECT(ADDRESS(11,5))</f>
        <v>0</v>
      </c>
      <c r="AI11">
        <f>sumifs(ai:ai,A:A,"总成",B:B,"952-230000-100")*INDIRECT(ADDRESS(11,5))</f>
        <v>0</v>
      </c>
      <c r="AJ11">
        <f>sumifs(aj:aj,A:A,"总成",B:B,"952-230000-100")*INDIRECT(ADDRESS(11,5))</f>
        <v>0</v>
      </c>
      <c r="AK11">
        <f>sumifs(ak:ak,A:A,"总成",B:B,"952-230000-100")*INDIRECT(ADDRESS(11,5))</f>
        <v>0</v>
      </c>
      <c r="AL11">
        <f>sumifs(al:al,A:A,"总成",B:B,"952-230000-100")*INDIRECT(ADDRESS(11,5))</f>
        <v>0</v>
      </c>
      <c r="AM11">
        <f>sumifs(am:am,A:A,"总成",B:B,"952-230000-100")*INDIRECT(ADDRESS(11,5))</f>
        <v>0</v>
      </c>
      <c r="AN11">
        <f>sumifs(an:an,A:A,"总成",B:B,"952-230000-100")*INDIRECT(ADDRESS(11,5))</f>
        <v>0</v>
      </c>
      <c r="AO11">
        <f>sumifs(ao:ao,A:A,"总成",B:B,"952-230000-100")*INDIRECT(ADDRESS(11,5))</f>
        <v>0</v>
      </c>
      <c r="AP11">
        <f>sumifs(ap:ap,A:A,"总成",B:B,"952-230000-100")*INDIRECT(ADDRESS(11,5))</f>
        <v>0</v>
      </c>
      <c r="AQ11">
        <f>sumifs(aq:aq,A:A,"总成",B:B,"952-230000-100")*INDIRECT(ADDRESS(11,5))</f>
        <v>0</v>
      </c>
      <c r="AR11">
        <f>sumifs(ar:ar,A:A,"总成",B:B,"952-230000-100")*INDIRECT(ADDRESS(11,5))</f>
        <v>0</v>
      </c>
    </row>
    <row r="12" spans="1:44">
      <c r="A12" t="s">
        <v>31</v>
      </c>
      <c r="B12" t="s">
        <v>56</v>
      </c>
      <c r="C12" t="s">
        <v>57</v>
      </c>
      <c r="D12" t="s">
        <v>17</v>
      </c>
      <c r="E12">
        <v>1</v>
      </c>
      <c r="F12" t="s">
        <v>58</v>
      </c>
      <c r="H12" t="s">
        <v>35</v>
      </c>
      <c r="I12" t="s">
        <v>36</v>
      </c>
      <c r="K12" t="s">
        <v>20</v>
      </c>
      <c r="L12" t="s">
        <v>37</v>
      </c>
      <c r="M12">
        <f>sumifs(m:m,A:A,"总成",B:B,"952-230000-100")*INDIRECT(ADDRESS(12,5))</f>
        <v>0</v>
      </c>
      <c r="N12">
        <f>sumifs(n:n,A:A,"总成",B:B,"952-230000-100")*INDIRECT(ADDRESS(12,5))</f>
        <v>0</v>
      </c>
      <c r="O12">
        <f>sumifs(o:o,A:A,"总成",B:B,"952-230000-100")*INDIRECT(ADDRESS(12,5))</f>
        <v>0</v>
      </c>
      <c r="P12">
        <f>sumifs(p:p,A:A,"总成",B:B,"952-230000-100")*INDIRECT(ADDRESS(12,5))</f>
        <v>0</v>
      </c>
      <c r="Q12">
        <f>sumifs(q:q,A:A,"总成",B:B,"952-230000-100")*INDIRECT(ADDRESS(12,5))</f>
        <v>0</v>
      </c>
      <c r="R12">
        <f>sumifs(r:r,A:A,"总成",B:B,"952-230000-100")*INDIRECT(ADDRESS(12,5))</f>
        <v>0</v>
      </c>
      <c r="S12">
        <f>sumifs(s:s,A:A,"总成",B:B,"952-230000-100")*INDIRECT(ADDRESS(12,5))</f>
        <v>0</v>
      </c>
      <c r="T12">
        <f>sumifs(t:t,A:A,"总成",B:B,"952-230000-100")*INDIRECT(ADDRESS(12,5))</f>
        <v>0</v>
      </c>
      <c r="U12">
        <f>sumifs(u:u,A:A,"总成",B:B,"952-230000-100")*INDIRECT(ADDRESS(12,5))</f>
        <v>0</v>
      </c>
      <c r="V12">
        <f>sumifs(v:v,A:A,"总成",B:B,"952-230000-100")*INDIRECT(ADDRESS(12,5))</f>
        <v>0</v>
      </c>
      <c r="W12">
        <f>sumifs(w:w,A:A,"总成",B:B,"952-230000-100")*INDIRECT(ADDRESS(12,5))</f>
        <v>0</v>
      </c>
      <c r="X12">
        <f>sumifs(x:x,A:A,"总成",B:B,"952-230000-100")*INDIRECT(ADDRESS(12,5))</f>
        <v>0</v>
      </c>
      <c r="Y12">
        <f>sumifs(y:y,A:A,"总成",B:B,"952-230000-100")*INDIRECT(ADDRESS(12,5))</f>
        <v>0</v>
      </c>
      <c r="Z12">
        <f>sumifs(z:z,A:A,"总成",B:B,"952-230000-100")*INDIRECT(ADDRESS(12,5))</f>
        <v>0</v>
      </c>
      <c r="AA12">
        <f>sumifs(aa:aa,A:A,"总成",B:B,"952-230000-100")*INDIRECT(ADDRESS(12,5))</f>
        <v>0</v>
      </c>
      <c r="AB12">
        <f>sumifs(ab:ab,A:A,"总成",B:B,"952-230000-100")*INDIRECT(ADDRESS(12,5))</f>
        <v>0</v>
      </c>
      <c r="AC12">
        <f>sumifs(ac:ac,A:A,"总成",B:B,"952-230000-100")*INDIRECT(ADDRESS(12,5))</f>
        <v>0</v>
      </c>
      <c r="AD12">
        <f>sumifs(ad:ad,A:A,"总成",B:B,"952-230000-100")*INDIRECT(ADDRESS(12,5))</f>
        <v>0</v>
      </c>
      <c r="AE12">
        <f>sumifs(ae:ae,A:A,"总成",B:B,"952-230000-100")*INDIRECT(ADDRESS(12,5))</f>
        <v>0</v>
      </c>
      <c r="AF12">
        <f>sumifs(af:af,A:A,"总成",B:B,"952-230000-100")*INDIRECT(ADDRESS(12,5))</f>
        <v>0</v>
      </c>
      <c r="AG12">
        <f>sumifs(ag:ag,A:A,"总成",B:B,"952-230000-100")*INDIRECT(ADDRESS(12,5))</f>
        <v>0</v>
      </c>
      <c r="AH12">
        <f>sumifs(ah:ah,A:A,"总成",B:B,"952-230000-100")*INDIRECT(ADDRESS(12,5))</f>
        <v>0</v>
      </c>
      <c r="AI12">
        <f>sumifs(ai:ai,A:A,"总成",B:B,"952-230000-100")*INDIRECT(ADDRESS(12,5))</f>
        <v>0</v>
      </c>
      <c r="AJ12">
        <f>sumifs(aj:aj,A:A,"总成",B:B,"952-230000-100")*INDIRECT(ADDRESS(12,5))</f>
        <v>0</v>
      </c>
      <c r="AK12">
        <f>sumifs(ak:ak,A:A,"总成",B:B,"952-230000-100")*INDIRECT(ADDRESS(12,5))</f>
        <v>0</v>
      </c>
      <c r="AL12">
        <f>sumifs(al:al,A:A,"总成",B:B,"952-230000-100")*INDIRECT(ADDRESS(12,5))</f>
        <v>0</v>
      </c>
      <c r="AM12">
        <f>sumifs(am:am,A:A,"总成",B:B,"952-230000-100")*INDIRECT(ADDRESS(12,5))</f>
        <v>0</v>
      </c>
      <c r="AN12">
        <f>sumifs(an:an,A:A,"总成",B:B,"952-230000-100")*INDIRECT(ADDRESS(12,5))</f>
        <v>0</v>
      </c>
      <c r="AO12">
        <f>sumifs(ao:ao,A:A,"总成",B:B,"952-230000-100")*INDIRECT(ADDRESS(12,5))</f>
        <v>0</v>
      </c>
      <c r="AP12">
        <f>sumifs(ap:ap,A:A,"总成",B:B,"952-230000-100")*INDIRECT(ADDRESS(12,5))</f>
        <v>0</v>
      </c>
      <c r="AQ12">
        <f>sumifs(aq:aq,A:A,"总成",B:B,"952-230000-100")*INDIRECT(ADDRESS(12,5))</f>
        <v>0</v>
      </c>
      <c r="AR12">
        <f>sumifs(ar:ar,A:A,"总成",B:B,"952-230000-100")*INDIRECT(ADDRESS(12,5))</f>
        <v>0</v>
      </c>
    </row>
    <row r="13" spans="1:44">
      <c r="A13" t="s">
        <v>14</v>
      </c>
      <c r="B13" t="s">
        <v>59</v>
      </c>
      <c r="C13" t="s">
        <v>60</v>
      </c>
      <c r="D13" t="s">
        <v>27</v>
      </c>
      <c r="E13">
        <v>1</v>
      </c>
      <c r="F13" t="s">
        <v>61</v>
      </c>
      <c r="H13" t="s">
        <v>35</v>
      </c>
      <c r="I13" t="s">
        <v>36</v>
      </c>
      <c r="K13" t="s">
        <v>20</v>
      </c>
      <c r="L13" t="s">
        <v>21</v>
      </c>
      <c r="M13">
        <f>vlookup("852-232000-110",生产发行表!B:AZ,column(l1),0)</f>
        <v>0</v>
      </c>
      <c r="N13">
        <f>vlookup("852-232000-110",生产发行表!B:AZ,column(m1),0)</f>
        <v>0</v>
      </c>
      <c r="O13">
        <f>vlookup("852-232000-110",生产发行表!B:AZ,column(n1),0)</f>
        <v>0</v>
      </c>
      <c r="P13">
        <f>vlookup("852-232000-110",生产发行表!B:AZ,column(o1),0)</f>
        <v>0</v>
      </c>
      <c r="Q13">
        <f>vlookup("852-232000-110",生产发行表!B:AZ,column(p1),0)</f>
        <v>0</v>
      </c>
      <c r="R13">
        <f>vlookup("852-232000-110",生产发行表!B:AZ,column(q1),0)</f>
        <v>0</v>
      </c>
      <c r="S13">
        <f>vlookup("852-232000-110",生产发行表!B:AZ,column(r1),0)</f>
        <v>0</v>
      </c>
      <c r="T13">
        <f>vlookup("852-232000-110",生产发行表!B:AZ,column(s1),0)</f>
        <v>0</v>
      </c>
      <c r="U13">
        <f>vlookup("852-232000-110",生产发行表!B:AZ,column(t1),0)</f>
        <v>0</v>
      </c>
      <c r="V13">
        <f>vlookup("852-232000-110",生产发行表!B:AZ,column(u1),0)</f>
        <v>0</v>
      </c>
      <c r="W13">
        <f>vlookup("852-232000-110",生产发行表!B:AZ,column(v1),0)</f>
        <v>0</v>
      </c>
      <c r="X13">
        <f>vlookup("852-232000-110",生产发行表!B:AZ,column(w1),0)</f>
        <v>0</v>
      </c>
      <c r="Y13">
        <f>vlookup("852-232000-110",生产发行表!B:AZ,column(x1),0)</f>
        <v>0</v>
      </c>
      <c r="Z13">
        <f>vlookup("852-232000-110",生产发行表!B:AZ,column(y1),0)</f>
        <v>0</v>
      </c>
      <c r="AA13">
        <f>vlookup("852-232000-110",生产发行表!B:AZ,column(z1),0)</f>
        <v>0</v>
      </c>
      <c r="AB13">
        <f>vlookup("852-232000-110",生产发行表!B:AZ,column(aa1),0)</f>
        <v>0</v>
      </c>
      <c r="AC13">
        <f>vlookup("852-232000-110",生产发行表!B:AZ,column(ab1),0)</f>
        <v>0</v>
      </c>
      <c r="AD13">
        <f>vlookup("852-232000-110",生产发行表!B:AZ,column(ac1),0)</f>
        <v>0</v>
      </c>
      <c r="AE13">
        <f>vlookup("852-232000-110",生产发行表!B:AZ,column(ad1),0)</f>
        <v>0</v>
      </c>
      <c r="AF13">
        <f>vlookup("852-232000-110",生产发行表!B:AZ,column(ae1),0)</f>
        <v>0</v>
      </c>
      <c r="AG13">
        <f>vlookup("852-232000-110",生产发行表!B:AZ,column(af1),0)</f>
        <v>0</v>
      </c>
      <c r="AH13">
        <f>vlookup("852-232000-110",生产发行表!B:AZ,column(ag1),0)</f>
        <v>0</v>
      </c>
      <c r="AI13">
        <f>vlookup("852-232000-110",生产发行表!B:AZ,column(ah1),0)</f>
        <v>0</v>
      </c>
      <c r="AJ13">
        <f>vlookup("852-232000-110",生产发行表!B:AZ,column(ai1),0)</f>
        <v>0</v>
      </c>
      <c r="AK13">
        <f>vlookup("852-232000-110",生产发行表!B:AZ,column(aj1),0)</f>
        <v>0</v>
      </c>
      <c r="AL13">
        <f>vlookup("852-232000-110",生产发行表!B:AZ,column(ak1),0)</f>
        <v>0</v>
      </c>
      <c r="AM13">
        <f>vlookup("852-232000-110",生产发行表!B:AZ,column(al1),0)</f>
        <v>0</v>
      </c>
      <c r="AN13">
        <f>vlookup("852-232000-110",生产发行表!B:AZ,column(am1),0)</f>
        <v>0</v>
      </c>
      <c r="AO13">
        <f>vlookup("852-232000-110",生产发行表!B:AZ,column(an1),0)</f>
        <v>0</v>
      </c>
      <c r="AP13">
        <f>vlookup("852-232000-110",生产发行表!B:AZ,column(ao1),0)</f>
        <v>0</v>
      </c>
      <c r="AQ13">
        <f>vlookup("852-232000-110",生产发行表!B:AZ,column(ap1),0)</f>
        <v>0</v>
      </c>
      <c r="AR13">
        <f>vlookup("852-232000-110",生产发行表!B:AZ,column(aq1),0)</f>
        <v>0</v>
      </c>
    </row>
    <row r="14" spans="1:44">
      <c r="A14" t="s">
        <v>31</v>
      </c>
      <c r="B14" t="s">
        <v>62</v>
      </c>
      <c r="C14" t="s">
        <v>63</v>
      </c>
      <c r="D14" t="s">
        <v>17</v>
      </c>
      <c r="E14">
        <v>1</v>
      </c>
      <c r="F14" t="s">
        <v>64</v>
      </c>
      <c r="H14" t="s">
        <v>35</v>
      </c>
      <c r="I14" t="s">
        <v>36</v>
      </c>
      <c r="K14" t="s">
        <v>20</v>
      </c>
      <c r="L14" t="s">
        <v>37</v>
      </c>
      <c r="M14">
        <f>sumifs(m:m,A:A,"总成",B:B,"852-232000-110")*INDIRECT(ADDRESS(14,5))</f>
        <v>0</v>
      </c>
      <c r="N14">
        <f>sumifs(n:n,A:A,"总成",B:B,"852-232000-110")*INDIRECT(ADDRESS(14,5))</f>
        <v>0</v>
      </c>
      <c r="O14">
        <f>sumifs(o:o,A:A,"总成",B:B,"852-232000-110")*INDIRECT(ADDRESS(14,5))</f>
        <v>0</v>
      </c>
      <c r="P14">
        <f>sumifs(p:p,A:A,"总成",B:B,"852-232000-110")*INDIRECT(ADDRESS(14,5))</f>
        <v>0</v>
      </c>
      <c r="Q14">
        <f>sumifs(q:q,A:A,"总成",B:B,"852-232000-110")*INDIRECT(ADDRESS(14,5))</f>
        <v>0</v>
      </c>
      <c r="R14">
        <f>sumifs(r:r,A:A,"总成",B:B,"852-232000-110")*INDIRECT(ADDRESS(14,5))</f>
        <v>0</v>
      </c>
      <c r="S14">
        <f>sumifs(s:s,A:A,"总成",B:B,"852-232000-110")*INDIRECT(ADDRESS(14,5))</f>
        <v>0</v>
      </c>
      <c r="T14">
        <f>sumifs(t:t,A:A,"总成",B:B,"852-232000-110")*INDIRECT(ADDRESS(14,5))</f>
        <v>0</v>
      </c>
      <c r="U14">
        <f>sumifs(u:u,A:A,"总成",B:B,"852-232000-110")*INDIRECT(ADDRESS(14,5))</f>
        <v>0</v>
      </c>
      <c r="V14">
        <f>sumifs(v:v,A:A,"总成",B:B,"852-232000-110")*INDIRECT(ADDRESS(14,5))</f>
        <v>0</v>
      </c>
      <c r="W14">
        <f>sumifs(w:w,A:A,"总成",B:B,"852-232000-110")*INDIRECT(ADDRESS(14,5))</f>
        <v>0</v>
      </c>
      <c r="X14">
        <f>sumifs(x:x,A:A,"总成",B:B,"852-232000-110")*INDIRECT(ADDRESS(14,5))</f>
        <v>0</v>
      </c>
      <c r="Y14">
        <f>sumifs(y:y,A:A,"总成",B:B,"852-232000-110")*INDIRECT(ADDRESS(14,5))</f>
        <v>0</v>
      </c>
      <c r="Z14">
        <f>sumifs(z:z,A:A,"总成",B:B,"852-232000-110")*INDIRECT(ADDRESS(14,5))</f>
        <v>0</v>
      </c>
      <c r="AA14">
        <f>sumifs(aa:aa,A:A,"总成",B:B,"852-232000-110")*INDIRECT(ADDRESS(14,5))</f>
        <v>0</v>
      </c>
      <c r="AB14">
        <f>sumifs(ab:ab,A:A,"总成",B:B,"852-232000-110")*INDIRECT(ADDRESS(14,5))</f>
        <v>0</v>
      </c>
      <c r="AC14">
        <f>sumifs(ac:ac,A:A,"总成",B:B,"852-232000-110")*INDIRECT(ADDRESS(14,5))</f>
        <v>0</v>
      </c>
      <c r="AD14">
        <f>sumifs(ad:ad,A:A,"总成",B:B,"852-232000-110")*INDIRECT(ADDRESS(14,5))</f>
        <v>0</v>
      </c>
      <c r="AE14">
        <f>sumifs(ae:ae,A:A,"总成",B:B,"852-232000-110")*INDIRECT(ADDRESS(14,5))</f>
        <v>0</v>
      </c>
      <c r="AF14">
        <f>sumifs(af:af,A:A,"总成",B:B,"852-232000-110")*INDIRECT(ADDRESS(14,5))</f>
        <v>0</v>
      </c>
      <c r="AG14">
        <f>sumifs(ag:ag,A:A,"总成",B:B,"852-232000-110")*INDIRECT(ADDRESS(14,5))</f>
        <v>0</v>
      </c>
      <c r="AH14">
        <f>sumifs(ah:ah,A:A,"总成",B:B,"852-232000-110")*INDIRECT(ADDRESS(14,5))</f>
        <v>0</v>
      </c>
      <c r="AI14">
        <f>sumifs(ai:ai,A:A,"总成",B:B,"852-232000-110")*INDIRECT(ADDRESS(14,5))</f>
        <v>0</v>
      </c>
      <c r="AJ14">
        <f>sumifs(aj:aj,A:A,"总成",B:B,"852-232000-110")*INDIRECT(ADDRESS(14,5))</f>
        <v>0</v>
      </c>
      <c r="AK14">
        <f>sumifs(ak:ak,A:A,"总成",B:B,"852-232000-110")*INDIRECT(ADDRESS(14,5))</f>
        <v>0</v>
      </c>
      <c r="AL14">
        <f>sumifs(al:al,A:A,"总成",B:B,"852-232000-110")*INDIRECT(ADDRESS(14,5))</f>
        <v>0</v>
      </c>
      <c r="AM14">
        <f>sumifs(am:am,A:A,"总成",B:B,"852-232000-110")*INDIRECT(ADDRESS(14,5))</f>
        <v>0</v>
      </c>
      <c r="AN14">
        <f>sumifs(an:an,A:A,"总成",B:B,"852-232000-110")*INDIRECT(ADDRESS(14,5))</f>
        <v>0</v>
      </c>
      <c r="AO14">
        <f>sumifs(ao:ao,A:A,"总成",B:B,"852-232000-110")*INDIRECT(ADDRESS(14,5))</f>
        <v>0</v>
      </c>
      <c r="AP14">
        <f>sumifs(ap:ap,A:A,"总成",B:B,"852-232000-110")*INDIRECT(ADDRESS(14,5))</f>
        <v>0</v>
      </c>
      <c r="AQ14">
        <f>sumifs(aq:aq,A:A,"总成",B:B,"852-232000-110")*INDIRECT(ADDRESS(14,5))</f>
        <v>0</v>
      </c>
      <c r="AR14">
        <f>sumifs(ar:ar,A:A,"总成",B:B,"852-232000-110")*INDIRECT(ADDRESS(14,5))</f>
        <v>0</v>
      </c>
    </row>
    <row r="15" spans="1:44">
      <c r="A15" t="s">
        <v>31</v>
      </c>
      <c r="B15" t="s">
        <v>65</v>
      </c>
      <c r="C15" t="s">
        <v>66</v>
      </c>
      <c r="D15" t="s">
        <v>67</v>
      </c>
      <c r="E15">
        <v>1</v>
      </c>
      <c r="F15" t="s">
        <v>68</v>
      </c>
      <c r="H15" t="s">
        <v>35</v>
      </c>
      <c r="I15" t="s">
        <v>36</v>
      </c>
      <c r="K15" t="s">
        <v>20</v>
      </c>
      <c r="L15" t="s">
        <v>37</v>
      </c>
      <c r="M15">
        <f>sumifs(m:m,A:A,"总成",B:B,"852-232000-110")*INDIRECT(ADDRESS(15,5))</f>
        <v>0</v>
      </c>
      <c r="N15">
        <f>sumifs(n:n,A:A,"总成",B:B,"852-232000-110")*INDIRECT(ADDRESS(15,5))</f>
        <v>0</v>
      </c>
      <c r="O15">
        <f>sumifs(o:o,A:A,"总成",B:B,"852-232000-110")*INDIRECT(ADDRESS(15,5))</f>
        <v>0</v>
      </c>
      <c r="P15">
        <f>sumifs(p:p,A:A,"总成",B:B,"852-232000-110")*INDIRECT(ADDRESS(15,5))</f>
        <v>0</v>
      </c>
      <c r="Q15">
        <f>sumifs(q:q,A:A,"总成",B:B,"852-232000-110")*INDIRECT(ADDRESS(15,5))</f>
        <v>0</v>
      </c>
      <c r="R15">
        <f>sumifs(r:r,A:A,"总成",B:B,"852-232000-110")*INDIRECT(ADDRESS(15,5))</f>
        <v>0</v>
      </c>
      <c r="S15">
        <f>sumifs(s:s,A:A,"总成",B:B,"852-232000-110")*INDIRECT(ADDRESS(15,5))</f>
        <v>0</v>
      </c>
      <c r="T15">
        <f>sumifs(t:t,A:A,"总成",B:B,"852-232000-110")*INDIRECT(ADDRESS(15,5))</f>
        <v>0</v>
      </c>
      <c r="U15">
        <f>sumifs(u:u,A:A,"总成",B:B,"852-232000-110")*INDIRECT(ADDRESS(15,5))</f>
        <v>0</v>
      </c>
      <c r="V15">
        <f>sumifs(v:v,A:A,"总成",B:B,"852-232000-110")*INDIRECT(ADDRESS(15,5))</f>
        <v>0</v>
      </c>
      <c r="W15">
        <f>sumifs(w:w,A:A,"总成",B:B,"852-232000-110")*INDIRECT(ADDRESS(15,5))</f>
        <v>0</v>
      </c>
      <c r="X15">
        <f>sumifs(x:x,A:A,"总成",B:B,"852-232000-110")*INDIRECT(ADDRESS(15,5))</f>
        <v>0</v>
      </c>
      <c r="Y15">
        <f>sumifs(y:y,A:A,"总成",B:B,"852-232000-110")*INDIRECT(ADDRESS(15,5))</f>
        <v>0</v>
      </c>
      <c r="Z15">
        <f>sumifs(z:z,A:A,"总成",B:B,"852-232000-110")*INDIRECT(ADDRESS(15,5))</f>
        <v>0</v>
      </c>
      <c r="AA15">
        <f>sumifs(aa:aa,A:A,"总成",B:B,"852-232000-110")*INDIRECT(ADDRESS(15,5))</f>
        <v>0</v>
      </c>
      <c r="AB15">
        <f>sumifs(ab:ab,A:A,"总成",B:B,"852-232000-110")*INDIRECT(ADDRESS(15,5))</f>
        <v>0</v>
      </c>
      <c r="AC15">
        <f>sumifs(ac:ac,A:A,"总成",B:B,"852-232000-110")*INDIRECT(ADDRESS(15,5))</f>
        <v>0</v>
      </c>
      <c r="AD15">
        <f>sumifs(ad:ad,A:A,"总成",B:B,"852-232000-110")*INDIRECT(ADDRESS(15,5))</f>
        <v>0</v>
      </c>
      <c r="AE15">
        <f>sumifs(ae:ae,A:A,"总成",B:B,"852-232000-110")*INDIRECT(ADDRESS(15,5))</f>
        <v>0</v>
      </c>
      <c r="AF15">
        <f>sumifs(af:af,A:A,"总成",B:B,"852-232000-110")*INDIRECT(ADDRESS(15,5))</f>
        <v>0</v>
      </c>
      <c r="AG15">
        <f>sumifs(ag:ag,A:A,"总成",B:B,"852-232000-110")*INDIRECT(ADDRESS(15,5))</f>
        <v>0</v>
      </c>
      <c r="AH15">
        <f>sumifs(ah:ah,A:A,"总成",B:B,"852-232000-110")*INDIRECT(ADDRESS(15,5))</f>
        <v>0</v>
      </c>
      <c r="AI15">
        <f>sumifs(ai:ai,A:A,"总成",B:B,"852-232000-110")*INDIRECT(ADDRESS(15,5))</f>
        <v>0</v>
      </c>
      <c r="AJ15">
        <f>sumifs(aj:aj,A:A,"总成",B:B,"852-232000-110")*INDIRECT(ADDRESS(15,5))</f>
        <v>0</v>
      </c>
      <c r="AK15">
        <f>sumifs(ak:ak,A:A,"总成",B:B,"852-232000-110")*INDIRECT(ADDRESS(15,5))</f>
        <v>0</v>
      </c>
      <c r="AL15">
        <f>sumifs(al:al,A:A,"总成",B:B,"852-232000-110")*INDIRECT(ADDRESS(15,5))</f>
        <v>0</v>
      </c>
      <c r="AM15">
        <f>sumifs(am:am,A:A,"总成",B:B,"852-232000-110")*INDIRECT(ADDRESS(15,5))</f>
        <v>0</v>
      </c>
      <c r="AN15">
        <f>sumifs(an:an,A:A,"总成",B:B,"852-232000-110")*INDIRECT(ADDRESS(15,5))</f>
        <v>0</v>
      </c>
      <c r="AO15">
        <f>sumifs(ao:ao,A:A,"总成",B:B,"852-232000-110")*INDIRECT(ADDRESS(15,5))</f>
        <v>0</v>
      </c>
      <c r="AP15">
        <f>sumifs(ap:ap,A:A,"总成",B:B,"852-232000-110")*INDIRECT(ADDRESS(15,5))</f>
        <v>0</v>
      </c>
      <c r="AQ15">
        <f>sumifs(aq:aq,A:A,"总成",B:B,"852-232000-110")*INDIRECT(ADDRESS(15,5))</f>
        <v>0</v>
      </c>
      <c r="AR15">
        <f>sumifs(ar:ar,A:A,"总成",B:B,"852-232000-110")*INDIRECT(ADDRESS(15,5))</f>
        <v>0</v>
      </c>
    </row>
    <row r="16" spans="1:44">
      <c r="A16" t="s">
        <v>14</v>
      </c>
      <c r="B16" t="s">
        <v>69</v>
      </c>
      <c r="C16" t="s">
        <v>70</v>
      </c>
      <c r="D16" t="s">
        <v>46</v>
      </c>
      <c r="E16">
        <v>1</v>
      </c>
      <c r="F16" t="s">
        <v>71</v>
      </c>
      <c r="H16" t="s">
        <v>72</v>
      </c>
      <c r="I16">
        <v>30</v>
      </c>
      <c r="K16" t="s">
        <v>20</v>
      </c>
      <c r="L16" t="s">
        <v>21</v>
      </c>
      <c r="M16">
        <f>vlookup("952-238000-100",生产发行表!B:AZ,column(l1),0)</f>
        <v>0</v>
      </c>
      <c r="N16">
        <f>vlookup("952-238000-100",生产发行表!B:AZ,column(m1),0)</f>
        <v>0</v>
      </c>
      <c r="O16">
        <f>vlookup("952-238000-100",生产发行表!B:AZ,column(n1),0)</f>
        <v>0</v>
      </c>
      <c r="P16">
        <f>vlookup("952-238000-100",生产发行表!B:AZ,column(o1),0)</f>
        <v>0</v>
      </c>
      <c r="Q16">
        <f>vlookup("952-238000-100",生产发行表!B:AZ,column(p1),0)</f>
        <v>0</v>
      </c>
      <c r="R16">
        <f>vlookup("952-238000-100",生产发行表!B:AZ,column(q1),0)</f>
        <v>0</v>
      </c>
      <c r="S16">
        <f>vlookup("952-238000-100",生产发行表!B:AZ,column(r1),0)</f>
        <v>0</v>
      </c>
      <c r="T16">
        <f>vlookup("952-238000-100",生产发行表!B:AZ,column(s1),0)</f>
        <v>0</v>
      </c>
      <c r="U16">
        <f>vlookup("952-238000-100",生产发行表!B:AZ,column(t1),0)</f>
        <v>0</v>
      </c>
      <c r="V16">
        <f>vlookup("952-238000-100",生产发行表!B:AZ,column(u1),0)</f>
        <v>0</v>
      </c>
      <c r="W16">
        <f>vlookup("952-238000-100",生产发行表!B:AZ,column(v1),0)</f>
        <v>0</v>
      </c>
      <c r="X16">
        <f>vlookup("952-238000-100",生产发行表!B:AZ,column(w1),0)</f>
        <v>0</v>
      </c>
      <c r="Y16">
        <f>vlookup("952-238000-100",生产发行表!B:AZ,column(x1),0)</f>
        <v>0</v>
      </c>
      <c r="Z16">
        <f>vlookup("952-238000-100",生产发行表!B:AZ,column(y1),0)</f>
        <v>0</v>
      </c>
      <c r="AA16">
        <f>vlookup("952-238000-100",生产发行表!B:AZ,column(z1),0)</f>
        <v>0</v>
      </c>
      <c r="AB16">
        <f>vlookup("952-238000-100",生产发行表!B:AZ,column(aa1),0)</f>
        <v>0</v>
      </c>
      <c r="AC16">
        <f>vlookup("952-238000-100",生产发行表!B:AZ,column(ab1),0)</f>
        <v>0</v>
      </c>
      <c r="AD16">
        <f>vlookup("952-238000-100",生产发行表!B:AZ,column(ac1),0)</f>
        <v>0</v>
      </c>
      <c r="AE16">
        <f>vlookup("952-238000-100",生产发行表!B:AZ,column(ad1),0)</f>
        <v>0</v>
      </c>
      <c r="AF16">
        <f>vlookup("952-238000-100",生产发行表!B:AZ,column(ae1),0)</f>
        <v>0</v>
      </c>
      <c r="AG16">
        <f>vlookup("952-238000-100",生产发行表!B:AZ,column(af1),0)</f>
        <v>0</v>
      </c>
      <c r="AH16">
        <f>vlookup("952-238000-100",生产发行表!B:AZ,column(ag1),0)</f>
        <v>0</v>
      </c>
      <c r="AI16">
        <f>vlookup("952-238000-100",生产发行表!B:AZ,column(ah1),0)</f>
        <v>0</v>
      </c>
      <c r="AJ16">
        <f>vlookup("952-238000-100",生产发行表!B:AZ,column(ai1),0)</f>
        <v>0</v>
      </c>
      <c r="AK16">
        <f>vlookup("952-238000-100",生产发行表!B:AZ,column(aj1),0)</f>
        <v>0</v>
      </c>
      <c r="AL16">
        <f>vlookup("952-238000-100",生产发行表!B:AZ,column(ak1),0)</f>
        <v>0</v>
      </c>
      <c r="AM16">
        <f>vlookup("952-238000-100",生产发行表!B:AZ,column(al1),0)</f>
        <v>0</v>
      </c>
      <c r="AN16">
        <f>vlookup("952-238000-100",生产发行表!B:AZ,column(am1),0)</f>
        <v>0</v>
      </c>
      <c r="AO16">
        <f>vlookup("952-238000-100",生产发行表!B:AZ,column(an1),0)</f>
        <v>0</v>
      </c>
      <c r="AP16">
        <f>vlookup("952-238000-100",生产发行表!B:AZ,column(ao1),0)</f>
        <v>0</v>
      </c>
      <c r="AQ16">
        <f>vlookup("952-238000-100",生产发行表!B:AZ,column(ap1),0)</f>
        <v>0</v>
      </c>
      <c r="AR16">
        <f>vlookup("952-238000-100",生产发行表!B:AZ,column(aq1),0)</f>
        <v>0</v>
      </c>
    </row>
    <row r="17" spans="1:44">
      <c r="A17" t="s">
        <v>31</v>
      </c>
      <c r="B17" t="s">
        <v>73</v>
      </c>
      <c r="C17" t="s">
        <v>74</v>
      </c>
      <c r="D17" t="s">
        <v>17</v>
      </c>
      <c r="E17">
        <v>1</v>
      </c>
      <c r="F17" t="s">
        <v>75</v>
      </c>
      <c r="H17" t="s">
        <v>35</v>
      </c>
      <c r="I17" t="s">
        <v>36</v>
      </c>
      <c r="K17" t="s">
        <v>20</v>
      </c>
      <c r="L17" t="s">
        <v>37</v>
      </c>
      <c r="M17">
        <f>sumifs(m:m,A:A,"总成",B:B,"952-238000-100")*INDIRECT(ADDRESS(17,5))</f>
        <v>0</v>
      </c>
      <c r="N17">
        <f>sumifs(n:n,A:A,"总成",B:B,"952-238000-100")*INDIRECT(ADDRESS(17,5))</f>
        <v>0</v>
      </c>
      <c r="O17">
        <f>sumifs(o:o,A:A,"总成",B:B,"952-238000-100")*INDIRECT(ADDRESS(17,5))</f>
        <v>0</v>
      </c>
      <c r="P17">
        <f>sumifs(p:p,A:A,"总成",B:B,"952-238000-100")*INDIRECT(ADDRESS(17,5))</f>
        <v>0</v>
      </c>
      <c r="Q17">
        <f>sumifs(q:q,A:A,"总成",B:B,"952-238000-100")*INDIRECT(ADDRESS(17,5))</f>
        <v>0</v>
      </c>
      <c r="R17">
        <f>sumifs(r:r,A:A,"总成",B:B,"952-238000-100")*INDIRECT(ADDRESS(17,5))</f>
        <v>0</v>
      </c>
      <c r="S17">
        <f>sumifs(s:s,A:A,"总成",B:B,"952-238000-100")*INDIRECT(ADDRESS(17,5))</f>
        <v>0</v>
      </c>
      <c r="T17">
        <f>sumifs(t:t,A:A,"总成",B:B,"952-238000-100")*INDIRECT(ADDRESS(17,5))</f>
        <v>0</v>
      </c>
      <c r="U17">
        <f>sumifs(u:u,A:A,"总成",B:B,"952-238000-100")*INDIRECT(ADDRESS(17,5))</f>
        <v>0</v>
      </c>
      <c r="V17">
        <f>sumifs(v:v,A:A,"总成",B:B,"952-238000-100")*INDIRECT(ADDRESS(17,5))</f>
        <v>0</v>
      </c>
      <c r="W17">
        <f>sumifs(w:w,A:A,"总成",B:B,"952-238000-100")*INDIRECT(ADDRESS(17,5))</f>
        <v>0</v>
      </c>
      <c r="X17">
        <f>sumifs(x:x,A:A,"总成",B:B,"952-238000-100")*INDIRECT(ADDRESS(17,5))</f>
        <v>0</v>
      </c>
      <c r="Y17">
        <f>sumifs(y:y,A:A,"总成",B:B,"952-238000-100")*INDIRECT(ADDRESS(17,5))</f>
        <v>0</v>
      </c>
      <c r="Z17">
        <f>sumifs(z:z,A:A,"总成",B:B,"952-238000-100")*INDIRECT(ADDRESS(17,5))</f>
        <v>0</v>
      </c>
      <c r="AA17">
        <f>sumifs(aa:aa,A:A,"总成",B:B,"952-238000-100")*INDIRECT(ADDRESS(17,5))</f>
        <v>0</v>
      </c>
      <c r="AB17">
        <f>sumifs(ab:ab,A:A,"总成",B:B,"952-238000-100")*INDIRECT(ADDRESS(17,5))</f>
        <v>0</v>
      </c>
      <c r="AC17">
        <f>sumifs(ac:ac,A:A,"总成",B:B,"952-238000-100")*INDIRECT(ADDRESS(17,5))</f>
        <v>0</v>
      </c>
      <c r="AD17">
        <f>sumifs(ad:ad,A:A,"总成",B:B,"952-238000-100")*INDIRECT(ADDRESS(17,5))</f>
        <v>0</v>
      </c>
      <c r="AE17">
        <f>sumifs(ae:ae,A:A,"总成",B:B,"952-238000-100")*INDIRECT(ADDRESS(17,5))</f>
        <v>0</v>
      </c>
      <c r="AF17">
        <f>sumifs(af:af,A:A,"总成",B:B,"952-238000-100")*INDIRECT(ADDRESS(17,5))</f>
        <v>0</v>
      </c>
      <c r="AG17">
        <f>sumifs(ag:ag,A:A,"总成",B:B,"952-238000-100")*INDIRECT(ADDRESS(17,5))</f>
        <v>0</v>
      </c>
      <c r="AH17">
        <f>sumifs(ah:ah,A:A,"总成",B:B,"952-238000-100")*INDIRECT(ADDRESS(17,5))</f>
        <v>0</v>
      </c>
      <c r="AI17">
        <f>sumifs(ai:ai,A:A,"总成",B:B,"952-238000-100")*INDIRECT(ADDRESS(17,5))</f>
        <v>0</v>
      </c>
      <c r="AJ17">
        <f>sumifs(aj:aj,A:A,"总成",B:B,"952-238000-100")*INDIRECT(ADDRESS(17,5))</f>
        <v>0</v>
      </c>
      <c r="AK17">
        <f>sumifs(ak:ak,A:A,"总成",B:B,"952-238000-100")*INDIRECT(ADDRESS(17,5))</f>
        <v>0</v>
      </c>
      <c r="AL17">
        <f>sumifs(al:al,A:A,"总成",B:B,"952-238000-100")*INDIRECT(ADDRESS(17,5))</f>
        <v>0</v>
      </c>
      <c r="AM17">
        <f>sumifs(am:am,A:A,"总成",B:B,"952-238000-100")*INDIRECT(ADDRESS(17,5))</f>
        <v>0</v>
      </c>
      <c r="AN17">
        <f>sumifs(an:an,A:A,"总成",B:B,"952-238000-100")*INDIRECT(ADDRESS(17,5))</f>
        <v>0</v>
      </c>
      <c r="AO17">
        <f>sumifs(ao:ao,A:A,"总成",B:B,"952-238000-100")*INDIRECT(ADDRESS(17,5))</f>
        <v>0</v>
      </c>
      <c r="AP17">
        <f>sumifs(ap:ap,A:A,"总成",B:B,"952-238000-100")*INDIRECT(ADDRESS(17,5))</f>
        <v>0</v>
      </c>
      <c r="AQ17">
        <f>sumifs(aq:aq,A:A,"总成",B:B,"952-238000-100")*INDIRECT(ADDRESS(17,5))</f>
        <v>0</v>
      </c>
      <c r="AR17">
        <f>sumifs(ar:ar,A:A,"总成",B:B,"952-238000-100")*INDIRECT(ADDRESS(17,5))</f>
        <v>0</v>
      </c>
    </row>
    <row r="18" spans="1:44">
      <c r="A18" t="s">
        <v>31</v>
      </c>
      <c r="B18" t="s">
        <v>76</v>
      </c>
      <c r="C18" t="s">
        <v>77</v>
      </c>
      <c r="D18" t="s">
        <v>17</v>
      </c>
      <c r="E18">
        <v>1</v>
      </c>
      <c r="F18" t="s">
        <v>78</v>
      </c>
      <c r="H18" t="s">
        <v>35</v>
      </c>
      <c r="I18" t="s">
        <v>36</v>
      </c>
      <c r="K18" t="s">
        <v>20</v>
      </c>
      <c r="L18" t="s">
        <v>37</v>
      </c>
      <c r="M18">
        <f>sumifs(m:m,A:A,"总成",B:B,"952-238000-100")*INDIRECT(ADDRESS(18,5))</f>
        <v>0</v>
      </c>
      <c r="N18">
        <f>sumifs(n:n,A:A,"总成",B:B,"952-238000-100")*INDIRECT(ADDRESS(18,5))</f>
        <v>0</v>
      </c>
      <c r="O18">
        <f>sumifs(o:o,A:A,"总成",B:B,"952-238000-100")*INDIRECT(ADDRESS(18,5))</f>
        <v>0</v>
      </c>
      <c r="P18">
        <f>sumifs(p:p,A:A,"总成",B:B,"952-238000-100")*INDIRECT(ADDRESS(18,5))</f>
        <v>0</v>
      </c>
      <c r="Q18">
        <f>sumifs(q:q,A:A,"总成",B:B,"952-238000-100")*INDIRECT(ADDRESS(18,5))</f>
        <v>0</v>
      </c>
      <c r="R18">
        <f>sumifs(r:r,A:A,"总成",B:B,"952-238000-100")*INDIRECT(ADDRESS(18,5))</f>
        <v>0</v>
      </c>
      <c r="S18">
        <f>sumifs(s:s,A:A,"总成",B:B,"952-238000-100")*INDIRECT(ADDRESS(18,5))</f>
        <v>0</v>
      </c>
      <c r="T18">
        <f>sumifs(t:t,A:A,"总成",B:B,"952-238000-100")*INDIRECT(ADDRESS(18,5))</f>
        <v>0</v>
      </c>
      <c r="U18">
        <f>sumifs(u:u,A:A,"总成",B:B,"952-238000-100")*INDIRECT(ADDRESS(18,5))</f>
        <v>0</v>
      </c>
      <c r="V18">
        <f>sumifs(v:v,A:A,"总成",B:B,"952-238000-100")*INDIRECT(ADDRESS(18,5))</f>
        <v>0</v>
      </c>
      <c r="W18">
        <f>sumifs(w:w,A:A,"总成",B:B,"952-238000-100")*INDIRECT(ADDRESS(18,5))</f>
        <v>0</v>
      </c>
      <c r="X18">
        <f>sumifs(x:x,A:A,"总成",B:B,"952-238000-100")*INDIRECT(ADDRESS(18,5))</f>
        <v>0</v>
      </c>
      <c r="Y18">
        <f>sumifs(y:y,A:A,"总成",B:B,"952-238000-100")*INDIRECT(ADDRESS(18,5))</f>
        <v>0</v>
      </c>
      <c r="Z18">
        <f>sumifs(z:z,A:A,"总成",B:B,"952-238000-100")*INDIRECT(ADDRESS(18,5))</f>
        <v>0</v>
      </c>
      <c r="AA18">
        <f>sumifs(aa:aa,A:A,"总成",B:B,"952-238000-100")*INDIRECT(ADDRESS(18,5))</f>
        <v>0</v>
      </c>
      <c r="AB18">
        <f>sumifs(ab:ab,A:A,"总成",B:B,"952-238000-100")*INDIRECT(ADDRESS(18,5))</f>
        <v>0</v>
      </c>
      <c r="AC18">
        <f>sumifs(ac:ac,A:A,"总成",B:B,"952-238000-100")*INDIRECT(ADDRESS(18,5))</f>
        <v>0</v>
      </c>
      <c r="AD18">
        <f>sumifs(ad:ad,A:A,"总成",B:B,"952-238000-100")*INDIRECT(ADDRESS(18,5))</f>
        <v>0</v>
      </c>
      <c r="AE18">
        <f>sumifs(ae:ae,A:A,"总成",B:B,"952-238000-100")*INDIRECT(ADDRESS(18,5))</f>
        <v>0</v>
      </c>
      <c r="AF18">
        <f>sumifs(af:af,A:A,"总成",B:B,"952-238000-100")*INDIRECT(ADDRESS(18,5))</f>
        <v>0</v>
      </c>
      <c r="AG18">
        <f>sumifs(ag:ag,A:A,"总成",B:B,"952-238000-100")*INDIRECT(ADDRESS(18,5))</f>
        <v>0</v>
      </c>
      <c r="AH18">
        <f>sumifs(ah:ah,A:A,"总成",B:B,"952-238000-100")*INDIRECT(ADDRESS(18,5))</f>
        <v>0</v>
      </c>
      <c r="AI18">
        <f>sumifs(ai:ai,A:A,"总成",B:B,"952-238000-100")*INDIRECT(ADDRESS(18,5))</f>
        <v>0</v>
      </c>
      <c r="AJ18">
        <f>sumifs(aj:aj,A:A,"总成",B:B,"952-238000-100")*INDIRECT(ADDRESS(18,5))</f>
        <v>0</v>
      </c>
      <c r="AK18">
        <f>sumifs(ak:ak,A:A,"总成",B:B,"952-238000-100")*INDIRECT(ADDRESS(18,5))</f>
        <v>0</v>
      </c>
      <c r="AL18">
        <f>sumifs(al:al,A:A,"总成",B:B,"952-238000-100")*INDIRECT(ADDRESS(18,5))</f>
        <v>0</v>
      </c>
      <c r="AM18">
        <f>sumifs(am:am,A:A,"总成",B:B,"952-238000-100")*INDIRECT(ADDRESS(18,5))</f>
        <v>0</v>
      </c>
      <c r="AN18">
        <f>sumifs(an:an,A:A,"总成",B:B,"952-238000-100")*INDIRECT(ADDRESS(18,5))</f>
        <v>0</v>
      </c>
      <c r="AO18">
        <f>sumifs(ao:ao,A:A,"总成",B:B,"952-238000-100")*INDIRECT(ADDRESS(18,5))</f>
        <v>0</v>
      </c>
      <c r="AP18">
        <f>sumifs(ap:ap,A:A,"总成",B:B,"952-238000-100")*INDIRECT(ADDRESS(18,5))</f>
        <v>0</v>
      </c>
      <c r="AQ18">
        <f>sumifs(aq:aq,A:A,"总成",B:B,"952-238000-100")*INDIRECT(ADDRESS(18,5))</f>
        <v>0</v>
      </c>
      <c r="AR18">
        <f>sumifs(ar:ar,A:A,"总成",B:B,"952-238000-100")*INDIRECT(ADDRESS(18,5))</f>
        <v>0</v>
      </c>
    </row>
    <row r="19" spans="1:44">
      <c r="A19" t="s">
        <v>14</v>
      </c>
      <c r="B19" t="s">
        <v>79</v>
      </c>
      <c r="C19" t="s">
        <v>80</v>
      </c>
      <c r="D19" t="s">
        <v>46</v>
      </c>
      <c r="E19">
        <v>1</v>
      </c>
      <c r="F19" t="s">
        <v>81</v>
      </c>
      <c r="H19" t="s">
        <v>72</v>
      </c>
      <c r="I19">
        <v>30</v>
      </c>
      <c r="K19" t="s">
        <v>20</v>
      </c>
      <c r="L19" t="s">
        <v>21</v>
      </c>
      <c r="M19">
        <f>vlookup("952-238000-200",生产发行表!B:AZ,column(l1),0)</f>
        <v>0</v>
      </c>
      <c r="N19">
        <f>vlookup("952-238000-200",生产发行表!B:AZ,column(m1),0)</f>
        <v>0</v>
      </c>
      <c r="O19">
        <f>vlookup("952-238000-200",生产发行表!B:AZ,column(n1),0)</f>
        <v>0</v>
      </c>
      <c r="P19">
        <f>vlookup("952-238000-200",生产发行表!B:AZ,column(o1),0)</f>
        <v>0</v>
      </c>
      <c r="Q19">
        <f>vlookup("952-238000-200",生产发行表!B:AZ,column(p1),0)</f>
        <v>0</v>
      </c>
      <c r="R19">
        <f>vlookup("952-238000-200",生产发行表!B:AZ,column(q1),0)</f>
        <v>0</v>
      </c>
      <c r="S19">
        <f>vlookup("952-238000-200",生产发行表!B:AZ,column(r1),0)</f>
        <v>0</v>
      </c>
      <c r="T19">
        <f>vlookup("952-238000-200",生产发行表!B:AZ,column(s1),0)</f>
        <v>0</v>
      </c>
      <c r="U19">
        <f>vlookup("952-238000-200",生产发行表!B:AZ,column(t1),0)</f>
        <v>0</v>
      </c>
      <c r="V19">
        <f>vlookup("952-238000-200",生产发行表!B:AZ,column(u1),0)</f>
        <v>0</v>
      </c>
      <c r="W19">
        <f>vlookup("952-238000-200",生产发行表!B:AZ,column(v1),0)</f>
        <v>0</v>
      </c>
      <c r="X19">
        <f>vlookup("952-238000-200",生产发行表!B:AZ,column(w1),0)</f>
        <v>0</v>
      </c>
      <c r="Y19">
        <f>vlookup("952-238000-200",生产发行表!B:AZ,column(x1),0)</f>
        <v>0</v>
      </c>
      <c r="Z19">
        <f>vlookup("952-238000-200",生产发行表!B:AZ,column(y1),0)</f>
        <v>0</v>
      </c>
      <c r="AA19">
        <f>vlookup("952-238000-200",生产发行表!B:AZ,column(z1),0)</f>
        <v>0</v>
      </c>
      <c r="AB19">
        <f>vlookup("952-238000-200",生产发行表!B:AZ,column(aa1),0)</f>
        <v>0</v>
      </c>
      <c r="AC19">
        <f>vlookup("952-238000-200",生产发行表!B:AZ,column(ab1),0)</f>
        <v>0</v>
      </c>
      <c r="AD19">
        <f>vlookup("952-238000-200",生产发行表!B:AZ,column(ac1),0)</f>
        <v>0</v>
      </c>
      <c r="AE19">
        <f>vlookup("952-238000-200",生产发行表!B:AZ,column(ad1),0)</f>
        <v>0</v>
      </c>
      <c r="AF19">
        <f>vlookup("952-238000-200",生产发行表!B:AZ,column(ae1),0)</f>
        <v>0</v>
      </c>
      <c r="AG19">
        <f>vlookup("952-238000-200",生产发行表!B:AZ,column(af1),0)</f>
        <v>0</v>
      </c>
      <c r="AH19">
        <f>vlookup("952-238000-200",生产发行表!B:AZ,column(ag1),0)</f>
        <v>0</v>
      </c>
      <c r="AI19">
        <f>vlookup("952-238000-200",生产发行表!B:AZ,column(ah1),0)</f>
        <v>0</v>
      </c>
      <c r="AJ19">
        <f>vlookup("952-238000-200",生产发行表!B:AZ,column(ai1),0)</f>
        <v>0</v>
      </c>
      <c r="AK19">
        <f>vlookup("952-238000-200",生产发行表!B:AZ,column(aj1),0)</f>
        <v>0</v>
      </c>
      <c r="AL19">
        <f>vlookup("952-238000-200",生产发行表!B:AZ,column(ak1),0)</f>
        <v>0</v>
      </c>
      <c r="AM19">
        <f>vlookup("952-238000-200",生产发行表!B:AZ,column(al1),0)</f>
        <v>0</v>
      </c>
      <c r="AN19">
        <f>vlookup("952-238000-200",生产发行表!B:AZ,column(am1),0)</f>
        <v>0</v>
      </c>
      <c r="AO19">
        <f>vlookup("952-238000-200",生产发行表!B:AZ,column(an1),0)</f>
        <v>0</v>
      </c>
      <c r="AP19">
        <f>vlookup("952-238000-200",生产发行表!B:AZ,column(ao1),0)</f>
        <v>0</v>
      </c>
      <c r="AQ19">
        <f>vlookup("952-238000-200",生产发行表!B:AZ,column(ap1),0)</f>
        <v>0</v>
      </c>
      <c r="AR19">
        <f>vlookup("952-238000-200",生产发行表!B:AZ,column(aq1),0)</f>
        <v>0</v>
      </c>
    </row>
    <row r="20" spans="1:44">
      <c r="A20" t="s">
        <v>31</v>
      </c>
      <c r="B20" t="s">
        <v>82</v>
      </c>
      <c r="C20" t="s">
        <v>83</v>
      </c>
      <c r="D20" t="s">
        <v>17</v>
      </c>
      <c r="E20">
        <v>1</v>
      </c>
      <c r="F20" t="s">
        <v>84</v>
      </c>
      <c r="H20" t="s">
        <v>35</v>
      </c>
      <c r="I20" t="s">
        <v>36</v>
      </c>
      <c r="K20" t="s">
        <v>20</v>
      </c>
      <c r="L20" t="s">
        <v>37</v>
      </c>
      <c r="M20">
        <f>sumifs(m:m,A:A,"总成",B:B,"952-238000-200")*INDIRECT(ADDRESS(20,5))</f>
        <v>0</v>
      </c>
      <c r="N20">
        <f>sumifs(n:n,A:A,"总成",B:B,"952-238000-200")*INDIRECT(ADDRESS(20,5))</f>
        <v>0</v>
      </c>
      <c r="O20">
        <f>sumifs(o:o,A:A,"总成",B:B,"952-238000-200")*INDIRECT(ADDRESS(20,5))</f>
        <v>0</v>
      </c>
      <c r="P20">
        <f>sumifs(p:p,A:A,"总成",B:B,"952-238000-200")*INDIRECT(ADDRESS(20,5))</f>
        <v>0</v>
      </c>
      <c r="Q20">
        <f>sumifs(q:q,A:A,"总成",B:B,"952-238000-200")*INDIRECT(ADDRESS(20,5))</f>
        <v>0</v>
      </c>
      <c r="R20">
        <f>sumifs(r:r,A:A,"总成",B:B,"952-238000-200")*INDIRECT(ADDRESS(20,5))</f>
        <v>0</v>
      </c>
      <c r="S20">
        <f>sumifs(s:s,A:A,"总成",B:B,"952-238000-200")*INDIRECT(ADDRESS(20,5))</f>
        <v>0</v>
      </c>
      <c r="T20">
        <f>sumifs(t:t,A:A,"总成",B:B,"952-238000-200")*INDIRECT(ADDRESS(20,5))</f>
        <v>0</v>
      </c>
      <c r="U20">
        <f>sumifs(u:u,A:A,"总成",B:B,"952-238000-200")*INDIRECT(ADDRESS(20,5))</f>
        <v>0</v>
      </c>
      <c r="V20">
        <f>sumifs(v:v,A:A,"总成",B:B,"952-238000-200")*INDIRECT(ADDRESS(20,5))</f>
        <v>0</v>
      </c>
      <c r="W20">
        <f>sumifs(w:w,A:A,"总成",B:B,"952-238000-200")*INDIRECT(ADDRESS(20,5))</f>
        <v>0</v>
      </c>
      <c r="X20">
        <f>sumifs(x:x,A:A,"总成",B:B,"952-238000-200")*INDIRECT(ADDRESS(20,5))</f>
        <v>0</v>
      </c>
      <c r="Y20">
        <f>sumifs(y:y,A:A,"总成",B:B,"952-238000-200")*INDIRECT(ADDRESS(20,5))</f>
        <v>0</v>
      </c>
      <c r="Z20">
        <f>sumifs(z:z,A:A,"总成",B:B,"952-238000-200")*INDIRECT(ADDRESS(20,5))</f>
        <v>0</v>
      </c>
      <c r="AA20">
        <f>sumifs(aa:aa,A:A,"总成",B:B,"952-238000-200")*INDIRECT(ADDRESS(20,5))</f>
        <v>0</v>
      </c>
      <c r="AB20">
        <f>sumifs(ab:ab,A:A,"总成",B:B,"952-238000-200")*INDIRECT(ADDRESS(20,5))</f>
        <v>0</v>
      </c>
      <c r="AC20">
        <f>sumifs(ac:ac,A:A,"总成",B:B,"952-238000-200")*INDIRECT(ADDRESS(20,5))</f>
        <v>0</v>
      </c>
      <c r="AD20">
        <f>sumifs(ad:ad,A:A,"总成",B:B,"952-238000-200")*INDIRECT(ADDRESS(20,5))</f>
        <v>0</v>
      </c>
      <c r="AE20">
        <f>sumifs(ae:ae,A:A,"总成",B:B,"952-238000-200")*INDIRECT(ADDRESS(20,5))</f>
        <v>0</v>
      </c>
      <c r="AF20">
        <f>sumifs(af:af,A:A,"总成",B:B,"952-238000-200")*INDIRECT(ADDRESS(20,5))</f>
        <v>0</v>
      </c>
      <c r="AG20">
        <f>sumifs(ag:ag,A:A,"总成",B:B,"952-238000-200")*INDIRECT(ADDRESS(20,5))</f>
        <v>0</v>
      </c>
      <c r="AH20">
        <f>sumifs(ah:ah,A:A,"总成",B:B,"952-238000-200")*INDIRECT(ADDRESS(20,5))</f>
        <v>0</v>
      </c>
      <c r="AI20">
        <f>sumifs(ai:ai,A:A,"总成",B:B,"952-238000-200")*INDIRECT(ADDRESS(20,5))</f>
        <v>0</v>
      </c>
      <c r="AJ20">
        <f>sumifs(aj:aj,A:A,"总成",B:B,"952-238000-200")*INDIRECT(ADDRESS(20,5))</f>
        <v>0</v>
      </c>
      <c r="AK20">
        <f>sumifs(ak:ak,A:A,"总成",B:B,"952-238000-200")*INDIRECT(ADDRESS(20,5))</f>
        <v>0</v>
      </c>
      <c r="AL20">
        <f>sumifs(al:al,A:A,"总成",B:B,"952-238000-200")*INDIRECT(ADDRESS(20,5))</f>
        <v>0</v>
      </c>
      <c r="AM20">
        <f>sumifs(am:am,A:A,"总成",B:B,"952-238000-200")*INDIRECT(ADDRESS(20,5))</f>
        <v>0</v>
      </c>
      <c r="AN20">
        <f>sumifs(an:an,A:A,"总成",B:B,"952-238000-200")*INDIRECT(ADDRESS(20,5))</f>
        <v>0</v>
      </c>
      <c r="AO20">
        <f>sumifs(ao:ao,A:A,"总成",B:B,"952-238000-200")*INDIRECT(ADDRESS(20,5))</f>
        <v>0</v>
      </c>
      <c r="AP20">
        <f>sumifs(ap:ap,A:A,"总成",B:B,"952-238000-200")*INDIRECT(ADDRESS(20,5))</f>
        <v>0</v>
      </c>
      <c r="AQ20">
        <f>sumifs(aq:aq,A:A,"总成",B:B,"952-238000-200")*INDIRECT(ADDRESS(20,5))</f>
        <v>0</v>
      </c>
      <c r="AR20">
        <f>sumifs(ar:ar,A:A,"总成",B:B,"952-238000-200")*INDIRECT(ADDRESS(20,5))</f>
        <v>0</v>
      </c>
    </row>
    <row r="21" spans="1:44">
      <c r="A21" t="s">
        <v>31</v>
      </c>
      <c r="B21" t="s">
        <v>85</v>
      </c>
      <c r="C21" t="s">
        <v>86</v>
      </c>
      <c r="D21" t="s">
        <v>17</v>
      </c>
      <c r="E21">
        <v>1</v>
      </c>
      <c r="F21" t="s">
        <v>87</v>
      </c>
      <c r="H21" t="s">
        <v>35</v>
      </c>
      <c r="I21" t="s">
        <v>36</v>
      </c>
      <c r="K21" t="s">
        <v>20</v>
      </c>
      <c r="L21" t="s">
        <v>37</v>
      </c>
      <c r="M21">
        <f>sumifs(m:m,A:A,"总成",B:B,"952-238000-200")*INDIRECT(ADDRESS(21,5))</f>
        <v>0</v>
      </c>
      <c r="N21">
        <f>sumifs(n:n,A:A,"总成",B:B,"952-238000-200")*INDIRECT(ADDRESS(21,5))</f>
        <v>0</v>
      </c>
      <c r="O21">
        <f>sumifs(o:o,A:A,"总成",B:B,"952-238000-200")*INDIRECT(ADDRESS(21,5))</f>
        <v>0</v>
      </c>
      <c r="P21">
        <f>sumifs(p:p,A:A,"总成",B:B,"952-238000-200")*INDIRECT(ADDRESS(21,5))</f>
        <v>0</v>
      </c>
      <c r="Q21">
        <f>sumifs(q:q,A:A,"总成",B:B,"952-238000-200")*INDIRECT(ADDRESS(21,5))</f>
        <v>0</v>
      </c>
      <c r="R21">
        <f>sumifs(r:r,A:A,"总成",B:B,"952-238000-200")*INDIRECT(ADDRESS(21,5))</f>
        <v>0</v>
      </c>
      <c r="S21">
        <f>sumifs(s:s,A:A,"总成",B:B,"952-238000-200")*INDIRECT(ADDRESS(21,5))</f>
        <v>0</v>
      </c>
      <c r="T21">
        <f>sumifs(t:t,A:A,"总成",B:B,"952-238000-200")*INDIRECT(ADDRESS(21,5))</f>
        <v>0</v>
      </c>
      <c r="U21">
        <f>sumifs(u:u,A:A,"总成",B:B,"952-238000-200")*INDIRECT(ADDRESS(21,5))</f>
        <v>0</v>
      </c>
      <c r="V21">
        <f>sumifs(v:v,A:A,"总成",B:B,"952-238000-200")*INDIRECT(ADDRESS(21,5))</f>
        <v>0</v>
      </c>
      <c r="W21">
        <f>sumifs(w:w,A:A,"总成",B:B,"952-238000-200")*INDIRECT(ADDRESS(21,5))</f>
        <v>0</v>
      </c>
      <c r="X21">
        <f>sumifs(x:x,A:A,"总成",B:B,"952-238000-200")*INDIRECT(ADDRESS(21,5))</f>
        <v>0</v>
      </c>
      <c r="Y21">
        <f>sumifs(y:y,A:A,"总成",B:B,"952-238000-200")*INDIRECT(ADDRESS(21,5))</f>
        <v>0</v>
      </c>
      <c r="Z21">
        <f>sumifs(z:z,A:A,"总成",B:B,"952-238000-200")*INDIRECT(ADDRESS(21,5))</f>
        <v>0</v>
      </c>
      <c r="AA21">
        <f>sumifs(aa:aa,A:A,"总成",B:B,"952-238000-200")*INDIRECT(ADDRESS(21,5))</f>
        <v>0</v>
      </c>
      <c r="AB21">
        <f>sumifs(ab:ab,A:A,"总成",B:B,"952-238000-200")*INDIRECT(ADDRESS(21,5))</f>
        <v>0</v>
      </c>
      <c r="AC21">
        <f>sumifs(ac:ac,A:A,"总成",B:B,"952-238000-200")*INDIRECT(ADDRESS(21,5))</f>
        <v>0</v>
      </c>
      <c r="AD21">
        <f>sumifs(ad:ad,A:A,"总成",B:B,"952-238000-200")*INDIRECT(ADDRESS(21,5))</f>
        <v>0</v>
      </c>
      <c r="AE21">
        <f>sumifs(ae:ae,A:A,"总成",B:B,"952-238000-200")*INDIRECT(ADDRESS(21,5))</f>
        <v>0</v>
      </c>
      <c r="AF21">
        <f>sumifs(af:af,A:A,"总成",B:B,"952-238000-200")*INDIRECT(ADDRESS(21,5))</f>
        <v>0</v>
      </c>
      <c r="AG21">
        <f>sumifs(ag:ag,A:A,"总成",B:B,"952-238000-200")*INDIRECT(ADDRESS(21,5))</f>
        <v>0</v>
      </c>
      <c r="AH21">
        <f>sumifs(ah:ah,A:A,"总成",B:B,"952-238000-200")*INDIRECT(ADDRESS(21,5))</f>
        <v>0</v>
      </c>
      <c r="AI21">
        <f>sumifs(ai:ai,A:A,"总成",B:B,"952-238000-200")*INDIRECT(ADDRESS(21,5))</f>
        <v>0</v>
      </c>
      <c r="AJ21">
        <f>sumifs(aj:aj,A:A,"总成",B:B,"952-238000-200")*INDIRECT(ADDRESS(21,5))</f>
        <v>0</v>
      </c>
      <c r="AK21">
        <f>sumifs(ak:ak,A:A,"总成",B:B,"952-238000-200")*INDIRECT(ADDRESS(21,5))</f>
        <v>0</v>
      </c>
      <c r="AL21">
        <f>sumifs(al:al,A:A,"总成",B:B,"952-238000-200")*INDIRECT(ADDRESS(21,5))</f>
        <v>0</v>
      </c>
      <c r="AM21">
        <f>sumifs(am:am,A:A,"总成",B:B,"952-238000-200")*INDIRECT(ADDRESS(21,5))</f>
        <v>0</v>
      </c>
      <c r="AN21">
        <f>sumifs(an:an,A:A,"总成",B:B,"952-238000-200")*INDIRECT(ADDRESS(21,5))</f>
        <v>0</v>
      </c>
      <c r="AO21">
        <f>sumifs(ao:ao,A:A,"总成",B:B,"952-238000-200")*INDIRECT(ADDRESS(21,5))</f>
        <v>0</v>
      </c>
      <c r="AP21">
        <f>sumifs(ap:ap,A:A,"总成",B:B,"952-238000-200")*INDIRECT(ADDRESS(21,5))</f>
        <v>0</v>
      </c>
      <c r="AQ21">
        <f>sumifs(aq:aq,A:A,"总成",B:B,"952-238000-200")*INDIRECT(ADDRESS(21,5))</f>
        <v>0</v>
      </c>
      <c r="AR21">
        <f>sumifs(ar:ar,A:A,"总成",B:B,"952-238000-200")*INDIRECT(ADDRESS(21,5))</f>
        <v>0</v>
      </c>
    </row>
    <row r="22" spans="1:44">
      <c r="A22" t="s">
        <v>14</v>
      </c>
      <c r="B22" t="s">
        <v>88</v>
      </c>
      <c r="C22" t="s">
        <v>89</v>
      </c>
      <c r="D22" t="s">
        <v>46</v>
      </c>
      <c r="E22">
        <v>1</v>
      </c>
      <c r="F22" t="s">
        <v>90</v>
      </c>
      <c r="H22" t="s">
        <v>72</v>
      </c>
      <c r="I22" t="s">
        <v>91</v>
      </c>
      <c r="K22" t="s">
        <v>20</v>
      </c>
      <c r="L22" t="s">
        <v>21</v>
      </c>
      <c r="M22">
        <f>vlookup("952-239000-100",生产发行表!B:AZ,column(l1),0)</f>
        <v>0</v>
      </c>
      <c r="N22">
        <f>vlookup("952-239000-100",生产发行表!B:AZ,column(m1),0)</f>
        <v>0</v>
      </c>
      <c r="O22">
        <f>vlookup("952-239000-100",生产发行表!B:AZ,column(n1),0)</f>
        <v>0</v>
      </c>
      <c r="P22">
        <f>vlookup("952-239000-100",生产发行表!B:AZ,column(o1),0)</f>
        <v>0</v>
      </c>
      <c r="Q22">
        <f>vlookup("952-239000-100",生产发行表!B:AZ,column(p1),0)</f>
        <v>0</v>
      </c>
      <c r="R22">
        <f>vlookup("952-239000-100",生产发行表!B:AZ,column(q1),0)</f>
        <v>0</v>
      </c>
      <c r="S22">
        <f>vlookup("952-239000-100",生产发行表!B:AZ,column(r1),0)</f>
        <v>0</v>
      </c>
      <c r="T22">
        <f>vlookup("952-239000-100",生产发行表!B:AZ,column(s1),0)</f>
        <v>0</v>
      </c>
      <c r="U22">
        <f>vlookup("952-239000-100",生产发行表!B:AZ,column(t1),0)</f>
        <v>0</v>
      </c>
      <c r="V22">
        <f>vlookup("952-239000-100",生产发行表!B:AZ,column(u1),0)</f>
        <v>0</v>
      </c>
      <c r="W22">
        <f>vlookup("952-239000-100",生产发行表!B:AZ,column(v1),0)</f>
        <v>0</v>
      </c>
      <c r="X22">
        <f>vlookup("952-239000-100",生产发行表!B:AZ,column(w1),0)</f>
        <v>0</v>
      </c>
      <c r="Y22">
        <f>vlookup("952-239000-100",生产发行表!B:AZ,column(x1),0)</f>
        <v>0</v>
      </c>
      <c r="Z22">
        <f>vlookup("952-239000-100",生产发行表!B:AZ,column(y1),0)</f>
        <v>0</v>
      </c>
      <c r="AA22">
        <f>vlookup("952-239000-100",生产发行表!B:AZ,column(z1),0)</f>
        <v>0</v>
      </c>
      <c r="AB22">
        <f>vlookup("952-239000-100",生产发行表!B:AZ,column(aa1),0)</f>
        <v>0</v>
      </c>
      <c r="AC22">
        <f>vlookup("952-239000-100",生产发行表!B:AZ,column(ab1),0)</f>
        <v>0</v>
      </c>
      <c r="AD22">
        <f>vlookup("952-239000-100",生产发行表!B:AZ,column(ac1),0)</f>
        <v>0</v>
      </c>
      <c r="AE22">
        <f>vlookup("952-239000-100",生产发行表!B:AZ,column(ad1),0)</f>
        <v>0</v>
      </c>
      <c r="AF22">
        <f>vlookup("952-239000-100",生产发行表!B:AZ,column(ae1),0)</f>
        <v>0</v>
      </c>
      <c r="AG22">
        <f>vlookup("952-239000-100",生产发行表!B:AZ,column(af1),0)</f>
        <v>0</v>
      </c>
      <c r="AH22">
        <f>vlookup("952-239000-100",生产发行表!B:AZ,column(ag1),0)</f>
        <v>0</v>
      </c>
      <c r="AI22">
        <f>vlookup("952-239000-100",生产发行表!B:AZ,column(ah1),0)</f>
        <v>0</v>
      </c>
      <c r="AJ22">
        <f>vlookup("952-239000-100",生产发行表!B:AZ,column(ai1),0)</f>
        <v>0</v>
      </c>
      <c r="AK22">
        <f>vlookup("952-239000-100",生产发行表!B:AZ,column(aj1),0)</f>
        <v>0</v>
      </c>
      <c r="AL22">
        <f>vlookup("952-239000-100",生产发行表!B:AZ,column(ak1),0)</f>
        <v>0</v>
      </c>
      <c r="AM22">
        <f>vlookup("952-239000-100",生产发行表!B:AZ,column(al1),0)</f>
        <v>0</v>
      </c>
      <c r="AN22">
        <f>vlookup("952-239000-100",生产发行表!B:AZ,column(am1),0)</f>
        <v>0</v>
      </c>
      <c r="AO22">
        <f>vlookup("952-239000-100",生产发行表!B:AZ,column(an1),0)</f>
        <v>0</v>
      </c>
      <c r="AP22">
        <f>vlookup("952-239000-100",生产发行表!B:AZ,column(ao1),0)</f>
        <v>0</v>
      </c>
      <c r="AQ22">
        <f>vlookup("952-239000-100",生产发行表!B:AZ,column(ap1),0)</f>
        <v>0</v>
      </c>
      <c r="AR22">
        <f>vlookup("952-239000-100",生产发行表!B:AZ,column(aq1),0)</f>
        <v>0</v>
      </c>
    </row>
    <row r="23" spans="1:44">
      <c r="A23" t="s">
        <v>31</v>
      </c>
      <c r="B23" t="s">
        <v>92</v>
      </c>
      <c r="C23" t="s">
        <v>93</v>
      </c>
      <c r="D23" t="s">
        <v>17</v>
      </c>
      <c r="E23">
        <v>1</v>
      </c>
      <c r="F23" t="s">
        <v>94</v>
      </c>
      <c r="H23" t="s">
        <v>35</v>
      </c>
      <c r="I23" t="s">
        <v>36</v>
      </c>
      <c r="K23" t="s">
        <v>20</v>
      </c>
      <c r="L23" t="s">
        <v>37</v>
      </c>
      <c r="M23">
        <f>sumifs(m:m,A:A,"总成",B:B,"952-239000-100")*INDIRECT(ADDRESS(23,5))</f>
        <v>0</v>
      </c>
      <c r="N23">
        <f>sumifs(n:n,A:A,"总成",B:B,"952-239000-100")*INDIRECT(ADDRESS(23,5))</f>
        <v>0</v>
      </c>
      <c r="O23">
        <f>sumifs(o:o,A:A,"总成",B:B,"952-239000-100")*INDIRECT(ADDRESS(23,5))</f>
        <v>0</v>
      </c>
      <c r="P23">
        <f>sumifs(p:p,A:A,"总成",B:B,"952-239000-100")*INDIRECT(ADDRESS(23,5))</f>
        <v>0</v>
      </c>
      <c r="Q23">
        <f>sumifs(q:q,A:A,"总成",B:B,"952-239000-100")*INDIRECT(ADDRESS(23,5))</f>
        <v>0</v>
      </c>
      <c r="R23">
        <f>sumifs(r:r,A:A,"总成",B:B,"952-239000-100")*INDIRECT(ADDRESS(23,5))</f>
        <v>0</v>
      </c>
      <c r="S23">
        <f>sumifs(s:s,A:A,"总成",B:B,"952-239000-100")*INDIRECT(ADDRESS(23,5))</f>
        <v>0</v>
      </c>
      <c r="T23">
        <f>sumifs(t:t,A:A,"总成",B:B,"952-239000-100")*INDIRECT(ADDRESS(23,5))</f>
        <v>0</v>
      </c>
      <c r="U23">
        <f>sumifs(u:u,A:A,"总成",B:B,"952-239000-100")*INDIRECT(ADDRESS(23,5))</f>
        <v>0</v>
      </c>
      <c r="V23">
        <f>sumifs(v:v,A:A,"总成",B:B,"952-239000-100")*INDIRECT(ADDRESS(23,5))</f>
        <v>0</v>
      </c>
      <c r="W23">
        <f>sumifs(w:w,A:A,"总成",B:B,"952-239000-100")*INDIRECT(ADDRESS(23,5))</f>
        <v>0</v>
      </c>
      <c r="X23">
        <f>sumifs(x:x,A:A,"总成",B:B,"952-239000-100")*INDIRECT(ADDRESS(23,5))</f>
        <v>0</v>
      </c>
      <c r="Y23">
        <f>sumifs(y:y,A:A,"总成",B:B,"952-239000-100")*INDIRECT(ADDRESS(23,5))</f>
        <v>0</v>
      </c>
      <c r="Z23">
        <f>sumifs(z:z,A:A,"总成",B:B,"952-239000-100")*INDIRECT(ADDRESS(23,5))</f>
        <v>0</v>
      </c>
      <c r="AA23">
        <f>sumifs(aa:aa,A:A,"总成",B:B,"952-239000-100")*INDIRECT(ADDRESS(23,5))</f>
        <v>0</v>
      </c>
      <c r="AB23">
        <f>sumifs(ab:ab,A:A,"总成",B:B,"952-239000-100")*INDIRECT(ADDRESS(23,5))</f>
        <v>0</v>
      </c>
      <c r="AC23">
        <f>sumifs(ac:ac,A:A,"总成",B:B,"952-239000-100")*INDIRECT(ADDRESS(23,5))</f>
        <v>0</v>
      </c>
      <c r="AD23">
        <f>sumifs(ad:ad,A:A,"总成",B:B,"952-239000-100")*INDIRECT(ADDRESS(23,5))</f>
        <v>0</v>
      </c>
      <c r="AE23">
        <f>sumifs(ae:ae,A:A,"总成",B:B,"952-239000-100")*INDIRECT(ADDRESS(23,5))</f>
        <v>0</v>
      </c>
      <c r="AF23">
        <f>sumifs(af:af,A:A,"总成",B:B,"952-239000-100")*INDIRECT(ADDRESS(23,5))</f>
        <v>0</v>
      </c>
      <c r="AG23">
        <f>sumifs(ag:ag,A:A,"总成",B:B,"952-239000-100")*INDIRECT(ADDRESS(23,5))</f>
        <v>0</v>
      </c>
      <c r="AH23">
        <f>sumifs(ah:ah,A:A,"总成",B:B,"952-239000-100")*INDIRECT(ADDRESS(23,5))</f>
        <v>0</v>
      </c>
      <c r="AI23">
        <f>sumifs(ai:ai,A:A,"总成",B:B,"952-239000-100")*INDIRECT(ADDRESS(23,5))</f>
        <v>0</v>
      </c>
      <c r="AJ23">
        <f>sumifs(aj:aj,A:A,"总成",B:B,"952-239000-100")*INDIRECT(ADDRESS(23,5))</f>
        <v>0</v>
      </c>
      <c r="AK23">
        <f>sumifs(ak:ak,A:A,"总成",B:B,"952-239000-100")*INDIRECT(ADDRESS(23,5))</f>
        <v>0</v>
      </c>
      <c r="AL23">
        <f>sumifs(al:al,A:A,"总成",B:B,"952-239000-100")*INDIRECT(ADDRESS(23,5))</f>
        <v>0</v>
      </c>
      <c r="AM23">
        <f>sumifs(am:am,A:A,"总成",B:B,"952-239000-100")*INDIRECT(ADDRESS(23,5))</f>
        <v>0</v>
      </c>
      <c r="AN23">
        <f>sumifs(an:an,A:A,"总成",B:B,"952-239000-100")*INDIRECT(ADDRESS(23,5))</f>
        <v>0</v>
      </c>
      <c r="AO23">
        <f>sumifs(ao:ao,A:A,"总成",B:B,"952-239000-100")*INDIRECT(ADDRESS(23,5))</f>
        <v>0</v>
      </c>
      <c r="AP23">
        <f>sumifs(ap:ap,A:A,"总成",B:B,"952-239000-100")*INDIRECT(ADDRESS(23,5))</f>
        <v>0</v>
      </c>
      <c r="AQ23">
        <f>sumifs(aq:aq,A:A,"总成",B:B,"952-239000-100")*INDIRECT(ADDRESS(23,5))</f>
        <v>0</v>
      </c>
      <c r="AR23">
        <f>sumifs(ar:ar,A:A,"总成",B:B,"952-239000-100")*INDIRECT(ADDRESS(23,5))</f>
        <v>0</v>
      </c>
    </row>
    <row r="24" spans="1:44">
      <c r="A24" t="s">
        <v>14</v>
      </c>
      <c r="B24" t="s">
        <v>95</v>
      </c>
      <c r="C24" t="s">
        <v>96</v>
      </c>
      <c r="D24" t="s">
        <v>46</v>
      </c>
      <c r="E24">
        <v>1</v>
      </c>
      <c r="F24" t="s">
        <v>97</v>
      </c>
      <c r="H24" t="s">
        <v>72</v>
      </c>
      <c r="I24" t="s">
        <v>91</v>
      </c>
      <c r="K24" t="s">
        <v>20</v>
      </c>
      <c r="L24" t="s">
        <v>21</v>
      </c>
      <c r="M24">
        <f>vlookup("952-239000-200",生产发行表!B:AZ,column(l1),0)</f>
        <v>0</v>
      </c>
      <c r="N24">
        <f>vlookup("952-239000-200",生产发行表!B:AZ,column(m1),0)</f>
        <v>0</v>
      </c>
      <c r="O24">
        <f>vlookup("952-239000-200",生产发行表!B:AZ,column(n1),0)</f>
        <v>0</v>
      </c>
      <c r="P24">
        <f>vlookup("952-239000-200",生产发行表!B:AZ,column(o1),0)</f>
        <v>0</v>
      </c>
      <c r="Q24">
        <f>vlookup("952-239000-200",生产发行表!B:AZ,column(p1),0)</f>
        <v>0</v>
      </c>
      <c r="R24">
        <f>vlookup("952-239000-200",生产发行表!B:AZ,column(q1),0)</f>
        <v>0</v>
      </c>
      <c r="S24">
        <f>vlookup("952-239000-200",生产发行表!B:AZ,column(r1),0)</f>
        <v>0</v>
      </c>
      <c r="T24">
        <f>vlookup("952-239000-200",生产发行表!B:AZ,column(s1),0)</f>
        <v>0</v>
      </c>
      <c r="U24">
        <f>vlookup("952-239000-200",生产发行表!B:AZ,column(t1),0)</f>
        <v>0</v>
      </c>
      <c r="V24">
        <f>vlookup("952-239000-200",生产发行表!B:AZ,column(u1),0)</f>
        <v>0</v>
      </c>
      <c r="W24">
        <f>vlookup("952-239000-200",生产发行表!B:AZ,column(v1),0)</f>
        <v>0</v>
      </c>
      <c r="X24">
        <f>vlookup("952-239000-200",生产发行表!B:AZ,column(w1),0)</f>
        <v>0</v>
      </c>
      <c r="Y24">
        <f>vlookup("952-239000-200",生产发行表!B:AZ,column(x1),0)</f>
        <v>0</v>
      </c>
      <c r="Z24">
        <f>vlookup("952-239000-200",生产发行表!B:AZ,column(y1),0)</f>
        <v>0</v>
      </c>
      <c r="AA24">
        <f>vlookup("952-239000-200",生产发行表!B:AZ,column(z1),0)</f>
        <v>0</v>
      </c>
      <c r="AB24">
        <f>vlookup("952-239000-200",生产发行表!B:AZ,column(aa1),0)</f>
        <v>0</v>
      </c>
      <c r="AC24">
        <f>vlookup("952-239000-200",生产发行表!B:AZ,column(ab1),0)</f>
        <v>0</v>
      </c>
      <c r="AD24">
        <f>vlookup("952-239000-200",生产发行表!B:AZ,column(ac1),0)</f>
        <v>0</v>
      </c>
      <c r="AE24">
        <f>vlookup("952-239000-200",生产发行表!B:AZ,column(ad1),0)</f>
        <v>0</v>
      </c>
      <c r="AF24">
        <f>vlookup("952-239000-200",生产发行表!B:AZ,column(ae1),0)</f>
        <v>0</v>
      </c>
      <c r="AG24">
        <f>vlookup("952-239000-200",生产发行表!B:AZ,column(af1),0)</f>
        <v>0</v>
      </c>
      <c r="AH24">
        <f>vlookup("952-239000-200",生产发行表!B:AZ,column(ag1),0)</f>
        <v>0</v>
      </c>
      <c r="AI24">
        <f>vlookup("952-239000-200",生产发行表!B:AZ,column(ah1),0)</f>
        <v>0</v>
      </c>
      <c r="AJ24">
        <f>vlookup("952-239000-200",生产发行表!B:AZ,column(ai1),0)</f>
        <v>0</v>
      </c>
      <c r="AK24">
        <f>vlookup("952-239000-200",生产发行表!B:AZ,column(aj1),0)</f>
        <v>0</v>
      </c>
      <c r="AL24">
        <f>vlookup("952-239000-200",生产发行表!B:AZ,column(ak1),0)</f>
        <v>0</v>
      </c>
      <c r="AM24">
        <f>vlookup("952-239000-200",生产发行表!B:AZ,column(al1),0)</f>
        <v>0</v>
      </c>
      <c r="AN24">
        <f>vlookup("952-239000-200",生产发行表!B:AZ,column(am1),0)</f>
        <v>0</v>
      </c>
      <c r="AO24">
        <f>vlookup("952-239000-200",生产发行表!B:AZ,column(an1),0)</f>
        <v>0</v>
      </c>
      <c r="AP24">
        <f>vlookup("952-239000-200",生产发行表!B:AZ,column(ao1),0)</f>
        <v>0</v>
      </c>
      <c r="AQ24">
        <f>vlookup("952-239000-200",生产发行表!B:AZ,column(ap1),0)</f>
        <v>0</v>
      </c>
      <c r="AR24">
        <f>vlookup("952-239000-200",生产发行表!B:AZ,column(aq1),0)</f>
        <v>0</v>
      </c>
    </row>
    <row r="25" spans="1:44">
      <c r="A25" t="s">
        <v>31</v>
      </c>
      <c r="B25" t="s">
        <v>98</v>
      </c>
      <c r="C25" t="s">
        <v>99</v>
      </c>
      <c r="D25" t="s">
        <v>17</v>
      </c>
      <c r="E25">
        <v>1</v>
      </c>
      <c r="F25" t="s">
        <v>100</v>
      </c>
      <c r="H25" t="s">
        <v>35</v>
      </c>
      <c r="I25" t="s">
        <v>36</v>
      </c>
      <c r="K25" t="s">
        <v>20</v>
      </c>
      <c r="L25" t="s">
        <v>37</v>
      </c>
      <c r="M25">
        <f>sumifs(m:m,A:A,"总成",B:B,"952-239000-200")*INDIRECT(ADDRESS(25,5))</f>
        <v>0</v>
      </c>
      <c r="N25">
        <f>sumifs(n:n,A:A,"总成",B:B,"952-239000-200")*INDIRECT(ADDRESS(25,5))</f>
        <v>0</v>
      </c>
      <c r="O25">
        <f>sumifs(o:o,A:A,"总成",B:B,"952-239000-200")*INDIRECT(ADDRESS(25,5))</f>
        <v>0</v>
      </c>
      <c r="P25">
        <f>sumifs(p:p,A:A,"总成",B:B,"952-239000-200")*INDIRECT(ADDRESS(25,5))</f>
        <v>0</v>
      </c>
      <c r="Q25">
        <f>sumifs(q:q,A:A,"总成",B:B,"952-239000-200")*INDIRECT(ADDRESS(25,5))</f>
        <v>0</v>
      </c>
      <c r="R25">
        <f>sumifs(r:r,A:A,"总成",B:B,"952-239000-200")*INDIRECT(ADDRESS(25,5))</f>
        <v>0</v>
      </c>
      <c r="S25">
        <f>sumifs(s:s,A:A,"总成",B:B,"952-239000-200")*INDIRECT(ADDRESS(25,5))</f>
        <v>0</v>
      </c>
      <c r="T25">
        <f>sumifs(t:t,A:A,"总成",B:B,"952-239000-200")*INDIRECT(ADDRESS(25,5))</f>
        <v>0</v>
      </c>
      <c r="U25">
        <f>sumifs(u:u,A:A,"总成",B:B,"952-239000-200")*INDIRECT(ADDRESS(25,5))</f>
        <v>0</v>
      </c>
      <c r="V25">
        <f>sumifs(v:v,A:A,"总成",B:B,"952-239000-200")*INDIRECT(ADDRESS(25,5))</f>
        <v>0</v>
      </c>
      <c r="W25">
        <f>sumifs(w:w,A:A,"总成",B:B,"952-239000-200")*INDIRECT(ADDRESS(25,5))</f>
        <v>0</v>
      </c>
      <c r="X25">
        <f>sumifs(x:x,A:A,"总成",B:B,"952-239000-200")*INDIRECT(ADDRESS(25,5))</f>
        <v>0</v>
      </c>
      <c r="Y25">
        <f>sumifs(y:y,A:A,"总成",B:B,"952-239000-200")*INDIRECT(ADDRESS(25,5))</f>
        <v>0</v>
      </c>
      <c r="Z25">
        <f>sumifs(z:z,A:A,"总成",B:B,"952-239000-200")*INDIRECT(ADDRESS(25,5))</f>
        <v>0</v>
      </c>
      <c r="AA25">
        <f>sumifs(aa:aa,A:A,"总成",B:B,"952-239000-200")*INDIRECT(ADDRESS(25,5))</f>
        <v>0</v>
      </c>
      <c r="AB25">
        <f>sumifs(ab:ab,A:A,"总成",B:B,"952-239000-200")*INDIRECT(ADDRESS(25,5))</f>
        <v>0</v>
      </c>
      <c r="AC25">
        <f>sumifs(ac:ac,A:A,"总成",B:B,"952-239000-200")*INDIRECT(ADDRESS(25,5))</f>
        <v>0</v>
      </c>
      <c r="AD25">
        <f>sumifs(ad:ad,A:A,"总成",B:B,"952-239000-200")*INDIRECT(ADDRESS(25,5))</f>
        <v>0</v>
      </c>
      <c r="AE25">
        <f>sumifs(ae:ae,A:A,"总成",B:B,"952-239000-200")*INDIRECT(ADDRESS(25,5))</f>
        <v>0</v>
      </c>
      <c r="AF25">
        <f>sumifs(af:af,A:A,"总成",B:B,"952-239000-200")*INDIRECT(ADDRESS(25,5))</f>
        <v>0</v>
      </c>
      <c r="AG25">
        <f>sumifs(ag:ag,A:A,"总成",B:B,"952-239000-200")*INDIRECT(ADDRESS(25,5))</f>
        <v>0</v>
      </c>
      <c r="AH25">
        <f>sumifs(ah:ah,A:A,"总成",B:B,"952-239000-200")*INDIRECT(ADDRESS(25,5))</f>
        <v>0</v>
      </c>
      <c r="AI25">
        <f>sumifs(ai:ai,A:A,"总成",B:B,"952-239000-200")*INDIRECT(ADDRESS(25,5))</f>
        <v>0</v>
      </c>
      <c r="AJ25">
        <f>sumifs(aj:aj,A:A,"总成",B:B,"952-239000-200")*INDIRECT(ADDRESS(25,5))</f>
        <v>0</v>
      </c>
      <c r="AK25">
        <f>sumifs(ak:ak,A:A,"总成",B:B,"952-239000-200")*INDIRECT(ADDRESS(25,5))</f>
        <v>0</v>
      </c>
      <c r="AL25">
        <f>sumifs(al:al,A:A,"总成",B:B,"952-239000-200")*INDIRECT(ADDRESS(25,5))</f>
        <v>0</v>
      </c>
      <c r="AM25">
        <f>sumifs(am:am,A:A,"总成",B:B,"952-239000-200")*INDIRECT(ADDRESS(25,5))</f>
        <v>0</v>
      </c>
      <c r="AN25">
        <f>sumifs(an:an,A:A,"总成",B:B,"952-239000-200")*INDIRECT(ADDRESS(25,5))</f>
        <v>0</v>
      </c>
      <c r="AO25">
        <f>sumifs(ao:ao,A:A,"总成",B:B,"952-239000-200")*INDIRECT(ADDRESS(25,5))</f>
        <v>0</v>
      </c>
      <c r="AP25">
        <f>sumifs(ap:ap,A:A,"总成",B:B,"952-239000-200")*INDIRECT(ADDRESS(25,5))</f>
        <v>0</v>
      </c>
      <c r="AQ25">
        <f>sumifs(aq:aq,A:A,"总成",B:B,"952-239000-200")*INDIRECT(ADDRESS(25,5))</f>
        <v>0</v>
      </c>
      <c r="AR25">
        <f>sumifs(ar:ar,A:A,"总成",B:B,"952-239000-200")*INDIRECT(ADDRESS(25,5))</f>
        <v>0</v>
      </c>
    </row>
    <row r="26" spans="1:44">
      <c r="A26" t="s">
        <v>14</v>
      </c>
      <c r="B26" t="s">
        <v>101</v>
      </c>
      <c r="C26" t="s">
        <v>102</v>
      </c>
      <c r="D26" t="s">
        <v>46</v>
      </c>
      <c r="E26">
        <v>1</v>
      </c>
      <c r="F26" t="s">
        <v>103</v>
      </c>
      <c r="H26" t="s">
        <v>104</v>
      </c>
      <c r="I26">
        <v>20</v>
      </c>
      <c r="K26" t="s">
        <v>20</v>
      </c>
      <c r="L26" t="s">
        <v>21</v>
      </c>
      <c r="M26">
        <f>vlookup("952-244000-100",生产发行表!B:AZ,column(l1),0)</f>
        <v>0</v>
      </c>
      <c r="N26">
        <f>vlookup("952-244000-100",生产发行表!B:AZ,column(m1),0)</f>
        <v>0</v>
      </c>
      <c r="O26">
        <f>vlookup("952-244000-100",生产发行表!B:AZ,column(n1),0)</f>
        <v>0</v>
      </c>
      <c r="P26">
        <f>vlookup("952-244000-100",生产发行表!B:AZ,column(o1),0)</f>
        <v>0</v>
      </c>
      <c r="Q26">
        <f>vlookup("952-244000-100",生产发行表!B:AZ,column(p1),0)</f>
        <v>0</v>
      </c>
      <c r="R26">
        <f>vlookup("952-244000-100",生产发行表!B:AZ,column(q1),0)</f>
        <v>0</v>
      </c>
      <c r="S26">
        <f>vlookup("952-244000-100",生产发行表!B:AZ,column(r1),0)</f>
        <v>0</v>
      </c>
      <c r="T26">
        <f>vlookup("952-244000-100",生产发行表!B:AZ,column(s1),0)</f>
        <v>0</v>
      </c>
      <c r="U26">
        <f>vlookup("952-244000-100",生产发行表!B:AZ,column(t1),0)</f>
        <v>0</v>
      </c>
      <c r="V26">
        <f>vlookup("952-244000-100",生产发行表!B:AZ,column(u1),0)</f>
        <v>0</v>
      </c>
      <c r="W26">
        <f>vlookup("952-244000-100",生产发行表!B:AZ,column(v1),0)</f>
        <v>0</v>
      </c>
      <c r="X26">
        <f>vlookup("952-244000-100",生产发行表!B:AZ,column(w1),0)</f>
        <v>0</v>
      </c>
      <c r="Y26">
        <f>vlookup("952-244000-100",生产发行表!B:AZ,column(x1),0)</f>
        <v>0</v>
      </c>
      <c r="Z26">
        <f>vlookup("952-244000-100",生产发行表!B:AZ,column(y1),0)</f>
        <v>0</v>
      </c>
      <c r="AA26">
        <f>vlookup("952-244000-100",生产发行表!B:AZ,column(z1),0)</f>
        <v>0</v>
      </c>
      <c r="AB26">
        <f>vlookup("952-244000-100",生产发行表!B:AZ,column(aa1),0)</f>
        <v>0</v>
      </c>
      <c r="AC26">
        <f>vlookup("952-244000-100",生产发行表!B:AZ,column(ab1),0)</f>
        <v>0</v>
      </c>
      <c r="AD26">
        <f>vlookup("952-244000-100",生产发行表!B:AZ,column(ac1),0)</f>
        <v>0</v>
      </c>
      <c r="AE26">
        <f>vlookup("952-244000-100",生产发行表!B:AZ,column(ad1),0)</f>
        <v>0</v>
      </c>
      <c r="AF26">
        <f>vlookup("952-244000-100",生产发行表!B:AZ,column(ae1),0)</f>
        <v>0</v>
      </c>
      <c r="AG26">
        <f>vlookup("952-244000-100",生产发行表!B:AZ,column(af1),0)</f>
        <v>0</v>
      </c>
      <c r="AH26">
        <f>vlookup("952-244000-100",生产发行表!B:AZ,column(ag1),0)</f>
        <v>0</v>
      </c>
      <c r="AI26">
        <f>vlookup("952-244000-100",生产发行表!B:AZ,column(ah1),0)</f>
        <v>0</v>
      </c>
      <c r="AJ26">
        <f>vlookup("952-244000-100",生产发行表!B:AZ,column(ai1),0)</f>
        <v>0</v>
      </c>
      <c r="AK26">
        <f>vlookup("952-244000-100",生产发行表!B:AZ,column(aj1),0)</f>
        <v>0</v>
      </c>
      <c r="AL26">
        <f>vlookup("952-244000-100",生产发行表!B:AZ,column(ak1),0)</f>
        <v>0</v>
      </c>
      <c r="AM26">
        <f>vlookup("952-244000-100",生产发行表!B:AZ,column(al1),0)</f>
        <v>0</v>
      </c>
      <c r="AN26">
        <f>vlookup("952-244000-100",生产发行表!B:AZ,column(am1),0)</f>
        <v>0</v>
      </c>
      <c r="AO26">
        <f>vlookup("952-244000-100",生产发行表!B:AZ,column(an1),0)</f>
        <v>0</v>
      </c>
      <c r="AP26">
        <f>vlookup("952-244000-100",生产发行表!B:AZ,column(ao1),0)</f>
        <v>0</v>
      </c>
      <c r="AQ26">
        <f>vlookup("952-244000-100",生产发行表!B:AZ,column(ap1),0)</f>
        <v>0</v>
      </c>
      <c r="AR26">
        <f>vlookup("952-244000-100",生产发行表!B:AZ,column(aq1),0)</f>
        <v>0</v>
      </c>
    </row>
    <row r="27" spans="1:44">
      <c r="A27" t="s">
        <v>31</v>
      </c>
      <c r="B27" t="s">
        <v>105</v>
      </c>
      <c r="C27" t="s">
        <v>106</v>
      </c>
      <c r="D27" t="s">
        <v>17</v>
      </c>
      <c r="E27">
        <v>1</v>
      </c>
      <c r="F27" t="s">
        <v>107</v>
      </c>
      <c r="H27" t="s">
        <v>35</v>
      </c>
      <c r="I27" t="s">
        <v>36</v>
      </c>
      <c r="K27" t="s">
        <v>20</v>
      </c>
      <c r="L27" t="s">
        <v>37</v>
      </c>
      <c r="M27">
        <f>sumifs(m:m,A:A,"总成",B:B,"952-244000-100")*INDIRECT(ADDRESS(27,5))</f>
        <v>0</v>
      </c>
      <c r="N27">
        <f>sumifs(n:n,A:A,"总成",B:B,"952-244000-100")*INDIRECT(ADDRESS(27,5))</f>
        <v>0</v>
      </c>
      <c r="O27">
        <f>sumifs(o:o,A:A,"总成",B:B,"952-244000-100")*INDIRECT(ADDRESS(27,5))</f>
        <v>0</v>
      </c>
      <c r="P27">
        <f>sumifs(p:p,A:A,"总成",B:B,"952-244000-100")*INDIRECT(ADDRESS(27,5))</f>
        <v>0</v>
      </c>
      <c r="Q27">
        <f>sumifs(q:q,A:A,"总成",B:B,"952-244000-100")*INDIRECT(ADDRESS(27,5))</f>
        <v>0</v>
      </c>
      <c r="R27">
        <f>sumifs(r:r,A:A,"总成",B:B,"952-244000-100")*INDIRECT(ADDRESS(27,5))</f>
        <v>0</v>
      </c>
      <c r="S27">
        <f>sumifs(s:s,A:A,"总成",B:B,"952-244000-100")*INDIRECT(ADDRESS(27,5))</f>
        <v>0</v>
      </c>
      <c r="T27">
        <f>sumifs(t:t,A:A,"总成",B:B,"952-244000-100")*INDIRECT(ADDRESS(27,5))</f>
        <v>0</v>
      </c>
      <c r="U27">
        <f>sumifs(u:u,A:A,"总成",B:B,"952-244000-100")*INDIRECT(ADDRESS(27,5))</f>
        <v>0</v>
      </c>
      <c r="V27">
        <f>sumifs(v:v,A:A,"总成",B:B,"952-244000-100")*INDIRECT(ADDRESS(27,5))</f>
        <v>0</v>
      </c>
      <c r="W27">
        <f>sumifs(w:w,A:A,"总成",B:B,"952-244000-100")*INDIRECT(ADDRESS(27,5))</f>
        <v>0</v>
      </c>
      <c r="X27">
        <f>sumifs(x:x,A:A,"总成",B:B,"952-244000-100")*INDIRECT(ADDRESS(27,5))</f>
        <v>0</v>
      </c>
      <c r="Y27">
        <f>sumifs(y:y,A:A,"总成",B:B,"952-244000-100")*INDIRECT(ADDRESS(27,5))</f>
        <v>0</v>
      </c>
      <c r="Z27">
        <f>sumifs(z:z,A:A,"总成",B:B,"952-244000-100")*INDIRECT(ADDRESS(27,5))</f>
        <v>0</v>
      </c>
      <c r="AA27">
        <f>sumifs(aa:aa,A:A,"总成",B:B,"952-244000-100")*INDIRECT(ADDRESS(27,5))</f>
        <v>0</v>
      </c>
      <c r="AB27">
        <f>sumifs(ab:ab,A:A,"总成",B:B,"952-244000-100")*INDIRECT(ADDRESS(27,5))</f>
        <v>0</v>
      </c>
      <c r="AC27">
        <f>sumifs(ac:ac,A:A,"总成",B:B,"952-244000-100")*INDIRECT(ADDRESS(27,5))</f>
        <v>0</v>
      </c>
      <c r="AD27">
        <f>sumifs(ad:ad,A:A,"总成",B:B,"952-244000-100")*INDIRECT(ADDRESS(27,5))</f>
        <v>0</v>
      </c>
      <c r="AE27">
        <f>sumifs(ae:ae,A:A,"总成",B:B,"952-244000-100")*INDIRECT(ADDRESS(27,5))</f>
        <v>0</v>
      </c>
      <c r="AF27">
        <f>sumifs(af:af,A:A,"总成",B:B,"952-244000-100")*INDIRECT(ADDRESS(27,5))</f>
        <v>0</v>
      </c>
      <c r="AG27">
        <f>sumifs(ag:ag,A:A,"总成",B:B,"952-244000-100")*INDIRECT(ADDRESS(27,5))</f>
        <v>0</v>
      </c>
      <c r="AH27">
        <f>sumifs(ah:ah,A:A,"总成",B:B,"952-244000-100")*INDIRECT(ADDRESS(27,5))</f>
        <v>0</v>
      </c>
      <c r="AI27">
        <f>sumifs(ai:ai,A:A,"总成",B:B,"952-244000-100")*INDIRECT(ADDRESS(27,5))</f>
        <v>0</v>
      </c>
      <c r="AJ27">
        <f>sumifs(aj:aj,A:A,"总成",B:B,"952-244000-100")*INDIRECT(ADDRESS(27,5))</f>
        <v>0</v>
      </c>
      <c r="AK27">
        <f>sumifs(ak:ak,A:A,"总成",B:B,"952-244000-100")*INDIRECT(ADDRESS(27,5))</f>
        <v>0</v>
      </c>
      <c r="AL27">
        <f>sumifs(al:al,A:A,"总成",B:B,"952-244000-100")*INDIRECT(ADDRESS(27,5))</f>
        <v>0</v>
      </c>
      <c r="AM27">
        <f>sumifs(am:am,A:A,"总成",B:B,"952-244000-100")*INDIRECT(ADDRESS(27,5))</f>
        <v>0</v>
      </c>
      <c r="AN27">
        <f>sumifs(an:an,A:A,"总成",B:B,"952-244000-100")*INDIRECT(ADDRESS(27,5))</f>
        <v>0</v>
      </c>
      <c r="AO27">
        <f>sumifs(ao:ao,A:A,"总成",B:B,"952-244000-100")*INDIRECT(ADDRESS(27,5))</f>
        <v>0</v>
      </c>
      <c r="AP27">
        <f>sumifs(ap:ap,A:A,"总成",B:B,"952-244000-100")*INDIRECT(ADDRESS(27,5))</f>
        <v>0</v>
      </c>
      <c r="AQ27">
        <f>sumifs(aq:aq,A:A,"总成",B:B,"952-244000-100")*INDIRECT(ADDRESS(27,5))</f>
        <v>0</v>
      </c>
      <c r="AR27">
        <f>sumifs(ar:ar,A:A,"总成",B:B,"952-244000-100")*INDIRECT(ADDRESS(27,5))</f>
        <v>0</v>
      </c>
    </row>
    <row r="28" spans="1:44">
      <c r="A28" t="s">
        <v>14</v>
      </c>
      <c r="B28" t="s">
        <v>108</v>
      </c>
      <c r="C28" t="s">
        <v>109</v>
      </c>
      <c r="D28" t="s">
        <v>17</v>
      </c>
      <c r="E28">
        <v>1</v>
      </c>
      <c r="F28" t="s">
        <v>110</v>
      </c>
      <c r="H28" t="s">
        <v>111</v>
      </c>
      <c r="I28">
        <v>16</v>
      </c>
      <c r="K28" t="s">
        <v>20</v>
      </c>
      <c r="L28" t="s">
        <v>21</v>
      </c>
      <c r="M28">
        <f>vlookup("952-245000-100",生产发行表!B:AZ,column(l1),0)</f>
        <v>0</v>
      </c>
      <c r="N28">
        <f>vlookup("952-245000-100",生产发行表!B:AZ,column(m1),0)</f>
        <v>0</v>
      </c>
      <c r="O28">
        <f>vlookup("952-245000-100",生产发行表!B:AZ,column(n1),0)</f>
        <v>0</v>
      </c>
      <c r="P28">
        <f>vlookup("952-245000-100",生产发行表!B:AZ,column(o1),0)</f>
        <v>0</v>
      </c>
      <c r="Q28">
        <f>vlookup("952-245000-100",生产发行表!B:AZ,column(p1),0)</f>
        <v>0</v>
      </c>
      <c r="R28">
        <f>vlookup("952-245000-100",生产发行表!B:AZ,column(q1),0)</f>
        <v>0</v>
      </c>
      <c r="S28">
        <f>vlookup("952-245000-100",生产发行表!B:AZ,column(r1),0)</f>
        <v>0</v>
      </c>
      <c r="T28">
        <f>vlookup("952-245000-100",生产发行表!B:AZ,column(s1),0)</f>
        <v>0</v>
      </c>
      <c r="U28">
        <f>vlookup("952-245000-100",生产发行表!B:AZ,column(t1),0)</f>
        <v>0</v>
      </c>
      <c r="V28">
        <f>vlookup("952-245000-100",生产发行表!B:AZ,column(u1),0)</f>
        <v>0</v>
      </c>
      <c r="W28">
        <f>vlookup("952-245000-100",生产发行表!B:AZ,column(v1),0)</f>
        <v>0</v>
      </c>
      <c r="X28">
        <f>vlookup("952-245000-100",生产发行表!B:AZ,column(w1),0)</f>
        <v>0</v>
      </c>
      <c r="Y28">
        <f>vlookup("952-245000-100",生产发行表!B:AZ,column(x1),0)</f>
        <v>0</v>
      </c>
      <c r="Z28">
        <f>vlookup("952-245000-100",生产发行表!B:AZ,column(y1),0)</f>
        <v>0</v>
      </c>
      <c r="AA28">
        <f>vlookup("952-245000-100",生产发行表!B:AZ,column(z1),0)</f>
        <v>0</v>
      </c>
      <c r="AB28">
        <f>vlookup("952-245000-100",生产发行表!B:AZ,column(aa1),0)</f>
        <v>0</v>
      </c>
      <c r="AC28">
        <f>vlookup("952-245000-100",生产发行表!B:AZ,column(ab1),0)</f>
        <v>0</v>
      </c>
      <c r="AD28">
        <f>vlookup("952-245000-100",生产发行表!B:AZ,column(ac1),0)</f>
        <v>0</v>
      </c>
      <c r="AE28">
        <f>vlookup("952-245000-100",生产发行表!B:AZ,column(ad1),0)</f>
        <v>0</v>
      </c>
      <c r="AF28">
        <f>vlookup("952-245000-100",生产发行表!B:AZ,column(ae1),0)</f>
        <v>0</v>
      </c>
      <c r="AG28">
        <f>vlookup("952-245000-100",生产发行表!B:AZ,column(af1),0)</f>
        <v>0</v>
      </c>
      <c r="AH28">
        <f>vlookup("952-245000-100",生产发行表!B:AZ,column(ag1),0)</f>
        <v>0</v>
      </c>
      <c r="AI28">
        <f>vlookup("952-245000-100",生产发行表!B:AZ,column(ah1),0)</f>
        <v>0</v>
      </c>
      <c r="AJ28">
        <f>vlookup("952-245000-100",生产发行表!B:AZ,column(ai1),0)</f>
        <v>0</v>
      </c>
      <c r="AK28">
        <f>vlookup("952-245000-100",生产发行表!B:AZ,column(aj1),0)</f>
        <v>0</v>
      </c>
      <c r="AL28">
        <f>vlookup("952-245000-100",生产发行表!B:AZ,column(ak1),0)</f>
        <v>0</v>
      </c>
      <c r="AM28">
        <f>vlookup("952-245000-100",生产发行表!B:AZ,column(al1),0)</f>
        <v>0</v>
      </c>
      <c r="AN28">
        <f>vlookup("952-245000-100",生产发行表!B:AZ,column(am1),0)</f>
        <v>0</v>
      </c>
      <c r="AO28">
        <f>vlookup("952-245000-100",生产发行表!B:AZ,column(an1),0)</f>
        <v>0</v>
      </c>
      <c r="AP28">
        <f>vlookup("952-245000-100",生产发行表!B:AZ,column(ao1),0)</f>
        <v>0</v>
      </c>
      <c r="AQ28">
        <f>vlookup("952-245000-100",生产发行表!B:AZ,column(ap1),0)</f>
        <v>0</v>
      </c>
      <c r="AR28">
        <f>vlookup("952-245000-100",生产发行表!B:AZ,column(aq1),0)</f>
        <v>0</v>
      </c>
    </row>
    <row r="29" spans="1:44">
      <c r="A29" t="s">
        <v>14</v>
      </c>
      <c r="B29" t="s">
        <v>112</v>
      </c>
      <c r="C29" t="s">
        <v>113</v>
      </c>
      <c r="D29" t="s">
        <v>17</v>
      </c>
      <c r="E29">
        <v>1</v>
      </c>
      <c r="F29" t="s">
        <v>114</v>
      </c>
      <c r="H29" t="s">
        <v>115</v>
      </c>
      <c r="I29">
        <v>16</v>
      </c>
      <c r="K29" t="s">
        <v>20</v>
      </c>
      <c r="L29" t="s">
        <v>21</v>
      </c>
      <c r="M29">
        <f>vlookup("952-245000-200",生产发行表!B:AZ,column(l1),0)</f>
        <v>0</v>
      </c>
      <c r="N29">
        <f>vlookup("952-245000-200",生产发行表!B:AZ,column(m1),0)</f>
        <v>0</v>
      </c>
      <c r="O29">
        <f>vlookup("952-245000-200",生产发行表!B:AZ,column(n1),0)</f>
        <v>0</v>
      </c>
      <c r="P29">
        <f>vlookup("952-245000-200",生产发行表!B:AZ,column(o1),0)</f>
        <v>0</v>
      </c>
      <c r="Q29">
        <f>vlookup("952-245000-200",生产发行表!B:AZ,column(p1),0)</f>
        <v>0</v>
      </c>
      <c r="R29">
        <f>vlookup("952-245000-200",生产发行表!B:AZ,column(q1),0)</f>
        <v>0</v>
      </c>
      <c r="S29">
        <f>vlookup("952-245000-200",生产发行表!B:AZ,column(r1),0)</f>
        <v>0</v>
      </c>
      <c r="T29">
        <f>vlookup("952-245000-200",生产发行表!B:AZ,column(s1),0)</f>
        <v>0</v>
      </c>
      <c r="U29">
        <f>vlookup("952-245000-200",生产发行表!B:AZ,column(t1),0)</f>
        <v>0</v>
      </c>
      <c r="V29">
        <f>vlookup("952-245000-200",生产发行表!B:AZ,column(u1),0)</f>
        <v>0</v>
      </c>
      <c r="W29">
        <f>vlookup("952-245000-200",生产发行表!B:AZ,column(v1),0)</f>
        <v>0</v>
      </c>
      <c r="X29">
        <f>vlookup("952-245000-200",生产发行表!B:AZ,column(w1),0)</f>
        <v>0</v>
      </c>
      <c r="Y29">
        <f>vlookup("952-245000-200",生产发行表!B:AZ,column(x1),0)</f>
        <v>0</v>
      </c>
      <c r="Z29">
        <f>vlookup("952-245000-200",生产发行表!B:AZ,column(y1),0)</f>
        <v>0</v>
      </c>
      <c r="AA29">
        <f>vlookup("952-245000-200",生产发行表!B:AZ,column(z1),0)</f>
        <v>0</v>
      </c>
      <c r="AB29">
        <f>vlookup("952-245000-200",生产发行表!B:AZ,column(aa1),0)</f>
        <v>0</v>
      </c>
      <c r="AC29">
        <f>vlookup("952-245000-200",生产发行表!B:AZ,column(ab1),0)</f>
        <v>0</v>
      </c>
      <c r="AD29">
        <f>vlookup("952-245000-200",生产发行表!B:AZ,column(ac1),0)</f>
        <v>0</v>
      </c>
      <c r="AE29">
        <f>vlookup("952-245000-200",生产发行表!B:AZ,column(ad1),0)</f>
        <v>0</v>
      </c>
      <c r="AF29">
        <f>vlookup("952-245000-200",生产发行表!B:AZ,column(ae1),0)</f>
        <v>0</v>
      </c>
      <c r="AG29">
        <f>vlookup("952-245000-200",生产发行表!B:AZ,column(af1),0)</f>
        <v>0</v>
      </c>
      <c r="AH29">
        <f>vlookup("952-245000-200",生产发行表!B:AZ,column(ag1),0)</f>
        <v>0</v>
      </c>
      <c r="AI29">
        <f>vlookup("952-245000-200",生产发行表!B:AZ,column(ah1),0)</f>
        <v>0</v>
      </c>
      <c r="AJ29">
        <f>vlookup("952-245000-200",生产发行表!B:AZ,column(ai1),0)</f>
        <v>0</v>
      </c>
      <c r="AK29">
        <f>vlookup("952-245000-200",生产发行表!B:AZ,column(aj1),0)</f>
        <v>0</v>
      </c>
      <c r="AL29">
        <f>vlookup("952-245000-200",生产发行表!B:AZ,column(ak1),0)</f>
        <v>0</v>
      </c>
      <c r="AM29">
        <f>vlookup("952-245000-200",生产发行表!B:AZ,column(al1),0)</f>
        <v>0</v>
      </c>
      <c r="AN29">
        <f>vlookup("952-245000-200",生产发行表!B:AZ,column(am1),0)</f>
        <v>0</v>
      </c>
      <c r="AO29">
        <f>vlookup("952-245000-200",生产发行表!B:AZ,column(an1),0)</f>
        <v>0</v>
      </c>
      <c r="AP29">
        <f>vlookup("952-245000-200",生产发行表!B:AZ,column(ao1),0)</f>
        <v>0</v>
      </c>
      <c r="AQ29">
        <f>vlookup("952-245000-200",生产发行表!B:AZ,column(ap1),0)</f>
        <v>0</v>
      </c>
      <c r="AR29">
        <f>vlookup("952-245000-200",生产发行表!B:AZ,column(aq1),0)</f>
        <v>0</v>
      </c>
    </row>
    <row r="30" spans="1:44">
      <c r="A30" t="s">
        <v>14</v>
      </c>
      <c r="B30" t="s">
        <v>116</v>
      </c>
      <c r="C30" t="s">
        <v>117</v>
      </c>
      <c r="D30" t="s">
        <v>46</v>
      </c>
      <c r="E30">
        <v>1</v>
      </c>
      <c r="F30" t="s">
        <v>118</v>
      </c>
      <c r="H30" t="s">
        <v>119</v>
      </c>
      <c r="I30">
        <v>50</v>
      </c>
      <c r="K30" t="s">
        <v>20</v>
      </c>
      <c r="L30" t="s">
        <v>21</v>
      </c>
      <c r="M30">
        <f>vlookup("952-246000-100",生产发行表!B:AZ,column(l1),0)</f>
        <v>0</v>
      </c>
      <c r="N30">
        <f>vlookup("952-246000-100",生产发行表!B:AZ,column(m1),0)</f>
        <v>0</v>
      </c>
      <c r="O30">
        <f>vlookup("952-246000-100",生产发行表!B:AZ,column(n1),0)</f>
        <v>0</v>
      </c>
      <c r="P30">
        <f>vlookup("952-246000-100",生产发行表!B:AZ,column(o1),0)</f>
        <v>0</v>
      </c>
      <c r="Q30">
        <f>vlookup("952-246000-100",生产发行表!B:AZ,column(p1),0)</f>
        <v>0</v>
      </c>
      <c r="R30">
        <f>vlookup("952-246000-100",生产发行表!B:AZ,column(q1),0)</f>
        <v>0</v>
      </c>
      <c r="S30">
        <f>vlookup("952-246000-100",生产发行表!B:AZ,column(r1),0)</f>
        <v>0</v>
      </c>
      <c r="T30">
        <f>vlookup("952-246000-100",生产发行表!B:AZ,column(s1),0)</f>
        <v>0</v>
      </c>
      <c r="U30">
        <f>vlookup("952-246000-100",生产发行表!B:AZ,column(t1),0)</f>
        <v>0</v>
      </c>
      <c r="V30">
        <f>vlookup("952-246000-100",生产发行表!B:AZ,column(u1),0)</f>
        <v>0</v>
      </c>
      <c r="W30">
        <f>vlookup("952-246000-100",生产发行表!B:AZ,column(v1),0)</f>
        <v>0</v>
      </c>
      <c r="X30">
        <f>vlookup("952-246000-100",生产发行表!B:AZ,column(w1),0)</f>
        <v>0</v>
      </c>
      <c r="Y30">
        <f>vlookup("952-246000-100",生产发行表!B:AZ,column(x1),0)</f>
        <v>0</v>
      </c>
      <c r="Z30">
        <f>vlookup("952-246000-100",生产发行表!B:AZ,column(y1),0)</f>
        <v>0</v>
      </c>
      <c r="AA30">
        <f>vlookup("952-246000-100",生产发行表!B:AZ,column(z1),0)</f>
        <v>0</v>
      </c>
      <c r="AB30">
        <f>vlookup("952-246000-100",生产发行表!B:AZ,column(aa1),0)</f>
        <v>0</v>
      </c>
      <c r="AC30">
        <f>vlookup("952-246000-100",生产发行表!B:AZ,column(ab1),0)</f>
        <v>0</v>
      </c>
      <c r="AD30">
        <f>vlookup("952-246000-100",生产发行表!B:AZ,column(ac1),0)</f>
        <v>0</v>
      </c>
      <c r="AE30">
        <f>vlookup("952-246000-100",生产发行表!B:AZ,column(ad1),0)</f>
        <v>0</v>
      </c>
      <c r="AF30">
        <f>vlookup("952-246000-100",生产发行表!B:AZ,column(ae1),0)</f>
        <v>0</v>
      </c>
      <c r="AG30">
        <f>vlookup("952-246000-100",生产发行表!B:AZ,column(af1),0)</f>
        <v>0</v>
      </c>
      <c r="AH30">
        <f>vlookup("952-246000-100",生产发行表!B:AZ,column(ag1),0)</f>
        <v>0</v>
      </c>
      <c r="AI30">
        <f>vlookup("952-246000-100",生产发行表!B:AZ,column(ah1),0)</f>
        <v>0</v>
      </c>
      <c r="AJ30">
        <f>vlookup("952-246000-100",生产发行表!B:AZ,column(ai1),0)</f>
        <v>0</v>
      </c>
      <c r="AK30">
        <f>vlookup("952-246000-100",生产发行表!B:AZ,column(aj1),0)</f>
        <v>0</v>
      </c>
      <c r="AL30">
        <f>vlookup("952-246000-100",生产发行表!B:AZ,column(ak1),0)</f>
        <v>0</v>
      </c>
      <c r="AM30">
        <f>vlookup("952-246000-100",生产发行表!B:AZ,column(al1),0)</f>
        <v>0</v>
      </c>
      <c r="AN30">
        <f>vlookup("952-246000-100",生产发行表!B:AZ,column(am1),0)</f>
        <v>0</v>
      </c>
      <c r="AO30">
        <f>vlookup("952-246000-100",生产发行表!B:AZ,column(an1),0)</f>
        <v>0</v>
      </c>
      <c r="AP30">
        <f>vlookup("952-246000-100",生产发行表!B:AZ,column(ao1),0)</f>
        <v>0</v>
      </c>
      <c r="AQ30">
        <f>vlookup("952-246000-100",生产发行表!B:AZ,column(ap1),0)</f>
        <v>0</v>
      </c>
      <c r="AR30">
        <f>vlookup("952-246000-100",生产发行表!B:AZ,column(aq1),0)</f>
        <v>0</v>
      </c>
    </row>
    <row r="31" spans="1:44">
      <c r="A31" t="s">
        <v>31</v>
      </c>
      <c r="B31" t="s">
        <v>120</v>
      </c>
      <c r="C31" t="s">
        <v>121</v>
      </c>
      <c r="D31" t="s">
        <v>17</v>
      </c>
      <c r="E31">
        <v>1</v>
      </c>
      <c r="F31" t="s">
        <v>122</v>
      </c>
      <c r="H31" t="s">
        <v>35</v>
      </c>
      <c r="I31" t="s">
        <v>36</v>
      </c>
      <c r="K31" t="s">
        <v>20</v>
      </c>
      <c r="L31" t="s">
        <v>37</v>
      </c>
      <c r="M31">
        <f>sumifs(m:m,A:A,"总成",B:B,"952-246000-100")*INDIRECT(ADDRESS(31,5))</f>
        <v>0</v>
      </c>
      <c r="N31">
        <f>sumifs(n:n,A:A,"总成",B:B,"952-246000-100")*INDIRECT(ADDRESS(31,5))</f>
        <v>0</v>
      </c>
      <c r="O31">
        <f>sumifs(o:o,A:A,"总成",B:B,"952-246000-100")*INDIRECT(ADDRESS(31,5))</f>
        <v>0</v>
      </c>
      <c r="P31">
        <f>sumifs(p:p,A:A,"总成",B:B,"952-246000-100")*INDIRECT(ADDRESS(31,5))</f>
        <v>0</v>
      </c>
      <c r="Q31">
        <f>sumifs(q:q,A:A,"总成",B:B,"952-246000-100")*INDIRECT(ADDRESS(31,5))</f>
        <v>0</v>
      </c>
      <c r="R31">
        <f>sumifs(r:r,A:A,"总成",B:B,"952-246000-100")*INDIRECT(ADDRESS(31,5))</f>
        <v>0</v>
      </c>
      <c r="S31">
        <f>sumifs(s:s,A:A,"总成",B:B,"952-246000-100")*INDIRECT(ADDRESS(31,5))</f>
        <v>0</v>
      </c>
      <c r="T31">
        <f>sumifs(t:t,A:A,"总成",B:B,"952-246000-100")*INDIRECT(ADDRESS(31,5))</f>
        <v>0</v>
      </c>
      <c r="U31">
        <f>sumifs(u:u,A:A,"总成",B:B,"952-246000-100")*INDIRECT(ADDRESS(31,5))</f>
        <v>0</v>
      </c>
      <c r="V31">
        <f>sumifs(v:v,A:A,"总成",B:B,"952-246000-100")*INDIRECT(ADDRESS(31,5))</f>
        <v>0</v>
      </c>
      <c r="W31">
        <f>sumifs(w:w,A:A,"总成",B:B,"952-246000-100")*INDIRECT(ADDRESS(31,5))</f>
        <v>0</v>
      </c>
      <c r="X31">
        <f>sumifs(x:x,A:A,"总成",B:B,"952-246000-100")*INDIRECT(ADDRESS(31,5))</f>
        <v>0</v>
      </c>
      <c r="Y31">
        <f>sumifs(y:y,A:A,"总成",B:B,"952-246000-100")*INDIRECT(ADDRESS(31,5))</f>
        <v>0</v>
      </c>
      <c r="Z31">
        <f>sumifs(z:z,A:A,"总成",B:B,"952-246000-100")*INDIRECT(ADDRESS(31,5))</f>
        <v>0</v>
      </c>
      <c r="AA31">
        <f>sumifs(aa:aa,A:A,"总成",B:B,"952-246000-100")*INDIRECT(ADDRESS(31,5))</f>
        <v>0</v>
      </c>
      <c r="AB31">
        <f>sumifs(ab:ab,A:A,"总成",B:B,"952-246000-100")*INDIRECT(ADDRESS(31,5))</f>
        <v>0</v>
      </c>
      <c r="AC31">
        <f>sumifs(ac:ac,A:A,"总成",B:B,"952-246000-100")*INDIRECT(ADDRESS(31,5))</f>
        <v>0</v>
      </c>
      <c r="AD31">
        <f>sumifs(ad:ad,A:A,"总成",B:B,"952-246000-100")*INDIRECT(ADDRESS(31,5))</f>
        <v>0</v>
      </c>
      <c r="AE31">
        <f>sumifs(ae:ae,A:A,"总成",B:B,"952-246000-100")*INDIRECT(ADDRESS(31,5))</f>
        <v>0</v>
      </c>
      <c r="AF31">
        <f>sumifs(af:af,A:A,"总成",B:B,"952-246000-100")*INDIRECT(ADDRESS(31,5))</f>
        <v>0</v>
      </c>
      <c r="AG31">
        <f>sumifs(ag:ag,A:A,"总成",B:B,"952-246000-100")*INDIRECT(ADDRESS(31,5))</f>
        <v>0</v>
      </c>
      <c r="AH31">
        <f>sumifs(ah:ah,A:A,"总成",B:B,"952-246000-100")*INDIRECT(ADDRESS(31,5))</f>
        <v>0</v>
      </c>
      <c r="AI31">
        <f>sumifs(ai:ai,A:A,"总成",B:B,"952-246000-100")*INDIRECT(ADDRESS(31,5))</f>
        <v>0</v>
      </c>
      <c r="AJ31">
        <f>sumifs(aj:aj,A:A,"总成",B:B,"952-246000-100")*INDIRECT(ADDRESS(31,5))</f>
        <v>0</v>
      </c>
      <c r="AK31">
        <f>sumifs(ak:ak,A:A,"总成",B:B,"952-246000-100")*INDIRECT(ADDRESS(31,5))</f>
        <v>0</v>
      </c>
      <c r="AL31">
        <f>sumifs(al:al,A:A,"总成",B:B,"952-246000-100")*INDIRECT(ADDRESS(31,5))</f>
        <v>0</v>
      </c>
      <c r="AM31">
        <f>sumifs(am:am,A:A,"总成",B:B,"952-246000-100")*INDIRECT(ADDRESS(31,5))</f>
        <v>0</v>
      </c>
      <c r="AN31">
        <f>sumifs(an:an,A:A,"总成",B:B,"952-246000-100")*INDIRECT(ADDRESS(31,5))</f>
        <v>0</v>
      </c>
      <c r="AO31">
        <f>sumifs(ao:ao,A:A,"总成",B:B,"952-246000-100")*INDIRECT(ADDRESS(31,5))</f>
        <v>0</v>
      </c>
      <c r="AP31">
        <f>sumifs(ap:ap,A:A,"总成",B:B,"952-246000-100")*INDIRECT(ADDRESS(31,5))</f>
        <v>0</v>
      </c>
      <c r="AQ31">
        <f>sumifs(aq:aq,A:A,"总成",B:B,"952-246000-100")*INDIRECT(ADDRESS(31,5))</f>
        <v>0</v>
      </c>
      <c r="AR31">
        <f>sumifs(ar:ar,A:A,"总成",B:B,"952-246000-100")*INDIRECT(ADDRESS(31,5))</f>
        <v>0</v>
      </c>
    </row>
    <row r="32" spans="1:44">
      <c r="A32" t="s">
        <v>14</v>
      </c>
      <c r="B32" t="s">
        <v>123</v>
      </c>
      <c r="C32" t="s">
        <v>124</v>
      </c>
      <c r="D32" t="s">
        <v>46</v>
      </c>
      <c r="E32">
        <v>1</v>
      </c>
      <c r="F32" t="s">
        <v>125</v>
      </c>
      <c r="H32" t="s">
        <v>126</v>
      </c>
      <c r="I32">
        <v>50</v>
      </c>
      <c r="K32" t="s">
        <v>20</v>
      </c>
      <c r="L32" t="s">
        <v>21</v>
      </c>
      <c r="M32">
        <f>vlookup("952-246000-200",生产发行表!B:AZ,column(l1),0)</f>
        <v>0</v>
      </c>
      <c r="N32">
        <f>vlookup("952-246000-200",生产发行表!B:AZ,column(m1),0)</f>
        <v>0</v>
      </c>
      <c r="O32">
        <f>vlookup("952-246000-200",生产发行表!B:AZ,column(n1),0)</f>
        <v>0</v>
      </c>
      <c r="P32">
        <f>vlookup("952-246000-200",生产发行表!B:AZ,column(o1),0)</f>
        <v>0</v>
      </c>
      <c r="Q32">
        <f>vlookup("952-246000-200",生产发行表!B:AZ,column(p1),0)</f>
        <v>0</v>
      </c>
      <c r="R32">
        <f>vlookup("952-246000-200",生产发行表!B:AZ,column(q1),0)</f>
        <v>0</v>
      </c>
      <c r="S32">
        <f>vlookup("952-246000-200",生产发行表!B:AZ,column(r1),0)</f>
        <v>0</v>
      </c>
      <c r="T32">
        <f>vlookup("952-246000-200",生产发行表!B:AZ,column(s1),0)</f>
        <v>0</v>
      </c>
      <c r="U32">
        <f>vlookup("952-246000-200",生产发行表!B:AZ,column(t1),0)</f>
        <v>0</v>
      </c>
      <c r="V32">
        <f>vlookup("952-246000-200",生产发行表!B:AZ,column(u1),0)</f>
        <v>0</v>
      </c>
      <c r="W32">
        <f>vlookup("952-246000-200",生产发行表!B:AZ,column(v1),0)</f>
        <v>0</v>
      </c>
      <c r="X32">
        <f>vlookup("952-246000-200",生产发行表!B:AZ,column(w1),0)</f>
        <v>0</v>
      </c>
      <c r="Y32">
        <f>vlookup("952-246000-200",生产发行表!B:AZ,column(x1),0)</f>
        <v>0</v>
      </c>
      <c r="Z32">
        <f>vlookup("952-246000-200",生产发行表!B:AZ,column(y1),0)</f>
        <v>0</v>
      </c>
      <c r="AA32">
        <f>vlookup("952-246000-200",生产发行表!B:AZ,column(z1),0)</f>
        <v>0</v>
      </c>
      <c r="AB32">
        <f>vlookup("952-246000-200",生产发行表!B:AZ,column(aa1),0)</f>
        <v>0</v>
      </c>
      <c r="AC32">
        <f>vlookup("952-246000-200",生产发行表!B:AZ,column(ab1),0)</f>
        <v>0</v>
      </c>
      <c r="AD32">
        <f>vlookup("952-246000-200",生产发行表!B:AZ,column(ac1),0)</f>
        <v>0</v>
      </c>
      <c r="AE32">
        <f>vlookup("952-246000-200",生产发行表!B:AZ,column(ad1),0)</f>
        <v>0</v>
      </c>
      <c r="AF32">
        <f>vlookup("952-246000-200",生产发行表!B:AZ,column(ae1),0)</f>
        <v>0</v>
      </c>
      <c r="AG32">
        <f>vlookup("952-246000-200",生产发行表!B:AZ,column(af1),0)</f>
        <v>0</v>
      </c>
      <c r="AH32">
        <f>vlookup("952-246000-200",生产发行表!B:AZ,column(ag1),0)</f>
        <v>0</v>
      </c>
      <c r="AI32">
        <f>vlookup("952-246000-200",生产发行表!B:AZ,column(ah1),0)</f>
        <v>0</v>
      </c>
      <c r="AJ32">
        <f>vlookup("952-246000-200",生产发行表!B:AZ,column(ai1),0)</f>
        <v>0</v>
      </c>
      <c r="AK32">
        <f>vlookup("952-246000-200",生产发行表!B:AZ,column(aj1),0)</f>
        <v>0</v>
      </c>
      <c r="AL32">
        <f>vlookup("952-246000-200",生产发行表!B:AZ,column(ak1),0)</f>
        <v>0</v>
      </c>
      <c r="AM32">
        <f>vlookup("952-246000-200",生产发行表!B:AZ,column(al1),0)</f>
        <v>0</v>
      </c>
      <c r="AN32">
        <f>vlookup("952-246000-200",生产发行表!B:AZ,column(am1),0)</f>
        <v>0</v>
      </c>
      <c r="AO32">
        <f>vlookup("952-246000-200",生产发行表!B:AZ,column(an1),0)</f>
        <v>0</v>
      </c>
      <c r="AP32">
        <f>vlookup("952-246000-200",生产发行表!B:AZ,column(ao1),0)</f>
        <v>0</v>
      </c>
      <c r="AQ32">
        <f>vlookup("952-246000-200",生产发行表!B:AZ,column(ap1),0)</f>
        <v>0</v>
      </c>
      <c r="AR32">
        <f>vlookup("952-246000-200",生产发行表!B:AZ,column(aq1),0)</f>
        <v>0</v>
      </c>
    </row>
    <row r="33" spans="1:44">
      <c r="A33" t="s">
        <v>31</v>
      </c>
      <c r="B33" t="s">
        <v>127</v>
      </c>
      <c r="C33" t="s">
        <v>128</v>
      </c>
      <c r="D33" t="s">
        <v>17</v>
      </c>
      <c r="E33">
        <v>1</v>
      </c>
      <c r="F33" t="s">
        <v>129</v>
      </c>
      <c r="H33" t="s">
        <v>35</v>
      </c>
      <c r="I33" t="s">
        <v>36</v>
      </c>
      <c r="K33" t="s">
        <v>20</v>
      </c>
      <c r="L33" t="s">
        <v>37</v>
      </c>
      <c r="M33">
        <f>sumifs(m:m,A:A,"总成",B:B,"952-246000-200")*INDIRECT(ADDRESS(33,5))</f>
        <v>0</v>
      </c>
      <c r="N33">
        <f>sumifs(n:n,A:A,"总成",B:B,"952-246000-200")*INDIRECT(ADDRESS(33,5))</f>
        <v>0</v>
      </c>
      <c r="O33">
        <f>sumifs(o:o,A:A,"总成",B:B,"952-246000-200")*INDIRECT(ADDRESS(33,5))</f>
        <v>0</v>
      </c>
      <c r="P33">
        <f>sumifs(p:p,A:A,"总成",B:B,"952-246000-200")*INDIRECT(ADDRESS(33,5))</f>
        <v>0</v>
      </c>
      <c r="Q33">
        <f>sumifs(q:q,A:A,"总成",B:B,"952-246000-200")*INDIRECT(ADDRESS(33,5))</f>
        <v>0</v>
      </c>
      <c r="R33">
        <f>sumifs(r:r,A:A,"总成",B:B,"952-246000-200")*INDIRECT(ADDRESS(33,5))</f>
        <v>0</v>
      </c>
      <c r="S33">
        <f>sumifs(s:s,A:A,"总成",B:B,"952-246000-200")*INDIRECT(ADDRESS(33,5))</f>
        <v>0</v>
      </c>
      <c r="T33">
        <f>sumifs(t:t,A:A,"总成",B:B,"952-246000-200")*INDIRECT(ADDRESS(33,5))</f>
        <v>0</v>
      </c>
      <c r="U33">
        <f>sumifs(u:u,A:A,"总成",B:B,"952-246000-200")*INDIRECT(ADDRESS(33,5))</f>
        <v>0</v>
      </c>
      <c r="V33">
        <f>sumifs(v:v,A:A,"总成",B:B,"952-246000-200")*INDIRECT(ADDRESS(33,5))</f>
        <v>0</v>
      </c>
      <c r="W33">
        <f>sumifs(w:w,A:A,"总成",B:B,"952-246000-200")*INDIRECT(ADDRESS(33,5))</f>
        <v>0</v>
      </c>
      <c r="X33">
        <f>sumifs(x:x,A:A,"总成",B:B,"952-246000-200")*INDIRECT(ADDRESS(33,5))</f>
        <v>0</v>
      </c>
      <c r="Y33">
        <f>sumifs(y:y,A:A,"总成",B:B,"952-246000-200")*INDIRECT(ADDRESS(33,5))</f>
        <v>0</v>
      </c>
      <c r="Z33">
        <f>sumifs(z:z,A:A,"总成",B:B,"952-246000-200")*INDIRECT(ADDRESS(33,5))</f>
        <v>0</v>
      </c>
      <c r="AA33">
        <f>sumifs(aa:aa,A:A,"总成",B:B,"952-246000-200")*INDIRECT(ADDRESS(33,5))</f>
        <v>0</v>
      </c>
      <c r="AB33">
        <f>sumifs(ab:ab,A:A,"总成",B:B,"952-246000-200")*INDIRECT(ADDRESS(33,5))</f>
        <v>0</v>
      </c>
      <c r="AC33">
        <f>sumifs(ac:ac,A:A,"总成",B:B,"952-246000-200")*INDIRECT(ADDRESS(33,5))</f>
        <v>0</v>
      </c>
      <c r="AD33">
        <f>sumifs(ad:ad,A:A,"总成",B:B,"952-246000-200")*INDIRECT(ADDRESS(33,5))</f>
        <v>0</v>
      </c>
      <c r="AE33">
        <f>sumifs(ae:ae,A:A,"总成",B:B,"952-246000-200")*INDIRECT(ADDRESS(33,5))</f>
        <v>0</v>
      </c>
      <c r="AF33">
        <f>sumifs(af:af,A:A,"总成",B:B,"952-246000-200")*INDIRECT(ADDRESS(33,5))</f>
        <v>0</v>
      </c>
      <c r="AG33">
        <f>sumifs(ag:ag,A:A,"总成",B:B,"952-246000-200")*INDIRECT(ADDRESS(33,5))</f>
        <v>0</v>
      </c>
      <c r="AH33">
        <f>sumifs(ah:ah,A:A,"总成",B:B,"952-246000-200")*INDIRECT(ADDRESS(33,5))</f>
        <v>0</v>
      </c>
      <c r="AI33">
        <f>sumifs(ai:ai,A:A,"总成",B:B,"952-246000-200")*INDIRECT(ADDRESS(33,5))</f>
        <v>0</v>
      </c>
      <c r="AJ33">
        <f>sumifs(aj:aj,A:A,"总成",B:B,"952-246000-200")*INDIRECT(ADDRESS(33,5))</f>
        <v>0</v>
      </c>
      <c r="AK33">
        <f>sumifs(ak:ak,A:A,"总成",B:B,"952-246000-200")*INDIRECT(ADDRESS(33,5))</f>
        <v>0</v>
      </c>
      <c r="AL33">
        <f>sumifs(al:al,A:A,"总成",B:B,"952-246000-200")*INDIRECT(ADDRESS(33,5))</f>
        <v>0</v>
      </c>
      <c r="AM33">
        <f>sumifs(am:am,A:A,"总成",B:B,"952-246000-200")*INDIRECT(ADDRESS(33,5))</f>
        <v>0</v>
      </c>
      <c r="AN33">
        <f>sumifs(an:an,A:A,"总成",B:B,"952-246000-200")*INDIRECT(ADDRESS(33,5))</f>
        <v>0</v>
      </c>
      <c r="AO33">
        <f>sumifs(ao:ao,A:A,"总成",B:B,"952-246000-200")*INDIRECT(ADDRESS(33,5))</f>
        <v>0</v>
      </c>
      <c r="AP33">
        <f>sumifs(ap:ap,A:A,"总成",B:B,"952-246000-200")*INDIRECT(ADDRESS(33,5))</f>
        <v>0</v>
      </c>
      <c r="AQ33">
        <f>sumifs(aq:aq,A:A,"总成",B:B,"952-246000-200")*INDIRECT(ADDRESS(33,5))</f>
        <v>0</v>
      </c>
      <c r="AR33">
        <f>sumifs(ar:ar,A:A,"总成",B:B,"952-246000-200")*INDIRECT(ADDRESS(33,5))</f>
        <v>0</v>
      </c>
    </row>
    <row r="34" spans="1:44">
      <c r="A34" t="s">
        <v>14</v>
      </c>
      <c r="B34" t="s">
        <v>130</v>
      </c>
      <c r="C34" t="s">
        <v>131</v>
      </c>
      <c r="D34" t="s">
        <v>46</v>
      </c>
      <c r="E34">
        <v>1</v>
      </c>
      <c r="F34" t="s">
        <v>132</v>
      </c>
      <c r="H34" t="s">
        <v>133</v>
      </c>
      <c r="I34">
        <v>20</v>
      </c>
      <c r="K34" t="s">
        <v>20</v>
      </c>
      <c r="L34" t="s">
        <v>21</v>
      </c>
      <c r="M34">
        <f>vlookup("952-247000-100",生产发行表!B:AZ,column(l1),0)</f>
        <v>0</v>
      </c>
      <c r="N34">
        <f>vlookup("952-247000-100",生产发行表!B:AZ,column(m1),0)</f>
        <v>0</v>
      </c>
      <c r="O34">
        <f>vlookup("952-247000-100",生产发行表!B:AZ,column(n1),0)</f>
        <v>0</v>
      </c>
      <c r="P34">
        <f>vlookup("952-247000-100",生产发行表!B:AZ,column(o1),0)</f>
        <v>0</v>
      </c>
      <c r="Q34">
        <f>vlookup("952-247000-100",生产发行表!B:AZ,column(p1),0)</f>
        <v>0</v>
      </c>
      <c r="R34">
        <f>vlookup("952-247000-100",生产发行表!B:AZ,column(q1),0)</f>
        <v>0</v>
      </c>
      <c r="S34">
        <f>vlookup("952-247000-100",生产发行表!B:AZ,column(r1),0)</f>
        <v>0</v>
      </c>
      <c r="T34">
        <f>vlookup("952-247000-100",生产发行表!B:AZ,column(s1),0)</f>
        <v>0</v>
      </c>
      <c r="U34">
        <f>vlookup("952-247000-100",生产发行表!B:AZ,column(t1),0)</f>
        <v>0</v>
      </c>
      <c r="V34">
        <f>vlookup("952-247000-100",生产发行表!B:AZ,column(u1),0)</f>
        <v>0</v>
      </c>
      <c r="W34">
        <f>vlookup("952-247000-100",生产发行表!B:AZ,column(v1),0)</f>
        <v>0</v>
      </c>
      <c r="X34">
        <f>vlookup("952-247000-100",生产发行表!B:AZ,column(w1),0)</f>
        <v>0</v>
      </c>
      <c r="Y34">
        <f>vlookup("952-247000-100",生产发行表!B:AZ,column(x1),0)</f>
        <v>0</v>
      </c>
      <c r="Z34">
        <f>vlookup("952-247000-100",生产发行表!B:AZ,column(y1),0)</f>
        <v>0</v>
      </c>
      <c r="AA34">
        <f>vlookup("952-247000-100",生产发行表!B:AZ,column(z1),0)</f>
        <v>0</v>
      </c>
      <c r="AB34">
        <f>vlookup("952-247000-100",生产发行表!B:AZ,column(aa1),0)</f>
        <v>0</v>
      </c>
      <c r="AC34">
        <f>vlookup("952-247000-100",生产发行表!B:AZ,column(ab1),0)</f>
        <v>0</v>
      </c>
      <c r="AD34">
        <f>vlookup("952-247000-100",生产发行表!B:AZ,column(ac1),0)</f>
        <v>0</v>
      </c>
      <c r="AE34">
        <f>vlookup("952-247000-100",生产发行表!B:AZ,column(ad1),0)</f>
        <v>0</v>
      </c>
      <c r="AF34">
        <f>vlookup("952-247000-100",生产发行表!B:AZ,column(ae1),0)</f>
        <v>0</v>
      </c>
      <c r="AG34">
        <f>vlookup("952-247000-100",生产发行表!B:AZ,column(af1),0)</f>
        <v>0</v>
      </c>
      <c r="AH34">
        <f>vlookup("952-247000-100",生产发行表!B:AZ,column(ag1),0)</f>
        <v>0</v>
      </c>
      <c r="AI34">
        <f>vlookup("952-247000-100",生产发行表!B:AZ,column(ah1),0)</f>
        <v>0</v>
      </c>
      <c r="AJ34">
        <f>vlookup("952-247000-100",生产发行表!B:AZ,column(ai1),0)</f>
        <v>0</v>
      </c>
      <c r="AK34">
        <f>vlookup("952-247000-100",生产发行表!B:AZ,column(aj1),0)</f>
        <v>0</v>
      </c>
      <c r="AL34">
        <f>vlookup("952-247000-100",生产发行表!B:AZ,column(ak1),0)</f>
        <v>0</v>
      </c>
      <c r="AM34">
        <f>vlookup("952-247000-100",生产发行表!B:AZ,column(al1),0)</f>
        <v>0</v>
      </c>
      <c r="AN34">
        <f>vlookup("952-247000-100",生产发行表!B:AZ,column(am1),0)</f>
        <v>0</v>
      </c>
      <c r="AO34">
        <f>vlookup("952-247000-100",生产发行表!B:AZ,column(an1),0)</f>
        <v>0</v>
      </c>
      <c r="AP34">
        <f>vlookup("952-247000-100",生产发行表!B:AZ,column(ao1),0)</f>
        <v>0</v>
      </c>
      <c r="AQ34">
        <f>vlookup("952-247000-100",生产发行表!B:AZ,column(ap1),0)</f>
        <v>0</v>
      </c>
      <c r="AR34">
        <f>vlookup("952-247000-100",生产发行表!B:AZ,column(aq1),0)</f>
        <v>0</v>
      </c>
    </row>
    <row r="35" spans="1:44">
      <c r="A35" t="s">
        <v>31</v>
      </c>
      <c r="B35" t="s">
        <v>134</v>
      </c>
      <c r="C35" t="s">
        <v>135</v>
      </c>
      <c r="D35" t="s">
        <v>17</v>
      </c>
      <c r="E35">
        <v>1</v>
      </c>
      <c r="F35" t="s">
        <v>136</v>
      </c>
      <c r="H35" t="s">
        <v>35</v>
      </c>
      <c r="I35" t="s">
        <v>36</v>
      </c>
      <c r="K35" t="s">
        <v>20</v>
      </c>
      <c r="L35" t="s">
        <v>37</v>
      </c>
      <c r="M35">
        <f>sumifs(m:m,A:A,"总成",B:B,"952-247000-100")*INDIRECT(ADDRESS(35,5))</f>
        <v>0</v>
      </c>
      <c r="N35">
        <f>sumifs(n:n,A:A,"总成",B:B,"952-247000-100")*INDIRECT(ADDRESS(35,5))</f>
        <v>0</v>
      </c>
      <c r="O35">
        <f>sumifs(o:o,A:A,"总成",B:B,"952-247000-100")*INDIRECT(ADDRESS(35,5))</f>
        <v>0</v>
      </c>
      <c r="P35">
        <f>sumifs(p:p,A:A,"总成",B:B,"952-247000-100")*INDIRECT(ADDRESS(35,5))</f>
        <v>0</v>
      </c>
      <c r="Q35">
        <f>sumifs(q:q,A:A,"总成",B:B,"952-247000-100")*INDIRECT(ADDRESS(35,5))</f>
        <v>0</v>
      </c>
      <c r="R35">
        <f>sumifs(r:r,A:A,"总成",B:B,"952-247000-100")*INDIRECT(ADDRESS(35,5))</f>
        <v>0</v>
      </c>
      <c r="S35">
        <f>sumifs(s:s,A:A,"总成",B:B,"952-247000-100")*INDIRECT(ADDRESS(35,5))</f>
        <v>0</v>
      </c>
      <c r="T35">
        <f>sumifs(t:t,A:A,"总成",B:B,"952-247000-100")*INDIRECT(ADDRESS(35,5))</f>
        <v>0</v>
      </c>
      <c r="U35">
        <f>sumifs(u:u,A:A,"总成",B:B,"952-247000-100")*INDIRECT(ADDRESS(35,5))</f>
        <v>0</v>
      </c>
      <c r="V35">
        <f>sumifs(v:v,A:A,"总成",B:B,"952-247000-100")*INDIRECT(ADDRESS(35,5))</f>
        <v>0</v>
      </c>
      <c r="W35">
        <f>sumifs(w:w,A:A,"总成",B:B,"952-247000-100")*INDIRECT(ADDRESS(35,5))</f>
        <v>0</v>
      </c>
      <c r="X35">
        <f>sumifs(x:x,A:A,"总成",B:B,"952-247000-100")*INDIRECT(ADDRESS(35,5))</f>
        <v>0</v>
      </c>
      <c r="Y35">
        <f>sumifs(y:y,A:A,"总成",B:B,"952-247000-100")*INDIRECT(ADDRESS(35,5))</f>
        <v>0</v>
      </c>
      <c r="Z35">
        <f>sumifs(z:z,A:A,"总成",B:B,"952-247000-100")*INDIRECT(ADDRESS(35,5))</f>
        <v>0</v>
      </c>
      <c r="AA35">
        <f>sumifs(aa:aa,A:A,"总成",B:B,"952-247000-100")*INDIRECT(ADDRESS(35,5))</f>
        <v>0</v>
      </c>
      <c r="AB35">
        <f>sumifs(ab:ab,A:A,"总成",B:B,"952-247000-100")*INDIRECT(ADDRESS(35,5))</f>
        <v>0</v>
      </c>
      <c r="AC35">
        <f>sumifs(ac:ac,A:A,"总成",B:B,"952-247000-100")*INDIRECT(ADDRESS(35,5))</f>
        <v>0</v>
      </c>
      <c r="AD35">
        <f>sumifs(ad:ad,A:A,"总成",B:B,"952-247000-100")*INDIRECT(ADDRESS(35,5))</f>
        <v>0</v>
      </c>
      <c r="AE35">
        <f>sumifs(ae:ae,A:A,"总成",B:B,"952-247000-100")*INDIRECT(ADDRESS(35,5))</f>
        <v>0</v>
      </c>
      <c r="AF35">
        <f>sumifs(af:af,A:A,"总成",B:B,"952-247000-100")*INDIRECT(ADDRESS(35,5))</f>
        <v>0</v>
      </c>
      <c r="AG35">
        <f>sumifs(ag:ag,A:A,"总成",B:B,"952-247000-100")*INDIRECT(ADDRESS(35,5))</f>
        <v>0</v>
      </c>
      <c r="AH35">
        <f>sumifs(ah:ah,A:A,"总成",B:B,"952-247000-100")*INDIRECT(ADDRESS(35,5))</f>
        <v>0</v>
      </c>
      <c r="AI35">
        <f>sumifs(ai:ai,A:A,"总成",B:B,"952-247000-100")*INDIRECT(ADDRESS(35,5))</f>
        <v>0</v>
      </c>
      <c r="AJ35">
        <f>sumifs(aj:aj,A:A,"总成",B:B,"952-247000-100")*INDIRECT(ADDRESS(35,5))</f>
        <v>0</v>
      </c>
      <c r="AK35">
        <f>sumifs(ak:ak,A:A,"总成",B:B,"952-247000-100")*INDIRECT(ADDRESS(35,5))</f>
        <v>0</v>
      </c>
      <c r="AL35">
        <f>sumifs(al:al,A:A,"总成",B:B,"952-247000-100")*INDIRECT(ADDRESS(35,5))</f>
        <v>0</v>
      </c>
      <c r="AM35">
        <f>sumifs(am:am,A:A,"总成",B:B,"952-247000-100")*INDIRECT(ADDRESS(35,5))</f>
        <v>0</v>
      </c>
      <c r="AN35">
        <f>sumifs(an:an,A:A,"总成",B:B,"952-247000-100")*INDIRECT(ADDRESS(35,5))</f>
        <v>0</v>
      </c>
      <c r="AO35">
        <f>sumifs(ao:ao,A:A,"总成",B:B,"952-247000-100")*INDIRECT(ADDRESS(35,5))</f>
        <v>0</v>
      </c>
      <c r="AP35">
        <f>sumifs(ap:ap,A:A,"总成",B:B,"952-247000-100")*INDIRECT(ADDRESS(35,5))</f>
        <v>0</v>
      </c>
      <c r="AQ35">
        <f>sumifs(aq:aq,A:A,"总成",B:B,"952-247000-100")*INDIRECT(ADDRESS(35,5))</f>
        <v>0</v>
      </c>
      <c r="AR35">
        <f>sumifs(ar:ar,A:A,"总成",B:B,"952-247000-100")*INDIRECT(ADDRESS(35,5))</f>
        <v>0</v>
      </c>
    </row>
    <row r="36" spans="1:44">
      <c r="A36" t="s">
        <v>14</v>
      </c>
      <c r="B36" t="s">
        <v>137</v>
      </c>
      <c r="C36" t="s">
        <v>138</v>
      </c>
      <c r="D36" t="s">
        <v>46</v>
      </c>
      <c r="E36">
        <v>1</v>
      </c>
      <c r="F36" t="s">
        <v>139</v>
      </c>
      <c r="H36" t="s">
        <v>133</v>
      </c>
      <c r="I36">
        <v>20</v>
      </c>
      <c r="K36" t="s">
        <v>20</v>
      </c>
      <c r="L36" t="s">
        <v>21</v>
      </c>
      <c r="M36">
        <f>vlookup("952-247000-200",生产发行表!B:AZ,column(l1),0)</f>
        <v>0</v>
      </c>
      <c r="N36">
        <f>vlookup("952-247000-200",生产发行表!B:AZ,column(m1),0)</f>
        <v>0</v>
      </c>
      <c r="O36">
        <f>vlookup("952-247000-200",生产发行表!B:AZ,column(n1),0)</f>
        <v>0</v>
      </c>
      <c r="P36">
        <f>vlookup("952-247000-200",生产发行表!B:AZ,column(o1),0)</f>
        <v>0</v>
      </c>
      <c r="Q36">
        <f>vlookup("952-247000-200",生产发行表!B:AZ,column(p1),0)</f>
        <v>0</v>
      </c>
      <c r="R36">
        <f>vlookup("952-247000-200",生产发行表!B:AZ,column(q1),0)</f>
        <v>0</v>
      </c>
      <c r="S36">
        <f>vlookup("952-247000-200",生产发行表!B:AZ,column(r1),0)</f>
        <v>0</v>
      </c>
      <c r="T36">
        <f>vlookup("952-247000-200",生产发行表!B:AZ,column(s1),0)</f>
        <v>0</v>
      </c>
      <c r="U36">
        <f>vlookup("952-247000-200",生产发行表!B:AZ,column(t1),0)</f>
        <v>0</v>
      </c>
      <c r="V36">
        <f>vlookup("952-247000-200",生产发行表!B:AZ,column(u1),0)</f>
        <v>0</v>
      </c>
      <c r="W36">
        <f>vlookup("952-247000-200",生产发行表!B:AZ,column(v1),0)</f>
        <v>0</v>
      </c>
      <c r="X36">
        <f>vlookup("952-247000-200",生产发行表!B:AZ,column(w1),0)</f>
        <v>0</v>
      </c>
      <c r="Y36">
        <f>vlookup("952-247000-200",生产发行表!B:AZ,column(x1),0)</f>
        <v>0</v>
      </c>
      <c r="Z36">
        <f>vlookup("952-247000-200",生产发行表!B:AZ,column(y1),0)</f>
        <v>0</v>
      </c>
      <c r="AA36">
        <f>vlookup("952-247000-200",生产发行表!B:AZ,column(z1),0)</f>
        <v>0</v>
      </c>
      <c r="AB36">
        <f>vlookup("952-247000-200",生产发行表!B:AZ,column(aa1),0)</f>
        <v>0</v>
      </c>
      <c r="AC36">
        <f>vlookup("952-247000-200",生产发行表!B:AZ,column(ab1),0)</f>
        <v>0</v>
      </c>
      <c r="AD36">
        <f>vlookup("952-247000-200",生产发行表!B:AZ,column(ac1),0)</f>
        <v>0</v>
      </c>
      <c r="AE36">
        <f>vlookup("952-247000-200",生产发行表!B:AZ,column(ad1),0)</f>
        <v>0</v>
      </c>
      <c r="AF36">
        <f>vlookup("952-247000-200",生产发行表!B:AZ,column(ae1),0)</f>
        <v>0</v>
      </c>
      <c r="AG36">
        <f>vlookup("952-247000-200",生产发行表!B:AZ,column(af1),0)</f>
        <v>0</v>
      </c>
      <c r="AH36">
        <f>vlookup("952-247000-200",生产发行表!B:AZ,column(ag1),0)</f>
        <v>0</v>
      </c>
      <c r="AI36">
        <f>vlookup("952-247000-200",生产发行表!B:AZ,column(ah1),0)</f>
        <v>0</v>
      </c>
      <c r="AJ36">
        <f>vlookup("952-247000-200",生产发行表!B:AZ,column(ai1),0)</f>
        <v>0</v>
      </c>
      <c r="AK36">
        <f>vlookup("952-247000-200",生产发行表!B:AZ,column(aj1),0)</f>
        <v>0</v>
      </c>
      <c r="AL36">
        <f>vlookup("952-247000-200",生产发行表!B:AZ,column(ak1),0)</f>
        <v>0</v>
      </c>
      <c r="AM36">
        <f>vlookup("952-247000-200",生产发行表!B:AZ,column(al1),0)</f>
        <v>0</v>
      </c>
      <c r="AN36">
        <f>vlookup("952-247000-200",生产发行表!B:AZ,column(am1),0)</f>
        <v>0</v>
      </c>
      <c r="AO36">
        <f>vlookup("952-247000-200",生产发行表!B:AZ,column(an1),0)</f>
        <v>0</v>
      </c>
      <c r="AP36">
        <f>vlookup("952-247000-200",生产发行表!B:AZ,column(ao1),0)</f>
        <v>0</v>
      </c>
      <c r="AQ36">
        <f>vlookup("952-247000-200",生产发行表!B:AZ,column(ap1),0)</f>
        <v>0</v>
      </c>
      <c r="AR36">
        <f>vlookup("952-247000-200",生产发行表!B:AZ,column(aq1),0)</f>
        <v>0</v>
      </c>
    </row>
    <row r="37" spans="1:44">
      <c r="A37" t="s">
        <v>31</v>
      </c>
      <c r="B37" t="s">
        <v>140</v>
      </c>
      <c r="C37" t="s">
        <v>141</v>
      </c>
      <c r="D37" t="s">
        <v>17</v>
      </c>
      <c r="E37">
        <v>1</v>
      </c>
      <c r="F37" t="s">
        <v>142</v>
      </c>
      <c r="H37" t="s">
        <v>35</v>
      </c>
      <c r="I37" t="s">
        <v>36</v>
      </c>
      <c r="K37" t="s">
        <v>20</v>
      </c>
      <c r="L37" t="s">
        <v>37</v>
      </c>
      <c r="M37">
        <f>sumifs(m:m,A:A,"总成",B:B,"952-247000-200")*INDIRECT(ADDRESS(37,5))</f>
        <v>0</v>
      </c>
      <c r="N37">
        <f>sumifs(n:n,A:A,"总成",B:B,"952-247000-200")*INDIRECT(ADDRESS(37,5))</f>
        <v>0</v>
      </c>
      <c r="O37">
        <f>sumifs(o:o,A:A,"总成",B:B,"952-247000-200")*INDIRECT(ADDRESS(37,5))</f>
        <v>0</v>
      </c>
      <c r="P37">
        <f>sumifs(p:p,A:A,"总成",B:B,"952-247000-200")*INDIRECT(ADDRESS(37,5))</f>
        <v>0</v>
      </c>
      <c r="Q37">
        <f>sumifs(q:q,A:A,"总成",B:B,"952-247000-200")*INDIRECT(ADDRESS(37,5))</f>
        <v>0</v>
      </c>
      <c r="R37">
        <f>sumifs(r:r,A:A,"总成",B:B,"952-247000-200")*INDIRECT(ADDRESS(37,5))</f>
        <v>0</v>
      </c>
      <c r="S37">
        <f>sumifs(s:s,A:A,"总成",B:B,"952-247000-200")*INDIRECT(ADDRESS(37,5))</f>
        <v>0</v>
      </c>
      <c r="T37">
        <f>sumifs(t:t,A:A,"总成",B:B,"952-247000-200")*INDIRECT(ADDRESS(37,5))</f>
        <v>0</v>
      </c>
      <c r="U37">
        <f>sumifs(u:u,A:A,"总成",B:B,"952-247000-200")*INDIRECT(ADDRESS(37,5))</f>
        <v>0</v>
      </c>
      <c r="V37">
        <f>sumifs(v:v,A:A,"总成",B:B,"952-247000-200")*INDIRECT(ADDRESS(37,5))</f>
        <v>0</v>
      </c>
      <c r="W37">
        <f>sumifs(w:w,A:A,"总成",B:B,"952-247000-200")*INDIRECT(ADDRESS(37,5))</f>
        <v>0</v>
      </c>
      <c r="X37">
        <f>sumifs(x:x,A:A,"总成",B:B,"952-247000-200")*INDIRECT(ADDRESS(37,5))</f>
        <v>0</v>
      </c>
      <c r="Y37">
        <f>sumifs(y:y,A:A,"总成",B:B,"952-247000-200")*INDIRECT(ADDRESS(37,5))</f>
        <v>0</v>
      </c>
      <c r="Z37">
        <f>sumifs(z:z,A:A,"总成",B:B,"952-247000-200")*INDIRECT(ADDRESS(37,5))</f>
        <v>0</v>
      </c>
      <c r="AA37">
        <f>sumifs(aa:aa,A:A,"总成",B:B,"952-247000-200")*INDIRECT(ADDRESS(37,5))</f>
        <v>0</v>
      </c>
      <c r="AB37">
        <f>sumifs(ab:ab,A:A,"总成",B:B,"952-247000-200")*INDIRECT(ADDRESS(37,5))</f>
        <v>0</v>
      </c>
      <c r="AC37">
        <f>sumifs(ac:ac,A:A,"总成",B:B,"952-247000-200")*INDIRECT(ADDRESS(37,5))</f>
        <v>0</v>
      </c>
      <c r="AD37">
        <f>sumifs(ad:ad,A:A,"总成",B:B,"952-247000-200")*INDIRECT(ADDRESS(37,5))</f>
        <v>0</v>
      </c>
      <c r="AE37">
        <f>sumifs(ae:ae,A:A,"总成",B:B,"952-247000-200")*INDIRECT(ADDRESS(37,5))</f>
        <v>0</v>
      </c>
      <c r="AF37">
        <f>sumifs(af:af,A:A,"总成",B:B,"952-247000-200")*INDIRECT(ADDRESS(37,5))</f>
        <v>0</v>
      </c>
      <c r="AG37">
        <f>sumifs(ag:ag,A:A,"总成",B:B,"952-247000-200")*INDIRECT(ADDRESS(37,5))</f>
        <v>0</v>
      </c>
      <c r="AH37">
        <f>sumifs(ah:ah,A:A,"总成",B:B,"952-247000-200")*INDIRECT(ADDRESS(37,5))</f>
        <v>0</v>
      </c>
      <c r="AI37">
        <f>sumifs(ai:ai,A:A,"总成",B:B,"952-247000-200")*INDIRECT(ADDRESS(37,5))</f>
        <v>0</v>
      </c>
      <c r="AJ37">
        <f>sumifs(aj:aj,A:A,"总成",B:B,"952-247000-200")*INDIRECT(ADDRESS(37,5))</f>
        <v>0</v>
      </c>
      <c r="AK37">
        <f>sumifs(ak:ak,A:A,"总成",B:B,"952-247000-200")*INDIRECT(ADDRESS(37,5))</f>
        <v>0</v>
      </c>
      <c r="AL37">
        <f>sumifs(al:al,A:A,"总成",B:B,"952-247000-200")*INDIRECT(ADDRESS(37,5))</f>
        <v>0</v>
      </c>
      <c r="AM37">
        <f>sumifs(am:am,A:A,"总成",B:B,"952-247000-200")*INDIRECT(ADDRESS(37,5))</f>
        <v>0</v>
      </c>
      <c r="AN37">
        <f>sumifs(an:an,A:A,"总成",B:B,"952-247000-200")*INDIRECT(ADDRESS(37,5))</f>
        <v>0</v>
      </c>
      <c r="AO37">
        <f>sumifs(ao:ao,A:A,"总成",B:B,"952-247000-200")*INDIRECT(ADDRESS(37,5))</f>
        <v>0</v>
      </c>
      <c r="AP37">
        <f>sumifs(ap:ap,A:A,"总成",B:B,"952-247000-200")*INDIRECT(ADDRESS(37,5))</f>
        <v>0</v>
      </c>
      <c r="AQ37">
        <f>sumifs(aq:aq,A:A,"总成",B:B,"952-247000-200")*INDIRECT(ADDRESS(37,5))</f>
        <v>0</v>
      </c>
      <c r="AR37">
        <f>sumifs(ar:ar,A:A,"总成",B:B,"952-247000-200")*INDIRECT(ADDRESS(37,5))</f>
        <v>0</v>
      </c>
    </row>
    <row r="38" spans="1:44">
      <c r="A38" t="s">
        <v>14</v>
      </c>
      <c r="B38" t="s">
        <v>143</v>
      </c>
      <c r="C38" t="s">
        <v>144</v>
      </c>
      <c r="D38" t="s">
        <v>46</v>
      </c>
      <c r="E38">
        <v>1</v>
      </c>
      <c r="F38" t="s">
        <v>145</v>
      </c>
      <c r="H38" t="s">
        <v>146</v>
      </c>
      <c r="I38">
        <v>10</v>
      </c>
      <c r="K38" t="s">
        <v>20</v>
      </c>
      <c r="L38" t="s">
        <v>21</v>
      </c>
      <c r="M38">
        <f>vlookup("952-248000-100",生产发行表!B:AZ,column(l1),0)</f>
        <v>0</v>
      </c>
      <c r="N38">
        <f>vlookup("952-248000-100",生产发行表!B:AZ,column(m1),0)</f>
        <v>0</v>
      </c>
      <c r="O38">
        <f>vlookup("952-248000-100",生产发行表!B:AZ,column(n1),0)</f>
        <v>0</v>
      </c>
      <c r="P38">
        <f>vlookup("952-248000-100",生产发行表!B:AZ,column(o1),0)</f>
        <v>0</v>
      </c>
      <c r="Q38">
        <f>vlookup("952-248000-100",生产发行表!B:AZ,column(p1),0)</f>
        <v>0</v>
      </c>
      <c r="R38">
        <f>vlookup("952-248000-100",生产发行表!B:AZ,column(q1),0)</f>
        <v>0</v>
      </c>
      <c r="S38">
        <f>vlookup("952-248000-100",生产发行表!B:AZ,column(r1),0)</f>
        <v>0</v>
      </c>
      <c r="T38">
        <f>vlookup("952-248000-100",生产发行表!B:AZ,column(s1),0)</f>
        <v>0</v>
      </c>
      <c r="U38">
        <f>vlookup("952-248000-100",生产发行表!B:AZ,column(t1),0)</f>
        <v>0</v>
      </c>
      <c r="V38">
        <f>vlookup("952-248000-100",生产发行表!B:AZ,column(u1),0)</f>
        <v>0</v>
      </c>
      <c r="W38">
        <f>vlookup("952-248000-100",生产发行表!B:AZ,column(v1),0)</f>
        <v>0</v>
      </c>
      <c r="X38">
        <f>vlookup("952-248000-100",生产发行表!B:AZ,column(w1),0)</f>
        <v>0</v>
      </c>
      <c r="Y38">
        <f>vlookup("952-248000-100",生产发行表!B:AZ,column(x1),0)</f>
        <v>0</v>
      </c>
      <c r="Z38">
        <f>vlookup("952-248000-100",生产发行表!B:AZ,column(y1),0)</f>
        <v>0</v>
      </c>
      <c r="AA38">
        <f>vlookup("952-248000-100",生产发行表!B:AZ,column(z1),0)</f>
        <v>0</v>
      </c>
      <c r="AB38">
        <f>vlookup("952-248000-100",生产发行表!B:AZ,column(aa1),0)</f>
        <v>0</v>
      </c>
      <c r="AC38">
        <f>vlookup("952-248000-100",生产发行表!B:AZ,column(ab1),0)</f>
        <v>0</v>
      </c>
      <c r="AD38">
        <f>vlookup("952-248000-100",生产发行表!B:AZ,column(ac1),0)</f>
        <v>0</v>
      </c>
      <c r="AE38">
        <f>vlookup("952-248000-100",生产发行表!B:AZ,column(ad1),0)</f>
        <v>0</v>
      </c>
      <c r="AF38">
        <f>vlookup("952-248000-100",生产发行表!B:AZ,column(ae1),0)</f>
        <v>0</v>
      </c>
      <c r="AG38">
        <f>vlookup("952-248000-100",生产发行表!B:AZ,column(af1),0)</f>
        <v>0</v>
      </c>
      <c r="AH38">
        <f>vlookup("952-248000-100",生产发行表!B:AZ,column(ag1),0)</f>
        <v>0</v>
      </c>
      <c r="AI38">
        <f>vlookup("952-248000-100",生产发行表!B:AZ,column(ah1),0)</f>
        <v>0</v>
      </c>
      <c r="AJ38">
        <f>vlookup("952-248000-100",生产发行表!B:AZ,column(ai1),0)</f>
        <v>0</v>
      </c>
      <c r="AK38">
        <f>vlookup("952-248000-100",生产发行表!B:AZ,column(aj1),0)</f>
        <v>0</v>
      </c>
      <c r="AL38">
        <f>vlookup("952-248000-100",生产发行表!B:AZ,column(ak1),0)</f>
        <v>0</v>
      </c>
      <c r="AM38">
        <f>vlookup("952-248000-100",生产发行表!B:AZ,column(al1),0)</f>
        <v>0</v>
      </c>
      <c r="AN38">
        <f>vlookup("952-248000-100",生产发行表!B:AZ,column(am1),0)</f>
        <v>0</v>
      </c>
      <c r="AO38">
        <f>vlookup("952-248000-100",生产发行表!B:AZ,column(an1),0)</f>
        <v>0</v>
      </c>
      <c r="AP38">
        <f>vlookup("952-248000-100",生产发行表!B:AZ,column(ao1),0)</f>
        <v>0</v>
      </c>
      <c r="AQ38">
        <f>vlookup("952-248000-100",生产发行表!B:AZ,column(ap1),0)</f>
        <v>0</v>
      </c>
      <c r="AR38">
        <f>vlookup("952-248000-100",生产发行表!B:AZ,column(aq1),0)</f>
        <v>0</v>
      </c>
    </row>
    <row r="39" spans="1:44">
      <c r="A39" t="s">
        <v>31</v>
      </c>
      <c r="B39" t="s">
        <v>147</v>
      </c>
      <c r="C39" t="s">
        <v>148</v>
      </c>
      <c r="D39" t="s">
        <v>17</v>
      </c>
      <c r="E39">
        <v>1</v>
      </c>
      <c r="F39" t="s">
        <v>149</v>
      </c>
      <c r="H39" t="s">
        <v>35</v>
      </c>
      <c r="I39" t="s">
        <v>36</v>
      </c>
      <c r="K39" t="s">
        <v>20</v>
      </c>
      <c r="L39" t="s">
        <v>37</v>
      </c>
      <c r="M39">
        <f>sumifs(m:m,A:A,"总成",B:B,"952-248000-100")*INDIRECT(ADDRESS(39,5))</f>
        <v>0</v>
      </c>
      <c r="N39">
        <f>sumifs(n:n,A:A,"总成",B:B,"952-248000-100")*INDIRECT(ADDRESS(39,5))</f>
        <v>0</v>
      </c>
      <c r="O39">
        <f>sumifs(o:o,A:A,"总成",B:B,"952-248000-100")*INDIRECT(ADDRESS(39,5))</f>
        <v>0</v>
      </c>
      <c r="P39">
        <f>sumifs(p:p,A:A,"总成",B:B,"952-248000-100")*INDIRECT(ADDRESS(39,5))</f>
        <v>0</v>
      </c>
      <c r="Q39">
        <f>sumifs(q:q,A:A,"总成",B:B,"952-248000-100")*INDIRECT(ADDRESS(39,5))</f>
        <v>0</v>
      </c>
      <c r="R39">
        <f>sumifs(r:r,A:A,"总成",B:B,"952-248000-100")*INDIRECT(ADDRESS(39,5))</f>
        <v>0</v>
      </c>
      <c r="S39">
        <f>sumifs(s:s,A:A,"总成",B:B,"952-248000-100")*INDIRECT(ADDRESS(39,5))</f>
        <v>0</v>
      </c>
      <c r="T39">
        <f>sumifs(t:t,A:A,"总成",B:B,"952-248000-100")*INDIRECT(ADDRESS(39,5))</f>
        <v>0</v>
      </c>
      <c r="U39">
        <f>sumifs(u:u,A:A,"总成",B:B,"952-248000-100")*INDIRECT(ADDRESS(39,5))</f>
        <v>0</v>
      </c>
      <c r="V39">
        <f>sumifs(v:v,A:A,"总成",B:B,"952-248000-100")*INDIRECT(ADDRESS(39,5))</f>
        <v>0</v>
      </c>
      <c r="W39">
        <f>sumifs(w:w,A:A,"总成",B:B,"952-248000-100")*INDIRECT(ADDRESS(39,5))</f>
        <v>0</v>
      </c>
      <c r="X39">
        <f>sumifs(x:x,A:A,"总成",B:B,"952-248000-100")*INDIRECT(ADDRESS(39,5))</f>
        <v>0</v>
      </c>
      <c r="Y39">
        <f>sumifs(y:y,A:A,"总成",B:B,"952-248000-100")*INDIRECT(ADDRESS(39,5))</f>
        <v>0</v>
      </c>
      <c r="Z39">
        <f>sumifs(z:z,A:A,"总成",B:B,"952-248000-100")*INDIRECT(ADDRESS(39,5))</f>
        <v>0</v>
      </c>
      <c r="AA39">
        <f>sumifs(aa:aa,A:A,"总成",B:B,"952-248000-100")*INDIRECT(ADDRESS(39,5))</f>
        <v>0</v>
      </c>
      <c r="AB39">
        <f>sumifs(ab:ab,A:A,"总成",B:B,"952-248000-100")*INDIRECT(ADDRESS(39,5))</f>
        <v>0</v>
      </c>
      <c r="AC39">
        <f>sumifs(ac:ac,A:A,"总成",B:B,"952-248000-100")*INDIRECT(ADDRESS(39,5))</f>
        <v>0</v>
      </c>
      <c r="AD39">
        <f>sumifs(ad:ad,A:A,"总成",B:B,"952-248000-100")*INDIRECT(ADDRESS(39,5))</f>
        <v>0</v>
      </c>
      <c r="AE39">
        <f>sumifs(ae:ae,A:A,"总成",B:B,"952-248000-100")*INDIRECT(ADDRESS(39,5))</f>
        <v>0</v>
      </c>
      <c r="AF39">
        <f>sumifs(af:af,A:A,"总成",B:B,"952-248000-100")*INDIRECT(ADDRESS(39,5))</f>
        <v>0</v>
      </c>
      <c r="AG39">
        <f>sumifs(ag:ag,A:A,"总成",B:B,"952-248000-100")*INDIRECT(ADDRESS(39,5))</f>
        <v>0</v>
      </c>
      <c r="AH39">
        <f>sumifs(ah:ah,A:A,"总成",B:B,"952-248000-100")*INDIRECT(ADDRESS(39,5))</f>
        <v>0</v>
      </c>
      <c r="AI39">
        <f>sumifs(ai:ai,A:A,"总成",B:B,"952-248000-100")*INDIRECT(ADDRESS(39,5))</f>
        <v>0</v>
      </c>
      <c r="AJ39">
        <f>sumifs(aj:aj,A:A,"总成",B:B,"952-248000-100")*INDIRECT(ADDRESS(39,5))</f>
        <v>0</v>
      </c>
      <c r="AK39">
        <f>sumifs(ak:ak,A:A,"总成",B:B,"952-248000-100")*INDIRECT(ADDRESS(39,5))</f>
        <v>0</v>
      </c>
      <c r="AL39">
        <f>sumifs(al:al,A:A,"总成",B:B,"952-248000-100")*INDIRECT(ADDRESS(39,5))</f>
        <v>0</v>
      </c>
      <c r="AM39">
        <f>sumifs(am:am,A:A,"总成",B:B,"952-248000-100")*INDIRECT(ADDRESS(39,5))</f>
        <v>0</v>
      </c>
      <c r="AN39">
        <f>sumifs(an:an,A:A,"总成",B:B,"952-248000-100")*INDIRECT(ADDRESS(39,5))</f>
        <v>0</v>
      </c>
      <c r="AO39">
        <f>sumifs(ao:ao,A:A,"总成",B:B,"952-248000-100")*INDIRECT(ADDRESS(39,5))</f>
        <v>0</v>
      </c>
      <c r="AP39">
        <f>sumifs(ap:ap,A:A,"总成",B:B,"952-248000-100")*INDIRECT(ADDRESS(39,5))</f>
        <v>0</v>
      </c>
      <c r="AQ39">
        <f>sumifs(aq:aq,A:A,"总成",B:B,"952-248000-100")*INDIRECT(ADDRESS(39,5))</f>
        <v>0</v>
      </c>
      <c r="AR39">
        <f>sumifs(ar:ar,A:A,"总成",B:B,"952-248000-100")*INDIRECT(ADDRESS(39,5))</f>
        <v>0</v>
      </c>
    </row>
    <row r="40" spans="1:44">
      <c r="A40" t="s">
        <v>14</v>
      </c>
      <c r="B40" t="s">
        <v>150</v>
      </c>
      <c r="C40" t="s">
        <v>151</v>
      </c>
      <c r="D40" t="s">
        <v>46</v>
      </c>
      <c r="E40">
        <v>1</v>
      </c>
      <c r="F40" t="s">
        <v>152</v>
      </c>
      <c r="H40" t="s">
        <v>153</v>
      </c>
      <c r="I40">
        <v>10</v>
      </c>
      <c r="K40" t="s">
        <v>20</v>
      </c>
      <c r="L40" t="s">
        <v>21</v>
      </c>
      <c r="M40">
        <f>vlookup("952-248000-200",生产发行表!B:AZ,column(l1),0)</f>
        <v>0</v>
      </c>
      <c r="N40">
        <f>vlookup("952-248000-200",生产发行表!B:AZ,column(m1),0)</f>
        <v>0</v>
      </c>
      <c r="O40">
        <f>vlookup("952-248000-200",生产发行表!B:AZ,column(n1),0)</f>
        <v>0</v>
      </c>
      <c r="P40">
        <f>vlookup("952-248000-200",生产发行表!B:AZ,column(o1),0)</f>
        <v>0</v>
      </c>
      <c r="Q40">
        <f>vlookup("952-248000-200",生产发行表!B:AZ,column(p1),0)</f>
        <v>0</v>
      </c>
      <c r="R40">
        <f>vlookup("952-248000-200",生产发行表!B:AZ,column(q1),0)</f>
        <v>0</v>
      </c>
      <c r="S40">
        <f>vlookup("952-248000-200",生产发行表!B:AZ,column(r1),0)</f>
        <v>0</v>
      </c>
      <c r="T40">
        <f>vlookup("952-248000-200",生产发行表!B:AZ,column(s1),0)</f>
        <v>0</v>
      </c>
      <c r="U40">
        <f>vlookup("952-248000-200",生产发行表!B:AZ,column(t1),0)</f>
        <v>0</v>
      </c>
      <c r="V40">
        <f>vlookup("952-248000-200",生产发行表!B:AZ,column(u1),0)</f>
        <v>0</v>
      </c>
      <c r="W40">
        <f>vlookup("952-248000-200",生产发行表!B:AZ,column(v1),0)</f>
        <v>0</v>
      </c>
      <c r="X40">
        <f>vlookup("952-248000-200",生产发行表!B:AZ,column(w1),0)</f>
        <v>0</v>
      </c>
      <c r="Y40">
        <f>vlookup("952-248000-200",生产发行表!B:AZ,column(x1),0)</f>
        <v>0</v>
      </c>
      <c r="Z40">
        <f>vlookup("952-248000-200",生产发行表!B:AZ,column(y1),0)</f>
        <v>0</v>
      </c>
      <c r="AA40">
        <f>vlookup("952-248000-200",生产发行表!B:AZ,column(z1),0)</f>
        <v>0</v>
      </c>
      <c r="AB40">
        <f>vlookup("952-248000-200",生产发行表!B:AZ,column(aa1),0)</f>
        <v>0</v>
      </c>
      <c r="AC40">
        <f>vlookup("952-248000-200",生产发行表!B:AZ,column(ab1),0)</f>
        <v>0</v>
      </c>
      <c r="AD40">
        <f>vlookup("952-248000-200",生产发行表!B:AZ,column(ac1),0)</f>
        <v>0</v>
      </c>
      <c r="AE40">
        <f>vlookup("952-248000-200",生产发行表!B:AZ,column(ad1),0)</f>
        <v>0</v>
      </c>
      <c r="AF40">
        <f>vlookup("952-248000-200",生产发行表!B:AZ,column(ae1),0)</f>
        <v>0</v>
      </c>
      <c r="AG40">
        <f>vlookup("952-248000-200",生产发行表!B:AZ,column(af1),0)</f>
        <v>0</v>
      </c>
      <c r="AH40">
        <f>vlookup("952-248000-200",生产发行表!B:AZ,column(ag1),0)</f>
        <v>0</v>
      </c>
      <c r="AI40">
        <f>vlookup("952-248000-200",生产发行表!B:AZ,column(ah1),0)</f>
        <v>0</v>
      </c>
      <c r="AJ40">
        <f>vlookup("952-248000-200",生产发行表!B:AZ,column(ai1),0)</f>
        <v>0</v>
      </c>
      <c r="AK40">
        <f>vlookup("952-248000-200",生产发行表!B:AZ,column(aj1),0)</f>
        <v>0</v>
      </c>
      <c r="AL40">
        <f>vlookup("952-248000-200",生产发行表!B:AZ,column(ak1),0)</f>
        <v>0</v>
      </c>
      <c r="AM40">
        <f>vlookup("952-248000-200",生产发行表!B:AZ,column(al1),0)</f>
        <v>0</v>
      </c>
      <c r="AN40">
        <f>vlookup("952-248000-200",生产发行表!B:AZ,column(am1),0)</f>
        <v>0</v>
      </c>
      <c r="AO40">
        <f>vlookup("952-248000-200",生产发行表!B:AZ,column(an1),0)</f>
        <v>0</v>
      </c>
      <c r="AP40">
        <f>vlookup("952-248000-200",生产发行表!B:AZ,column(ao1),0)</f>
        <v>0</v>
      </c>
      <c r="AQ40">
        <f>vlookup("952-248000-200",生产发行表!B:AZ,column(ap1),0)</f>
        <v>0</v>
      </c>
      <c r="AR40">
        <f>vlookup("952-248000-200",生产发行表!B:AZ,column(aq1),0)</f>
        <v>0</v>
      </c>
    </row>
    <row r="41" spans="1:44">
      <c r="A41" t="s">
        <v>31</v>
      </c>
      <c r="B41" t="s">
        <v>154</v>
      </c>
      <c r="C41" t="s">
        <v>155</v>
      </c>
      <c r="D41" t="s">
        <v>17</v>
      </c>
      <c r="E41">
        <v>1</v>
      </c>
      <c r="F41" t="s">
        <v>156</v>
      </c>
      <c r="H41" t="s">
        <v>35</v>
      </c>
      <c r="I41" t="s">
        <v>36</v>
      </c>
      <c r="K41" t="s">
        <v>20</v>
      </c>
      <c r="L41" t="s">
        <v>37</v>
      </c>
      <c r="M41">
        <f>sumifs(m:m,A:A,"总成",B:B,"952-248000-200")*INDIRECT(ADDRESS(41,5))</f>
        <v>0</v>
      </c>
      <c r="N41">
        <f>sumifs(n:n,A:A,"总成",B:B,"952-248000-200")*INDIRECT(ADDRESS(41,5))</f>
        <v>0</v>
      </c>
      <c r="O41">
        <f>sumifs(o:o,A:A,"总成",B:B,"952-248000-200")*INDIRECT(ADDRESS(41,5))</f>
        <v>0</v>
      </c>
      <c r="P41">
        <f>sumifs(p:p,A:A,"总成",B:B,"952-248000-200")*INDIRECT(ADDRESS(41,5))</f>
        <v>0</v>
      </c>
      <c r="Q41">
        <f>sumifs(q:q,A:A,"总成",B:B,"952-248000-200")*INDIRECT(ADDRESS(41,5))</f>
        <v>0</v>
      </c>
      <c r="R41">
        <f>sumifs(r:r,A:A,"总成",B:B,"952-248000-200")*INDIRECT(ADDRESS(41,5))</f>
        <v>0</v>
      </c>
      <c r="S41">
        <f>sumifs(s:s,A:A,"总成",B:B,"952-248000-200")*INDIRECT(ADDRESS(41,5))</f>
        <v>0</v>
      </c>
      <c r="T41">
        <f>sumifs(t:t,A:A,"总成",B:B,"952-248000-200")*INDIRECT(ADDRESS(41,5))</f>
        <v>0</v>
      </c>
      <c r="U41">
        <f>sumifs(u:u,A:A,"总成",B:B,"952-248000-200")*INDIRECT(ADDRESS(41,5))</f>
        <v>0</v>
      </c>
      <c r="V41">
        <f>sumifs(v:v,A:A,"总成",B:B,"952-248000-200")*INDIRECT(ADDRESS(41,5))</f>
        <v>0</v>
      </c>
      <c r="W41">
        <f>sumifs(w:w,A:A,"总成",B:B,"952-248000-200")*INDIRECT(ADDRESS(41,5))</f>
        <v>0</v>
      </c>
      <c r="X41">
        <f>sumifs(x:x,A:A,"总成",B:B,"952-248000-200")*INDIRECT(ADDRESS(41,5))</f>
        <v>0</v>
      </c>
      <c r="Y41">
        <f>sumifs(y:y,A:A,"总成",B:B,"952-248000-200")*INDIRECT(ADDRESS(41,5))</f>
        <v>0</v>
      </c>
      <c r="Z41">
        <f>sumifs(z:z,A:A,"总成",B:B,"952-248000-200")*INDIRECT(ADDRESS(41,5))</f>
        <v>0</v>
      </c>
      <c r="AA41">
        <f>sumifs(aa:aa,A:A,"总成",B:B,"952-248000-200")*INDIRECT(ADDRESS(41,5))</f>
        <v>0</v>
      </c>
      <c r="AB41">
        <f>sumifs(ab:ab,A:A,"总成",B:B,"952-248000-200")*INDIRECT(ADDRESS(41,5))</f>
        <v>0</v>
      </c>
      <c r="AC41">
        <f>sumifs(ac:ac,A:A,"总成",B:B,"952-248000-200")*INDIRECT(ADDRESS(41,5))</f>
        <v>0</v>
      </c>
      <c r="AD41">
        <f>sumifs(ad:ad,A:A,"总成",B:B,"952-248000-200")*INDIRECT(ADDRESS(41,5))</f>
        <v>0</v>
      </c>
      <c r="AE41">
        <f>sumifs(ae:ae,A:A,"总成",B:B,"952-248000-200")*INDIRECT(ADDRESS(41,5))</f>
        <v>0</v>
      </c>
      <c r="AF41">
        <f>sumifs(af:af,A:A,"总成",B:B,"952-248000-200")*INDIRECT(ADDRESS(41,5))</f>
        <v>0</v>
      </c>
      <c r="AG41">
        <f>sumifs(ag:ag,A:A,"总成",B:B,"952-248000-200")*INDIRECT(ADDRESS(41,5))</f>
        <v>0</v>
      </c>
      <c r="AH41">
        <f>sumifs(ah:ah,A:A,"总成",B:B,"952-248000-200")*INDIRECT(ADDRESS(41,5))</f>
        <v>0</v>
      </c>
      <c r="AI41">
        <f>sumifs(ai:ai,A:A,"总成",B:B,"952-248000-200")*INDIRECT(ADDRESS(41,5))</f>
        <v>0</v>
      </c>
      <c r="AJ41">
        <f>sumifs(aj:aj,A:A,"总成",B:B,"952-248000-200")*INDIRECT(ADDRESS(41,5))</f>
        <v>0</v>
      </c>
      <c r="AK41">
        <f>sumifs(ak:ak,A:A,"总成",B:B,"952-248000-200")*INDIRECT(ADDRESS(41,5))</f>
        <v>0</v>
      </c>
      <c r="AL41">
        <f>sumifs(al:al,A:A,"总成",B:B,"952-248000-200")*INDIRECT(ADDRESS(41,5))</f>
        <v>0</v>
      </c>
      <c r="AM41">
        <f>sumifs(am:am,A:A,"总成",B:B,"952-248000-200")*INDIRECT(ADDRESS(41,5))</f>
        <v>0</v>
      </c>
      <c r="AN41">
        <f>sumifs(an:an,A:A,"总成",B:B,"952-248000-200")*INDIRECT(ADDRESS(41,5))</f>
        <v>0</v>
      </c>
      <c r="AO41">
        <f>sumifs(ao:ao,A:A,"总成",B:B,"952-248000-200")*INDIRECT(ADDRESS(41,5))</f>
        <v>0</v>
      </c>
      <c r="AP41">
        <f>sumifs(ap:ap,A:A,"总成",B:B,"952-248000-200")*INDIRECT(ADDRESS(41,5))</f>
        <v>0</v>
      </c>
      <c r="AQ41">
        <f>sumifs(aq:aq,A:A,"总成",B:B,"952-248000-200")*INDIRECT(ADDRESS(41,5))</f>
        <v>0</v>
      </c>
      <c r="AR41">
        <f>sumifs(ar:ar,A:A,"总成",B:B,"952-248000-200")*INDIRECT(ADDRESS(41,5))</f>
        <v>0</v>
      </c>
    </row>
    <row r="42" spans="1:44">
      <c r="A42" t="s">
        <v>14</v>
      </c>
      <c r="B42" t="s">
        <v>157</v>
      </c>
      <c r="C42" t="s">
        <v>158</v>
      </c>
      <c r="D42" t="s">
        <v>17</v>
      </c>
      <c r="E42">
        <v>1</v>
      </c>
      <c r="F42" t="s">
        <v>159</v>
      </c>
      <c r="H42" t="s">
        <v>160</v>
      </c>
      <c r="I42">
        <v>18</v>
      </c>
      <c r="K42" t="s">
        <v>20</v>
      </c>
      <c r="L42" t="s">
        <v>21</v>
      </c>
      <c r="M42">
        <f>vlookup("952-249000-100",生产发行表!B:AZ,column(l1),0)</f>
        <v>0</v>
      </c>
      <c r="N42">
        <f>vlookup("952-249000-100",生产发行表!B:AZ,column(m1),0)</f>
        <v>0</v>
      </c>
      <c r="O42">
        <f>vlookup("952-249000-100",生产发行表!B:AZ,column(n1),0)</f>
        <v>0</v>
      </c>
      <c r="P42">
        <f>vlookup("952-249000-100",生产发行表!B:AZ,column(o1),0)</f>
        <v>0</v>
      </c>
      <c r="Q42">
        <f>vlookup("952-249000-100",生产发行表!B:AZ,column(p1),0)</f>
        <v>0</v>
      </c>
      <c r="R42">
        <f>vlookup("952-249000-100",生产发行表!B:AZ,column(q1),0)</f>
        <v>0</v>
      </c>
      <c r="S42">
        <f>vlookup("952-249000-100",生产发行表!B:AZ,column(r1),0)</f>
        <v>0</v>
      </c>
      <c r="T42">
        <f>vlookup("952-249000-100",生产发行表!B:AZ,column(s1),0)</f>
        <v>0</v>
      </c>
      <c r="U42">
        <f>vlookup("952-249000-100",生产发行表!B:AZ,column(t1),0)</f>
        <v>0</v>
      </c>
      <c r="V42">
        <f>vlookup("952-249000-100",生产发行表!B:AZ,column(u1),0)</f>
        <v>0</v>
      </c>
      <c r="W42">
        <f>vlookup("952-249000-100",生产发行表!B:AZ,column(v1),0)</f>
        <v>0</v>
      </c>
      <c r="X42">
        <f>vlookup("952-249000-100",生产发行表!B:AZ,column(w1),0)</f>
        <v>0</v>
      </c>
      <c r="Y42">
        <f>vlookup("952-249000-100",生产发行表!B:AZ,column(x1),0)</f>
        <v>0</v>
      </c>
      <c r="Z42">
        <f>vlookup("952-249000-100",生产发行表!B:AZ,column(y1),0)</f>
        <v>0</v>
      </c>
      <c r="AA42">
        <f>vlookup("952-249000-100",生产发行表!B:AZ,column(z1),0)</f>
        <v>0</v>
      </c>
      <c r="AB42">
        <f>vlookup("952-249000-100",生产发行表!B:AZ,column(aa1),0)</f>
        <v>0</v>
      </c>
      <c r="AC42">
        <f>vlookup("952-249000-100",生产发行表!B:AZ,column(ab1),0)</f>
        <v>0</v>
      </c>
      <c r="AD42">
        <f>vlookup("952-249000-100",生产发行表!B:AZ,column(ac1),0)</f>
        <v>0</v>
      </c>
      <c r="AE42">
        <f>vlookup("952-249000-100",生产发行表!B:AZ,column(ad1),0)</f>
        <v>0</v>
      </c>
      <c r="AF42">
        <f>vlookup("952-249000-100",生产发行表!B:AZ,column(ae1),0)</f>
        <v>0</v>
      </c>
      <c r="AG42">
        <f>vlookup("952-249000-100",生产发行表!B:AZ,column(af1),0)</f>
        <v>0</v>
      </c>
      <c r="AH42">
        <f>vlookup("952-249000-100",生产发行表!B:AZ,column(ag1),0)</f>
        <v>0</v>
      </c>
      <c r="AI42">
        <f>vlookup("952-249000-100",生产发行表!B:AZ,column(ah1),0)</f>
        <v>0</v>
      </c>
      <c r="AJ42">
        <f>vlookup("952-249000-100",生产发行表!B:AZ,column(ai1),0)</f>
        <v>0</v>
      </c>
      <c r="AK42">
        <f>vlookup("952-249000-100",生产发行表!B:AZ,column(aj1),0)</f>
        <v>0</v>
      </c>
      <c r="AL42">
        <f>vlookup("952-249000-100",生产发行表!B:AZ,column(ak1),0)</f>
        <v>0</v>
      </c>
      <c r="AM42">
        <f>vlookup("952-249000-100",生产发行表!B:AZ,column(al1),0)</f>
        <v>0</v>
      </c>
      <c r="AN42">
        <f>vlookup("952-249000-100",生产发行表!B:AZ,column(am1),0)</f>
        <v>0</v>
      </c>
      <c r="AO42">
        <f>vlookup("952-249000-100",生产发行表!B:AZ,column(an1),0)</f>
        <v>0</v>
      </c>
      <c r="AP42">
        <f>vlookup("952-249000-100",生产发行表!B:AZ,column(ao1),0)</f>
        <v>0</v>
      </c>
      <c r="AQ42">
        <f>vlookup("952-249000-100",生产发行表!B:AZ,column(ap1),0)</f>
        <v>0</v>
      </c>
      <c r="AR42">
        <f>vlookup("952-249000-100",生产发行表!B:AZ,column(aq1),0)</f>
        <v>0</v>
      </c>
    </row>
    <row r="43" spans="1:44">
      <c r="A43" t="s">
        <v>14</v>
      </c>
      <c r="B43" t="s">
        <v>161</v>
      </c>
      <c r="C43" t="s">
        <v>162</v>
      </c>
      <c r="D43" t="s">
        <v>163</v>
      </c>
      <c r="E43">
        <v>1</v>
      </c>
      <c r="F43" t="s">
        <v>164</v>
      </c>
      <c r="H43" t="s">
        <v>165</v>
      </c>
      <c r="I43" t="s">
        <v>166</v>
      </c>
      <c r="K43" t="s">
        <v>20</v>
      </c>
      <c r="L43" t="s">
        <v>21</v>
      </c>
      <c r="M43">
        <f>vlookup("952-241000-100",生产发行表!B:AZ,column(l1),0)</f>
        <v>0</v>
      </c>
      <c r="N43">
        <f>vlookup("952-241000-100",生产发行表!B:AZ,column(m1),0)</f>
        <v>0</v>
      </c>
      <c r="O43">
        <f>vlookup("952-241000-100",生产发行表!B:AZ,column(n1),0)</f>
        <v>0</v>
      </c>
      <c r="P43">
        <f>vlookup("952-241000-100",生产发行表!B:AZ,column(o1),0)</f>
        <v>0</v>
      </c>
      <c r="Q43">
        <f>vlookup("952-241000-100",生产发行表!B:AZ,column(p1),0)</f>
        <v>0</v>
      </c>
      <c r="R43">
        <f>vlookup("952-241000-100",生产发行表!B:AZ,column(q1),0)</f>
        <v>0</v>
      </c>
      <c r="S43">
        <f>vlookup("952-241000-100",生产发行表!B:AZ,column(r1),0)</f>
        <v>0</v>
      </c>
      <c r="T43">
        <f>vlookup("952-241000-100",生产发行表!B:AZ,column(s1),0)</f>
        <v>0</v>
      </c>
      <c r="U43">
        <f>vlookup("952-241000-100",生产发行表!B:AZ,column(t1),0)</f>
        <v>0</v>
      </c>
      <c r="V43">
        <f>vlookup("952-241000-100",生产发行表!B:AZ,column(u1),0)</f>
        <v>0</v>
      </c>
      <c r="W43">
        <f>vlookup("952-241000-100",生产发行表!B:AZ,column(v1),0)</f>
        <v>0</v>
      </c>
      <c r="X43">
        <f>vlookup("952-241000-100",生产发行表!B:AZ,column(w1),0)</f>
        <v>0</v>
      </c>
      <c r="Y43">
        <f>vlookup("952-241000-100",生产发行表!B:AZ,column(x1),0)</f>
        <v>0</v>
      </c>
      <c r="Z43">
        <f>vlookup("952-241000-100",生产发行表!B:AZ,column(y1),0)</f>
        <v>0</v>
      </c>
      <c r="AA43">
        <f>vlookup("952-241000-100",生产发行表!B:AZ,column(z1),0)</f>
        <v>0</v>
      </c>
      <c r="AB43">
        <f>vlookup("952-241000-100",生产发行表!B:AZ,column(aa1),0)</f>
        <v>0</v>
      </c>
      <c r="AC43">
        <f>vlookup("952-241000-100",生产发行表!B:AZ,column(ab1),0)</f>
        <v>0</v>
      </c>
      <c r="AD43">
        <f>vlookup("952-241000-100",生产发行表!B:AZ,column(ac1),0)</f>
        <v>0</v>
      </c>
      <c r="AE43">
        <f>vlookup("952-241000-100",生产发行表!B:AZ,column(ad1),0)</f>
        <v>0</v>
      </c>
      <c r="AF43">
        <f>vlookup("952-241000-100",生产发行表!B:AZ,column(ae1),0)</f>
        <v>0</v>
      </c>
      <c r="AG43">
        <f>vlookup("952-241000-100",生产发行表!B:AZ,column(af1),0)</f>
        <v>0</v>
      </c>
      <c r="AH43">
        <f>vlookup("952-241000-100",生产发行表!B:AZ,column(ag1),0)</f>
        <v>0</v>
      </c>
      <c r="AI43">
        <f>vlookup("952-241000-100",生产发行表!B:AZ,column(ah1),0)</f>
        <v>0</v>
      </c>
      <c r="AJ43">
        <f>vlookup("952-241000-100",生产发行表!B:AZ,column(ai1),0)</f>
        <v>0</v>
      </c>
      <c r="AK43">
        <f>vlookup("952-241000-100",生产发行表!B:AZ,column(aj1),0)</f>
        <v>0</v>
      </c>
      <c r="AL43">
        <f>vlookup("952-241000-100",生产发行表!B:AZ,column(ak1),0)</f>
        <v>0</v>
      </c>
      <c r="AM43">
        <f>vlookup("952-241000-100",生产发行表!B:AZ,column(al1),0)</f>
        <v>0</v>
      </c>
      <c r="AN43">
        <f>vlookup("952-241000-100",生产发行表!B:AZ,column(am1),0)</f>
        <v>0</v>
      </c>
      <c r="AO43">
        <f>vlookup("952-241000-100",生产发行表!B:AZ,column(an1),0)</f>
        <v>0</v>
      </c>
      <c r="AP43">
        <f>vlookup("952-241000-100",生产发行表!B:AZ,column(ao1),0)</f>
        <v>0</v>
      </c>
      <c r="AQ43">
        <f>vlookup("952-241000-100",生产发行表!B:AZ,column(ap1),0)</f>
        <v>0</v>
      </c>
      <c r="AR43">
        <f>vlookup("952-241000-100",生产发行表!B:AZ,column(aq1),0)</f>
        <v>0</v>
      </c>
    </row>
    <row r="44" spans="1:44">
      <c r="A44" t="s">
        <v>31</v>
      </c>
      <c r="B44" t="s">
        <v>167</v>
      </c>
      <c r="C44" t="s">
        <v>168</v>
      </c>
      <c r="D44" t="s">
        <v>17</v>
      </c>
      <c r="E44">
        <v>1</v>
      </c>
      <c r="F44" t="s">
        <v>169</v>
      </c>
      <c r="H44" t="s">
        <v>35</v>
      </c>
      <c r="I44" t="s">
        <v>36</v>
      </c>
      <c r="K44" t="s">
        <v>20</v>
      </c>
      <c r="L44" t="s">
        <v>37</v>
      </c>
      <c r="M44">
        <f>sumifs(m:m,A:A,"总成",B:B,"952-241000-100")*INDIRECT(ADDRESS(44,5))</f>
        <v>0</v>
      </c>
      <c r="N44">
        <f>sumifs(n:n,A:A,"总成",B:B,"952-241000-100")*INDIRECT(ADDRESS(44,5))</f>
        <v>0</v>
      </c>
      <c r="O44">
        <f>sumifs(o:o,A:A,"总成",B:B,"952-241000-100")*INDIRECT(ADDRESS(44,5))</f>
        <v>0</v>
      </c>
      <c r="P44">
        <f>sumifs(p:p,A:A,"总成",B:B,"952-241000-100")*INDIRECT(ADDRESS(44,5))</f>
        <v>0</v>
      </c>
      <c r="Q44">
        <f>sumifs(q:q,A:A,"总成",B:B,"952-241000-100")*INDIRECT(ADDRESS(44,5))</f>
        <v>0</v>
      </c>
      <c r="R44">
        <f>sumifs(r:r,A:A,"总成",B:B,"952-241000-100")*INDIRECT(ADDRESS(44,5))</f>
        <v>0</v>
      </c>
      <c r="S44">
        <f>sumifs(s:s,A:A,"总成",B:B,"952-241000-100")*INDIRECT(ADDRESS(44,5))</f>
        <v>0</v>
      </c>
      <c r="T44">
        <f>sumifs(t:t,A:A,"总成",B:B,"952-241000-100")*INDIRECT(ADDRESS(44,5))</f>
        <v>0</v>
      </c>
      <c r="U44">
        <f>sumifs(u:u,A:A,"总成",B:B,"952-241000-100")*INDIRECT(ADDRESS(44,5))</f>
        <v>0</v>
      </c>
      <c r="V44">
        <f>sumifs(v:v,A:A,"总成",B:B,"952-241000-100")*INDIRECT(ADDRESS(44,5))</f>
        <v>0</v>
      </c>
      <c r="W44">
        <f>sumifs(w:w,A:A,"总成",B:B,"952-241000-100")*INDIRECT(ADDRESS(44,5))</f>
        <v>0</v>
      </c>
      <c r="X44">
        <f>sumifs(x:x,A:A,"总成",B:B,"952-241000-100")*INDIRECT(ADDRESS(44,5))</f>
        <v>0</v>
      </c>
      <c r="Y44">
        <f>sumifs(y:y,A:A,"总成",B:B,"952-241000-100")*INDIRECT(ADDRESS(44,5))</f>
        <v>0</v>
      </c>
      <c r="Z44">
        <f>sumifs(z:z,A:A,"总成",B:B,"952-241000-100")*INDIRECT(ADDRESS(44,5))</f>
        <v>0</v>
      </c>
      <c r="AA44">
        <f>sumifs(aa:aa,A:A,"总成",B:B,"952-241000-100")*INDIRECT(ADDRESS(44,5))</f>
        <v>0</v>
      </c>
      <c r="AB44">
        <f>sumifs(ab:ab,A:A,"总成",B:B,"952-241000-100")*INDIRECT(ADDRESS(44,5))</f>
        <v>0</v>
      </c>
      <c r="AC44">
        <f>sumifs(ac:ac,A:A,"总成",B:B,"952-241000-100")*INDIRECT(ADDRESS(44,5))</f>
        <v>0</v>
      </c>
      <c r="AD44">
        <f>sumifs(ad:ad,A:A,"总成",B:B,"952-241000-100")*INDIRECT(ADDRESS(44,5))</f>
        <v>0</v>
      </c>
      <c r="AE44">
        <f>sumifs(ae:ae,A:A,"总成",B:B,"952-241000-100")*INDIRECT(ADDRESS(44,5))</f>
        <v>0</v>
      </c>
      <c r="AF44">
        <f>sumifs(af:af,A:A,"总成",B:B,"952-241000-100")*INDIRECT(ADDRESS(44,5))</f>
        <v>0</v>
      </c>
      <c r="AG44">
        <f>sumifs(ag:ag,A:A,"总成",B:B,"952-241000-100")*INDIRECT(ADDRESS(44,5))</f>
        <v>0</v>
      </c>
      <c r="AH44">
        <f>sumifs(ah:ah,A:A,"总成",B:B,"952-241000-100")*INDIRECT(ADDRESS(44,5))</f>
        <v>0</v>
      </c>
      <c r="AI44">
        <f>sumifs(ai:ai,A:A,"总成",B:B,"952-241000-100")*INDIRECT(ADDRESS(44,5))</f>
        <v>0</v>
      </c>
      <c r="AJ44">
        <f>sumifs(aj:aj,A:A,"总成",B:B,"952-241000-100")*INDIRECT(ADDRESS(44,5))</f>
        <v>0</v>
      </c>
      <c r="AK44">
        <f>sumifs(ak:ak,A:A,"总成",B:B,"952-241000-100")*INDIRECT(ADDRESS(44,5))</f>
        <v>0</v>
      </c>
      <c r="AL44">
        <f>sumifs(al:al,A:A,"总成",B:B,"952-241000-100")*INDIRECT(ADDRESS(44,5))</f>
        <v>0</v>
      </c>
      <c r="AM44">
        <f>sumifs(am:am,A:A,"总成",B:B,"952-241000-100")*INDIRECT(ADDRESS(44,5))</f>
        <v>0</v>
      </c>
      <c r="AN44">
        <f>sumifs(an:an,A:A,"总成",B:B,"952-241000-100")*INDIRECT(ADDRESS(44,5))</f>
        <v>0</v>
      </c>
      <c r="AO44">
        <f>sumifs(ao:ao,A:A,"总成",B:B,"952-241000-100")*INDIRECT(ADDRESS(44,5))</f>
        <v>0</v>
      </c>
      <c r="AP44">
        <f>sumifs(ap:ap,A:A,"总成",B:B,"952-241000-100")*INDIRECT(ADDRESS(44,5))</f>
        <v>0</v>
      </c>
      <c r="AQ44">
        <f>sumifs(aq:aq,A:A,"总成",B:B,"952-241000-100")*INDIRECT(ADDRESS(44,5))</f>
        <v>0</v>
      </c>
      <c r="AR44">
        <f>sumifs(ar:ar,A:A,"总成",B:B,"952-241000-100")*INDIRECT(ADDRESS(44,5))</f>
        <v>0</v>
      </c>
    </row>
    <row r="45" spans="1:44">
      <c r="A45" t="s">
        <v>14</v>
      </c>
      <c r="B45" t="s">
        <v>170</v>
      </c>
      <c r="C45" t="s">
        <v>171</v>
      </c>
      <c r="D45" t="s">
        <v>163</v>
      </c>
      <c r="E45">
        <v>1</v>
      </c>
      <c r="F45" t="s">
        <v>172</v>
      </c>
      <c r="H45" t="s">
        <v>165</v>
      </c>
      <c r="I45" t="s">
        <v>166</v>
      </c>
      <c r="K45" t="s">
        <v>20</v>
      </c>
      <c r="L45" t="s">
        <v>21</v>
      </c>
      <c r="M45">
        <f>vlookup("952-241000-200",生产发行表!B:AZ,column(l1),0)</f>
        <v>0</v>
      </c>
      <c r="N45">
        <f>vlookup("952-241000-200",生产发行表!B:AZ,column(m1),0)</f>
        <v>0</v>
      </c>
      <c r="O45">
        <f>vlookup("952-241000-200",生产发行表!B:AZ,column(n1),0)</f>
        <v>0</v>
      </c>
      <c r="P45">
        <f>vlookup("952-241000-200",生产发行表!B:AZ,column(o1),0)</f>
        <v>0</v>
      </c>
      <c r="Q45">
        <f>vlookup("952-241000-200",生产发行表!B:AZ,column(p1),0)</f>
        <v>0</v>
      </c>
      <c r="R45">
        <f>vlookup("952-241000-200",生产发行表!B:AZ,column(q1),0)</f>
        <v>0</v>
      </c>
      <c r="S45">
        <f>vlookup("952-241000-200",生产发行表!B:AZ,column(r1),0)</f>
        <v>0</v>
      </c>
      <c r="T45">
        <f>vlookup("952-241000-200",生产发行表!B:AZ,column(s1),0)</f>
        <v>0</v>
      </c>
      <c r="U45">
        <f>vlookup("952-241000-200",生产发行表!B:AZ,column(t1),0)</f>
        <v>0</v>
      </c>
      <c r="V45">
        <f>vlookup("952-241000-200",生产发行表!B:AZ,column(u1),0)</f>
        <v>0</v>
      </c>
      <c r="W45">
        <f>vlookup("952-241000-200",生产发行表!B:AZ,column(v1),0)</f>
        <v>0</v>
      </c>
      <c r="X45">
        <f>vlookup("952-241000-200",生产发行表!B:AZ,column(w1),0)</f>
        <v>0</v>
      </c>
      <c r="Y45">
        <f>vlookup("952-241000-200",生产发行表!B:AZ,column(x1),0)</f>
        <v>0</v>
      </c>
      <c r="Z45">
        <f>vlookup("952-241000-200",生产发行表!B:AZ,column(y1),0)</f>
        <v>0</v>
      </c>
      <c r="AA45">
        <f>vlookup("952-241000-200",生产发行表!B:AZ,column(z1),0)</f>
        <v>0</v>
      </c>
      <c r="AB45">
        <f>vlookup("952-241000-200",生产发行表!B:AZ,column(aa1),0)</f>
        <v>0</v>
      </c>
      <c r="AC45">
        <f>vlookup("952-241000-200",生产发行表!B:AZ,column(ab1),0)</f>
        <v>0</v>
      </c>
      <c r="AD45">
        <f>vlookup("952-241000-200",生产发行表!B:AZ,column(ac1),0)</f>
        <v>0</v>
      </c>
      <c r="AE45">
        <f>vlookup("952-241000-200",生产发行表!B:AZ,column(ad1),0)</f>
        <v>0</v>
      </c>
      <c r="AF45">
        <f>vlookup("952-241000-200",生产发行表!B:AZ,column(ae1),0)</f>
        <v>0</v>
      </c>
      <c r="AG45">
        <f>vlookup("952-241000-200",生产发行表!B:AZ,column(af1),0)</f>
        <v>0</v>
      </c>
      <c r="AH45">
        <f>vlookup("952-241000-200",生产发行表!B:AZ,column(ag1),0)</f>
        <v>0</v>
      </c>
      <c r="AI45">
        <f>vlookup("952-241000-200",生产发行表!B:AZ,column(ah1),0)</f>
        <v>0</v>
      </c>
      <c r="AJ45">
        <f>vlookup("952-241000-200",生产发行表!B:AZ,column(ai1),0)</f>
        <v>0</v>
      </c>
      <c r="AK45">
        <f>vlookup("952-241000-200",生产发行表!B:AZ,column(aj1),0)</f>
        <v>0</v>
      </c>
      <c r="AL45">
        <f>vlookup("952-241000-200",生产发行表!B:AZ,column(ak1),0)</f>
        <v>0</v>
      </c>
      <c r="AM45">
        <f>vlookup("952-241000-200",生产发行表!B:AZ,column(al1),0)</f>
        <v>0</v>
      </c>
      <c r="AN45">
        <f>vlookup("952-241000-200",生产发行表!B:AZ,column(am1),0)</f>
        <v>0</v>
      </c>
      <c r="AO45">
        <f>vlookup("952-241000-200",生产发行表!B:AZ,column(an1),0)</f>
        <v>0</v>
      </c>
      <c r="AP45">
        <f>vlookup("952-241000-200",生产发行表!B:AZ,column(ao1),0)</f>
        <v>0</v>
      </c>
      <c r="AQ45">
        <f>vlookup("952-241000-200",生产发行表!B:AZ,column(ap1),0)</f>
        <v>0</v>
      </c>
      <c r="AR45">
        <f>vlookup("952-241000-200",生产发行表!B:AZ,column(aq1),0)</f>
        <v>0</v>
      </c>
    </row>
    <row r="46" spans="1:44">
      <c r="A46" t="s">
        <v>31</v>
      </c>
      <c r="B46" t="s">
        <v>173</v>
      </c>
      <c r="C46" t="s">
        <v>174</v>
      </c>
      <c r="D46" t="s">
        <v>17</v>
      </c>
      <c r="E46">
        <v>1</v>
      </c>
      <c r="F46" t="s">
        <v>175</v>
      </c>
      <c r="H46" t="s">
        <v>35</v>
      </c>
      <c r="I46" t="s">
        <v>36</v>
      </c>
      <c r="K46" t="s">
        <v>20</v>
      </c>
      <c r="L46" t="s">
        <v>37</v>
      </c>
      <c r="M46">
        <f>sumifs(m:m,A:A,"总成",B:B,"952-241000-200")*INDIRECT(ADDRESS(46,5))</f>
        <v>0</v>
      </c>
      <c r="N46">
        <f>sumifs(n:n,A:A,"总成",B:B,"952-241000-200")*INDIRECT(ADDRESS(46,5))</f>
        <v>0</v>
      </c>
      <c r="O46">
        <f>sumifs(o:o,A:A,"总成",B:B,"952-241000-200")*INDIRECT(ADDRESS(46,5))</f>
        <v>0</v>
      </c>
      <c r="P46">
        <f>sumifs(p:p,A:A,"总成",B:B,"952-241000-200")*INDIRECT(ADDRESS(46,5))</f>
        <v>0</v>
      </c>
      <c r="Q46">
        <f>sumifs(q:q,A:A,"总成",B:B,"952-241000-200")*INDIRECT(ADDRESS(46,5))</f>
        <v>0</v>
      </c>
      <c r="R46">
        <f>sumifs(r:r,A:A,"总成",B:B,"952-241000-200")*INDIRECT(ADDRESS(46,5))</f>
        <v>0</v>
      </c>
      <c r="S46">
        <f>sumifs(s:s,A:A,"总成",B:B,"952-241000-200")*INDIRECT(ADDRESS(46,5))</f>
        <v>0</v>
      </c>
      <c r="T46">
        <f>sumifs(t:t,A:A,"总成",B:B,"952-241000-200")*INDIRECT(ADDRESS(46,5))</f>
        <v>0</v>
      </c>
      <c r="U46">
        <f>sumifs(u:u,A:A,"总成",B:B,"952-241000-200")*INDIRECT(ADDRESS(46,5))</f>
        <v>0</v>
      </c>
      <c r="V46">
        <f>sumifs(v:v,A:A,"总成",B:B,"952-241000-200")*INDIRECT(ADDRESS(46,5))</f>
        <v>0</v>
      </c>
      <c r="W46">
        <f>sumifs(w:w,A:A,"总成",B:B,"952-241000-200")*INDIRECT(ADDRESS(46,5))</f>
        <v>0</v>
      </c>
      <c r="X46">
        <f>sumifs(x:x,A:A,"总成",B:B,"952-241000-200")*INDIRECT(ADDRESS(46,5))</f>
        <v>0</v>
      </c>
      <c r="Y46">
        <f>sumifs(y:y,A:A,"总成",B:B,"952-241000-200")*INDIRECT(ADDRESS(46,5))</f>
        <v>0</v>
      </c>
      <c r="Z46">
        <f>sumifs(z:z,A:A,"总成",B:B,"952-241000-200")*INDIRECT(ADDRESS(46,5))</f>
        <v>0</v>
      </c>
      <c r="AA46">
        <f>sumifs(aa:aa,A:A,"总成",B:B,"952-241000-200")*INDIRECT(ADDRESS(46,5))</f>
        <v>0</v>
      </c>
      <c r="AB46">
        <f>sumifs(ab:ab,A:A,"总成",B:B,"952-241000-200")*INDIRECT(ADDRESS(46,5))</f>
        <v>0</v>
      </c>
      <c r="AC46">
        <f>sumifs(ac:ac,A:A,"总成",B:B,"952-241000-200")*INDIRECT(ADDRESS(46,5))</f>
        <v>0</v>
      </c>
      <c r="AD46">
        <f>sumifs(ad:ad,A:A,"总成",B:B,"952-241000-200")*INDIRECT(ADDRESS(46,5))</f>
        <v>0</v>
      </c>
      <c r="AE46">
        <f>sumifs(ae:ae,A:A,"总成",B:B,"952-241000-200")*INDIRECT(ADDRESS(46,5))</f>
        <v>0</v>
      </c>
      <c r="AF46">
        <f>sumifs(af:af,A:A,"总成",B:B,"952-241000-200")*INDIRECT(ADDRESS(46,5))</f>
        <v>0</v>
      </c>
      <c r="AG46">
        <f>sumifs(ag:ag,A:A,"总成",B:B,"952-241000-200")*INDIRECT(ADDRESS(46,5))</f>
        <v>0</v>
      </c>
      <c r="AH46">
        <f>sumifs(ah:ah,A:A,"总成",B:B,"952-241000-200")*INDIRECT(ADDRESS(46,5))</f>
        <v>0</v>
      </c>
      <c r="AI46">
        <f>sumifs(ai:ai,A:A,"总成",B:B,"952-241000-200")*INDIRECT(ADDRESS(46,5))</f>
        <v>0</v>
      </c>
      <c r="AJ46">
        <f>sumifs(aj:aj,A:A,"总成",B:B,"952-241000-200")*INDIRECT(ADDRESS(46,5))</f>
        <v>0</v>
      </c>
      <c r="AK46">
        <f>sumifs(ak:ak,A:A,"总成",B:B,"952-241000-200")*INDIRECT(ADDRESS(46,5))</f>
        <v>0</v>
      </c>
      <c r="AL46">
        <f>sumifs(al:al,A:A,"总成",B:B,"952-241000-200")*INDIRECT(ADDRESS(46,5))</f>
        <v>0</v>
      </c>
      <c r="AM46">
        <f>sumifs(am:am,A:A,"总成",B:B,"952-241000-200")*INDIRECT(ADDRESS(46,5))</f>
        <v>0</v>
      </c>
      <c r="AN46">
        <f>sumifs(an:an,A:A,"总成",B:B,"952-241000-200")*INDIRECT(ADDRESS(46,5))</f>
        <v>0</v>
      </c>
      <c r="AO46">
        <f>sumifs(ao:ao,A:A,"总成",B:B,"952-241000-200")*INDIRECT(ADDRESS(46,5))</f>
        <v>0</v>
      </c>
      <c r="AP46">
        <f>sumifs(ap:ap,A:A,"总成",B:B,"952-241000-200")*INDIRECT(ADDRESS(46,5))</f>
        <v>0</v>
      </c>
      <c r="AQ46">
        <f>sumifs(aq:aq,A:A,"总成",B:B,"952-241000-200")*INDIRECT(ADDRESS(46,5))</f>
        <v>0</v>
      </c>
      <c r="AR46">
        <f>sumifs(ar:ar,A:A,"总成",B:B,"952-241000-200")*INDIRECT(ADDRESS(46,5))</f>
        <v>0</v>
      </c>
    </row>
    <row r="47" spans="1:44">
      <c r="A47" t="s">
        <v>14</v>
      </c>
      <c r="B47" t="s">
        <v>176</v>
      </c>
      <c r="C47" t="s">
        <v>177</v>
      </c>
      <c r="D47" t="s">
        <v>27</v>
      </c>
      <c r="E47">
        <v>1</v>
      </c>
      <c r="F47" t="s">
        <v>178</v>
      </c>
      <c r="H47" t="s">
        <v>165</v>
      </c>
      <c r="I47" t="s">
        <v>166</v>
      </c>
      <c r="K47" t="s">
        <v>20</v>
      </c>
      <c r="L47" t="s">
        <v>21</v>
      </c>
      <c r="M47">
        <f>vlookup("952-242000-100",生产发行表!B:AZ,column(l1),0)</f>
        <v>0</v>
      </c>
      <c r="N47">
        <f>vlookup("952-242000-100",生产发行表!B:AZ,column(m1),0)</f>
        <v>0</v>
      </c>
      <c r="O47">
        <f>vlookup("952-242000-100",生产发行表!B:AZ,column(n1),0)</f>
        <v>0</v>
      </c>
      <c r="P47">
        <f>vlookup("952-242000-100",生产发行表!B:AZ,column(o1),0)</f>
        <v>0</v>
      </c>
      <c r="Q47">
        <f>vlookup("952-242000-100",生产发行表!B:AZ,column(p1),0)</f>
        <v>0</v>
      </c>
      <c r="R47">
        <f>vlookup("952-242000-100",生产发行表!B:AZ,column(q1),0)</f>
        <v>0</v>
      </c>
      <c r="S47">
        <f>vlookup("952-242000-100",生产发行表!B:AZ,column(r1),0)</f>
        <v>0</v>
      </c>
      <c r="T47">
        <f>vlookup("952-242000-100",生产发行表!B:AZ,column(s1),0)</f>
        <v>0</v>
      </c>
      <c r="U47">
        <f>vlookup("952-242000-100",生产发行表!B:AZ,column(t1),0)</f>
        <v>0</v>
      </c>
      <c r="V47">
        <f>vlookup("952-242000-100",生产发行表!B:AZ,column(u1),0)</f>
        <v>0</v>
      </c>
      <c r="W47">
        <f>vlookup("952-242000-100",生产发行表!B:AZ,column(v1),0)</f>
        <v>0</v>
      </c>
      <c r="X47">
        <f>vlookup("952-242000-100",生产发行表!B:AZ,column(w1),0)</f>
        <v>0</v>
      </c>
      <c r="Y47">
        <f>vlookup("952-242000-100",生产发行表!B:AZ,column(x1),0)</f>
        <v>0</v>
      </c>
      <c r="Z47">
        <f>vlookup("952-242000-100",生产发行表!B:AZ,column(y1),0)</f>
        <v>0</v>
      </c>
      <c r="AA47">
        <f>vlookup("952-242000-100",生产发行表!B:AZ,column(z1),0)</f>
        <v>0</v>
      </c>
      <c r="AB47">
        <f>vlookup("952-242000-100",生产发行表!B:AZ,column(aa1),0)</f>
        <v>0</v>
      </c>
      <c r="AC47">
        <f>vlookup("952-242000-100",生产发行表!B:AZ,column(ab1),0)</f>
        <v>0</v>
      </c>
      <c r="AD47">
        <f>vlookup("952-242000-100",生产发行表!B:AZ,column(ac1),0)</f>
        <v>0</v>
      </c>
      <c r="AE47">
        <f>vlookup("952-242000-100",生产发行表!B:AZ,column(ad1),0)</f>
        <v>0</v>
      </c>
      <c r="AF47">
        <f>vlookup("952-242000-100",生产发行表!B:AZ,column(ae1),0)</f>
        <v>0</v>
      </c>
      <c r="AG47">
        <f>vlookup("952-242000-100",生产发行表!B:AZ,column(af1),0)</f>
        <v>0</v>
      </c>
      <c r="AH47">
        <f>vlookup("952-242000-100",生产发行表!B:AZ,column(ag1),0)</f>
        <v>0</v>
      </c>
      <c r="AI47">
        <f>vlookup("952-242000-100",生产发行表!B:AZ,column(ah1),0)</f>
        <v>0</v>
      </c>
      <c r="AJ47">
        <f>vlookup("952-242000-100",生产发行表!B:AZ,column(ai1),0)</f>
        <v>0</v>
      </c>
      <c r="AK47">
        <f>vlookup("952-242000-100",生产发行表!B:AZ,column(aj1),0)</f>
        <v>0</v>
      </c>
      <c r="AL47">
        <f>vlookup("952-242000-100",生产发行表!B:AZ,column(ak1),0)</f>
        <v>0</v>
      </c>
      <c r="AM47">
        <f>vlookup("952-242000-100",生产发行表!B:AZ,column(al1),0)</f>
        <v>0</v>
      </c>
      <c r="AN47">
        <f>vlookup("952-242000-100",生产发行表!B:AZ,column(am1),0)</f>
        <v>0</v>
      </c>
      <c r="AO47">
        <f>vlookup("952-242000-100",生产发行表!B:AZ,column(an1),0)</f>
        <v>0</v>
      </c>
      <c r="AP47">
        <f>vlookup("952-242000-100",生产发行表!B:AZ,column(ao1),0)</f>
        <v>0</v>
      </c>
      <c r="AQ47">
        <f>vlookup("952-242000-100",生产发行表!B:AZ,column(ap1),0)</f>
        <v>0</v>
      </c>
      <c r="AR47">
        <f>vlookup("952-242000-100",生产发行表!B:AZ,column(aq1),0)</f>
        <v>0</v>
      </c>
    </row>
    <row r="48" spans="1:44">
      <c r="A48" t="s">
        <v>31</v>
      </c>
      <c r="B48" t="s">
        <v>179</v>
      </c>
      <c r="C48" t="s">
        <v>180</v>
      </c>
      <c r="D48" t="s">
        <v>17</v>
      </c>
      <c r="E48">
        <v>1</v>
      </c>
      <c r="F48" t="s">
        <v>181</v>
      </c>
      <c r="H48" t="s">
        <v>35</v>
      </c>
      <c r="I48" t="s">
        <v>36</v>
      </c>
      <c r="K48" t="s">
        <v>20</v>
      </c>
      <c r="L48" t="s">
        <v>37</v>
      </c>
      <c r="M48">
        <f>sumifs(m:m,A:A,"总成",B:B,"952-242000-100")*INDIRECT(ADDRESS(48,5))</f>
        <v>0</v>
      </c>
      <c r="N48">
        <f>sumifs(n:n,A:A,"总成",B:B,"952-242000-100")*INDIRECT(ADDRESS(48,5))</f>
        <v>0</v>
      </c>
      <c r="O48">
        <f>sumifs(o:o,A:A,"总成",B:B,"952-242000-100")*INDIRECT(ADDRESS(48,5))</f>
        <v>0</v>
      </c>
      <c r="P48">
        <f>sumifs(p:p,A:A,"总成",B:B,"952-242000-100")*INDIRECT(ADDRESS(48,5))</f>
        <v>0</v>
      </c>
      <c r="Q48">
        <f>sumifs(q:q,A:A,"总成",B:B,"952-242000-100")*INDIRECT(ADDRESS(48,5))</f>
        <v>0</v>
      </c>
      <c r="R48">
        <f>sumifs(r:r,A:A,"总成",B:B,"952-242000-100")*INDIRECT(ADDRESS(48,5))</f>
        <v>0</v>
      </c>
      <c r="S48">
        <f>sumifs(s:s,A:A,"总成",B:B,"952-242000-100")*INDIRECT(ADDRESS(48,5))</f>
        <v>0</v>
      </c>
      <c r="T48">
        <f>sumifs(t:t,A:A,"总成",B:B,"952-242000-100")*INDIRECT(ADDRESS(48,5))</f>
        <v>0</v>
      </c>
      <c r="U48">
        <f>sumifs(u:u,A:A,"总成",B:B,"952-242000-100")*INDIRECT(ADDRESS(48,5))</f>
        <v>0</v>
      </c>
      <c r="V48">
        <f>sumifs(v:v,A:A,"总成",B:B,"952-242000-100")*INDIRECT(ADDRESS(48,5))</f>
        <v>0</v>
      </c>
      <c r="W48">
        <f>sumifs(w:w,A:A,"总成",B:B,"952-242000-100")*INDIRECT(ADDRESS(48,5))</f>
        <v>0</v>
      </c>
      <c r="X48">
        <f>sumifs(x:x,A:A,"总成",B:B,"952-242000-100")*INDIRECT(ADDRESS(48,5))</f>
        <v>0</v>
      </c>
      <c r="Y48">
        <f>sumifs(y:y,A:A,"总成",B:B,"952-242000-100")*INDIRECT(ADDRESS(48,5))</f>
        <v>0</v>
      </c>
      <c r="Z48">
        <f>sumifs(z:z,A:A,"总成",B:B,"952-242000-100")*INDIRECT(ADDRESS(48,5))</f>
        <v>0</v>
      </c>
      <c r="AA48">
        <f>sumifs(aa:aa,A:A,"总成",B:B,"952-242000-100")*INDIRECT(ADDRESS(48,5))</f>
        <v>0</v>
      </c>
      <c r="AB48">
        <f>sumifs(ab:ab,A:A,"总成",B:B,"952-242000-100")*INDIRECT(ADDRESS(48,5))</f>
        <v>0</v>
      </c>
      <c r="AC48">
        <f>sumifs(ac:ac,A:A,"总成",B:B,"952-242000-100")*INDIRECT(ADDRESS(48,5))</f>
        <v>0</v>
      </c>
      <c r="AD48">
        <f>sumifs(ad:ad,A:A,"总成",B:B,"952-242000-100")*INDIRECT(ADDRESS(48,5))</f>
        <v>0</v>
      </c>
      <c r="AE48">
        <f>sumifs(ae:ae,A:A,"总成",B:B,"952-242000-100")*INDIRECT(ADDRESS(48,5))</f>
        <v>0</v>
      </c>
      <c r="AF48">
        <f>sumifs(af:af,A:A,"总成",B:B,"952-242000-100")*INDIRECT(ADDRESS(48,5))</f>
        <v>0</v>
      </c>
      <c r="AG48">
        <f>sumifs(ag:ag,A:A,"总成",B:B,"952-242000-100")*INDIRECT(ADDRESS(48,5))</f>
        <v>0</v>
      </c>
      <c r="AH48">
        <f>sumifs(ah:ah,A:A,"总成",B:B,"952-242000-100")*INDIRECT(ADDRESS(48,5))</f>
        <v>0</v>
      </c>
      <c r="AI48">
        <f>sumifs(ai:ai,A:A,"总成",B:B,"952-242000-100")*INDIRECT(ADDRESS(48,5))</f>
        <v>0</v>
      </c>
      <c r="AJ48">
        <f>sumifs(aj:aj,A:A,"总成",B:B,"952-242000-100")*INDIRECT(ADDRESS(48,5))</f>
        <v>0</v>
      </c>
      <c r="AK48">
        <f>sumifs(ak:ak,A:A,"总成",B:B,"952-242000-100")*INDIRECT(ADDRESS(48,5))</f>
        <v>0</v>
      </c>
      <c r="AL48">
        <f>sumifs(al:al,A:A,"总成",B:B,"952-242000-100")*INDIRECT(ADDRESS(48,5))</f>
        <v>0</v>
      </c>
      <c r="AM48">
        <f>sumifs(am:am,A:A,"总成",B:B,"952-242000-100")*INDIRECT(ADDRESS(48,5))</f>
        <v>0</v>
      </c>
      <c r="AN48">
        <f>sumifs(an:an,A:A,"总成",B:B,"952-242000-100")*INDIRECT(ADDRESS(48,5))</f>
        <v>0</v>
      </c>
      <c r="AO48">
        <f>sumifs(ao:ao,A:A,"总成",B:B,"952-242000-100")*INDIRECT(ADDRESS(48,5))</f>
        <v>0</v>
      </c>
      <c r="AP48">
        <f>sumifs(ap:ap,A:A,"总成",B:B,"952-242000-100")*INDIRECT(ADDRESS(48,5))</f>
        <v>0</v>
      </c>
      <c r="AQ48">
        <f>sumifs(aq:aq,A:A,"总成",B:B,"952-242000-100")*INDIRECT(ADDRESS(48,5))</f>
        <v>0</v>
      </c>
      <c r="AR48">
        <f>sumifs(ar:ar,A:A,"总成",B:B,"952-242000-100")*INDIRECT(ADDRESS(48,5))</f>
        <v>0</v>
      </c>
    </row>
    <row r="49" spans="1:44">
      <c r="A49" t="s">
        <v>14</v>
      </c>
      <c r="B49" t="s">
        <v>182</v>
      </c>
      <c r="C49" t="s">
        <v>183</v>
      </c>
      <c r="D49" t="s">
        <v>27</v>
      </c>
      <c r="E49">
        <v>1</v>
      </c>
      <c r="F49" t="s">
        <v>184</v>
      </c>
      <c r="H49" t="s">
        <v>165</v>
      </c>
      <c r="I49" t="s">
        <v>166</v>
      </c>
      <c r="K49" t="s">
        <v>20</v>
      </c>
      <c r="L49" t="s">
        <v>21</v>
      </c>
      <c r="M49">
        <f>vlookup("952-242000-200",生产发行表!B:AZ,column(l1),0)</f>
        <v>0</v>
      </c>
      <c r="N49">
        <f>vlookup("952-242000-200",生产发行表!B:AZ,column(m1),0)</f>
        <v>0</v>
      </c>
      <c r="O49">
        <f>vlookup("952-242000-200",生产发行表!B:AZ,column(n1),0)</f>
        <v>0</v>
      </c>
      <c r="P49">
        <f>vlookup("952-242000-200",生产发行表!B:AZ,column(o1),0)</f>
        <v>0</v>
      </c>
      <c r="Q49">
        <f>vlookup("952-242000-200",生产发行表!B:AZ,column(p1),0)</f>
        <v>0</v>
      </c>
      <c r="R49">
        <f>vlookup("952-242000-200",生产发行表!B:AZ,column(q1),0)</f>
        <v>0</v>
      </c>
      <c r="S49">
        <f>vlookup("952-242000-200",生产发行表!B:AZ,column(r1),0)</f>
        <v>0</v>
      </c>
      <c r="T49">
        <f>vlookup("952-242000-200",生产发行表!B:AZ,column(s1),0)</f>
        <v>0</v>
      </c>
      <c r="U49">
        <f>vlookup("952-242000-200",生产发行表!B:AZ,column(t1),0)</f>
        <v>0</v>
      </c>
      <c r="V49">
        <f>vlookup("952-242000-200",生产发行表!B:AZ,column(u1),0)</f>
        <v>0</v>
      </c>
      <c r="W49">
        <f>vlookup("952-242000-200",生产发行表!B:AZ,column(v1),0)</f>
        <v>0</v>
      </c>
      <c r="X49">
        <f>vlookup("952-242000-200",生产发行表!B:AZ,column(w1),0)</f>
        <v>0</v>
      </c>
      <c r="Y49">
        <f>vlookup("952-242000-200",生产发行表!B:AZ,column(x1),0)</f>
        <v>0</v>
      </c>
      <c r="Z49">
        <f>vlookup("952-242000-200",生产发行表!B:AZ,column(y1),0)</f>
        <v>0</v>
      </c>
      <c r="AA49">
        <f>vlookup("952-242000-200",生产发行表!B:AZ,column(z1),0)</f>
        <v>0</v>
      </c>
      <c r="AB49">
        <f>vlookup("952-242000-200",生产发行表!B:AZ,column(aa1),0)</f>
        <v>0</v>
      </c>
      <c r="AC49">
        <f>vlookup("952-242000-200",生产发行表!B:AZ,column(ab1),0)</f>
        <v>0</v>
      </c>
      <c r="AD49">
        <f>vlookup("952-242000-200",生产发行表!B:AZ,column(ac1),0)</f>
        <v>0</v>
      </c>
      <c r="AE49">
        <f>vlookup("952-242000-200",生产发行表!B:AZ,column(ad1),0)</f>
        <v>0</v>
      </c>
      <c r="AF49">
        <f>vlookup("952-242000-200",生产发行表!B:AZ,column(ae1),0)</f>
        <v>0</v>
      </c>
      <c r="AG49">
        <f>vlookup("952-242000-200",生产发行表!B:AZ,column(af1),0)</f>
        <v>0</v>
      </c>
      <c r="AH49">
        <f>vlookup("952-242000-200",生产发行表!B:AZ,column(ag1),0)</f>
        <v>0</v>
      </c>
      <c r="AI49">
        <f>vlookup("952-242000-200",生产发行表!B:AZ,column(ah1),0)</f>
        <v>0</v>
      </c>
      <c r="AJ49">
        <f>vlookup("952-242000-200",生产发行表!B:AZ,column(ai1),0)</f>
        <v>0</v>
      </c>
      <c r="AK49">
        <f>vlookup("952-242000-200",生产发行表!B:AZ,column(aj1),0)</f>
        <v>0</v>
      </c>
      <c r="AL49">
        <f>vlookup("952-242000-200",生产发行表!B:AZ,column(ak1),0)</f>
        <v>0</v>
      </c>
      <c r="AM49">
        <f>vlookup("952-242000-200",生产发行表!B:AZ,column(al1),0)</f>
        <v>0</v>
      </c>
      <c r="AN49">
        <f>vlookup("952-242000-200",生产发行表!B:AZ,column(am1),0)</f>
        <v>0</v>
      </c>
      <c r="AO49">
        <f>vlookup("952-242000-200",生产发行表!B:AZ,column(an1),0)</f>
        <v>0</v>
      </c>
      <c r="AP49">
        <f>vlookup("952-242000-200",生产发行表!B:AZ,column(ao1),0)</f>
        <v>0</v>
      </c>
      <c r="AQ49">
        <f>vlookup("952-242000-200",生产发行表!B:AZ,column(ap1),0)</f>
        <v>0</v>
      </c>
      <c r="AR49">
        <f>vlookup("952-242000-200",生产发行表!B:AZ,column(aq1),0)</f>
        <v>0</v>
      </c>
    </row>
    <row r="50" spans="1:44">
      <c r="A50" t="s">
        <v>31</v>
      </c>
      <c r="B50" t="s">
        <v>185</v>
      </c>
      <c r="C50" t="s">
        <v>186</v>
      </c>
      <c r="D50" t="s">
        <v>17</v>
      </c>
      <c r="E50">
        <v>1</v>
      </c>
      <c r="F50" t="s">
        <v>187</v>
      </c>
      <c r="H50" t="s">
        <v>35</v>
      </c>
      <c r="I50" t="s">
        <v>36</v>
      </c>
      <c r="K50" t="s">
        <v>20</v>
      </c>
      <c r="L50" t="s">
        <v>37</v>
      </c>
      <c r="M50">
        <f>sumifs(m:m,A:A,"总成",B:B,"952-242000-200")*INDIRECT(ADDRESS(50,5))</f>
        <v>0</v>
      </c>
      <c r="N50">
        <f>sumifs(n:n,A:A,"总成",B:B,"952-242000-200")*INDIRECT(ADDRESS(50,5))</f>
        <v>0</v>
      </c>
      <c r="O50">
        <f>sumifs(o:o,A:A,"总成",B:B,"952-242000-200")*INDIRECT(ADDRESS(50,5))</f>
        <v>0</v>
      </c>
      <c r="P50">
        <f>sumifs(p:p,A:A,"总成",B:B,"952-242000-200")*INDIRECT(ADDRESS(50,5))</f>
        <v>0</v>
      </c>
      <c r="Q50">
        <f>sumifs(q:q,A:A,"总成",B:B,"952-242000-200")*INDIRECT(ADDRESS(50,5))</f>
        <v>0</v>
      </c>
      <c r="R50">
        <f>sumifs(r:r,A:A,"总成",B:B,"952-242000-200")*INDIRECT(ADDRESS(50,5))</f>
        <v>0</v>
      </c>
      <c r="S50">
        <f>sumifs(s:s,A:A,"总成",B:B,"952-242000-200")*INDIRECT(ADDRESS(50,5))</f>
        <v>0</v>
      </c>
      <c r="T50">
        <f>sumifs(t:t,A:A,"总成",B:B,"952-242000-200")*INDIRECT(ADDRESS(50,5))</f>
        <v>0</v>
      </c>
      <c r="U50">
        <f>sumifs(u:u,A:A,"总成",B:B,"952-242000-200")*INDIRECT(ADDRESS(50,5))</f>
        <v>0</v>
      </c>
      <c r="V50">
        <f>sumifs(v:v,A:A,"总成",B:B,"952-242000-200")*INDIRECT(ADDRESS(50,5))</f>
        <v>0</v>
      </c>
      <c r="W50">
        <f>sumifs(w:w,A:A,"总成",B:B,"952-242000-200")*INDIRECT(ADDRESS(50,5))</f>
        <v>0</v>
      </c>
      <c r="X50">
        <f>sumifs(x:x,A:A,"总成",B:B,"952-242000-200")*INDIRECT(ADDRESS(50,5))</f>
        <v>0</v>
      </c>
      <c r="Y50">
        <f>sumifs(y:y,A:A,"总成",B:B,"952-242000-200")*INDIRECT(ADDRESS(50,5))</f>
        <v>0</v>
      </c>
      <c r="Z50">
        <f>sumifs(z:z,A:A,"总成",B:B,"952-242000-200")*INDIRECT(ADDRESS(50,5))</f>
        <v>0</v>
      </c>
      <c r="AA50">
        <f>sumifs(aa:aa,A:A,"总成",B:B,"952-242000-200")*INDIRECT(ADDRESS(50,5))</f>
        <v>0</v>
      </c>
      <c r="AB50">
        <f>sumifs(ab:ab,A:A,"总成",B:B,"952-242000-200")*INDIRECT(ADDRESS(50,5))</f>
        <v>0</v>
      </c>
      <c r="AC50">
        <f>sumifs(ac:ac,A:A,"总成",B:B,"952-242000-200")*INDIRECT(ADDRESS(50,5))</f>
        <v>0</v>
      </c>
      <c r="AD50">
        <f>sumifs(ad:ad,A:A,"总成",B:B,"952-242000-200")*INDIRECT(ADDRESS(50,5))</f>
        <v>0</v>
      </c>
      <c r="AE50">
        <f>sumifs(ae:ae,A:A,"总成",B:B,"952-242000-200")*INDIRECT(ADDRESS(50,5))</f>
        <v>0</v>
      </c>
      <c r="AF50">
        <f>sumifs(af:af,A:A,"总成",B:B,"952-242000-200")*INDIRECT(ADDRESS(50,5))</f>
        <v>0</v>
      </c>
      <c r="AG50">
        <f>sumifs(ag:ag,A:A,"总成",B:B,"952-242000-200")*INDIRECT(ADDRESS(50,5))</f>
        <v>0</v>
      </c>
      <c r="AH50">
        <f>sumifs(ah:ah,A:A,"总成",B:B,"952-242000-200")*INDIRECT(ADDRESS(50,5))</f>
        <v>0</v>
      </c>
      <c r="AI50">
        <f>sumifs(ai:ai,A:A,"总成",B:B,"952-242000-200")*INDIRECT(ADDRESS(50,5))</f>
        <v>0</v>
      </c>
      <c r="AJ50">
        <f>sumifs(aj:aj,A:A,"总成",B:B,"952-242000-200")*INDIRECT(ADDRESS(50,5))</f>
        <v>0</v>
      </c>
      <c r="AK50">
        <f>sumifs(ak:ak,A:A,"总成",B:B,"952-242000-200")*INDIRECT(ADDRESS(50,5))</f>
        <v>0</v>
      </c>
      <c r="AL50">
        <f>sumifs(al:al,A:A,"总成",B:B,"952-242000-200")*INDIRECT(ADDRESS(50,5))</f>
        <v>0</v>
      </c>
      <c r="AM50">
        <f>sumifs(am:am,A:A,"总成",B:B,"952-242000-200")*INDIRECT(ADDRESS(50,5))</f>
        <v>0</v>
      </c>
      <c r="AN50">
        <f>sumifs(an:an,A:A,"总成",B:B,"952-242000-200")*INDIRECT(ADDRESS(50,5))</f>
        <v>0</v>
      </c>
      <c r="AO50">
        <f>sumifs(ao:ao,A:A,"总成",B:B,"952-242000-200")*INDIRECT(ADDRESS(50,5))</f>
        <v>0</v>
      </c>
      <c r="AP50">
        <f>sumifs(ap:ap,A:A,"总成",B:B,"952-242000-200")*INDIRECT(ADDRESS(50,5))</f>
        <v>0</v>
      </c>
      <c r="AQ50">
        <f>sumifs(aq:aq,A:A,"总成",B:B,"952-242000-200")*INDIRECT(ADDRESS(50,5))</f>
        <v>0</v>
      </c>
      <c r="AR50">
        <f>sumifs(ar:ar,A:A,"总成",B:B,"952-242000-200")*INDIRECT(ADDRESS(50,5))</f>
        <v>0</v>
      </c>
    </row>
    <row r="51" spans="1:44">
      <c r="A51" t="s">
        <v>14</v>
      </c>
      <c r="B51" t="s">
        <v>188</v>
      </c>
      <c r="C51" t="s">
        <v>189</v>
      </c>
      <c r="D51" t="s">
        <v>27</v>
      </c>
      <c r="E51">
        <v>1</v>
      </c>
      <c r="F51" t="s">
        <v>190</v>
      </c>
      <c r="H51" t="s">
        <v>191</v>
      </c>
      <c r="I51">
        <v>40</v>
      </c>
      <c r="K51" t="s">
        <v>20</v>
      </c>
      <c r="L51" t="s">
        <v>21</v>
      </c>
      <c r="M51">
        <f>vlookup("952-234000-100",生产发行表!B:AZ,column(l1),0)</f>
        <v>0</v>
      </c>
      <c r="N51">
        <f>vlookup("952-234000-100",生产发行表!B:AZ,column(m1),0)</f>
        <v>0</v>
      </c>
      <c r="O51">
        <f>vlookup("952-234000-100",生产发行表!B:AZ,column(n1),0)</f>
        <v>0</v>
      </c>
      <c r="P51">
        <f>vlookup("952-234000-100",生产发行表!B:AZ,column(o1),0)</f>
        <v>0</v>
      </c>
      <c r="Q51">
        <f>vlookup("952-234000-100",生产发行表!B:AZ,column(p1),0)</f>
        <v>0</v>
      </c>
      <c r="R51">
        <f>vlookup("952-234000-100",生产发行表!B:AZ,column(q1),0)</f>
        <v>0</v>
      </c>
      <c r="S51">
        <f>vlookup("952-234000-100",生产发行表!B:AZ,column(r1),0)</f>
        <v>0</v>
      </c>
      <c r="T51">
        <f>vlookup("952-234000-100",生产发行表!B:AZ,column(s1),0)</f>
        <v>0</v>
      </c>
      <c r="U51">
        <f>vlookup("952-234000-100",生产发行表!B:AZ,column(t1),0)</f>
        <v>0</v>
      </c>
      <c r="V51">
        <f>vlookup("952-234000-100",生产发行表!B:AZ,column(u1),0)</f>
        <v>0</v>
      </c>
      <c r="W51">
        <f>vlookup("952-234000-100",生产发行表!B:AZ,column(v1),0)</f>
        <v>0</v>
      </c>
      <c r="X51">
        <f>vlookup("952-234000-100",生产发行表!B:AZ,column(w1),0)</f>
        <v>0</v>
      </c>
      <c r="Y51">
        <f>vlookup("952-234000-100",生产发行表!B:AZ,column(x1),0)</f>
        <v>0</v>
      </c>
      <c r="Z51">
        <f>vlookup("952-234000-100",生产发行表!B:AZ,column(y1),0)</f>
        <v>0</v>
      </c>
      <c r="AA51">
        <f>vlookup("952-234000-100",生产发行表!B:AZ,column(z1),0)</f>
        <v>0</v>
      </c>
      <c r="AB51">
        <f>vlookup("952-234000-100",生产发行表!B:AZ,column(aa1),0)</f>
        <v>0</v>
      </c>
      <c r="AC51">
        <f>vlookup("952-234000-100",生产发行表!B:AZ,column(ab1),0)</f>
        <v>0</v>
      </c>
      <c r="AD51">
        <f>vlookup("952-234000-100",生产发行表!B:AZ,column(ac1),0)</f>
        <v>0</v>
      </c>
      <c r="AE51">
        <f>vlookup("952-234000-100",生产发行表!B:AZ,column(ad1),0)</f>
        <v>0</v>
      </c>
      <c r="AF51">
        <f>vlookup("952-234000-100",生产发行表!B:AZ,column(ae1),0)</f>
        <v>0</v>
      </c>
      <c r="AG51">
        <f>vlookup("952-234000-100",生产发行表!B:AZ,column(af1),0)</f>
        <v>0</v>
      </c>
      <c r="AH51">
        <f>vlookup("952-234000-100",生产发行表!B:AZ,column(ag1),0)</f>
        <v>0</v>
      </c>
      <c r="AI51">
        <f>vlookup("952-234000-100",生产发行表!B:AZ,column(ah1),0)</f>
        <v>0</v>
      </c>
      <c r="AJ51">
        <f>vlookup("952-234000-100",生产发行表!B:AZ,column(ai1),0)</f>
        <v>0</v>
      </c>
      <c r="AK51">
        <f>vlookup("952-234000-100",生产发行表!B:AZ,column(aj1),0)</f>
        <v>0</v>
      </c>
      <c r="AL51">
        <f>vlookup("952-234000-100",生产发行表!B:AZ,column(ak1),0)</f>
        <v>0</v>
      </c>
      <c r="AM51">
        <f>vlookup("952-234000-100",生产发行表!B:AZ,column(al1),0)</f>
        <v>0</v>
      </c>
      <c r="AN51">
        <f>vlookup("952-234000-100",生产发行表!B:AZ,column(am1),0)</f>
        <v>0</v>
      </c>
      <c r="AO51">
        <f>vlookup("952-234000-100",生产发行表!B:AZ,column(an1),0)</f>
        <v>0</v>
      </c>
      <c r="AP51">
        <f>vlookup("952-234000-100",生产发行表!B:AZ,column(ao1),0)</f>
        <v>0</v>
      </c>
      <c r="AQ51">
        <f>vlookup("952-234000-100",生产发行表!B:AZ,column(ap1),0)</f>
        <v>0</v>
      </c>
      <c r="AR51">
        <f>vlookup("952-234000-100",生产发行表!B:AZ,column(aq1),0)</f>
        <v>0</v>
      </c>
    </row>
    <row r="52" spans="1:44">
      <c r="A52" t="s">
        <v>31</v>
      </c>
      <c r="B52" t="s">
        <v>192</v>
      </c>
      <c r="C52" t="s">
        <v>193</v>
      </c>
      <c r="D52" t="s">
        <v>17</v>
      </c>
      <c r="E52">
        <v>1</v>
      </c>
      <c r="F52" t="s">
        <v>194</v>
      </c>
      <c r="H52" t="s">
        <v>35</v>
      </c>
      <c r="I52" t="s">
        <v>36</v>
      </c>
      <c r="K52" t="s">
        <v>20</v>
      </c>
      <c r="L52" t="s">
        <v>37</v>
      </c>
      <c r="M52">
        <f>sumifs(m:m,A:A,"总成",B:B,"952-234000-100")*INDIRECT(ADDRESS(52,5))</f>
        <v>0</v>
      </c>
      <c r="N52">
        <f>sumifs(n:n,A:A,"总成",B:B,"952-234000-100")*INDIRECT(ADDRESS(52,5))</f>
        <v>0</v>
      </c>
      <c r="O52">
        <f>sumifs(o:o,A:A,"总成",B:B,"952-234000-100")*INDIRECT(ADDRESS(52,5))</f>
        <v>0</v>
      </c>
      <c r="P52">
        <f>sumifs(p:p,A:A,"总成",B:B,"952-234000-100")*INDIRECT(ADDRESS(52,5))</f>
        <v>0</v>
      </c>
      <c r="Q52">
        <f>sumifs(q:q,A:A,"总成",B:B,"952-234000-100")*INDIRECT(ADDRESS(52,5))</f>
        <v>0</v>
      </c>
      <c r="R52">
        <f>sumifs(r:r,A:A,"总成",B:B,"952-234000-100")*INDIRECT(ADDRESS(52,5))</f>
        <v>0</v>
      </c>
      <c r="S52">
        <f>sumifs(s:s,A:A,"总成",B:B,"952-234000-100")*INDIRECT(ADDRESS(52,5))</f>
        <v>0</v>
      </c>
      <c r="T52">
        <f>sumifs(t:t,A:A,"总成",B:B,"952-234000-100")*INDIRECT(ADDRESS(52,5))</f>
        <v>0</v>
      </c>
      <c r="U52">
        <f>sumifs(u:u,A:A,"总成",B:B,"952-234000-100")*INDIRECT(ADDRESS(52,5))</f>
        <v>0</v>
      </c>
      <c r="V52">
        <f>sumifs(v:v,A:A,"总成",B:B,"952-234000-100")*INDIRECT(ADDRESS(52,5))</f>
        <v>0</v>
      </c>
      <c r="W52">
        <f>sumifs(w:w,A:A,"总成",B:B,"952-234000-100")*INDIRECT(ADDRESS(52,5))</f>
        <v>0</v>
      </c>
      <c r="X52">
        <f>sumifs(x:x,A:A,"总成",B:B,"952-234000-100")*INDIRECT(ADDRESS(52,5))</f>
        <v>0</v>
      </c>
      <c r="Y52">
        <f>sumifs(y:y,A:A,"总成",B:B,"952-234000-100")*INDIRECT(ADDRESS(52,5))</f>
        <v>0</v>
      </c>
      <c r="Z52">
        <f>sumifs(z:z,A:A,"总成",B:B,"952-234000-100")*INDIRECT(ADDRESS(52,5))</f>
        <v>0</v>
      </c>
      <c r="AA52">
        <f>sumifs(aa:aa,A:A,"总成",B:B,"952-234000-100")*INDIRECT(ADDRESS(52,5))</f>
        <v>0</v>
      </c>
      <c r="AB52">
        <f>sumifs(ab:ab,A:A,"总成",B:B,"952-234000-100")*INDIRECT(ADDRESS(52,5))</f>
        <v>0</v>
      </c>
      <c r="AC52">
        <f>sumifs(ac:ac,A:A,"总成",B:B,"952-234000-100")*INDIRECT(ADDRESS(52,5))</f>
        <v>0</v>
      </c>
      <c r="AD52">
        <f>sumifs(ad:ad,A:A,"总成",B:B,"952-234000-100")*INDIRECT(ADDRESS(52,5))</f>
        <v>0</v>
      </c>
      <c r="AE52">
        <f>sumifs(ae:ae,A:A,"总成",B:B,"952-234000-100")*INDIRECT(ADDRESS(52,5))</f>
        <v>0</v>
      </c>
      <c r="AF52">
        <f>sumifs(af:af,A:A,"总成",B:B,"952-234000-100")*INDIRECT(ADDRESS(52,5))</f>
        <v>0</v>
      </c>
      <c r="AG52">
        <f>sumifs(ag:ag,A:A,"总成",B:B,"952-234000-100")*INDIRECT(ADDRESS(52,5))</f>
        <v>0</v>
      </c>
      <c r="AH52">
        <f>sumifs(ah:ah,A:A,"总成",B:B,"952-234000-100")*INDIRECT(ADDRESS(52,5))</f>
        <v>0</v>
      </c>
      <c r="AI52">
        <f>sumifs(ai:ai,A:A,"总成",B:B,"952-234000-100")*INDIRECT(ADDRESS(52,5))</f>
        <v>0</v>
      </c>
      <c r="AJ52">
        <f>sumifs(aj:aj,A:A,"总成",B:B,"952-234000-100")*INDIRECT(ADDRESS(52,5))</f>
        <v>0</v>
      </c>
      <c r="AK52">
        <f>sumifs(ak:ak,A:A,"总成",B:B,"952-234000-100")*INDIRECT(ADDRESS(52,5))</f>
        <v>0</v>
      </c>
      <c r="AL52">
        <f>sumifs(al:al,A:A,"总成",B:B,"952-234000-100")*INDIRECT(ADDRESS(52,5))</f>
        <v>0</v>
      </c>
      <c r="AM52">
        <f>sumifs(am:am,A:A,"总成",B:B,"952-234000-100")*INDIRECT(ADDRESS(52,5))</f>
        <v>0</v>
      </c>
      <c r="AN52">
        <f>sumifs(an:an,A:A,"总成",B:B,"952-234000-100")*INDIRECT(ADDRESS(52,5))</f>
        <v>0</v>
      </c>
      <c r="AO52">
        <f>sumifs(ao:ao,A:A,"总成",B:B,"952-234000-100")*INDIRECT(ADDRESS(52,5))</f>
        <v>0</v>
      </c>
      <c r="AP52">
        <f>sumifs(ap:ap,A:A,"总成",B:B,"952-234000-100")*INDIRECT(ADDRESS(52,5))</f>
        <v>0</v>
      </c>
      <c r="AQ52">
        <f>sumifs(aq:aq,A:A,"总成",B:B,"952-234000-100")*INDIRECT(ADDRESS(52,5))</f>
        <v>0</v>
      </c>
      <c r="AR52">
        <f>sumifs(ar:ar,A:A,"总成",B:B,"952-234000-100")*INDIRECT(ADDRESS(52,5))</f>
        <v>0</v>
      </c>
    </row>
    <row r="53" spans="1:44">
      <c r="A53" t="s">
        <v>31</v>
      </c>
      <c r="B53" t="s">
        <v>195</v>
      </c>
      <c r="C53" t="s">
        <v>196</v>
      </c>
      <c r="D53" t="s">
        <v>17</v>
      </c>
      <c r="E53">
        <v>1</v>
      </c>
      <c r="F53" t="s">
        <v>197</v>
      </c>
      <c r="H53" t="s">
        <v>35</v>
      </c>
      <c r="I53" t="s">
        <v>36</v>
      </c>
      <c r="K53" t="s">
        <v>20</v>
      </c>
      <c r="L53" t="s">
        <v>37</v>
      </c>
      <c r="M53">
        <f>sumifs(m:m,A:A,"总成",B:B,"952-234000-100")*INDIRECT(ADDRESS(53,5))</f>
        <v>0</v>
      </c>
      <c r="N53">
        <f>sumifs(n:n,A:A,"总成",B:B,"952-234000-100")*INDIRECT(ADDRESS(53,5))</f>
        <v>0</v>
      </c>
      <c r="O53">
        <f>sumifs(o:o,A:A,"总成",B:B,"952-234000-100")*INDIRECT(ADDRESS(53,5))</f>
        <v>0</v>
      </c>
      <c r="P53">
        <f>sumifs(p:p,A:A,"总成",B:B,"952-234000-100")*INDIRECT(ADDRESS(53,5))</f>
        <v>0</v>
      </c>
      <c r="Q53">
        <f>sumifs(q:q,A:A,"总成",B:B,"952-234000-100")*INDIRECT(ADDRESS(53,5))</f>
        <v>0</v>
      </c>
      <c r="R53">
        <f>sumifs(r:r,A:A,"总成",B:B,"952-234000-100")*INDIRECT(ADDRESS(53,5))</f>
        <v>0</v>
      </c>
      <c r="S53">
        <f>sumifs(s:s,A:A,"总成",B:B,"952-234000-100")*INDIRECT(ADDRESS(53,5))</f>
        <v>0</v>
      </c>
      <c r="T53">
        <f>sumifs(t:t,A:A,"总成",B:B,"952-234000-100")*INDIRECT(ADDRESS(53,5))</f>
        <v>0</v>
      </c>
      <c r="U53">
        <f>sumifs(u:u,A:A,"总成",B:B,"952-234000-100")*INDIRECT(ADDRESS(53,5))</f>
        <v>0</v>
      </c>
      <c r="V53">
        <f>sumifs(v:v,A:A,"总成",B:B,"952-234000-100")*INDIRECT(ADDRESS(53,5))</f>
        <v>0</v>
      </c>
      <c r="W53">
        <f>sumifs(w:w,A:A,"总成",B:B,"952-234000-100")*INDIRECT(ADDRESS(53,5))</f>
        <v>0</v>
      </c>
      <c r="X53">
        <f>sumifs(x:x,A:A,"总成",B:B,"952-234000-100")*INDIRECT(ADDRESS(53,5))</f>
        <v>0</v>
      </c>
      <c r="Y53">
        <f>sumifs(y:y,A:A,"总成",B:B,"952-234000-100")*INDIRECT(ADDRESS(53,5))</f>
        <v>0</v>
      </c>
      <c r="Z53">
        <f>sumifs(z:z,A:A,"总成",B:B,"952-234000-100")*INDIRECT(ADDRESS(53,5))</f>
        <v>0</v>
      </c>
      <c r="AA53">
        <f>sumifs(aa:aa,A:A,"总成",B:B,"952-234000-100")*INDIRECT(ADDRESS(53,5))</f>
        <v>0</v>
      </c>
      <c r="AB53">
        <f>sumifs(ab:ab,A:A,"总成",B:B,"952-234000-100")*INDIRECT(ADDRESS(53,5))</f>
        <v>0</v>
      </c>
      <c r="AC53">
        <f>sumifs(ac:ac,A:A,"总成",B:B,"952-234000-100")*INDIRECT(ADDRESS(53,5))</f>
        <v>0</v>
      </c>
      <c r="AD53">
        <f>sumifs(ad:ad,A:A,"总成",B:B,"952-234000-100")*INDIRECT(ADDRESS(53,5))</f>
        <v>0</v>
      </c>
      <c r="AE53">
        <f>sumifs(ae:ae,A:A,"总成",B:B,"952-234000-100")*INDIRECT(ADDRESS(53,5))</f>
        <v>0</v>
      </c>
      <c r="AF53">
        <f>sumifs(af:af,A:A,"总成",B:B,"952-234000-100")*INDIRECT(ADDRESS(53,5))</f>
        <v>0</v>
      </c>
      <c r="AG53">
        <f>sumifs(ag:ag,A:A,"总成",B:B,"952-234000-100")*INDIRECT(ADDRESS(53,5))</f>
        <v>0</v>
      </c>
      <c r="AH53">
        <f>sumifs(ah:ah,A:A,"总成",B:B,"952-234000-100")*INDIRECT(ADDRESS(53,5))</f>
        <v>0</v>
      </c>
      <c r="AI53">
        <f>sumifs(ai:ai,A:A,"总成",B:B,"952-234000-100")*INDIRECT(ADDRESS(53,5))</f>
        <v>0</v>
      </c>
      <c r="AJ53">
        <f>sumifs(aj:aj,A:A,"总成",B:B,"952-234000-100")*INDIRECT(ADDRESS(53,5))</f>
        <v>0</v>
      </c>
      <c r="AK53">
        <f>sumifs(ak:ak,A:A,"总成",B:B,"952-234000-100")*INDIRECT(ADDRESS(53,5))</f>
        <v>0</v>
      </c>
      <c r="AL53">
        <f>sumifs(al:al,A:A,"总成",B:B,"952-234000-100")*INDIRECT(ADDRESS(53,5))</f>
        <v>0</v>
      </c>
      <c r="AM53">
        <f>sumifs(am:am,A:A,"总成",B:B,"952-234000-100")*INDIRECT(ADDRESS(53,5))</f>
        <v>0</v>
      </c>
      <c r="AN53">
        <f>sumifs(an:an,A:A,"总成",B:B,"952-234000-100")*INDIRECT(ADDRESS(53,5))</f>
        <v>0</v>
      </c>
      <c r="AO53">
        <f>sumifs(ao:ao,A:A,"总成",B:B,"952-234000-100")*INDIRECT(ADDRESS(53,5))</f>
        <v>0</v>
      </c>
      <c r="AP53">
        <f>sumifs(ap:ap,A:A,"总成",B:B,"952-234000-100")*INDIRECT(ADDRESS(53,5))</f>
        <v>0</v>
      </c>
      <c r="AQ53">
        <f>sumifs(aq:aq,A:A,"总成",B:B,"952-234000-100")*INDIRECT(ADDRESS(53,5))</f>
        <v>0</v>
      </c>
      <c r="AR53">
        <f>sumifs(ar:ar,A:A,"总成",B:B,"952-234000-100")*INDIRECT(ADDRESS(53,5))</f>
        <v>0</v>
      </c>
    </row>
    <row r="54" spans="1:44">
      <c r="A54" t="s">
        <v>31</v>
      </c>
      <c r="B54" t="s">
        <v>198</v>
      </c>
      <c r="C54" t="s">
        <v>199</v>
      </c>
      <c r="D54" t="s">
        <v>17</v>
      </c>
      <c r="E54">
        <v>1</v>
      </c>
      <c r="F54" t="s">
        <v>200</v>
      </c>
      <c r="H54" t="s">
        <v>35</v>
      </c>
      <c r="I54" t="s">
        <v>36</v>
      </c>
      <c r="K54" t="s">
        <v>20</v>
      </c>
      <c r="L54" t="s">
        <v>37</v>
      </c>
      <c r="M54">
        <f>sumifs(m:m,A:A,"总成",B:B,"952-234000-100")*INDIRECT(ADDRESS(54,5))</f>
        <v>0</v>
      </c>
      <c r="N54">
        <f>sumifs(n:n,A:A,"总成",B:B,"952-234000-100")*INDIRECT(ADDRESS(54,5))</f>
        <v>0</v>
      </c>
      <c r="O54">
        <f>sumifs(o:o,A:A,"总成",B:B,"952-234000-100")*INDIRECT(ADDRESS(54,5))</f>
        <v>0</v>
      </c>
      <c r="P54">
        <f>sumifs(p:p,A:A,"总成",B:B,"952-234000-100")*INDIRECT(ADDRESS(54,5))</f>
        <v>0</v>
      </c>
      <c r="Q54">
        <f>sumifs(q:q,A:A,"总成",B:B,"952-234000-100")*INDIRECT(ADDRESS(54,5))</f>
        <v>0</v>
      </c>
      <c r="R54">
        <f>sumifs(r:r,A:A,"总成",B:B,"952-234000-100")*INDIRECT(ADDRESS(54,5))</f>
        <v>0</v>
      </c>
      <c r="S54">
        <f>sumifs(s:s,A:A,"总成",B:B,"952-234000-100")*INDIRECT(ADDRESS(54,5))</f>
        <v>0</v>
      </c>
      <c r="T54">
        <f>sumifs(t:t,A:A,"总成",B:B,"952-234000-100")*INDIRECT(ADDRESS(54,5))</f>
        <v>0</v>
      </c>
      <c r="U54">
        <f>sumifs(u:u,A:A,"总成",B:B,"952-234000-100")*INDIRECT(ADDRESS(54,5))</f>
        <v>0</v>
      </c>
      <c r="V54">
        <f>sumifs(v:v,A:A,"总成",B:B,"952-234000-100")*INDIRECT(ADDRESS(54,5))</f>
        <v>0</v>
      </c>
      <c r="W54">
        <f>sumifs(w:w,A:A,"总成",B:B,"952-234000-100")*INDIRECT(ADDRESS(54,5))</f>
        <v>0</v>
      </c>
      <c r="X54">
        <f>sumifs(x:x,A:A,"总成",B:B,"952-234000-100")*INDIRECT(ADDRESS(54,5))</f>
        <v>0</v>
      </c>
      <c r="Y54">
        <f>sumifs(y:y,A:A,"总成",B:B,"952-234000-100")*INDIRECT(ADDRESS(54,5))</f>
        <v>0</v>
      </c>
      <c r="Z54">
        <f>sumifs(z:z,A:A,"总成",B:B,"952-234000-100")*INDIRECT(ADDRESS(54,5))</f>
        <v>0</v>
      </c>
      <c r="AA54">
        <f>sumifs(aa:aa,A:A,"总成",B:B,"952-234000-100")*INDIRECT(ADDRESS(54,5))</f>
        <v>0</v>
      </c>
      <c r="AB54">
        <f>sumifs(ab:ab,A:A,"总成",B:B,"952-234000-100")*INDIRECT(ADDRESS(54,5))</f>
        <v>0</v>
      </c>
      <c r="AC54">
        <f>sumifs(ac:ac,A:A,"总成",B:B,"952-234000-100")*INDIRECT(ADDRESS(54,5))</f>
        <v>0</v>
      </c>
      <c r="AD54">
        <f>sumifs(ad:ad,A:A,"总成",B:B,"952-234000-100")*INDIRECT(ADDRESS(54,5))</f>
        <v>0</v>
      </c>
      <c r="AE54">
        <f>sumifs(ae:ae,A:A,"总成",B:B,"952-234000-100")*INDIRECT(ADDRESS(54,5))</f>
        <v>0</v>
      </c>
      <c r="AF54">
        <f>sumifs(af:af,A:A,"总成",B:B,"952-234000-100")*INDIRECT(ADDRESS(54,5))</f>
        <v>0</v>
      </c>
      <c r="AG54">
        <f>sumifs(ag:ag,A:A,"总成",B:B,"952-234000-100")*INDIRECT(ADDRESS(54,5))</f>
        <v>0</v>
      </c>
      <c r="AH54">
        <f>sumifs(ah:ah,A:A,"总成",B:B,"952-234000-100")*INDIRECT(ADDRESS(54,5))</f>
        <v>0</v>
      </c>
      <c r="AI54">
        <f>sumifs(ai:ai,A:A,"总成",B:B,"952-234000-100")*INDIRECT(ADDRESS(54,5))</f>
        <v>0</v>
      </c>
      <c r="AJ54">
        <f>sumifs(aj:aj,A:A,"总成",B:B,"952-234000-100")*INDIRECT(ADDRESS(54,5))</f>
        <v>0</v>
      </c>
      <c r="AK54">
        <f>sumifs(ak:ak,A:A,"总成",B:B,"952-234000-100")*INDIRECT(ADDRESS(54,5))</f>
        <v>0</v>
      </c>
      <c r="AL54">
        <f>sumifs(al:al,A:A,"总成",B:B,"952-234000-100")*INDIRECT(ADDRESS(54,5))</f>
        <v>0</v>
      </c>
      <c r="AM54">
        <f>sumifs(am:am,A:A,"总成",B:B,"952-234000-100")*INDIRECT(ADDRESS(54,5))</f>
        <v>0</v>
      </c>
      <c r="AN54">
        <f>sumifs(an:an,A:A,"总成",B:B,"952-234000-100")*INDIRECT(ADDRESS(54,5))</f>
        <v>0</v>
      </c>
      <c r="AO54">
        <f>sumifs(ao:ao,A:A,"总成",B:B,"952-234000-100")*INDIRECT(ADDRESS(54,5))</f>
        <v>0</v>
      </c>
      <c r="AP54">
        <f>sumifs(ap:ap,A:A,"总成",B:B,"952-234000-100")*INDIRECT(ADDRESS(54,5))</f>
        <v>0</v>
      </c>
      <c r="AQ54">
        <f>sumifs(aq:aq,A:A,"总成",B:B,"952-234000-100")*INDIRECT(ADDRESS(54,5))</f>
        <v>0</v>
      </c>
      <c r="AR54">
        <f>sumifs(ar:ar,A:A,"总成",B:B,"952-234000-100")*INDIRECT(ADDRESS(54,5))</f>
        <v>0</v>
      </c>
    </row>
    <row r="55" spans="1:44">
      <c r="A55" t="s">
        <v>14</v>
      </c>
      <c r="B55" t="s">
        <v>201</v>
      </c>
      <c r="C55" t="s">
        <v>202</v>
      </c>
      <c r="D55" t="s">
        <v>17</v>
      </c>
      <c r="E55">
        <v>1</v>
      </c>
      <c r="F55" t="s">
        <v>203</v>
      </c>
      <c r="H55" t="s">
        <v>204</v>
      </c>
      <c r="I55" t="s">
        <v>91</v>
      </c>
      <c r="K55" t="s">
        <v>20</v>
      </c>
      <c r="L55" t="s">
        <v>21</v>
      </c>
      <c r="M55">
        <f>vlookup("952-236000-100",生产发行表!B:AZ,column(l1),0)</f>
        <v>0</v>
      </c>
      <c r="N55">
        <f>vlookup("952-236000-100",生产发行表!B:AZ,column(m1),0)</f>
        <v>0</v>
      </c>
      <c r="O55">
        <f>vlookup("952-236000-100",生产发行表!B:AZ,column(n1),0)</f>
        <v>0</v>
      </c>
      <c r="P55">
        <f>vlookup("952-236000-100",生产发行表!B:AZ,column(o1),0)</f>
        <v>0</v>
      </c>
      <c r="Q55">
        <f>vlookup("952-236000-100",生产发行表!B:AZ,column(p1),0)</f>
        <v>0</v>
      </c>
      <c r="R55">
        <f>vlookup("952-236000-100",生产发行表!B:AZ,column(q1),0)</f>
        <v>0</v>
      </c>
      <c r="S55">
        <f>vlookup("952-236000-100",生产发行表!B:AZ,column(r1),0)</f>
        <v>0</v>
      </c>
      <c r="T55">
        <f>vlookup("952-236000-100",生产发行表!B:AZ,column(s1),0)</f>
        <v>0</v>
      </c>
      <c r="U55">
        <f>vlookup("952-236000-100",生产发行表!B:AZ,column(t1),0)</f>
        <v>0</v>
      </c>
      <c r="V55">
        <f>vlookup("952-236000-100",生产发行表!B:AZ,column(u1),0)</f>
        <v>0</v>
      </c>
      <c r="W55">
        <f>vlookup("952-236000-100",生产发行表!B:AZ,column(v1),0)</f>
        <v>0</v>
      </c>
      <c r="X55">
        <f>vlookup("952-236000-100",生产发行表!B:AZ,column(w1),0)</f>
        <v>0</v>
      </c>
      <c r="Y55">
        <f>vlookup("952-236000-100",生产发行表!B:AZ,column(x1),0)</f>
        <v>0</v>
      </c>
      <c r="Z55">
        <f>vlookup("952-236000-100",生产发行表!B:AZ,column(y1),0)</f>
        <v>0</v>
      </c>
      <c r="AA55">
        <f>vlookup("952-236000-100",生产发行表!B:AZ,column(z1),0)</f>
        <v>0</v>
      </c>
      <c r="AB55">
        <f>vlookup("952-236000-100",生产发行表!B:AZ,column(aa1),0)</f>
        <v>0</v>
      </c>
      <c r="AC55">
        <f>vlookup("952-236000-100",生产发行表!B:AZ,column(ab1),0)</f>
        <v>0</v>
      </c>
      <c r="AD55">
        <f>vlookup("952-236000-100",生产发行表!B:AZ,column(ac1),0)</f>
        <v>0</v>
      </c>
      <c r="AE55">
        <f>vlookup("952-236000-100",生产发行表!B:AZ,column(ad1),0)</f>
        <v>0</v>
      </c>
      <c r="AF55">
        <f>vlookup("952-236000-100",生产发行表!B:AZ,column(ae1),0)</f>
        <v>0</v>
      </c>
      <c r="AG55">
        <f>vlookup("952-236000-100",生产发行表!B:AZ,column(af1),0)</f>
        <v>0</v>
      </c>
      <c r="AH55">
        <f>vlookup("952-236000-100",生产发行表!B:AZ,column(ag1),0)</f>
        <v>0</v>
      </c>
      <c r="AI55">
        <f>vlookup("952-236000-100",生产发行表!B:AZ,column(ah1),0)</f>
        <v>0</v>
      </c>
      <c r="AJ55">
        <f>vlookup("952-236000-100",生产发行表!B:AZ,column(ai1),0)</f>
        <v>0</v>
      </c>
      <c r="AK55">
        <f>vlookup("952-236000-100",生产发行表!B:AZ,column(aj1),0)</f>
        <v>0</v>
      </c>
      <c r="AL55">
        <f>vlookup("952-236000-100",生产发行表!B:AZ,column(ak1),0)</f>
        <v>0</v>
      </c>
      <c r="AM55">
        <f>vlookup("952-236000-100",生产发行表!B:AZ,column(al1),0)</f>
        <v>0</v>
      </c>
      <c r="AN55">
        <f>vlookup("952-236000-100",生产发行表!B:AZ,column(am1),0)</f>
        <v>0</v>
      </c>
      <c r="AO55">
        <f>vlookup("952-236000-100",生产发行表!B:AZ,column(an1),0)</f>
        <v>0</v>
      </c>
      <c r="AP55">
        <f>vlookup("952-236000-100",生产发行表!B:AZ,column(ao1),0)</f>
        <v>0</v>
      </c>
      <c r="AQ55">
        <f>vlookup("952-236000-100",生产发行表!B:AZ,column(ap1),0)</f>
        <v>0</v>
      </c>
      <c r="AR55">
        <f>vlookup("952-236000-100",生产发行表!B:AZ,column(aq1),0)</f>
        <v>0</v>
      </c>
    </row>
    <row r="56" spans="1:44">
      <c r="A56" t="s">
        <v>14</v>
      </c>
      <c r="B56" t="s">
        <v>205</v>
      </c>
      <c r="C56" t="s">
        <v>206</v>
      </c>
      <c r="D56" t="s">
        <v>27</v>
      </c>
      <c r="E56">
        <v>1</v>
      </c>
      <c r="F56" t="s">
        <v>207</v>
      </c>
      <c r="H56" t="s">
        <v>208</v>
      </c>
      <c r="I56" t="s">
        <v>91</v>
      </c>
      <c r="K56" t="s">
        <v>20</v>
      </c>
      <c r="L56" t="s">
        <v>21</v>
      </c>
      <c r="M56">
        <f>vlookup("952-237000-100",生产发行表!B:AZ,column(l1),0)</f>
        <v>0</v>
      </c>
      <c r="N56">
        <f>vlookup("952-237000-100",生产发行表!B:AZ,column(m1),0)</f>
        <v>0</v>
      </c>
      <c r="O56">
        <f>vlookup("952-237000-100",生产发行表!B:AZ,column(n1),0)</f>
        <v>0</v>
      </c>
      <c r="P56">
        <f>vlookup("952-237000-100",生产发行表!B:AZ,column(o1),0)</f>
        <v>0</v>
      </c>
      <c r="Q56">
        <f>vlookup("952-237000-100",生产发行表!B:AZ,column(p1),0)</f>
        <v>0</v>
      </c>
      <c r="R56">
        <f>vlookup("952-237000-100",生产发行表!B:AZ,column(q1),0)</f>
        <v>0</v>
      </c>
      <c r="S56">
        <f>vlookup("952-237000-100",生产发行表!B:AZ,column(r1),0)</f>
        <v>0</v>
      </c>
      <c r="T56">
        <f>vlookup("952-237000-100",生产发行表!B:AZ,column(s1),0)</f>
        <v>0</v>
      </c>
      <c r="U56">
        <f>vlookup("952-237000-100",生产发行表!B:AZ,column(t1),0)</f>
        <v>0</v>
      </c>
      <c r="V56">
        <f>vlookup("952-237000-100",生产发行表!B:AZ,column(u1),0)</f>
        <v>0</v>
      </c>
      <c r="W56">
        <f>vlookup("952-237000-100",生产发行表!B:AZ,column(v1),0)</f>
        <v>0</v>
      </c>
      <c r="X56">
        <f>vlookup("952-237000-100",生产发行表!B:AZ,column(w1),0)</f>
        <v>0</v>
      </c>
      <c r="Y56">
        <f>vlookup("952-237000-100",生产发行表!B:AZ,column(x1),0)</f>
        <v>0</v>
      </c>
      <c r="Z56">
        <f>vlookup("952-237000-100",生产发行表!B:AZ,column(y1),0)</f>
        <v>0</v>
      </c>
      <c r="AA56">
        <f>vlookup("952-237000-100",生产发行表!B:AZ,column(z1),0)</f>
        <v>0</v>
      </c>
      <c r="AB56">
        <f>vlookup("952-237000-100",生产发行表!B:AZ,column(aa1),0)</f>
        <v>0</v>
      </c>
      <c r="AC56">
        <f>vlookup("952-237000-100",生产发行表!B:AZ,column(ab1),0)</f>
        <v>0</v>
      </c>
      <c r="AD56">
        <f>vlookup("952-237000-100",生产发行表!B:AZ,column(ac1),0)</f>
        <v>0</v>
      </c>
      <c r="AE56">
        <f>vlookup("952-237000-100",生产发行表!B:AZ,column(ad1),0)</f>
        <v>0</v>
      </c>
      <c r="AF56">
        <f>vlookup("952-237000-100",生产发行表!B:AZ,column(ae1),0)</f>
        <v>0</v>
      </c>
      <c r="AG56">
        <f>vlookup("952-237000-100",生产发行表!B:AZ,column(af1),0)</f>
        <v>0</v>
      </c>
      <c r="AH56">
        <f>vlookup("952-237000-100",生产发行表!B:AZ,column(ag1),0)</f>
        <v>0</v>
      </c>
      <c r="AI56">
        <f>vlookup("952-237000-100",生产发行表!B:AZ,column(ah1),0)</f>
        <v>0</v>
      </c>
      <c r="AJ56">
        <f>vlookup("952-237000-100",生产发行表!B:AZ,column(ai1),0)</f>
        <v>0</v>
      </c>
      <c r="AK56">
        <f>vlookup("952-237000-100",生产发行表!B:AZ,column(aj1),0)</f>
        <v>0</v>
      </c>
      <c r="AL56">
        <f>vlookup("952-237000-100",生产发行表!B:AZ,column(ak1),0)</f>
        <v>0</v>
      </c>
      <c r="AM56">
        <f>vlookup("952-237000-100",生产发行表!B:AZ,column(al1),0)</f>
        <v>0</v>
      </c>
      <c r="AN56">
        <f>vlookup("952-237000-100",生产发行表!B:AZ,column(am1),0)</f>
        <v>0</v>
      </c>
      <c r="AO56">
        <f>vlookup("952-237000-100",生产发行表!B:AZ,column(an1),0)</f>
        <v>0</v>
      </c>
      <c r="AP56">
        <f>vlookup("952-237000-100",生产发行表!B:AZ,column(ao1),0)</f>
        <v>0</v>
      </c>
      <c r="AQ56">
        <f>vlookup("952-237000-100",生产发行表!B:AZ,column(ap1),0)</f>
        <v>0</v>
      </c>
      <c r="AR56">
        <f>vlookup("952-237000-100",生产发行表!B:AZ,column(aq1),0)</f>
        <v>0</v>
      </c>
    </row>
    <row r="57" spans="1:44">
      <c r="A57" t="s">
        <v>31</v>
      </c>
      <c r="B57" t="s">
        <v>209</v>
      </c>
      <c r="C57" t="s">
        <v>210</v>
      </c>
      <c r="D57" t="s">
        <v>17</v>
      </c>
      <c r="E57">
        <v>1</v>
      </c>
      <c r="F57" t="s">
        <v>211</v>
      </c>
      <c r="H57" t="s">
        <v>35</v>
      </c>
      <c r="I57" t="s">
        <v>36</v>
      </c>
      <c r="K57" t="s">
        <v>20</v>
      </c>
      <c r="L57" t="s">
        <v>37</v>
      </c>
      <c r="M57">
        <f>sumifs(m:m,A:A,"总成",B:B,"952-237000-100")*INDIRECT(ADDRESS(57,5))</f>
        <v>0</v>
      </c>
      <c r="N57">
        <f>sumifs(n:n,A:A,"总成",B:B,"952-237000-100")*INDIRECT(ADDRESS(57,5))</f>
        <v>0</v>
      </c>
      <c r="O57">
        <f>sumifs(o:o,A:A,"总成",B:B,"952-237000-100")*INDIRECT(ADDRESS(57,5))</f>
        <v>0</v>
      </c>
      <c r="P57">
        <f>sumifs(p:p,A:A,"总成",B:B,"952-237000-100")*INDIRECT(ADDRESS(57,5))</f>
        <v>0</v>
      </c>
      <c r="Q57">
        <f>sumifs(q:q,A:A,"总成",B:B,"952-237000-100")*INDIRECT(ADDRESS(57,5))</f>
        <v>0</v>
      </c>
      <c r="R57">
        <f>sumifs(r:r,A:A,"总成",B:B,"952-237000-100")*INDIRECT(ADDRESS(57,5))</f>
        <v>0</v>
      </c>
      <c r="S57">
        <f>sumifs(s:s,A:A,"总成",B:B,"952-237000-100")*INDIRECT(ADDRESS(57,5))</f>
        <v>0</v>
      </c>
      <c r="T57">
        <f>sumifs(t:t,A:A,"总成",B:B,"952-237000-100")*INDIRECT(ADDRESS(57,5))</f>
        <v>0</v>
      </c>
      <c r="U57">
        <f>sumifs(u:u,A:A,"总成",B:B,"952-237000-100")*INDIRECT(ADDRESS(57,5))</f>
        <v>0</v>
      </c>
      <c r="V57">
        <f>sumifs(v:v,A:A,"总成",B:B,"952-237000-100")*INDIRECT(ADDRESS(57,5))</f>
        <v>0</v>
      </c>
      <c r="W57">
        <f>sumifs(w:w,A:A,"总成",B:B,"952-237000-100")*INDIRECT(ADDRESS(57,5))</f>
        <v>0</v>
      </c>
      <c r="X57">
        <f>sumifs(x:x,A:A,"总成",B:B,"952-237000-100")*INDIRECT(ADDRESS(57,5))</f>
        <v>0</v>
      </c>
      <c r="Y57">
        <f>sumifs(y:y,A:A,"总成",B:B,"952-237000-100")*INDIRECT(ADDRESS(57,5))</f>
        <v>0</v>
      </c>
      <c r="Z57">
        <f>sumifs(z:z,A:A,"总成",B:B,"952-237000-100")*INDIRECT(ADDRESS(57,5))</f>
        <v>0</v>
      </c>
      <c r="AA57">
        <f>sumifs(aa:aa,A:A,"总成",B:B,"952-237000-100")*INDIRECT(ADDRESS(57,5))</f>
        <v>0</v>
      </c>
      <c r="AB57">
        <f>sumifs(ab:ab,A:A,"总成",B:B,"952-237000-100")*INDIRECT(ADDRESS(57,5))</f>
        <v>0</v>
      </c>
      <c r="AC57">
        <f>sumifs(ac:ac,A:A,"总成",B:B,"952-237000-100")*INDIRECT(ADDRESS(57,5))</f>
        <v>0</v>
      </c>
      <c r="AD57">
        <f>sumifs(ad:ad,A:A,"总成",B:B,"952-237000-100")*INDIRECT(ADDRESS(57,5))</f>
        <v>0</v>
      </c>
      <c r="AE57">
        <f>sumifs(ae:ae,A:A,"总成",B:B,"952-237000-100")*INDIRECT(ADDRESS(57,5))</f>
        <v>0</v>
      </c>
      <c r="AF57">
        <f>sumifs(af:af,A:A,"总成",B:B,"952-237000-100")*INDIRECT(ADDRESS(57,5))</f>
        <v>0</v>
      </c>
      <c r="AG57">
        <f>sumifs(ag:ag,A:A,"总成",B:B,"952-237000-100")*INDIRECT(ADDRESS(57,5))</f>
        <v>0</v>
      </c>
      <c r="AH57">
        <f>sumifs(ah:ah,A:A,"总成",B:B,"952-237000-100")*INDIRECT(ADDRESS(57,5))</f>
        <v>0</v>
      </c>
      <c r="AI57">
        <f>sumifs(ai:ai,A:A,"总成",B:B,"952-237000-100")*INDIRECT(ADDRESS(57,5))</f>
        <v>0</v>
      </c>
      <c r="AJ57">
        <f>sumifs(aj:aj,A:A,"总成",B:B,"952-237000-100")*INDIRECT(ADDRESS(57,5))</f>
        <v>0</v>
      </c>
      <c r="AK57">
        <f>sumifs(ak:ak,A:A,"总成",B:B,"952-237000-100")*INDIRECT(ADDRESS(57,5))</f>
        <v>0</v>
      </c>
      <c r="AL57">
        <f>sumifs(al:al,A:A,"总成",B:B,"952-237000-100")*INDIRECT(ADDRESS(57,5))</f>
        <v>0</v>
      </c>
      <c r="AM57">
        <f>sumifs(am:am,A:A,"总成",B:B,"952-237000-100")*INDIRECT(ADDRESS(57,5))</f>
        <v>0</v>
      </c>
      <c r="AN57">
        <f>sumifs(an:an,A:A,"总成",B:B,"952-237000-100")*INDIRECT(ADDRESS(57,5))</f>
        <v>0</v>
      </c>
      <c r="AO57">
        <f>sumifs(ao:ao,A:A,"总成",B:B,"952-237000-100")*INDIRECT(ADDRESS(57,5))</f>
        <v>0</v>
      </c>
      <c r="AP57">
        <f>sumifs(ap:ap,A:A,"总成",B:B,"952-237000-100")*INDIRECT(ADDRESS(57,5))</f>
        <v>0</v>
      </c>
      <c r="AQ57">
        <f>sumifs(aq:aq,A:A,"总成",B:B,"952-237000-100")*INDIRECT(ADDRESS(57,5))</f>
        <v>0</v>
      </c>
      <c r="AR57">
        <f>sumifs(ar:ar,A:A,"总成",B:B,"952-237000-100")*INDIRECT(ADDRESS(57,5))</f>
        <v>0</v>
      </c>
    </row>
    <row r="58" spans="1:44">
      <c r="A58" t="s">
        <v>14</v>
      </c>
      <c r="B58" t="s">
        <v>212</v>
      </c>
      <c r="C58" t="s">
        <v>213</v>
      </c>
      <c r="D58" t="s">
        <v>27</v>
      </c>
      <c r="E58">
        <v>1</v>
      </c>
      <c r="F58" t="s">
        <v>214</v>
      </c>
      <c r="H58" t="s">
        <v>215</v>
      </c>
      <c r="I58" t="s">
        <v>91</v>
      </c>
      <c r="K58" t="s">
        <v>20</v>
      </c>
      <c r="L58" t="s">
        <v>21</v>
      </c>
      <c r="M58">
        <f>vlookup("952-237000-200",生产发行表!B:AZ,column(l1),0)</f>
        <v>0</v>
      </c>
      <c r="N58">
        <f>vlookup("952-237000-200",生产发行表!B:AZ,column(m1),0)</f>
        <v>0</v>
      </c>
      <c r="O58">
        <f>vlookup("952-237000-200",生产发行表!B:AZ,column(n1),0)</f>
        <v>0</v>
      </c>
      <c r="P58">
        <f>vlookup("952-237000-200",生产发行表!B:AZ,column(o1),0)</f>
        <v>0</v>
      </c>
      <c r="Q58">
        <f>vlookup("952-237000-200",生产发行表!B:AZ,column(p1),0)</f>
        <v>0</v>
      </c>
      <c r="R58">
        <f>vlookup("952-237000-200",生产发行表!B:AZ,column(q1),0)</f>
        <v>0</v>
      </c>
      <c r="S58">
        <f>vlookup("952-237000-200",生产发行表!B:AZ,column(r1),0)</f>
        <v>0</v>
      </c>
      <c r="T58">
        <f>vlookup("952-237000-200",生产发行表!B:AZ,column(s1),0)</f>
        <v>0</v>
      </c>
      <c r="U58">
        <f>vlookup("952-237000-200",生产发行表!B:AZ,column(t1),0)</f>
        <v>0</v>
      </c>
      <c r="V58">
        <f>vlookup("952-237000-200",生产发行表!B:AZ,column(u1),0)</f>
        <v>0</v>
      </c>
      <c r="W58">
        <f>vlookup("952-237000-200",生产发行表!B:AZ,column(v1),0)</f>
        <v>0</v>
      </c>
      <c r="X58">
        <f>vlookup("952-237000-200",生产发行表!B:AZ,column(w1),0)</f>
        <v>0</v>
      </c>
      <c r="Y58">
        <f>vlookup("952-237000-200",生产发行表!B:AZ,column(x1),0)</f>
        <v>0</v>
      </c>
      <c r="Z58">
        <f>vlookup("952-237000-200",生产发行表!B:AZ,column(y1),0)</f>
        <v>0</v>
      </c>
      <c r="AA58">
        <f>vlookup("952-237000-200",生产发行表!B:AZ,column(z1),0)</f>
        <v>0</v>
      </c>
      <c r="AB58">
        <f>vlookup("952-237000-200",生产发行表!B:AZ,column(aa1),0)</f>
        <v>0</v>
      </c>
      <c r="AC58">
        <f>vlookup("952-237000-200",生产发行表!B:AZ,column(ab1),0)</f>
        <v>0</v>
      </c>
      <c r="AD58">
        <f>vlookup("952-237000-200",生产发行表!B:AZ,column(ac1),0)</f>
        <v>0</v>
      </c>
      <c r="AE58">
        <f>vlookup("952-237000-200",生产发行表!B:AZ,column(ad1),0)</f>
        <v>0</v>
      </c>
      <c r="AF58">
        <f>vlookup("952-237000-200",生产发行表!B:AZ,column(ae1),0)</f>
        <v>0</v>
      </c>
      <c r="AG58">
        <f>vlookup("952-237000-200",生产发行表!B:AZ,column(af1),0)</f>
        <v>0</v>
      </c>
      <c r="AH58">
        <f>vlookup("952-237000-200",生产发行表!B:AZ,column(ag1),0)</f>
        <v>0</v>
      </c>
      <c r="AI58">
        <f>vlookup("952-237000-200",生产发行表!B:AZ,column(ah1),0)</f>
        <v>0</v>
      </c>
      <c r="AJ58">
        <f>vlookup("952-237000-200",生产发行表!B:AZ,column(ai1),0)</f>
        <v>0</v>
      </c>
      <c r="AK58">
        <f>vlookup("952-237000-200",生产发行表!B:AZ,column(aj1),0)</f>
        <v>0</v>
      </c>
      <c r="AL58">
        <f>vlookup("952-237000-200",生产发行表!B:AZ,column(ak1),0)</f>
        <v>0</v>
      </c>
      <c r="AM58">
        <f>vlookup("952-237000-200",生产发行表!B:AZ,column(al1),0)</f>
        <v>0</v>
      </c>
      <c r="AN58">
        <f>vlookup("952-237000-200",生产发行表!B:AZ,column(am1),0)</f>
        <v>0</v>
      </c>
      <c r="AO58">
        <f>vlookup("952-237000-200",生产发行表!B:AZ,column(an1),0)</f>
        <v>0</v>
      </c>
      <c r="AP58">
        <f>vlookup("952-237000-200",生产发行表!B:AZ,column(ao1),0)</f>
        <v>0</v>
      </c>
      <c r="AQ58">
        <f>vlookup("952-237000-200",生产发行表!B:AZ,column(ap1),0)</f>
        <v>0</v>
      </c>
      <c r="AR58">
        <f>vlookup("952-237000-200",生产发行表!B:AZ,column(aq1),0)</f>
        <v>0</v>
      </c>
    </row>
    <row r="59" spans="1:44">
      <c r="A59" t="s">
        <v>31</v>
      </c>
      <c r="B59" t="s">
        <v>216</v>
      </c>
      <c r="C59" t="s">
        <v>217</v>
      </c>
      <c r="D59" t="s">
        <v>17</v>
      </c>
      <c r="E59">
        <v>1</v>
      </c>
      <c r="F59" t="s">
        <v>218</v>
      </c>
      <c r="H59" t="s">
        <v>35</v>
      </c>
      <c r="I59" t="s">
        <v>36</v>
      </c>
      <c r="K59" t="s">
        <v>20</v>
      </c>
      <c r="L59" t="s">
        <v>37</v>
      </c>
      <c r="M59">
        <f>sumifs(m:m,A:A,"总成",B:B,"952-237000-200")*INDIRECT(ADDRESS(59,5))</f>
        <v>0</v>
      </c>
      <c r="N59">
        <f>sumifs(n:n,A:A,"总成",B:B,"952-237000-200")*INDIRECT(ADDRESS(59,5))</f>
        <v>0</v>
      </c>
      <c r="O59">
        <f>sumifs(o:o,A:A,"总成",B:B,"952-237000-200")*INDIRECT(ADDRESS(59,5))</f>
        <v>0</v>
      </c>
      <c r="P59">
        <f>sumifs(p:p,A:A,"总成",B:B,"952-237000-200")*INDIRECT(ADDRESS(59,5))</f>
        <v>0</v>
      </c>
      <c r="Q59">
        <f>sumifs(q:q,A:A,"总成",B:B,"952-237000-200")*INDIRECT(ADDRESS(59,5))</f>
        <v>0</v>
      </c>
      <c r="R59">
        <f>sumifs(r:r,A:A,"总成",B:B,"952-237000-200")*INDIRECT(ADDRESS(59,5))</f>
        <v>0</v>
      </c>
      <c r="S59">
        <f>sumifs(s:s,A:A,"总成",B:B,"952-237000-200")*INDIRECT(ADDRESS(59,5))</f>
        <v>0</v>
      </c>
      <c r="T59">
        <f>sumifs(t:t,A:A,"总成",B:B,"952-237000-200")*INDIRECT(ADDRESS(59,5))</f>
        <v>0</v>
      </c>
      <c r="U59">
        <f>sumifs(u:u,A:A,"总成",B:B,"952-237000-200")*INDIRECT(ADDRESS(59,5))</f>
        <v>0</v>
      </c>
      <c r="V59">
        <f>sumifs(v:v,A:A,"总成",B:B,"952-237000-200")*INDIRECT(ADDRESS(59,5))</f>
        <v>0</v>
      </c>
      <c r="W59">
        <f>sumifs(w:w,A:A,"总成",B:B,"952-237000-200")*INDIRECT(ADDRESS(59,5))</f>
        <v>0</v>
      </c>
      <c r="X59">
        <f>sumifs(x:x,A:A,"总成",B:B,"952-237000-200")*INDIRECT(ADDRESS(59,5))</f>
        <v>0</v>
      </c>
      <c r="Y59">
        <f>sumifs(y:y,A:A,"总成",B:B,"952-237000-200")*INDIRECT(ADDRESS(59,5))</f>
        <v>0</v>
      </c>
      <c r="Z59">
        <f>sumifs(z:z,A:A,"总成",B:B,"952-237000-200")*INDIRECT(ADDRESS(59,5))</f>
        <v>0</v>
      </c>
      <c r="AA59">
        <f>sumifs(aa:aa,A:A,"总成",B:B,"952-237000-200")*INDIRECT(ADDRESS(59,5))</f>
        <v>0</v>
      </c>
      <c r="AB59">
        <f>sumifs(ab:ab,A:A,"总成",B:B,"952-237000-200")*INDIRECT(ADDRESS(59,5))</f>
        <v>0</v>
      </c>
      <c r="AC59">
        <f>sumifs(ac:ac,A:A,"总成",B:B,"952-237000-200")*INDIRECT(ADDRESS(59,5))</f>
        <v>0</v>
      </c>
      <c r="AD59">
        <f>sumifs(ad:ad,A:A,"总成",B:B,"952-237000-200")*INDIRECT(ADDRESS(59,5))</f>
        <v>0</v>
      </c>
      <c r="AE59">
        <f>sumifs(ae:ae,A:A,"总成",B:B,"952-237000-200")*INDIRECT(ADDRESS(59,5))</f>
        <v>0</v>
      </c>
      <c r="AF59">
        <f>sumifs(af:af,A:A,"总成",B:B,"952-237000-200")*INDIRECT(ADDRESS(59,5))</f>
        <v>0</v>
      </c>
      <c r="AG59">
        <f>sumifs(ag:ag,A:A,"总成",B:B,"952-237000-200")*INDIRECT(ADDRESS(59,5))</f>
        <v>0</v>
      </c>
      <c r="AH59">
        <f>sumifs(ah:ah,A:A,"总成",B:B,"952-237000-200")*INDIRECT(ADDRESS(59,5))</f>
        <v>0</v>
      </c>
      <c r="AI59">
        <f>sumifs(ai:ai,A:A,"总成",B:B,"952-237000-200")*INDIRECT(ADDRESS(59,5))</f>
        <v>0</v>
      </c>
      <c r="AJ59">
        <f>sumifs(aj:aj,A:A,"总成",B:B,"952-237000-200")*INDIRECT(ADDRESS(59,5))</f>
        <v>0</v>
      </c>
      <c r="AK59">
        <f>sumifs(ak:ak,A:A,"总成",B:B,"952-237000-200")*INDIRECT(ADDRESS(59,5))</f>
        <v>0</v>
      </c>
      <c r="AL59">
        <f>sumifs(al:al,A:A,"总成",B:B,"952-237000-200")*INDIRECT(ADDRESS(59,5))</f>
        <v>0</v>
      </c>
      <c r="AM59">
        <f>sumifs(am:am,A:A,"总成",B:B,"952-237000-200")*INDIRECT(ADDRESS(59,5))</f>
        <v>0</v>
      </c>
      <c r="AN59">
        <f>sumifs(an:an,A:A,"总成",B:B,"952-237000-200")*INDIRECT(ADDRESS(59,5))</f>
        <v>0</v>
      </c>
      <c r="AO59">
        <f>sumifs(ao:ao,A:A,"总成",B:B,"952-237000-200")*INDIRECT(ADDRESS(59,5))</f>
        <v>0</v>
      </c>
      <c r="AP59">
        <f>sumifs(ap:ap,A:A,"总成",B:B,"952-237000-200")*INDIRECT(ADDRESS(59,5))</f>
        <v>0</v>
      </c>
      <c r="AQ59">
        <f>sumifs(aq:aq,A:A,"总成",B:B,"952-237000-200")*INDIRECT(ADDRESS(59,5))</f>
        <v>0</v>
      </c>
      <c r="AR59">
        <f>sumifs(ar:ar,A:A,"总成",B:B,"952-237000-200")*INDIRECT(ADDRESS(59,5))</f>
        <v>0</v>
      </c>
    </row>
    <row r="60" spans="1:44">
      <c r="A60" t="s">
        <v>14</v>
      </c>
      <c r="B60" t="s">
        <v>219</v>
      </c>
      <c r="C60" t="s">
        <v>220</v>
      </c>
      <c r="D60" t="s">
        <v>17</v>
      </c>
      <c r="E60">
        <v>1</v>
      </c>
      <c r="F60" t="s">
        <v>221</v>
      </c>
      <c r="H60" t="s">
        <v>204</v>
      </c>
      <c r="I60" t="s">
        <v>91</v>
      </c>
      <c r="K60" t="s">
        <v>20</v>
      </c>
      <c r="L60" t="s">
        <v>21</v>
      </c>
      <c r="M60">
        <f>vlookup("952-236000-200",生产发行表!B:AZ,column(l1),0)</f>
        <v>0</v>
      </c>
      <c r="N60">
        <f>vlookup("952-236000-200",生产发行表!B:AZ,column(m1),0)</f>
        <v>0</v>
      </c>
      <c r="O60">
        <f>vlookup("952-236000-200",生产发行表!B:AZ,column(n1),0)</f>
        <v>0</v>
      </c>
      <c r="P60">
        <f>vlookup("952-236000-200",生产发行表!B:AZ,column(o1),0)</f>
        <v>0</v>
      </c>
      <c r="Q60">
        <f>vlookup("952-236000-200",生产发行表!B:AZ,column(p1),0)</f>
        <v>0</v>
      </c>
      <c r="R60">
        <f>vlookup("952-236000-200",生产发行表!B:AZ,column(q1),0)</f>
        <v>0</v>
      </c>
      <c r="S60">
        <f>vlookup("952-236000-200",生产发行表!B:AZ,column(r1),0)</f>
        <v>0</v>
      </c>
      <c r="T60">
        <f>vlookup("952-236000-200",生产发行表!B:AZ,column(s1),0)</f>
        <v>0</v>
      </c>
      <c r="U60">
        <f>vlookup("952-236000-200",生产发行表!B:AZ,column(t1),0)</f>
        <v>0</v>
      </c>
      <c r="V60">
        <f>vlookup("952-236000-200",生产发行表!B:AZ,column(u1),0)</f>
        <v>0</v>
      </c>
      <c r="W60">
        <f>vlookup("952-236000-200",生产发行表!B:AZ,column(v1),0)</f>
        <v>0</v>
      </c>
      <c r="X60">
        <f>vlookup("952-236000-200",生产发行表!B:AZ,column(w1),0)</f>
        <v>0</v>
      </c>
      <c r="Y60">
        <f>vlookup("952-236000-200",生产发行表!B:AZ,column(x1),0)</f>
        <v>0</v>
      </c>
      <c r="Z60">
        <f>vlookup("952-236000-200",生产发行表!B:AZ,column(y1),0)</f>
        <v>0</v>
      </c>
      <c r="AA60">
        <f>vlookup("952-236000-200",生产发行表!B:AZ,column(z1),0)</f>
        <v>0</v>
      </c>
      <c r="AB60">
        <f>vlookup("952-236000-200",生产发行表!B:AZ,column(aa1),0)</f>
        <v>0</v>
      </c>
      <c r="AC60">
        <f>vlookup("952-236000-200",生产发行表!B:AZ,column(ab1),0)</f>
        <v>0</v>
      </c>
      <c r="AD60">
        <f>vlookup("952-236000-200",生产发行表!B:AZ,column(ac1),0)</f>
        <v>0</v>
      </c>
      <c r="AE60">
        <f>vlookup("952-236000-200",生产发行表!B:AZ,column(ad1),0)</f>
        <v>0</v>
      </c>
      <c r="AF60">
        <f>vlookup("952-236000-200",生产发行表!B:AZ,column(ae1),0)</f>
        <v>0</v>
      </c>
      <c r="AG60">
        <f>vlookup("952-236000-200",生产发行表!B:AZ,column(af1),0)</f>
        <v>0</v>
      </c>
      <c r="AH60">
        <f>vlookup("952-236000-200",生产发行表!B:AZ,column(ag1),0)</f>
        <v>0</v>
      </c>
      <c r="AI60">
        <f>vlookup("952-236000-200",生产发行表!B:AZ,column(ah1),0)</f>
        <v>0</v>
      </c>
      <c r="AJ60">
        <f>vlookup("952-236000-200",生产发行表!B:AZ,column(ai1),0)</f>
        <v>0</v>
      </c>
      <c r="AK60">
        <f>vlookup("952-236000-200",生产发行表!B:AZ,column(aj1),0)</f>
        <v>0</v>
      </c>
      <c r="AL60">
        <f>vlookup("952-236000-200",生产发行表!B:AZ,column(ak1),0)</f>
        <v>0</v>
      </c>
      <c r="AM60">
        <f>vlookup("952-236000-200",生产发行表!B:AZ,column(al1),0)</f>
        <v>0</v>
      </c>
      <c r="AN60">
        <f>vlookup("952-236000-200",生产发行表!B:AZ,column(am1),0)</f>
        <v>0</v>
      </c>
      <c r="AO60">
        <f>vlookup("952-236000-200",生产发行表!B:AZ,column(an1),0)</f>
        <v>0</v>
      </c>
      <c r="AP60">
        <f>vlookup("952-236000-200",生产发行表!B:AZ,column(ao1),0)</f>
        <v>0</v>
      </c>
      <c r="AQ60">
        <f>vlookup("952-236000-200",生产发行表!B:AZ,column(ap1),0)</f>
        <v>0</v>
      </c>
      <c r="AR60">
        <f>vlookup("952-236000-200",生产发行表!B:AZ,column(aq1),0)</f>
        <v>0</v>
      </c>
    </row>
    <row r="61" spans="1:44">
      <c r="A61" t="s">
        <v>14</v>
      </c>
      <c r="B61" t="s">
        <v>222</v>
      </c>
      <c r="C61" t="s">
        <v>223</v>
      </c>
      <c r="D61" t="s">
        <v>27</v>
      </c>
      <c r="E61">
        <v>1</v>
      </c>
      <c r="F61" t="s">
        <v>224</v>
      </c>
      <c r="H61" t="s">
        <v>208</v>
      </c>
      <c r="I61" t="s">
        <v>91</v>
      </c>
      <c r="K61" t="s">
        <v>20</v>
      </c>
      <c r="L61" t="s">
        <v>21</v>
      </c>
      <c r="M61">
        <f>vlookup("952-237000-300",生产发行表!B:AZ,column(l1),0)</f>
        <v>0</v>
      </c>
      <c r="N61">
        <f>vlookup("952-237000-300",生产发行表!B:AZ,column(m1),0)</f>
        <v>0</v>
      </c>
      <c r="O61">
        <f>vlookup("952-237000-300",生产发行表!B:AZ,column(n1),0)</f>
        <v>0</v>
      </c>
      <c r="P61">
        <f>vlookup("952-237000-300",生产发行表!B:AZ,column(o1),0)</f>
        <v>0</v>
      </c>
      <c r="Q61">
        <f>vlookup("952-237000-300",生产发行表!B:AZ,column(p1),0)</f>
        <v>0</v>
      </c>
      <c r="R61">
        <f>vlookup("952-237000-300",生产发行表!B:AZ,column(q1),0)</f>
        <v>0</v>
      </c>
      <c r="S61">
        <f>vlookup("952-237000-300",生产发行表!B:AZ,column(r1),0)</f>
        <v>0</v>
      </c>
      <c r="T61">
        <f>vlookup("952-237000-300",生产发行表!B:AZ,column(s1),0)</f>
        <v>0</v>
      </c>
      <c r="U61">
        <f>vlookup("952-237000-300",生产发行表!B:AZ,column(t1),0)</f>
        <v>0</v>
      </c>
      <c r="V61">
        <f>vlookup("952-237000-300",生产发行表!B:AZ,column(u1),0)</f>
        <v>0</v>
      </c>
      <c r="W61">
        <f>vlookup("952-237000-300",生产发行表!B:AZ,column(v1),0)</f>
        <v>0</v>
      </c>
      <c r="X61">
        <f>vlookup("952-237000-300",生产发行表!B:AZ,column(w1),0)</f>
        <v>0</v>
      </c>
      <c r="Y61">
        <f>vlookup("952-237000-300",生产发行表!B:AZ,column(x1),0)</f>
        <v>0</v>
      </c>
      <c r="Z61">
        <f>vlookup("952-237000-300",生产发行表!B:AZ,column(y1),0)</f>
        <v>0</v>
      </c>
      <c r="AA61">
        <f>vlookup("952-237000-300",生产发行表!B:AZ,column(z1),0)</f>
        <v>0</v>
      </c>
      <c r="AB61">
        <f>vlookup("952-237000-300",生产发行表!B:AZ,column(aa1),0)</f>
        <v>0</v>
      </c>
      <c r="AC61">
        <f>vlookup("952-237000-300",生产发行表!B:AZ,column(ab1),0)</f>
        <v>0</v>
      </c>
      <c r="AD61">
        <f>vlookup("952-237000-300",生产发行表!B:AZ,column(ac1),0)</f>
        <v>0</v>
      </c>
      <c r="AE61">
        <f>vlookup("952-237000-300",生产发行表!B:AZ,column(ad1),0)</f>
        <v>0</v>
      </c>
      <c r="AF61">
        <f>vlookup("952-237000-300",生产发行表!B:AZ,column(ae1),0)</f>
        <v>0</v>
      </c>
      <c r="AG61">
        <f>vlookup("952-237000-300",生产发行表!B:AZ,column(af1),0)</f>
        <v>0</v>
      </c>
      <c r="AH61">
        <f>vlookup("952-237000-300",生产发行表!B:AZ,column(ag1),0)</f>
        <v>0</v>
      </c>
      <c r="AI61">
        <f>vlookup("952-237000-300",生产发行表!B:AZ,column(ah1),0)</f>
        <v>0</v>
      </c>
      <c r="AJ61">
        <f>vlookup("952-237000-300",生产发行表!B:AZ,column(ai1),0)</f>
        <v>0</v>
      </c>
      <c r="AK61">
        <f>vlookup("952-237000-300",生产发行表!B:AZ,column(aj1),0)</f>
        <v>0</v>
      </c>
      <c r="AL61">
        <f>vlookup("952-237000-300",生产发行表!B:AZ,column(ak1),0)</f>
        <v>0</v>
      </c>
      <c r="AM61">
        <f>vlookup("952-237000-300",生产发行表!B:AZ,column(al1),0)</f>
        <v>0</v>
      </c>
      <c r="AN61">
        <f>vlookup("952-237000-300",生产发行表!B:AZ,column(am1),0)</f>
        <v>0</v>
      </c>
      <c r="AO61">
        <f>vlookup("952-237000-300",生产发行表!B:AZ,column(an1),0)</f>
        <v>0</v>
      </c>
      <c r="AP61">
        <f>vlookup("952-237000-300",生产发行表!B:AZ,column(ao1),0)</f>
        <v>0</v>
      </c>
      <c r="AQ61">
        <f>vlookup("952-237000-300",生产发行表!B:AZ,column(ap1),0)</f>
        <v>0</v>
      </c>
      <c r="AR61">
        <f>vlookup("952-237000-300",生产发行表!B:AZ,column(aq1),0)</f>
        <v>0</v>
      </c>
    </row>
    <row r="62" spans="1:44">
      <c r="A62" t="s">
        <v>31</v>
      </c>
      <c r="B62" t="s">
        <v>225</v>
      </c>
      <c r="C62" t="s">
        <v>226</v>
      </c>
      <c r="D62" t="s">
        <v>17</v>
      </c>
      <c r="E62">
        <v>1</v>
      </c>
      <c r="F62" t="s">
        <v>227</v>
      </c>
      <c r="H62" t="s">
        <v>35</v>
      </c>
      <c r="I62" t="s">
        <v>36</v>
      </c>
      <c r="K62" t="s">
        <v>20</v>
      </c>
      <c r="L62" t="s">
        <v>37</v>
      </c>
      <c r="M62">
        <f>sumifs(m:m,A:A,"总成",B:B,"952-237000-300")*INDIRECT(ADDRESS(62,5))</f>
        <v>0</v>
      </c>
      <c r="N62">
        <f>sumifs(n:n,A:A,"总成",B:B,"952-237000-300")*INDIRECT(ADDRESS(62,5))</f>
        <v>0</v>
      </c>
      <c r="O62">
        <f>sumifs(o:o,A:A,"总成",B:B,"952-237000-300")*INDIRECT(ADDRESS(62,5))</f>
        <v>0</v>
      </c>
      <c r="P62">
        <f>sumifs(p:p,A:A,"总成",B:B,"952-237000-300")*INDIRECT(ADDRESS(62,5))</f>
        <v>0</v>
      </c>
      <c r="Q62">
        <f>sumifs(q:q,A:A,"总成",B:B,"952-237000-300")*INDIRECT(ADDRESS(62,5))</f>
        <v>0</v>
      </c>
      <c r="R62">
        <f>sumifs(r:r,A:A,"总成",B:B,"952-237000-300")*INDIRECT(ADDRESS(62,5))</f>
        <v>0</v>
      </c>
      <c r="S62">
        <f>sumifs(s:s,A:A,"总成",B:B,"952-237000-300")*INDIRECT(ADDRESS(62,5))</f>
        <v>0</v>
      </c>
      <c r="T62">
        <f>sumifs(t:t,A:A,"总成",B:B,"952-237000-300")*INDIRECT(ADDRESS(62,5))</f>
        <v>0</v>
      </c>
      <c r="U62">
        <f>sumifs(u:u,A:A,"总成",B:B,"952-237000-300")*INDIRECT(ADDRESS(62,5))</f>
        <v>0</v>
      </c>
      <c r="V62">
        <f>sumifs(v:v,A:A,"总成",B:B,"952-237000-300")*INDIRECT(ADDRESS(62,5))</f>
        <v>0</v>
      </c>
      <c r="W62">
        <f>sumifs(w:w,A:A,"总成",B:B,"952-237000-300")*INDIRECT(ADDRESS(62,5))</f>
        <v>0</v>
      </c>
      <c r="X62">
        <f>sumifs(x:x,A:A,"总成",B:B,"952-237000-300")*INDIRECT(ADDRESS(62,5))</f>
        <v>0</v>
      </c>
      <c r="Y62">
        <f>sumifs(y:y,A:A,"总成",B:B,"952-237000-300")*INDIRECT(ADDRESS(62,5))</f>
        <v>0</v>
      </c>
      <c r="Z62">
        <f>sumifs(z:z,A:A,"总成",B:B,"952-237000-300")*INDIRECT(ADDRESS(62,5))</f>
        <v>0</v>
      </c>
      <c r="AA62">
        <f>sumifs(aa:aa,A:A,"总成",B:B,"952-237000-300")*INDIRECT(ADDRESS(62,5))</f>
        <v>0</v>
      </c>
      <c r="AB62">
        <f>sumifs(ab:ab,A:A,"总成",B:B,"952-237000-300")*INDIRECT(ADDRESS(62,5))</f>
        <v>0</v>
      </c>
      <c r="AC62">
        <f>sumifs(ac:ac,A:A,"总成",B:B,"952-237000-300")*INDIRECT(ADDRESS(62,5))</f>
        <v>0</v>
      </c>
      <c r="AD62">
        <f>sumifs(ad:ad,A:A,"总成",B:B,"952-237000-300")*INDIRECT(ADDRESS(62,5))</f>
        <v>0</v>
      </c>
      <c r="AE62">
        <f>sumifs(ae:ae,A:A,"总成",B:B,"952-237000-300")*INDIRECT(ADDRESS(62,5))</f>
        <v>0</v>
      </c>
      <c r="AF62">
        <f>sumifs(af:af,A:A,"总成",B:B,"952-237000-300")*INDIRECT(ADDRESS(62,5))</f>
        <v>0</v>
      </c>
      <c r="AG62">
        <f>sumifs(ag:ag,A:A,"总成",B:B,"952-237000-300")*INDIRECT(ADDRESS(62,5))</f>
        <v>0</v>
      </c>
      <c r="AH62">
        <f>sumifs(ah:ah,A:A,"总成",B:B,"952-237000-300")*INDIRECT(ADDRESS(62,5))</f>
        <v>0</v>
      </c>
      <c r="AI62">
        <f>sumifs(ai:ai,A:A,"总成",B:B,"952-237000-300")*INDIRECT(ADDRESS(62,5))</f>
        <v>0</v>
      </c>
      <c r="AJ62">
        <f>sumifs(aj:aj,A:A,"总成",B:B,"952-237000-300")*INDIRECT(ADDRESS(62,5))</f>
        <v>0</v>
      </c>
      <c r="AK62">
        <f>sumifs(ak:ak,A:A,"总成",B:B,"952-237000-300")*INDIRECT(ADDRESS(62,5))</f>
        <v>0</v>
      </c>
      <c r="AL62">
        <f>sumifs(al:al,A:A,"总成",B:B,"952-237000-300")*INDIRECT(ADDRESS(62,5))</f>
        <v>0</v>
      </c>
      <c r="AM62">
        <f>sumifs(am:am,A:A,"总成",B:B,"952-237000-300")*INDIRECT(ADDRESS(62,5))</f>
        <v>0</v>
      </c>
      <c r="AN62">
        <f>sumifs(an:an,A:A,"总成",B:B,"952-237000-300")*INDIRECT(ADDRESS(62,5))</f>
        <v>0</v>
      </c>
      <c r="AO62">
        <f>sumifs(ao:ao,A:A,"总成",B:B,"952-237000-300")*INDIRECT(ADDRESS(62,5))</f>
        <v>0</v>
      </c>
      <c r="AP62">
        <f>sumifs(ap:ap,A:A,"总成",B:B,"952-237000-300")*INDIRECT(ADDRESS(62,5))</f>
        <v>0</v>
      </c>
      <c r="AQ62">
        <f>sumifs(aq:aq,A:A,"总成",B:B,"952-237000-300")*INDIRECT(ADDRESS(62,5))</f>
        <v>0</v>
      </c>
      <c r="AR62">
        <f>sumifs(ar:ar,A:A,"总成",B:B,"952-237000-300")*INDIRECT(ADDRESS(62,5))</f>
        <v>0</v>
      </c>
    </row>
    <row r="63" spans="1:44">
      <c r="A63" t="s">
        <v>14</v>
      </c>
      <c r="B63" t="s">
        <v>228</v>
      </c>
      <c r="C63" t="s">
        <v>229</v>
      </c>
      <c r="D63" t="s">
        <v>27</v>
      </c>
      <c r="E63">
        <v>1</v>
      </c>
      <c r="F63" t="s">
        <v>230</v>
      </c>
      <c r="H63" t="s">
        <v>215</v>
      </c>
      <c r="I63" t="s">
        <v>91</v>
      </c>
      <c r="K63" t="s">
        <v>20</v>
      </c>
      <c r="L63" t="s">
        <v>21</v>
      </c>
      <c r="M63">
        <f>vlookup("952-237000-400",生产发行表!B:AZ,column(l1),0)</f>
        <v>0</v>
      </c>
      <c r="N63">
        <f>vlookup("952-237000-400",生产发行表!B:AZ,column(m1),0)</f>
        <v>0</v>
      </c>
      <c r="O63">
        <f>vlookup("952-237000-400",生产发行表!B:AZ,column(n1),0)</f>
        <v>0</v>
      </c>
      <c r="P63">
        <f>vlookup("952-237000-400",生产发行表!B:AZ,column(o1),0)</f>
        <v>0</v>
      </c>
      <c r="Q63">
        <f>vlookup("952-237000-400",生产发行表!B:AZ,column(p1),0)</f>
        <v>0</v>
      </c>
      <c r="R63">
        <f>vlookup("952-237000-400",生产发行表!B:AZ,column(q1),0)</f>
        <v>0</v>
      </c>
      <c r="S63">
        <f>vlookup("952-237000-400",生产发行表!B:AZ,column(r1),0)</f>
        <v>0</v>
      </c>
      <c r="T63">
        <f>vlookup("952-237000-400",生产发行表!B:AZ,column(s1),0)</f>
        <v>0</v>
      </c>
      <c r="U63">
        <f>vlookup("952-237000-400",生产发行表!B:AZ,column(t1),0)</f>
        <v>0</v>
      </c>
      <c r="V63">
        <f>vlookup("952-237000-400",生产发行表!B:AZ,column(u1),0)</f>
        <v>0</v>
      </c>
      <c r="W63">
        <f>vlookup("952-237000-400",生产发行表!B:AZ,column(v1),0)</f>
        <v>0</v>
      </c>
      <c r="X63">
        <f>vlookup("952-237000-400",生产发行表!B:AZ,column(w1),0)</f>
        <v>0</v>
      </c>
      <c r="Y63">
        <f>vlookup("952-237000-400",生产发行表!B:AZ,column(x1),0)</f>
        <v>0</v>
      </c>
      <c r="Z63">
        <f>vlookup("952-237000-400",生产发行表!B:AZ,column(y1),0)</f>
        <v>0</v>
      </c>
      <c r="AA63">
        <f>vlookup("952-237000-400",生产发行表!B:AZ,column(z1),0)</f>
        <v>0</v>
      </c>
      <c r="AB63">
        <f>vlookup("952-237000-400",生产发行表!B:AZ,column(aa1),0)</f>
        <v>0</v>
      </c>
      <c r="AC63">
        <f>vlookup("952-237000-400",生产发行表!B:AZ,column(ab1),0)</f>
        <v>0</v>
      </c>
      <c r="AD63">
        <f>vlookup("952-237000-400",生产发行表!B:AZ,column(ac1),0)</f>
        <v>0</v>
      </c>
      <c r="AE63">
        <f>vlookup("952-237000-400",生产发行表!B:AZ,column(ad1),0)</f>
        <v>0</v>
      </c>
      <c r="AF63">
        <f>vlookup("952-237000-400",生产发行表!B:AZ,column(ae1),0)</f>
        <v>0</v>
      </c>
      <c r="AG63">
        <f>vlookup("952-237000-400",生产发行表!B:AZ,column(af1),0)</f>
        <v>0</v>
      </c>
      <c r="AH63">
        <f>vlookup("952-237000-400",生产发行表!B:AZ,column(ag1),0)</f>
        <v>0</v>
      </c>
      <c r="AI63">
        <f>vlookup("952-237000-400",生产发行表!B:AZ,column(ah1),0)</f>
        <v>0</v>
      </c>
      <c r="AJ63">
        <f>vlookup("952-237000-400",生产发行表!B:AZ,column(ai1),0)</f>
        <v>0</v>
      </c>
      <c r="AK63">
        <f>vlookup("952-237000-400",生产发行表!B:AZ,column(aj1),0)</f>
        <v>0</v>
      </c>
      <c r="AL63">
        <f>vlookup("952-237000-400",生产发行表!B:AZ,column(ak1),0)</f>
        <v>0</v>
      </c>
      <c r="AM63">
        <f>vlookup("952-237000-400",生产发行表!B:AZ,column(al1),0)</f>
        <v>0</v>
      </c>
      <c r="AN63">
        <f>vlookup("952-237000-400",生产发行表!B:AZ,column(am1),0)</f>
        <v>0</v>
      </c>
      <c r="AO63">
        <f>vlookup("952-237000-400",生产发行表!B:AZ,column(an1),0)</f>
        <v>0</v>
      </c>
      <c r="AP63">
        <f>vlookup("952-237000-400",生产发行表!B:AZ,column(ao1),0)</f>
        <v>0</v>
      </c>
      <c r="AQ63">
        <f>vlookup("952-237000-400",生产发行表!B:AZ,column(ap1),0)</f>
        <v>0</v>
      </c>
      <c r="AR63">
        <f>vlookup("952-237000-400",生产发行表!B:AZ,column(aq1),0)</f>
        <v>0</v>
      </c>
    </row>
    <row r="64" spans="1:44">
      <c r="A64" t="s">
        <v>31</v>
      </c>
      <c r="B64" t="s">
        <v>231</v>
      </c>
      <c r="C64" t="s">
        <v>232</v>
      </c>
      <c r="D64" t="s">
        <v>17</v>
      </c>
      <c r="E64">
        <v>1</v>
      </c>
      <c r="F64" t="s">
        <v>233</v>
      </c>
      <c r="H64" t="s">
        <v>35</v>
      </c>
      <c r="I64" t="s">
        <v>36</v>
      </c>
      <c r="K64" t="s">
        <v>20</v>
      </c>
      <c r="L64" t="s">
        <v>37</v>
      </c>
      <c r="M64">
        <f>sumifs(m:m,A:A,"总成",B:B,"952-237000-400")*INDIRECT(ADDRESS(64,5))</f>
        <v>0</v>
      </c>
      <c r="N64">
        <f>sumifs(n:n,A:A,"总成",B:B,"952-237000-400")*INDIRECT(ADDRESS(64,5))</f>
        <v>0</v>
      </c>
      <c r="O64">
        <f>sumifs(o:o,A:A,"总成",B:B,"952-237000-400")*INDIRECT(ADDRESS(64,5))</f>
        <v>0</v>
      </c>
      <c r="P64">
        <f>sumifs(p:p,A:A,"总成",B:B,"952-237000-400")*INDIRECT(ADDRESS(64,5))</f>
        <v>0</v>
      </c>
      <c r="Q64">
        <f>sumifs(q:q,A:A,"总成",B:B,"952-237000-400")*INDIRECT(ADDRESS(64,5))</f>
        <v>0</v>
      </c>
      <c r="R64">
        <f>sumifs(r:r,A:A,"总成",B:B,"952-237000-400")*INDIRECT(ADDRESS(64,5))</f>
        <v>0</v>
      </c>
      <c r="S64">
        <f>sumifs(s:s,A:A,"总成",B:B,"952-237000-400")*INDIRECT(ADDRESS(64,5))</f>
        <v>0</v>
      </c>
      <c r="T64">
        <f>sumifs(t:t,A:A,"总成",B:B,"952-237000-400")*INDIRECT(ADDRESS(64,5))</f>
        <v>0</v>
      </c>
      <c r="U64">
        <f>sumifs(u:u,A:A,"总成",B:B,"952-237000-400")*INDIRECT(ADDRESS(64,5))</f>
        <v>0</v>
      </c>
      <c r="V64">
        <f>sumifs(v:v,A:A,"总成",B:B,"952-237000-400")*INDIRECT(ADDRESS(64,5))</f>
        <v>0</v>
      </c>
      <c r="W64">
        <f>sumifs(w:w,A:A,"总成",B:B,"952-237000-400")*INDIRECT(ADDRESS(64,5))</f>
        <v>0</v>
      </c>
      <c r="X64">
        <f>sumifs(x:x,A:A,"总成",B:B,"952-237000-400")*INDIRECT(ADDRESS(64,5))</f>
        <v>0</v>
      </c>
      <c r="Y64">
        <f>sumifs(y:y,A:A,"总成",B:B,"952-237000-400")*INDIRECT(ADDRESS(64,5))</f>
        <v>0</v>
      </c>
      <c r="Z64">
        <f>sumifs(z:z,A:A,"总成",B:B,"952-237000-400")*INDIRECT(ADDRESS(64,5))</f>
        <v>0</v>
      </c>
      <c r="AA64">
        <f>sumifs(aa:aa,A:A,"总成",B:B,"952-237000-400")*INDIRECT(ADDRESS(64,5))</f>
        <v>0</v>
      </c>
      <c r="AB64">
        <f>sumifs(ab:ab,A:A,"总成",B:B,"952-237000-400")*INDIRECT(ADDRESS(64,5))</f>
        <v>0</v>
      </c>
      <c r="AC64">
        <f>sumifs(ac:ac,A:A,"总成",B:B,"952-237000-400")*INDIRECT(ADDRESS(64,5))</f>
        <v>0</v>
      </c>
      <c r="AD64">
        <f>sumifs(ad:ad,A:A,"总成",B:B,"952-237000-400")*INDIRECT(ADDRESS(64,5))</f>
        <v>0</v>
      </c>
      <c r="AE64">
        <f>sumifs(ae:ae,A:A,"总成",B:B,"952-237000-400")*INDIRECT(ADDRESS(64,5))</f>
        <v>0</v>
      </c>
      <c r="AF64">
        <f>sumifs(af:af,A:A,"总成",B:B,"952-237000-400")*INDIRECT(ADDRESS(64,5))</f>
        <v>0</v>
      </c>
      <c r="AG64">
        <f>sumifs(ag:ag,A:A,"总成",B:B,"952-237000-400")*INDIRECT(ADDRESS(64,5))</f>
        <v>0</v>
      </c>
      <c r="AH64">
        <f>sumifs(ah:ah,A:A,"总成",B:B,"952-237000-400")*INDIRECT(ADDRESS(64,5))</f>
        <v>0</v>
      </c>
      <c r="AI64">
        <f>sumifs(ai:ai,A:A,"总成",B:B,"952-237000-400")*INDIRECT(ADDRESS(64,5))</f>
        <v>0</v>
      </c>
      <c r="AJ64">
        <f>sumifs(aj:aj,A:A,"总成",B:B,"952-237000-400")*INDIRECT(ADDRESS(64,5))</f>
        <v>0</v>
      </c>
      <c r="AK64">
        <f>sumifs(ak:ak,A:A,"总成",B:B,"952-237000-400")*INDIRECT(ADDRESS(64,5))</f>
        <v>0</v>
      </c>
      <c r="AL64">
        <f>sumifs(al:al,A:A,"总成",B:B,"952-237000-400")*INDIRECT(ADDRESS(64,5))</f>
        <v>0</v>
      </c>
      <c r="AM64">
        <f>sumifs(am:am,A:A,"总成",B:B,"952-237000-400")*INDIRECT(ADDRESS(64,5))</f>
        <v>0</v>
      </c>
      <c r="AN64">
        <f>sumifs(an:an,A:A,"总成",B:B,"952-237000-400")*INDIRECT(ADDRESS(64,5))</f>
        <v>0</v>
      </c>
      <c r="AO64">
        <f>sumifs(ao:ao,A:A,"总成",B:B,"952-237000-400")*INDIRECT(ADDRESS(64,5))</f>
        <v>0</v>
      </c>
      <c r="AP64">
        <f>sumifs(ap:ap,A:A,"总成",B:B,"952-237000-400")*INDIRECT(ADDRESS(64,5))</f>
        <v>0</v>
      </c>
      <c r="AQ64">
        <f>sumifs(aq:aq,A:A,"总成",B:B,"952-237000-400")*INDIRECT(ADDRESS(64,5))</f>
        <v>0</v>
      </c>
      <c r="AR64">
        <f>sumifs(ar:ar,A:A,"总成",B:B,"952-237000-400")*INDIRECT(ADDRESS(64,5))</f>
        <v>0</v>
      </c>
    </row>
    <row r="65" spans="1:44">
      <c r="A65" t="s">
        <v>14</v>
      </c>
      <c r="B65" t="s">
        <v>234</v>
      </c>
      <c r="C65" t="s">
        <v>235</v>
      </c>
      <c r="D65" t="s">
        <v>27</v>
      </c>
      <c r="E65">
        <v>1</v>
      </c>
      <c r="F65" t="s">
        <v>236</v>
      </c>
      <c r="H65" t="s">
        <v>237</v>
      </c>
      <c r="I65" t="s">
        <v>238</v>
      </c>
      <c r="K65" t="s">
        <v>20</v>
      </c>
      <c r="L65" t="s">
        <v>21</v>
      </c>
      <c r="M65">
        <f>vlookup("952-253000-100",生产发行表!B:AZ,column(l1),0)</f>
        <v>0</v>
      </c>
      <c r="N65">
        <f>vlookup("952-253000-100",生产发行表!B:AZ,column(m1),0)</f>
        <v>0</v>
      </c>
      <c r="O65">
        <f>vlookup("952-253000-100",生产发行表!B:AZ,column(n1),0)</f>
        <v>0</v>
      </c>
      <c r="P65">
        <f>vlookup("952-253000-100",生产发行表!B:AZ,column(o1),0)</f>
        <v>0</v>
      </c>
      <c r="Q65">
        <f>vlookup("952-253000-100",生产发行表!B:AZ,column(p1),0)</f>
        <v>0</v>
      </c>
      <c r="R65">
        <f>vlookup("952-253000-100",生产发行表!B:AZ,column(q1),0)</f>
        <v>0</v>
      </c>
      <c r="S65">
        <f>vlookup("952-253000-100",生产发行表!B:AZ,column(r1),0)</f>
        <v>0</v>
      </c>
      <c r="T65">
        <f>vlookup("952-253000-100",生产发行表!B:AZ,column(s1),0)</f>
        <v>0</v>
      </c>
      <c r="U65">
        <f>vlookup("952-253000-100",生产发行表!B:AZ,column(t1),0)</f>
        <v>0</v>
      </c>
      <c r="V65">
        <f>vlookup("952-253000-100",生产发行表!B:AZ,column(u1),0)</f>
        <v>0</v>
      </c>
      <c r="W65">
        <f>vlookup("952-253000-100",生产发行表!B:AZ,column(v1),0)</f>
        <v>0</v>
      </c>
      <c r="X65">
        <f>vlookup("952-253000-100",生产发行表!B:AZ,column(w1),0)</f>
        <v>0</v>
      </c>
      <c r="Y65">
        <f>vlookup("952-253000-100",生产发行表!B:AZ,column(x1),0)</f>
        <v>0</v>
      </c>
      <c r="Z65">
        <f>vlookup("952-253000-100",生产发行表!B:AZ,column(y1),0)</f>
        <v>0</v>
      </c>
      <c r="AA65">
        <f>vlookup("952-253000-100",生产发行表!B:AZ,column(z1),0)</f>
        <v>0</v>
      </c>
      <c r="AB65">
        <f>vlookup("952-253000-100",生产发行表!B:AZ,column(aa1),0)</f>
        <v>0</v>
      </c>
      <c r="AC65">
        <f>vlookup("952-253000-100",生产发行表!B:AZ,column(ab1),0)</f>
        <v>0</v>
      </c>
      <c r="AD65">
        <f>vlookup("952-253000-100",生产发行表!B:AZ,column(ac1),0)</f>
        <v>0</v>
      </c>
      <c r="AE65">
        <f>vlookup("952-253000-100",生产发行表!B:AZ,column(ad1),0)</f>
        <v>0</v>
      </c>
      <c r="AF65">
        <f>vlookup("952-253000-100",生产发行表!B:AZ,column(ae1),0)</f>
        <v>0</v>
      </c>
      <c r="AG65">
        <f>vlookup("952-253000-100",生产发行表!B:AZ,column(af1),0)</f>
        <v>0</v>
      </c>
      <c r="AH65">
        <f>vlookup("952-253000-100",生产发行表!B:AZ,column(ag1),0)</f>
        <v>0</v>
      </c>
      <c r="AI65">
        <f>vlookup("952-253000-100",生产发行表!B:AZ,column(ah1),0)</f>
        <v>0</v>
      </c>
      <c r="AJ65">
        <f>vlookup("952-253000-100",生产发行表!B:AZ,column(ai1),0)</f>
        <v>0</v>
      </c>
      <c r="AK65">
        <f>vlookup("952-253000-100",生产发行表!B:AZ,column(aj1),0)</f>
        <v>0</v>
      </c>
      <c r="AL65">
        <f>vlookup("952-253000-100",生产发行表!B:AZ,column(ak1),0)</f>
        <v>0</v>
      </c>
      <c r="AM65">
        <f>vlookup("952-253000-100",生产发行表!B:AZ,column(al1),0)</f>
        <v>0</v>
      </c>
      <c r="AN65">
        <f>vlookup("952-253000-100",生产发行表!B:AZ,column(am1),0)</f>
        <v>0</v>
      </c>
      <c r="AO65">
        <f>vlookup("952-253000-100",生产发行表!B:AZ,column(an1),0)</f>
        <v>0</v>
      </c>
      <c r="AP65">
        <f>vlookup("952-253000-100",生产发行表!B:AZ,column(ao1),0)</f>
        <v>0</v>
      </c>
      <c r="AQ65">
        <f>vlookup("952-253000-100",生产发行表!B:AZ,column(ap1),0)</f>
        <v>0</v>
      </c>
      <c r="AR65">
        <f>vlookup("952-253000-100",生产发行表!B:AZ,column(aq1),0)</f>
        <v>0</v>
      </c>
    </row>
    <row r="66" spans="1:44">
      <c r="A66" t="s">
        <v>31</v>
      </c>
      <c r="B66" t="s">
        <v>239</v>
      </c>
      <c r="C66" t="s">
        <v>240</v>
      </c>
      <c r="D66" t="s">
        <v>17</v>
      </c>
      <c r="E66">
        <v>1</v>
      </c>
      <c r="F66" t="s">
        <v>241</v>
      </c>
      <c r="H66" t="s">
        <v>35</v>
      </c>
      <c r="I66" t="s">
        <v>36</v>
      </c>
      <c r="K66" t="s">
        <v>20</v>
      </c>
      <c r="L66" t="s">
        <v>37</v>
      </c>
      <c r="M66">
        <f>sumifs(m:m,A:A,"总成",B:B,"952-253000-100")*INDIRECT(ADDRESS(66,5))</f>
        <v>0</v>
      </c>
      <c r="N66">
        <f>sumifs(n:n,A:A,"总成",B:B,"952-253000-100")*INDIRECT(ADDRESS(66,5))</f>
        <v>0</v>
      </c>
      <c r="O66">
        <f>sumifs(o:o,A:A,"总成",B:B,"952-253000-100")*INDIRECT(ADDRESS(66,5))</f>
        <v>0</v>
      </c>
      <c r="P66">
        <f>sumifs(p:p,A:A,"总成",B:B,"952-253000-100")*INDIRECT(ADDRESS(66,5))</f>
        <v>0</v>
      </c>
      <c r="Q66">
        <f>sumifs(q:q,A:A,"总成",B:B,"952-253000-100")*INDIRECT(ADDRESS(66,5))</f>
        <v>0</v>
      </c>
      <c r="R66">
        <f>sumifs(r:r,A:A,"总成",B:B,"952-253000-100")*INDIRECT(ADDRESS(66,5))</f>
        <v>0</v>
      </c>
      <c r="S66">
        <f>sumifs(s:s,A:A,"总成",B:B,"952-253000-100")*INDIRECT(ADDRESS(66,5))</f>
        <v>0</v>
      </c>
      <c r="T66">
        <f>sumifs(t:t,A:A,"总成",B:B,"952-253000-100")*INDIRECT(ADDRESS(66,5))</f>
        <v>0</v>
      </c>
      <c r="U66">
        <f>sumifs(u:u,A:A,"总成",B:B,"952-253000-100")*INDIRECT(ADDRESS(66,5))</f>
        <v>0</v>
      </c>
      <c r="V66">
        <f>sumifs(v:v,A:A,"总成",B:B,"952-253000-100")*INDIRECT(ADDRESS(66,5))</f>
        <v>0</v>
      </c>
      <c r="W66">
        <f>sumifs(w:w,A:A,"总成",B:B,"952-253000-100")*INDIRECT(ADDRESS(66,5))</f>
        <v>0</v>
      </c>
      <c r="X66">
        <f>sumifs(x:x,A:A,"总成",B:B,"952-253000-100")*INDIRECT(ADDRESS(66,5))</f>
        <v>0</v>
      </c>
      <c r="Y66">
        <f>sumifs(y:y,A:A,"总成",B:B,"952-253000-100")*INDIRECT(ADDRESS(66,5))</f>
        <v>0</v>
      </c>
      <c r="Z66">
        <f>sumifs(z:z,A:A,"总成",B:B,"952-253000-100")*INDIRECT(ADDRESS(66,5))</f>
        <v>0</v>
      </c>
      <c r="AA66">
        <f>sumifs(aa:aa,A:A,"总成",B:B,"952-253000-100")*INDIRECT(ADDRESS(66,5))</f>
        <v>0</v>
      </c>
      <c r="AB66">
        <f>sumifs(ab:ab,A:A,"总成",B:B,"952-253000-100")*INDIRECT(ADDRESS(66,5))</f>
        <v>0</v>
      </c>
      <c r="AC66">
        <f>sumifs(ac:ac,A:A,"总成",B:B,"952-253000-100")*INDIRECT(ADDRESS(66,5))</f>
        <v>0</v>
      </c>
      <c r="AD66">
        <f>sumifs(ad:ad,A:A,"总成",B:B,"952-253000-100")*INDIRECT(ADDRESS(66,5))</f>
        <v>0</v>
      </c>
      <c r="AE66">
        <f>sumifs(ae:ae,A:A,"总成",B:B,"952-253000-100")*INDIRECT(ADDRESS(66,5))</f>
        <v>0</v>
      </c>
      <c r="AF66">
        <f>sumifs(af:af,A:A,"总成",B:B,"952-253000-100")*INDIRECT(ADDRESS(66,5))</f>
        <v>0</v>
      </c>
      <c r="AG66">
        <f>sumifs(ag:ag,A:A,"总成",B:B,"952-253000-100")*INDIRECT(ADDRESS(66,5))</f>
        <v>0</v>
      </c>
      <c r="AH66">
        <f>sumifs(ah:ah,A:A,"总成",B:B,"952-253000-100")*INDIRECT(ADDRESS(66,5))</f>
        <v>0</v>
      </c>
      <c r="AI66">
        <f>sumifs(ai:ai,A:A,"总成",B:B,"952-253000-100")*INDIRECT(ADDRESS(66,5))</f>
        <v>0</v>
      </c>
      <c r="AJ66">
        <f>sumifs(aj:aj,A:A,"总成",B:B,"952-253000-100")*INDIRECT(ADDRESS(66,5))</f>
        <v>0</v>
      </c>
      <c r="AK66">
        <f>sumifs(ak:ak,A:A,"总成",B:B,"952-253000-100")*INDIRECT(ADDRESS(66,5))</f>
        <v>0</v>
      </c>
      <c r="AL66">
        <f>sumifs(al:al,A:A,"总成",B:B,"952-253000-100")*INDIRECT(ADDRESS(66,5))</f>
        <v>0</v>
      </c>
      <c r="AM66">
        <f>sumifs(am:am,A:A,"总成",B:B,"952-253000-100")*INDIRECT(ADDRESS(66,5))</f>
        <v>0</v>
      </c>
      <c r="AN66">
        <f>sumifs(an:an,A:A,"总成",B:B,"952-253000-100")*INDIRECT(ADDRESS(66,5))</f>
        <v>0</v>
      </c>
      <c r="AO66">
        <f>sumifs(ao:ao,A:A,"总成",B:B,"952-253000-100")*INDIRECT(ADDRESS(66,5))</f>
        <v>0</v>
      </c>
      <c r="AP66">
        <f>sumifs(ap:ap,A:A,"总成",B:B,"952-253000-100")*INDIRECT(ADDRESS(66,5))</f>
        <v>0</v>
      </c>
      <c r="AQ66">
        <f>sumifs(aq:aq,A:A,"总成",B:B,"952-253000-100")*INDIRECT(ADDRESS(66,5))</f>
        <v>0</v>
      </c>
      <c r="AR66">
        <f>sumifs(ar:ar,A:A,"总成",B:B,"952-253000-100")*INDIRECT(ADDRESS(66,5))</f>
        <v>0</v>
      </c>
    </row>
    <row r="67" spans="1:44">
      <c r="A67" t="s">
        <v>14</v>
      </c>
      <c r="B67" t="s">
        <v>242</v>
      </c>
      <c r="C67" t="s">
        <v>243</v>
      </c>
      <c r="D67" t="s">
        <v>244</v>
      </c>
      <c r="E67">
        <v>1</v>
      </c>
      <c r="F67" t="s">
        <v>245</v>
      </c>
      <c r="H67" t="s">
        <v>237</v>
      </c>
      <c r="I67" t="s">
        <v>30</v>
      </c>
      <c r="K67" t="s">
        <v>20</v>
      </c>
      <c r="L67" t="s">
        <v>21</v>
      </c>
      <c r="M67">
        <f>vlookup("952-000000-300",生产发行表!B:AZ,column(l1),0)</f>
        <v>0</v>
      </c>
      <c r="N67">
        <f>vlookup("952-000000-300",生产发行表!B:AZ,column(m1),0)</f>
        <v>0</v>
      </c>
      <c r="O67">
        <f>vlookup("952-000000-300",生产发行表!B:AZ,column(n1),0)</f>
        <v>0</v>
      </c>
      <c r="P67">
        <f>vlookup("952-000000-300",生产发行表!B:AZ,column(o1),0)</f>
        <v>0</v>
      </c>
      <c r="Q67">
        <f>vlookup("952-000000-300",生产发行表!B:AZ,column(p1),0)</f>
        <v>0</v>
      </c>
      <c r="R67">
        <f>vlookup("952-000000-300",生产发行表!B:AZ,column(q1),0)</f>
        <v>0</v>
      </c>
      <c r="S67">
        <f>vlookup("952-000000-300",生产发行表!B:AZ,column(r1),0)</f>
        <v>0</v>
      </c>
      <c r="T67">
        <f>vlookup("952-000000-300",生产发行表!B:AZ,column(s1),0)</f>
        <v>0</v>
      </c>
      <c r="U67">
        <f>vlookup("952-000000-300",生产发行表!B:AZ,column(t1),0)</f>
        <v>0</v>
      </c>
      <c r="V67">
        <f>vlookup("952-000000-300",生产发行表!B:AZ,column(u1),0)</f>
        <v>0</v>
      </c>
      <c r="W67">
        <f>vlookup("952-000000-300",生产发行表!B:AZ,column(v1),0)</f>
        <v>0</v>
      </c>
      <c r="X67">
        <f>vlookup("952-000000-300",生产发行表!B:AZ,column(w1),0)</f>
        <v>0</v>
      </c>
      <c r="Y67">
        <f>vlookup("952-000000-300",生产发行表!B:AZ,column(x1),0)</f>
        <v>0</v>
      </c>
      <c r="Z67">
        <f>vlookup("952-000000-300",生产发行表!B:AZ,column(y1),0)</f>
        <v>0</v>
      </c>
      <c r="AA67">
        <f>vlookup("952-000000-300",生产发行表!B:AZ,column(z1),0)</f>
        <v>0</v>
      </c>
      <c r="AB67">
        <f>vlookup("952-000000-300",生产发行表!B:AZ,column(aa1),0)</f>
        <v>0</v>
      </c>
      <c r="AC67">
        <f>vlookup("952-000000-300",生产发行表!B:AZ,column(ab1),0)</f>
        <v>0</v>
      </c>
      <c r="AD67">
        <f>vlookup("952-000000-300",生产发行表!B:AZ,column(ac1),0)</f>
        <v>0</v>
      </c>
      <c r="AE67">
        <f>vlookup("952-000000-300",生产发行表!B:AZ,column(ad1),0)</f>
        <v>0</v>
      </c>
      <c r="AF67">
        <f>vlookup("952-000000-300",生产发行表!B:AZ,column(ae1),0)</f>
        <v>0</v>
      </c>
      <c r="AG67">
        <f>vlookup("952-000000-300",生产发行表!B:AZ,column(af1),0)</f>
        <v>0</v>
      </c>
      <c r="AH67">
        <f>vlookup("952-000000-300",生产发行表!B:AZ,column(ag1),0)</f>
        <v>0</v>
      </c>
      <c r="AI67">
        <f>vlookup("952-000000-300",生产发行表!B:AZ,column(ah1),0)</f>
        <v>0</v>
      </c>
      <c r="AJ67">
        <f>vlookup("952-000000-300",生产发行表!B:AZ,column(ai1),0)</f>
        <v>0</v>
      </c>
      <c r="AK67">
        <f>vlookup("952-000000-300",生产发行表!B:AZ,column(aj1),0)</f>
        <v>0</v>
      </c>
      <c r="AL67">
        <f>vlookup("952-000000-300",生产发行表!B:AZ,column(ak1),0)</f>
        <v>0</v>
      </c>
      <c r="AM67">
        <f>vlookup("952-000000-300",生产发行表!B:AZ,column(al1),0)</f>
        <v>0</v>
      </c>
      <c r="AN67">
        <f>vlookup("952-000000-300",生产发行表!B:AZ,column(am1),0)</f>
        <v>0</v>
      </c>
      <c r="AO67">
        <f>vlookup("952-000000-300",生产发行表!B:AZ,column(an1),0)</f>
        <v>0</v>
      </c>
      <c r="AP67">
        <f>vlookup("952-000000-300",生产发行表!B:AZ,column(ao1),0)</f>
        <v>0</v>
      </c>
      <c r="AQ67">
        <f>vlookup("952-000000-300",生产发行表!B:AZ,column(ap1),0)</f>
        <v>0</v>
      </c>
      <c r="AR67">
        <f>vlookup("952-000000-300",生产发行表!B:AZ,column(aq1),0)</f>
        <v>0</v>
      </c>
    </row>
    <row r="68" spans="1:44">
      <c r="A68" t="s">
        <v>14</v>
      </c>
      <c r="B68" t="s">
        <v>246</v>
      </c>
      <c r="C68" t="s">
        <v>247</v>
      </c>
      <c r="D68" t="s">
        <v>163</v>
      </c>
      <c r="E68">
        <v>1</v>
      </c>
      <c r="F68" t="s">
        <v>248</v>
      </c>
      <c r="H68" t="s">
        <v>249</v>
      </c>
      <c r="I68" t="s">
        <v>250</v>
      </c>
      <c r="K68" t="s">
        <v>20</v>
      </c>
      <c r="L68" t="s">
        <v>21</v>
      </c>
      <c r="M68">
        <f>vlookup("952-254000-100",生产发行表!B:AZ,column(l1),0)</f>
        <v>0</v>
      </c>
      <c r="N68">
        <f>vlookup("952-254000-100",生产发行表!B:AZ,column(m1),0)</f>
        <v>0</v>
      </c>
      <c r="O68">
        <f>vlookup("952-254000-100",生产发行表!B:AZ,column(n1),0)</f>
        <v>0</v>
      </c>
      <c r="P68">
        <f>vlookup("952-254000-100",生产发行表!B:AZ,column(o1),0)</f>
        <v>0</v>
      </c>
      <c r="Q68">
        <f>vlookup("952-254000-100",生产发行表!B:AZ,column(p1),0)</f>
        <v>0</v>
      </c>
      <c r="R68">
        <f>vlookup("952-254000-100",生产发行表!B:AZ,column(q1),0)</f>
        <v>0</v>
      </c>
      <c r="S68">
        <f>vlookup("952-254000-100",生产发行表!B:AZ,column(r1),0)</f>
        <v>0</v>
      </c>
      <c r="T68">
        <f>vlookup("952-254000-100",生产发行表!B:AZ,column(s1),0)</f>
        <v>0</v>
      </c>
      <c r="U68">
        <f>vlookup("952-254000-100",生产发行表!B:AZ,column(t1),0)</f>
        <v>0</v>
      </c>
      <c r="V68">
        <f>vlookup("952-254000-100",生产发行表!B:AZ,column(u1),0)</f>
        <v>0</v>
      </c>
      <c r="W68">
        <f>vlookup("952-254000-100",生产发行表!B:AZ,column(v1),0)</f>
        <v>0</v>
      </c>
      <c r="X68">
        <f>vlookup("952-254000-100",生产发行表!B:AZ,column(w1),0)</f>
        <v>0</v>
      </c>
      <c r="Y68">
        <f>vlookup("952-254000-100",生产发行表!B:AZ,column(x1),0)</f>
        <v>0</v>
      </c>
      <c r="Z68">
        <f>vlookup("952-254000-100",生产发行表!B:AZ,column(y1),0)</f>
        <v>0</v>
      </c>
      <c r="AA68">
        <f>vlookup("952-254000-100",生产发行表!B:AZ,column(z1),0)</f>
        <v>0</v>
      </c>
      <c r="AB68">
        <f>vlookup("952-254000-100",生产发行表!B:AZ,column(aa1),0)</f>
        <v>0</v>
      </c>
      <c r="AC68">
        <f>vlookup("952-254000-100",生产发行表!B:AZ,column(ab1),0)</f>
        <v>0</v>
      </c>
      <c r="AD68">
        <f>vlookup("952-254000-100",生产发行表!B:AZ,column(ac1),0)</f>
        <v>0</v>
      </c>
      <c r="AE68">
        <f>vlookup("952-254000-100",生产发行表!B:AZ,column(ad1),0)</f>
        <v>0</v>
      </c>
      <c r="AF68">
        <f>vlookup("952-254000-100",生产发行表!B:AZ,column(ae1),0)</f>
        <v>0</v>
      </c>
      <c r="AG68">
        <f>vlookup("952-254000-100",生产发行表!B:AZ,column(af1),0)</f>
        <v>0</v>
      </c>
      <c r="AH68">
        <f>vlookup("952-254000-100",生产发行表!B:AZ,column(ag1),0)</f>
        <v>0</v>
      </c>
      <c r="AI68">
        <f>vlookup("952-254000-100",生产发行表!B:AZ,column(ah1),0)</f>
        <v>0</v>
      </c>
      <c r="AJ68">
        <f>vlookup("952-254000-100",生产发行表!B:AZ,column(ai1),0)</f>
        <v>0</v>
      </c>
      <c r="AK68">
        <f>vlookup("952-254000-100",生产发行表!B:AZ,column(aj1),0)</f>
        <v>0</v>
      </c>
      <c r="AL68">
        <f>vlookup("952-254000-100",生产发行表!B:AZ,column(ak1),0)</f>
        <v>0</v>
      </c>
      <c r="AM68">
        <f>vlookup("952-254000-100",生产发行表!B:AZ,column(al1),0)</f>
        <v>0</v>
      </c>
      <c r="AN68">
        <f>vlookup("952-254000-100",生产发行表!B:AZ,column(am1),0)</f>
        <v>0</v>
      </c>
      <c r="AO68">
        <f>vlookup("952-254000-100",生产发行表!B:AZ,column(an1),0)</f>
        <v>0</v>
      </c>
      <c r="AP68">
        <f>vlookup("952-254000-100",生产发行表!B:AZ,column(ao1),0)</f>
        <v>0</v>
      </c>
      <c r="AQ68">
        <f>vlookup("952-254000-100",生产发行表!B:AZ,column(ap1),0)</f>
        <v>0</v>
      </c>
      <c r="AR68">
        <f>vlookup("952-254000-100",生产发行表!B:AZ,column(aq1),0)</f>
        <v>0</v>
      </c>
    </row>
    <row r="69" spans="1:44">
      <c r="A69" t="s">
        <v>31</v>
      </c>
      <c r="B69" t="s">
        <v>251</v>
      </c>
      <c r="C69" t="s">
        <v>252</v>
      </c>
      <c r="D69" t="s">
        <v>17</v>
      </c>
      <c r="E69">
        <v>1</v>
      </c>
      <c r="F69" t="s">
        <v>253</v>
      </c>
      <c r="H69" t="s">
        <v>35</v>
      </c>
      <c r="I69" t="s">
        <v>36</v>
      </c>
      <c r="K69" t="s">
        <v>20</v>
      </c>
      <c r="L69" t="s">
        <v>37</v>
      </c>
      <c r="M69">
        <f>sumifs(m:m,A:A,"总成",B:B,"952-254000-100")*INDIRECT(ADDRESS(69,5))</f>
        <v>0</v>
      </c>
      <c r="N69">
        <f>sumifs(n:n,A:A,"总成",B:B,"952-254000-100")*INDIRECT(ADDRESS(69,5))</f>
        <v>0</v>
      </c>
      <c r="O69">
        <f>sumifs(o:o,A:A,"总成",B:B,"952-254000-100")*INDIRECT(ADDRESS(69,5))</f>
        <v>0</v>
      </c>
      <c r="P69">
        <f>sumifs(p:p,A:A,"总成",B:B,"952-254000-100")*INDIRECT(ADDRESS(69,5))</f>
        <v>0</v>
      </c>
      <c r="Q69">
        <f>sumifs(q:q,A:A,"总成",B:B,"952-254000-100")*INDIRECT(ADDRESS(69,5))</f>
        <v>0</v>
      </c>
      <c r="R69">
        <f>sumifs(r:r,A:A,"总成",B:B,"952-254000-100")*INDIRECT(ADDRESS(69,5))</f>
        <v>0</v>
      </c>
      <c r="S69">
        <f>sumifs(s:s,A:A,"总成",B:B,"952-254000-100")*INDIRECT(ADDRESS(69,5))</f>
        <v>0</v>
      </c>
      <c r="T69">
        <f>sumifs(t:t,A:A,"总成",B:B,"952-254000-100")*INDIRECT(ADDRESS(69,5))</f>
        <v>0</v>
      </c>
      <c r="U69">
        <f>sumifs(u:u,A:A,"总成",B:B,"952-254000-100")*INDIRECT(ADDRESS(69,5))</f>
        <v>0</v>
      </c>
      <c r="V69">
        <f>sumifs(v:v,A:A,"总成",B:B,"952-254000-100")*INDIRECT(ADDRESS(69,5))</f>
        <v>0</v>
      </c>
      <c r="W69">
        <f>sumifs(w:w,A:A,"总成",B:B,"952-254000-100")*INDIRECT(ADDRESS(69,5))</f>
        <v>0</v>
      </c>
      <c r="X69">
        <f>sumifs(x:x,A:A,"总成",B:B,"952-254000-100")*INDIRECT(ADDRESS(69,5))</f>
        <v>0</v>
      </c>
      <c r="Y69">
        <f>sumifs(y:y,A:A,"总成",B:B,"952-254000-100")*INDIRECT(ADDRESS(69,5))</f>
        <v>0</v>
      </c>
      <c r="Z69">
        <f>sumifs(z:z,A:A,"总成",B:B,"952-254000-100")*INDIRECT(ADDRESS(69,5))</f>
        <v>0</v>
      </c>
      <c r="AA69">
        <f>sumifs(aa:aa,A:A,"总成",B:B,"952-254000-100")*INDIRECT(ADDRESS(69,5))</f>
        <v>0</v>
      </c>
      <c r="AB69">
        <f>sumifs(ab:ab,A:A,"总成",B:B,"952-254000-100")*INDIRECT(ADDRESS(69,5))</f>
        <v>0</v>
      </c>
      <c r="AC69">
        <f>sumifs(ac:ac,A:A,"总成",B:B,"952-254000-100")*INDIRECT(ADDRESS(69,5))</f>
        <v>0</v>
      </c>
      <c r="AD69">
        <f>sumifs(ad:ad,A:A,"总成",B:B,"952-254000-100")*INDIRECT(ADDRESS(69,5))</f>
        <v>0</v>
      </c>
      <c r="AE69">
        <f>sumifs(ae:ae,A:A,"总成",B:B,"952-254000-100")*INDIRECT(ADDRESS(69,5))</f>
        <v>0</v>
      </c>
      <c r="AF69">
        <f>sumifs(af:af,A:A,"总成",B:B,"952-254000-100")*INDIRECT(ADDRESS(69,5))</f>
        <v>0</v>
      </c>
      <c r="AG69">
        <f>sumifs(ag:ag,A:A,"总成",B:B,"952-254000-100")*INDIRECT(ADDRESS(69,5))</f>
        <v>0</v>
      </c>
      <c r="AH69">
        <f>sumifs(ah:ah,A:A,"总成",B:B,"952-254000-100")*INDIRECT(ADDRESS(69,5))</f>
        <v>0</v>
      </c>
      <c r="AI69">
        <f>sumifs(ai:ai,A:A,"总成",B:B,"952-254000-100")*INDIRECT(ADDRESS(69,5))</f>
        <v>0</v>
      </c>
      <c r="AJ69">
        <f>sumifs(aj:aj,A:A,"总成",B:B,"952-254000-100")*INDIRECT(ADDRESS(69,5))</f>
        <v>0</v>
      </c>
      <c r="AK69">
        <f>sumifs(ak:ak,A:A,"总成",B:B,"952-254000-100")*INDIRECT(ADDRESS(69,5))</f>
        <v>0</v>
      </c>
      <c r="AL69">
        <f>sumifs(al:al,A:A,"总成",B:B,"952-254000-100")*INDIRECT(ADDRESS(69,5))</f>
        <v>0</v>
      </c>
      <c r="AM69">
        <f>sumifs(am:am,A:A,"总成",B:B,"952-254000-100")*INDIRECT(ADDRESS(69,5))</f>
        <v>0</v>
      </c>
      <c r="AN69">
        <f>sumifs(an:an,A:A,"总成",B:B,"952-254000-100")*INDIRECT(ADDRESS(69,5))</f>
        <v>0</v>
      </c>
      <c r="AO69">
        <f>sumifs(ao:ao,A:A,"总成",B:B,"952-254000-100")*INDIRECT(ADDRESS(69,5))</f>
        <v>0</v>
      </c>
      <c r="AP69">
        <f>sumifs(ap:ap,A:A,"总成",B:B,"952-254000-100")*INDIRECT(ADDRESS(69,5))</f>
        <v>0</v>
      </c>
      <c r="AQ69">
        <f>sumifs(aq:aq,A:A,"总成",B:B,"952-254000-100")*INDIRECT(ADDRESS(69,5))</f>
        <v>0</v>
      </c>
      <c r="AR69">
        <f>sumifs(ar:ar,A:A,"总成",B:B,"952-254000-100")*INDIRECT(ADDRESS(69,5))</f>
        <v>0</v>
      </c>
    </row>
    <row r="70" spans="1:44">
      <c r="A70" t="s">
        <v>14</v>
      </c>
      <c r="B70" t="s">
        <v>254</v>
      </c>
      <c r="C70" t="s">
        <v>255</v>
      </c>
      <c r="D70" t="s">
        <v>256</v>
      </c>
      <c r="E70">
        <v>1</v>
      </c>
      <c r="F70" t="s">
        <v>257</v>
      </c>
      <c r="H70" t="s">
        <v>249</v>
      </c>
      <c r="I70" t="s">
        <v>258</v>
      </c>
      <c r="K70" t="s">
        <v>20</v>
      </c>
      <c r="L70" t="s">
        <v>21</v>
      </c>
      <c r="M70">
        <f>vlookup("952-000000-200",生产发行表!B:AZ,column(l1),0)</f>
        <v>0</v>
      </c>
      <c r="N70">
        <f>vlookup("952-000000-200",生产发行表!B:AZ,column(m1),0)</f>
        <v>0</v>
      </c>
      <c r="O70">
        <f>vlookup("952-000000-200",生产发行表!B:AZ,column(n1),0)</f>
        <v>0</v>
      </c>
      <c r="P70">
        <f>vlookup("952-000000-200",生产发行表!B:AZ,column(o1),0)</f>
        <v>0</v>
      </c>
      <c r="Q70">
        <f>vlookup("952-000000-200",生产发行表!B:AZ,column(p1),0)</f>
        <v>0</v>
      </c>
      <c r="R70">
        <f>vlookup("952-000000-200",生产发行表!B:AZ,column(q1),0)</f>
        <v>0</v>
      </c>
      <c r="S70">
        <f>vlookup("952-000000-200",生产发行表!B:AZ,column(r1),0)</f>
        <v>0</v>
      </c>
      <c r="T70">
        <f>vlookup("952-000000-200",生产发行表!B:AZ,column(s1),0)</f>
        <v>0</v>
      </c>
      <c r="U70">
        <f>vlookup("952-000000-200",生产发行表!B:AZ,column(t1),0)</f>
        <v>0</v>
      </c>
      <c r="V70">
        <f>vlookup("952-000000-200",生产发行表!B:AZ,column(u1),0)</f>
        <v>0</v>
      </c>
      <c r="W70">
        <f>vlookup("952-000000-200",生产发行表!B:AZ,column(v1),0)</f>
        <v>0</v>
      </c>
      <c r="X70">
        <f>vlookup("952-000000-200",生产发行表!B:AZ,column(w1),0)</f>
        <v>0</v>
      </c>
      <c r="Y70">
        <f>vlookup("952-000000-200",生产发行表!B:AZ,column(x1),0)</f>
        <v>0</v>
      </c>
      <c r="Z70">
        <f>vlookup("952-000000-200",生产发行表!B:AZ,column(y1),0)</f>
        <v>0</v>
      </c>
      <c r="AA70">
        <f>vlookup("952-000000-200",生产发行表!B:AZ,column(z1),0)</f>
        <v>0</v>
      </c>
      <c r="AB70">
        <f>vlookup("952-000000-200",生产发行表!B:AZ,column(aa1),0)</f>
        <v>0</v>
      </c>
      <c r="AC70">
        <f>vlookup("952-000000-200",生产发行表!B:AZ,column(ab1),0)</f>
        <v>0</v>
      </c>
      <c r="AD70">
        <f>vlookup("952-000000-200",生产发行表!B:AZ,column(ac1),0)</f>
        <v>0</v>
      </c>
      <c r="AE70">
        <f>vlookup("952-000000-200",生产发行表!B:AZ,column(ad1),0)</f>
        <v>0</v>
      </c>
      <c r="AF70">
        <f>vlookup("952-000000-200",生产发行表!B:AZ,column(ae1),0)</f>
        <v>0</v>
      </c>
      <c r="AG70">
        <f>vlookup("952-000000-200",生产发行表!B:AZ,column(af1),0)</f>
        <v>0</v>
      </c>
      <c r="AH70">
        <f>vlookup("952-000000-200",生产发行表!B:AZ,column(ag1),0)</f>
        <v>0</v>
      </c>
      <c r="AI70">
        <f>vlookup("952-000000-200",生产发行表!B:AZ,column(ah1),0)</f>
        <v>0</v>
      </c>
      <c r="AJ70">
        <f>vlookup("952-000000-200",生产发行表!B:AZ,column(ai1),0)</f>
        <v>0</v>
      </c>
      <c r="AK70">
        <f>vlookup("952-000000-200",生产发行表!B:AZ,column(aj1),0)</f>
        <v>0</v>
      </c>
      <c r="AL70">
        <f>vlookup("952-000000-200",生产发行表!B:AZ,column(ak1),0)</f>
        <v>0</v>
      </c>
      <c r="AM70">
        <f>vlookup("952-000000-200",生产发行表!B:AZ,column(al1),0)</f>
        <v>0</v>
      </c>
      <c r="AN70">
        <f>vlookup("952-000000-200",生产发行表!B:AZ,column(am1),0)</f>
        <v>0</v>
      </c>
      <c r="AO70">
        <f>vlookup("952-000000-200",生产发行表!B:AZ,column(an1),0)</f>
        <v>0</v>
      </c>
      <c r="AP70">
        <f>vlookup("952-000000-200",生产发行表!B:AZ,column(ao1),0)</f>
        <v>0</v>
      </c>
      <c r="AQ70">
        <f>vlookup("952-000000-200",生产发行表!B:AZ,column(ap1),0)</f>
        <v>0</v>
      </c>
      <c r="AR70">
        <f>vlookup("952-000000-200",生产发行表!B:AZ,column(aq1),0)</f>
        <v>0</v>
      </c>
    </row>
    <row r="71" spans="1:44">
      <c r="A71" t="s">
        <v>31</v>
      </c>
      <c r="B71" t="s">
        <v>259</v>
      </c>
      <c r="C71" t="s">
        <v>260</v>
      </c>
      <c r="D71" t="s">
        <v>256</v>
      </c>
      <c r="E71">
        <v>1</v>
      </c>
      <c r="F71" t="s">
        <v>261</v>
      </c>
      <c r="H71" t="s">
        <v>35</v>
      </c>
      <c r="I71" t="s">
        <v>36</v>
      </c>
      <c r="K71" t="s">
        <v>20</v>
      </c>
      <c r="L71" t="s">
        <v>37</v>
      </c>
      <c r="M71">
        <f>sumifs(m:m,A:A,"总成",B:B,"952-000000-200")*INDIRECT(ADDRESS(71,5))</f>
        <v>0</v>
      </c>
      <c r="N71">
        <f>sumifs(n:n,A:A,"总成",B:B,"952-000000-200")*INDIRECT(ADDRESS(71,5))</f>
        <v>0</v>
      </c>
      <c r="O71">
        <f>sumifs(o:o,A:A,"总成",B:B,"952-000000-200")*INDIRECT(ADDRESS(71,5))</f>
        <v>0</v>
      </c>
      <c r="P71">
        <f>sumifs(p:p,A:A,"总成",B:B,"952-000000-200")*INDIRECT(ADDRESS(71,5))</f>
        <v>0</v>
      </c>
      <c r="Q71">
        <f>sumifs(q:q,A:A,"总成",B:B,"952-000000-200")*INDIRECT(ADDRESS(71,5))</f>
        <v>0</v>
      </c>
      <c r="R71">
        <f>sumifs(r:r,A:A,"总成",B:B,"952-000000-200")*INDIRECT(ADDRESS(71,5))</f>
        <v>0</v>
      </c>
      <c r="S71">
        <f>sumifs(s:s,A:A,"总成",B:B,"952-000000-200")*INDIRECT(ADDRESS(71,5))</f>
        <v>0</v>
      </c>
      <c r="T71">
        <f>sumifs(t:t,A:A,"总成",B:B,"952-000000-200")*INDIRECT(ADDRESS(71,5))</f>
        <v>0</v>
      </c>
      <c r="U71">
        <f>sumifs(u:u,A:A,"总成",B:B,"952-000000-200")*INDIRECT(ADDRESS(71,5))</f>
        <v>0</v>
      </c>
      <c r="V71">
        <f>sumifs(v:v,A:A,"总成",B:B,"952-000000-200")*INDIRECT(ADDRESS(71,5))</f>
        <v>0</v>
      </c>
      <c r="W71">
        <f>sumifs(w:w,A:A,"总成",B:B,"952-000000-200")*INDIRECT(ADDRESS(71,5))</f>
        <v>0</v>
      </c>
      <c r="X71">
        <f>sumifs(x:x,A:A,"总成",B:B,"952-000000-200")*INDIRECT(ADDRESS(71,5))</f>
        <v>0</v>
      </c>
      <c r="Y71">
        <f>sumifs(y:y,A:A,"总成",B:B,"952-000000-200")*INDIRECT(ADDRESS(71,5))</f>
        <v>0</v>
      </c>
      <c r="Z71">
        <f>sumifs(z:z,A:A,"总成",B:B,"952-000000-200")*INDIRECT(ADDRESS(71,5))</f>
        <v>0</v>
      </c>
      <c r="AA71">
        <f>sumifs(aa:aa,A:A,"总成",B:B,"952-000000-200")*INDIRECT(ADDRESS(71,5))</f>
        <v>0</v>
      </c>
      <c r="AB71">
        <f>sumifs(ab:ab,A:A,"总成",B:B,"952-000000-200")*INDIRECT(ADDRESS(71,5))</f>
        <v>0</v>
      </c>
      <c r="AC71">
        <f>sumifs(ac:ac,A:A,"总成",B:B,"952-000000-200")*INDIRECT(ADDRESS(71,5))</f>
        <v>0</v>
      </c>
      <c r="AD71">
        <f>sumifs(ad:ad,A:A,"总成",B:B,"952-000000-200")*INDIRECT(ADDRESS(71,5))</f>
        <v>0</v>
      </c>
      <c r="AE71">
        <f>sumifs(ae:ae,A:A,"总成",B:B,"952-000000-200")*INDIRECT(ADDRESS(71,5))</f>
        <v>0</v>
      </c>
      <c r="AF71">
        <f>sumifs(af:af,A:A,"总成",B:B,"952-000000-200")*INDIRECT(ADDRESS(71,5))</f>
        <v>0</v>
      </c>
      <c r="AG71">
        <f>sumifs(ag:ag,A:A,"总成",B:B,"952-000000-200")*INDIRECT(ADDRESS(71,5))</f>
        <v>0</v>
      </c>
      <c r="AH71">
        <f>sumifs(ah:ah,A:A,"总成",B:B,"952-000000-200")*INDIRECT(ADDRESS(71,5))</f>
        <v>0</v>
      </c>
      <c r="AI71">
        <f>sumifs(ai:ai,A:A,"总成",B:B,"952-000000-200")*INDIRECT(ADDRESS(71,5))</f>
        <v>0</v>
      </c>
      <c r="AJ71">
        <f>sumifs(aj:aj,A:A,"总成",B:B,"952-000000-200")*INDIRECT(ADDRESS(71,5))</f>
        <v>0</v>
      </c>
      <c r="AK71">
        <f>sumifs(ak:ak,A:A,"总成",B:B,"952-000000-200")*INDIRECT(ADDRESS(71,5))</f>
        <v>0</v>
      </c>
      <c r="AL71">
        <f>sumifs(al:al,A:A,"总成",B:B,"952-000000-200")*INDIRECT(ADDRESS(71,5))</f>
        <v>0</v>
      </c>
      <c r="AM71">
        <f>sumifs(am:am,A:A,"总成",B:B,"952-000000-200")*INDIRECT(ADDRESS(71,5))</f>
        <v>0</v>
      </c>
      <c r="AN71">
        <f>sumifs(an:an,A:A,"总成",B:B,"952-000000-200")*INDIRECT(ADDRESS(71,5))</f>
        <v>0</v>
      </c>
      <c r="AO71">
        <f>sumifs(ao:ao,A:A,"总成",B:B,"952-000000-200")*INDIRECT(ADDRESS(71,5))</f>
        <v>0</v>
      </c>
      <c r="AP71">
        <f>sumifs(ap:ap,A:A,"总成",B:B,"952-000000-200")*INDIRECT(ADDRESS(71,5))</f>
        <v>0</v>
      </c>
      <c r="AQ71">
        <f>sumifs(aq:aq,A:A,"总成",B:B,"952-000000-200")*INDIRECT(ADDRESS(71,5))</f>
        <v>0</v>
      </c>
      <c r="AR71">
        <f>sumifs(ar:ar,A:A,"总成",B:B,"952-000000-200")*INDIRECT(ADDRESS(71,5))</f>
        <v>0</v>
      </c>
    </row>
    <row r="72" spans="1:44">
      <c r="A72" t="s">
        <v>14</v>
      </c>
      <c r="B72" t="s">
        <v>262</v>
      </c>
      <c r="C72" t="s">
        <v>263</v>
      </c>
      <c r="D72" t="s">
        <v>264</v>
      </c>
      <c r="E72">
        <v>1</v>
      </c>
      <c r="F72" t="s">
        <v>265</v>
      </c>
      <c r="H72" t="s">
        <v>266</v>
      </c>
      <c r="I72" t="s">
        <v>91</v>
      </c>
      <c r="K72" t="s">
        <v>20</v>
      </c>
      <c r="L72" t="s">
        <v>21</v>
      </c>
      <c r="M72">
        <f>vlookup("212-045200-000
952-000000-100",生产发行表!B:AZ,column(l1),0)</f>
        <v>0</v>
      </c>
      <c r="N72">
        <f>vlookup("212-045200-000
952-000000-100",生产发行表!B:AZ,column(m1),0)</f>
        <v>0</v>
      </c>
      <c r="O72">
        <f>vlookup("212-045200-000
952-000000-100",生产发行表!B:AZ,column(n1),0)</f>
        <v>0</v>
      </c>
      <c r="P72">
        <f>vlookup("212-045200-000
952-000000-100",生产发行表!B:AZ,column(o1),0)</f>
        <v>0</v>
      </c>
      <c r="Q72">
        <f>vlookup("212-045200-000
952-000000-100",生产发行表!B:AZ,column(p1),0)</f>
        <v>0</v>
      </c>
      <c r="R72">
        <f>vlookup("212-045200-000
952-000000-100",生产发行表!B:AZ,column(q1),0)</f>
        <v>0</v>
      </c>
      <c r="S72">
        <f>vlookup("212-045200-000
952-000000-100",生产发行表!B:AZ,column(r1),0)</f>
        <v>0</v>
      </c>
      <c r="T72">
        <f>vlookup("212-045200-000
952-000000-100",生产发行表!B:AZ,column(s1),0)</f>
        <v>0</v>
      </c>
      <c r="U72">
        <f>vlookup("212-045200-000
952-000000-100",生产发行表!B:AZ,column(t1),0)</f>
        <v>0</v>
      </c>
      <c r="V72">
        <f>vlookup("212-045200-000
952-000000-100",生产发行表!B:AZ,column(u1),0)</f>
        <v>0</v>
      </c>
      <c r="W72">
        <f>vlookup("212-045200-000
952-000000-100",生产发行表!B:AZ,column(v1),0)</f>
        <v>0</v>
      </c>
      <c r="X72">
        <f>vlookup("212-045200-000
952-000000-100",生产发行表!B:AZ,column(w1),0)</f>
        <v>0</v>
      </c>
      <c r="Y72">
        <f>vlookup("212-045200-000
952-000000-100",生产发行表!B:AZ,column(x1),0)</f>
        <v>0</v>
      </c>
      <c r="Z72">
        <f>vlookup("212-045200-000
952-000000-100",生产发行表!B:AZ,column(y1),0)</f>
        <v>0</v>
      </c>
      <c r="AA72">
        <f>vlookup("212-045200-000
952-000000-100",生产发行表!B:AZ,column(z1),0)</f>
        <v>0</v>
      </c>
      <c r="AB72">
        <f>vlookup("212-045200-000
952-000000-100",生产发行表!B:AZ,column(aa1),0)</f>
        <v>0</v>
      </c>
      <c r="AC72">
        <f>vlookup("212-045200-000
952-000000-100",生产发行表!B:AZ,column(ab1),0)</f>
        <v>0</v>
      </c>
      <c r="AD72">
        <f>vlookup("212-045200-000
952-000000-100",生产发行表!B:AZ,column(ac1),0)</f>
        <v>0</v>
      </c>
      <c r="AE72">
        <f>vlookup("212-045200-000
952-000000-100",生产发行表!B:AZ,column(ad1),0)</f>
        <v>0</v>
      </c>
      <c r="AF72">
        <f>vlookup("212-045200-000
952-000000-100",生产发行表!B:AZ,column(ae1),0)</f>
        <v>0</v>
      </c>
      <c r="AG72">
        <f>vlookup("212-045200-000
952-000000-100",生产发行表!B:AZ,column(af1),0)</f>
        <v>0</v>
      </c>
      <c r="AH72">
        <f>vlookup("212-045200-000
952-000000-100",生产发行表!B:AZ,column(ag1),0)</f>
        <v>0</v>
      </c>
      <c r="AI72">
        <f>vlookup("212-045200-000
952-000000-100",生产发行表!B:AZ,column(ah1),0)</f>
        <v>0</v>
      </c>
      <c r="AJ72">
        <f>vlookup("212-045200-000
952-000000-100",生产发行表!B:AZ,column(ai1),0)</f>
        <v>0</v>
      </c>
      <c r="AK72">
        <f>vlookup("212-045200-000
952-000000-100",生产发行表!B:AZ,column(aj1),0)</f>
        <v>0</v>
      </c>
      <c r="AL72">
        <f>vlookup("212-045200-000
952-000000-100",生产发行表!B:AZ,column(ak1),0)</f>
        <v>0</v>
      </c>
      <c r="AM72">
        <f>vlookup("212-045200-000
952-000000-100",生产发行表!B:AZ,column(al1),0)</f>
        <v>0</v>
      </c>
      <c r="AN72">
        <f>vlookup("212-045200-000
952-000000-100",生产发行表!B:AZ,column(am1),0)</f>
        <v>0</v>
      </c>
      <c r="AO72">
        <f>vlookup("212-045200-000
952-000000-100",生产发行表!B:AZ,column(an1),0)</f>
        <v>0</v>
      </c>
      <c r="AP72">
        <f>vlookup("212-045200-000
952-000000-100",生产发行表!B:AZ,column(ao1),0)</f>
        <v>0</v>
      </c>
      <c r="AQ72">
        <f>vlookup("212-045200-000
952-000000-100",生产发行表!B:AZ,column(ap1),0)</f>
        <v>0</v>
      </c>
      <c r="AR72">
        <f>vlookup("212-045200-000
952-000000-100",生产发行表!B:AZ,column(aq1),0)</f>
        <v>0</v>
      </c>
    </row>
    <row r="73" spans="1:44">
      <c r="A73" t="s">
        <v>14</v>
      </c>
      <c r="B73" t="s">
        <v>267</v>
      </c>
      <c r="C73" t="s">
        <v>268</v>
      </c>
      <c r="D73" t="s">
        <v>27</v>
      </c>
      <c r="E73">
        <v>1</v>
      </c>
      <c r="F73" t="s">
        <v>269</v>
      </c>
      <c r="H73" t="s">
        <v>72</v>
      </c>
      <c r="I73" t="s">
        <v>270</v>
      </c>
      <c r="K73" t="s">
        <v>20</v>
      </c>
      <c r="L73" t="s">
        <v>21</v>
      </c>
      <c r="M73">
        <f>vlookup("952-255000-100",生产发行表!B:AZ,column(l1),0)</f>
        <v>0</v>
      </c>
      <c r="N73">
        <f>vlookup("952-255000-100",生产发行表!B:AZ,column(m1),0)</f>
        <v>0</v>
      </c>
      <c r="O73">
        <f>vlookup("952-255000-100",生产发行表!B:AZ,column(n1),0)</f>
        <v>0</v>
      </c>
      <c r="P73">
        <f>vlookup("952-255000-100",生产发行表!B:AZ,column(o1),0)</f>
        <v>0</v>
      </c>
      <c r="Q73">
        <f>vlookup("952-255000-100",生产发行表!B:AZ,column(p1),0)</f>
        <v>0</v>
      </c>
      <c r="R73">
        <f>vlookup("952-255000-100",生产发行表!B:AZ,column(q1),0)</f>
        <v>0</v>
      </c>
      <c r="S73">
        <f>vlookup("952-255000-100",生产发行表!B:AZ,column(r1),0)</f>
        <v>0</v>
      </c>
      <c r="T73">
        <f>vlookup("952-255000-100",生产发行表!B:AZ,column(s1),0)</f>
        <v>0</v>
      </c>
      <c r="U73">
        <f>vlookup("952-255000-100",生产发行表!B:AZ,column(t1),0)</f>
        <v>0</v>
      </c>
      <c r="V73">
        <f>vlookup("952-255000-100",生产发行表!B:AZ,column(u1),0)</f>
        <v>0</v>
      </c>
      <c r="W73">
        <f>vlookup("952-255000-100",生产发行表!B:AZ,column(v1),0)</f>
        <v>0</v>
      </c>
      <c r="X73">
        <f>vlookup("952-255000-100",生产发行表!B:AZ,column(w1),0)</f>
        <v>0</v>
      </c>
      <c r="Y73">
        <f>vlookup("952-255000-100",生产发行表!B:AZ,column(x1),0)</f>
        <v>0</v>
      </c>
      <c r="Z73">
        <f>vlookup("952-255000-100",生产发行表!B:AZ,column(y1),0)</f>
        <v>0</v>
      </c>
      <c r="AA73">
        <f>vlookup("952-255000-100",生产发行表!B:AZ,column(z1),0)</f>
        <v>0</v>
      </c>
      <c r="AB73">
        <f>vlookup("952-255000-100",生产发行表!B:AZ,column(aa1),0)</f>
        <v>0</v>
      </c>
      <c r="AC73">
        <f>vlookup("952-255000-100",生产发行表!B:AZ,column(ab1),0)</f>
        <v>0</v>
      </c>
      <c r="AD73">
        <f>vlookup("952-255000-100",生产发行表!B:AZ,column(ac1),0)</f>
        <v>0</v>
      </c>
      <c r="AE73">
        <f>vlookup("952-255000-100",生产发行表!B:AZ,column(ad1),0)</f>
        <v>0</v>
      </c>
      <c r="AF73">
        <f>vlookup("952-255000-100",生产发行表!B:AZ,column(ae1),0)</f>
        <v>0</v>
      </c>
      <c r="AG73">
        <f>vlookup("952-255000-100",生产发行表!B:AZ,column(af1),0)</f>
        <v>0</v>
      </c>
      <c r="AH73">
        <f>vlookup("952-255000-100",生产发行表!B:AZ,column(ag1),0)</f>
        <v>0</v>
      </c>
      <c r="AI73">
        <f>vlookup("952-255000-100",生产发行表!B:AZ,column(ah1),0)</f>
        <v>0</v>
      </c>
      <c r="AJ73">
        <f>vlookup("952-255000-100",生产发行表!B:AZ,column(ai1),0)</f>
        <v>0</v>
      </c>
      <c r="AK73">
        <f>vlookup("952-255000-100",生产发行表!B:AZ,column(aj1),0)</f>
        <v>0</v>
      </c>
      <c r="AL73">
        <f>vlookup("952-255000-100",生产发行表!B:AZ,column(ak1),0)</f>
        <v>0</v>
      </c>
      <c r="AM73">
        <f>vlookup("952-255000-100",生产发行表!B:AZ,column(al1),0)</f>
        <v>0</v>
      </c>
      <c r="AN73">
        <f>vlookup("952-255000-100",生产发行表!B:AZ,column(am1),0)</f>
        <v>0</v>
      </c>
      <c r="AO73">
        <f>vlookup("952-255000-100",生产发行表!B:AZ,column(an1),0)</f>
        <v>0</v>
      </c>
      <c r="AP73">
        <f>vlookup("952-255000-100",生产发行表!B:AZ,column(ao1),0)</f>
        <v>0</v>
      </c>
      <c r="AQ73">
        <f>vlookup("952-255000-100",生产发行表!B:AZ,column(ap1),0)</f>
        <v>0</v>
      </c>
      <c r="AR73">
        <f>vlookup("952-255000-100",生产发行表!B:AZ,column(aq1),0)</f>
        <v>0</v>
      </c>
    </row>
    <row r="74" spans="1:44">
      <c r="A74" t="s">
        <v>31</v>
      </c>
      <c r="B74" t="s">
        <v>271</v>
      </c>
      <c r="C74" t="s">
        <v>272</v>
      </c>
      <c r="D74" t="s">
        <v>17</v>
      </c>
      <c r="E74">
        <v>1</v>
      </c>
      <c r="F74" t="s">
        <v>273</v>
      </c>
      <c r="H74" t="s">
        <v>35</v>
      </c>
      <c r="I74" t="s">
        <v>36</v>
      </c>
      <c r="K74" t="s">
        <v>20</v>
      </c>
      <c r="L74" t="s">
        <v>37</v>
      </c>
      <c r="M74">
        <f>sumifs(m:m,A:A,"总成",B:B,"952-255000-100")*INDIRECT(ADDRESS(74,5))</f>
        <v>0</v>
      </c>
      <c r="N74">
        <f>sumifs(n:n,A:A,"总成",B:B,"952-255000-100")*INDIRECT(ADDRESS(74,5))</f>
        <v>0</v>
      </c>
      <c r="O74">
        <f>sumifs(o:o,A:A,"总成",B:B,"952-255000-100")*INDIRECT(ADDRESS(74,5))</f>
        <v>0</v>
      </c>
      <c r="P74">
        <f>sumifs(p:p,A:A,"总成",B:B,"952-255000-100")*INDIRECT(ADDRESS(74,5))</f>
        <v>0</v>
      </c>
      <c r="Q74">
        <f>sumifs(q:q,A:A,"总成",B:B,"952-255000-100")*INDIRECT(ADDRESS(74,5))</f>
        <v>0</v>
      </c>
      <c r="R74">
        <f>sumifs(r:r,A:A,"总成",B:B,"952-255000-100")*INDIRECT(ADDRESS(74,5))</f>
        <v>0</v>
      </c>
      <c r="S74">
        <f>sumifs(s:s,A:A,"总成",B:B,"952-255000-100")*INDIRECT(ADDRESS(74,5))</f>
        <v>0</v>
      </c>
      <c r="T74">
        <f>sumifs(t:t,A:A,"总成",B:B,"952-255000-100")*INDIRECT(ADDRESS(74,5))</f>
        <v>0</v>
      </c>
      <c r="U74">
        <f>sumifs(u:u,A:A,"总成",B:B,"952-255000-100")*INDIRECT(ADDRESS(74,5))</f>
        <v>0</v>
      </c>
      <c r="V74">
        <f>sumifs(v:v,A:A,"总成",B:B,"952-255000-100")*INDIRECT(ADDRESS(74,5))</f>
        <v>0</v>
      </c>
      <c r="W74">
        <f>sumifs(w:w,A:A,"总成",B:B,"952-255000-100")*INDIRECT(ADDRESS(74,5))</f>
        <v>0</v>
      </c>
      <c r="X74">
        <f>sumifs(x:x,A:A,"总成",B:B,"952-255000-100")*INDIRECT(ADDRESS(74,5))</f>
        <v>0</v>
      </c>
      <c r="Y74">
        <f>sumifs(y:y,A:A,"总成",B:B,"952-255000-100")*INDIRECT(ADDRESS(74,5))</f>
        <v>0</v>
      </c>
      <c r="Z74">
        <f>sumifs(z:z,A:A,"总成",B:B,"952-255000-100")*INDIRECT(ADDRESS(74,5))</f>
        <v>0</v>
      </c>
      <c r="AA74">
        <f>sumifs(aa:aa,A:A,"总成",B:B,"952-255000-100")*INDIRECT(ADDRESS(74,5))</f>
        <v>0</v>
      </c>
      <c r="AB74">
        <f>sumifs(ab:ab,A:A,"总成",B:B,"952-255000-100")*INDIRECT(ADDRESS(74,5))</f>
        <v>0</v>
      </c>
      <c r="AC74">
        <f>sumifs(ac:ac,A:A,"总成",B:B,"952-255000-100")*INDIRECT(ADDRESS(74,5))</f>
        <v>0</v>
      </c>
      <c r="AD74">
        <f>sumifs(ad:ad,A:A,"总成",B:B,"952-255000-100")*INDIRECT(ADDRESS(74,5))</f>
        <v>0</v>
      </c>
      <c r="AE74">
        <f>sumifs(ae:ae,A:A,"总成",B:B,"952-255000-100")*INDIRECT(ADDRESS(74,5))</f>
        <v>0</v>
      </c>
      <c r="AF74">
        <f>sumifs(af:af,A:A,"总成",B:B,"952-255000-100")*INDIRECT(ADDRESS(74,5))</f>
        <v>0</v>
      </c>
      <c r="AG74">
        <f>sumifs(ag:ag,A:A,"总成",B:B,"952-255000-100")*INDIRECT(ADDRESS(74,5))</f>
        <v>0</v>
      </c>
      <c r="AH74">
        <f>sumifs(ah:ah,A:A,"总成",B:B,"952-255000-100")*INDIRECT(ADDRESS(74,5))</f>
        <v>0</v>
      </c>
      <c r="AI74">
        <f>sumifs(ai:ai,A:A,"总成",B:B,"952-255000-100")*INDIRECT(ADDRESS(74,5))</f>
        <v>0</v>
      </c>
      <c r="AJ74">
        <f>sumifs(aj:aj,A:A,"总成",B:B,"952-255000-100")*INDIRECT(ADDRESS(74,5))</f>
        <v>0</v>
      </c>
      <c r="AK74">
        <f>sumifs(ak:ak,A:A,"总成",B:B,"952-255000-100")*INDIRECT(ADDRESS(74,5))</f>
        <v>0</v>
      </c>
      <c r="AL74">
        <f>sumifs(al:al,A:A,"总成",B:B,"952-255000-100")*INDIRECT(ADDRESS(74,5))</f>
        <v>0</v>
      </c>
      <c r="AM74">
        <f>sumifs(am:am,A:A,"总成",B:B,"952-255000-100")*INDIRECT(ADDRESS(74,5))</f>
        <v>0</v>
      </c>
      <c r="AN74">
        <f>sumifs(an:an,A:A,"总成",B:B,"952-255000-100")*INDIRECT(ADDRESS(74,5))</f>
        <v>0</v>
      </c>
      <c r="AO74">
        <f>sumifs(ao:ao,A:A,"总成",B:B,"952-255000-100")*INDIRECT(ADDRESS(74,5))</f>
        <v>0</v>
      </c>
      <c r="AP74">
        <f>sumifs(ap:ap,A:A,"总成",B:B,"952-255000-100")*INDIRECT(ADDRESS(74,5))</f>
        <v>0</v>
      </c>
      <c r="AQ74">
        <f>sumifs(aq:aq,A:A,"总成",B:B,"952-255000-100")*INDIRECT(ADDRESS(74,5))</f>
        <v>0</v>
      </c>
      <c r="AR74">
        <f>sumifs(ar:ar,A:A,"总成",B:B,"952-255000-100")*INDIRECT(ADDRESS(74,5))</f>
        <v>0</v>
      </c>
    </row>
    <row r="75" spans="1:44">
      <c r="A75" t="s">
        <v>14</v>
      </c>
      <c r="B75" t="s">
        <v>274</v>
      </c>
      <c r="C75" t="s">
        <v>89</v>
      </c>
      <c r="D75" t="s">
        <v>275</v>
      </c>
      <c r="E75">
        <v>1</v>
      </c>
      <c r="F75" t="s">
        <v>276</v>
      </c>
      <c r="H75" t="s">
        <v>72</v>
      </c>
      <c r="I75" t="s">
        <v>91</v>
      </c>
      <c r="K75" t="s">
        <v>20</v>
      </c>
      <c r="L75" t="s">
        <v>21</v>
      </c>
      <c r="M75">
        <f>vlookup("952-257000-100",生产发行表!B:AZ,column(l1),0)</f>
        <v>0</v>
      </c>
      <c r="N75">
        <f>vlookup("952-257000-100",生产发行表!B:AZ,column(m1),0)</f>
        <v>0</v>
      </c>
      <c r="O75">
        <f>vlookup("952-257000-100",生产发行表!B:AZ,column(n1),0)</f>
        <v>0</v>
      </c>
      <c r="P75">
        <f>vlookup("952-257000-100",生产发行表!B:AZ,column(o1),0)</f>
        <v>0</v>
      </c>
      <c r="Q75">
        <f>vlookup("952-257000-100",生产发行表!B:AZ,column(p1),0)</f>
        <v>0</v>
      </c>
      <c r="R75">
        <f>vlookup("952-257000-100",生产发行表!B:AZ,column(q1),0)</f>
        <v>0</v>
      </c>
      <c r="S75">
        <f>vlookup("952-257000-100",生产发行表!B:AZ,column(r1),0)</f>
        <v>0</v>
      </c>
      <c r="T75">
        <f>vlookup("952-257000-100",生产发行表!B:AZ,column(s1),0)</f>
        <v>0</v>
      </c>
      <c r="U75">
        <f>vlookup("952-257000-100",生产发行表!B:AZ,column(t1),0)</f>
        <v>0</v>
      </c>
      <c r="V75">
        <f>vlookup("952-257000-100",生产发行表!B:AZ,column(u1),0)</f>
        <v>0</v>
      </c>
      <c r="W75">
        <f>vlookup("952-257000-100",生产发行表!B:AZ,column(v1),0)</f>
        <v>0</v>
      </c>
      <c r="X75">
        <f>vlookup("952-257000-100",生产发行表!B:AZ,column(w1),0)</f>
        <v>0</v>
      </c>
      <c r="Y75">
        <f>vlookup("952-257000-100",生产发行表!B:AZ,column(x1),0)</f>
        <v>0</v>
      </c>
      <c r="Z75">
        <f>vlookup("952-257000-100",生产发行表!B:AZ,column(y1),0)</f>
        <v>0</v>
      </c>
      <c r="AA75">
        <f>vlookup("952-257000-100",生产发行表!B:AZ,column(z1),0)</f>
        <v>0</v>
      </c>
      <c r="AB75">
        <f>vlookup("952-257000-100",生产发行表!B:AZ,column(aa1),0)</f>
        <v>0</v>
      </c>
      <c r="AC75">
        <f>vlookup("952-257000-100",生产发行表!B:AZ,column(ab1),0)</f>
        <v>0</v>
      </c>
      <c r="AD75">
        <f>vlookup("952-257000-100",生产发行表!B:AZ,column(ac1),0)</f>
        <v>0</v>
      </c>
      <c r="AE75">
        <f>vlookup("952-257000-100",生产发行表!B:AZ,column(ad1),0)</f>
        <v>0</v>
      </c>
      <c r="AF75">
        <f>vlookup("952-257000-100",生产发行表!B:AZ,column(ae1),0)</f>
        <v>0</v>
      </c>
      <c r="AG75">
        <f>vlookup("952-257000-100",生产发行表!B:AZ,column(af1),0)</f>
        <v>0</v>
      </c>
      <c r="AH75">
        <f>vlookup("952-257000-100",生产发行表!B:AZ,column(ag1),0)</f>
        <v>0</v>
      </c>
      <c r="AI75">
        <f>vlookup("952-257000-100",生产发行表!B:AZ,column(ah1),0)</f>
        <v>0</v>
      </c>
      <c r="AJ75">
        <f>vlookup("952-257000-100",生产发行表!B:AZ,column(ai1),0)</f>
        <v>0</v>
      </c>
      <c r="AK75">
        <f>vlookup("952-257000-100",生产发行表!B:AZ,column(aj1),0)</f>
        <v>0</v>
      </c>
      <c r="AL75">
        <f>vlookup("952-257000-100",生产发行表!B:AZ,column(ak1),0)</f>
        <v>0</v>
      </c>
      <c r="AM75">
        <f>vlookup("952-257000-100",生产发行表!B:AZ,column(al1),0)</f>
        <v>0</v>
      </c>
      <c r="AN75">
        <f>vlookup("952-257000-100",生产发行表!B:AZ,column(am1),0)</f>
        <v>0</v>
      </c>
      <c r="AO75">
        <f>vlookup("952-257000-100",生产发行表!B:AZ,column(an1),0)</f>
        <v>0</v>
      </c>
      <c r="AP75">
        <f>vlookup("952-257000-100",生产发行表!B:AZ,column(ao1),0)</f>
        <v>0</v>
      </c>
      <c r="AQ75">
        <f>vlookup("952-257000-100",生产发行表!B:AZ,column(ap1),0)</f>
        <v>0</v>
      </c>
      <c r="AR75">
        <f>vlookup("952-257000-100",生产发行表!B:AZ,column(aq1),0)</f>
        <v>0</v>
      </c>
    </row>
    <row r="76" spans="1:44">
      <c r="A76" t="s">
        <v>31</v>
      </c>
      <c r="B76" t="s">
        <v>277</v>
      </c>
      <c r="C76" t="s">
        <v>93</v>
      </c>
      <c r="D76" t="s">
        <v>17</v>
      </c>
      <c r="E76">
        <v>1</v>
      </c>
      <c r="F76" t="s">
        <v>278</v>
      </c>
      <c r="H76" t="s">
        <v>35</v>
      </c>
      <c r="I76" t="s">
        <v>36</v>
      </c>
      <c r="K76" t="s">
        <v>20</v>
      </c>
      <c r="L76" t="s">
        <v>37</v>
      </c>
      <c r="M76">
        <f>sumifs(m:m,A:A,"总成",B:B,"952-257000-100")*INDIRECT(ADDRESS(76,5))</f>
        <v>0</v>
      </c>
      <c r="N76">
        <f>sumifs(n:n,A:A,"总成",B:B,"952-257000-100")*INDIRECT(ADDRESS(76,5))</f>
        <v>0</v>
      </c>
      <c r="O76">
        <f>sumifs(o:o,A:A,"总成",B:B,"952-257000-100")*INDIRECT(ADDRESS(76,5))</f>
        <v>0</v>
      </c>
      <c r="P76">
        <f>sumifs(p:p,A:A,"总成",B:B,"952-257000-100")*INDIRECT(ADDRESS(76,5))</f>
        <v>0</v>
      </c>
      <c r="Q76">
        <f>sumifs(q:q,A:A,"总成",B:B,"952-257000-100")*INDIRECT(ADDRESS(76,5))</f>
        <v>0</v>
      </c>
      <c r="R76">
        <f>sumifs(r:r,A:A,"总成",B:B,"952-257000-100")*INDIRECT(ADDRESS(76,5))</f>
        <v>0</v>
      </c>
      <c r="S76">
        <f>sumifs(s:s,A:A,"总成",B:B,"952-257000-100")*INDIRECT(ADDRESS(76,5))</f>
        <v>0</v>
      </c>
      <c r="T76">
        <f>sumifs(t:t,A:A,"总成",B:B,"952-257000-100")*INDIRECT(ADDRESS(76,5))</f>
        <v>0</v>
      </c>
      <c r="U76">
        <f>sumifs(u:u,A:A,"总成",B:B,"952-257000-100")*INDIRECT(ADDRESS(76,5))</f>
        <v>0</v>
      </c>
      <c r="V76">
        <f>sumifs(v:v,A:A,"总成",B:B,"952-257000-100")*INDIRECT(ADDRESS(76,5))</f>
        <v>0</v>
      </c>
      <c r="W76">
        <f>sumifs(w:w,A:A,"总成",B:B,"952-257000-100")*INDIRECT(ADDRESS(76,5))</f>
        <v>0</v>
      </c>
      <c r="X76">
        <f>sumifs(x:x,A:A,"总成",B:B,"952-257000-100")*INDIRECT(ADDRESS(76,5))</f>
        <v>0</v>
      </c>
      <c r="Y76">
        <f>sumifs(y:y,A:A,"总成",B:B,"952-257000-100")*INDIRECT(ADDRESS(76,5))</f>
        <v>0</v>
      </c>
      <c r="Z76">
        <f>sumifs(z:z,A:A,"总成",B:B,"952-257000-100")*INDIRECT(ADDRESS(76,5))</f>
        <v>0</v>
      </c>
      <c r="AA76">
        <f>sumifs(aa:aa,A:A,"总成",B:B,"952-257000-100")*INDIRECT(ADDRESS(76,5))</f>
        <v>0</v>
      </c>
      <c r="AB76">
        <f>sumifs(ab:ab,A:A,"总成",B:B,"952-257000-100")*INDIRECT(ADDRESS(76,5))</f>
        <v>0</v>
      </c>
      <c r="AC76">
        <f>sumifs(ac:ac,A:A,"总成",B:B,"952-257000-100")*INDIRECT(ADDRESS(76,5))</f>
        <v>0</v>
      </c>
      <c r="AD76">
        <f>sumifs(ad:ad,A:A,"总成",B:B,"952-257000-100")*INDIRECT(ADDRESS(76,5))</f>
        <v>0</v>
      </c>
      <c r="AE76">
        <f>sumifs(ae:ae,A:A,"总成",B:B,"952-257000-100")*INDIRECT(ADDRESS(76,5))</f>
        <v>0</v>
      </c>
      <c r="AF76">
        <f>sumifs(af:af,A:A,"总成",B:B,"952-257000-100")*INDIRECT(ADDRESS(76,5))</f>
        <v>0</v>
      </c>
      <c r="AG76">
        <f>sumifs(ag:ag,A:A,"总成",B:B,"952-257000-100")*INDIRECT(ADDRESS(76,5))</f>
        <v>0</v>
      </c>
      <c r="AH76">
        <f>sumifs(ah:ah,A:A,"总成",B:B,"952-257000-100")*INDIRECT(ADDRESS(76,5))</f>
        <v>0</v>
      </c>
      <c r="AI76">
        <f>sumifs(ai:ai,A:A,"总成",B:B,"952-257000-100")*INDIRECT(ADDRESS(76,5))</f>
        <v>0</v>
      </c>
      <c r="AJ76">
        <f>sumifs(aj:aj,A:A,"总成",B:B,"952-257000-100")*INDIRECT(ADDRESS(76,5))</f>
        <v>0</v>
      </c>
      <c r="AK76">
        <f>sumifs(ak:ak,A:A,"总成",B:B,"952-257000-100")*INDIRECT(ADDRESS(76,5))</f>
        <v>0</v>
      </c>
      <c r="AL76">
        <f>sumifs(al:al,A:A,"总成",B:B,"952-257000-100")*INDIRECT(ADDRESS(76,5))</f>
        <v>0</v>
      </c>
      <c r="AM76">
        <f>sumifs(am:am,A:A,"总成",B:B,"952-257000-100")*INDIRECT(ADDRESS(76,5))</f>
        <v>0</v>
      </c>
      <c r="AN76">
        <f>sumifs(an:an,A:A,"总成",B:B,"952-257000-100")*INDIRECT(ADDRESS(76,5))</f>
        <v>0</v>
      </c>
      <c r="AO76">
        <f>sumifs(ao:ao,A:A,"总成",B:B,"952-257000-100")*INDIRECT(ADDRESS(76,5))</f>
        <v>0</v>
      </c>
      <c r="AP76">
        <f>sumifs(ap:ap,A:A,"总成",B:B,"952-257000-100")*INDIRECT(ADDRESS(76,5))</f>
        <v>0</v>
      </c>
      <c r="AQ76">
        <f>sumifs(aq:aq,A:A,"总成",B:B,"952-257000-100")*INDIRECT(ADDRESS(76,5))</f>
        <v>0</v>
      </c>
      <c r="AR76">
        <f>sumifs(ar:ar,A:A,"总成",B:B,"952-257000-100")*INDIRECT(ADDRESS(76,5))</f>
        <v>0</v>
      </c>
    </row>
    <row r="77" spans="1:44">
      <c r="A77" t="s">
        <v>14</v>
      </c>
      <c r="B77" t="s">
        <v>279</v>
      </c>
      <c r="C77" t="s">
        <v>96</v>
      </c>
      <c r="D77" t="s">
        <v>275</v>
      </c>
      <c r="E77">
        <v>1</v>
      </c>
      <c r="F77" t="s">
        <v>280</v>
      </c>
      <c r="H77" t="s">
        <v>72</v>
      </c>
      <c r="I77" t="s">
        <v>91</v>
      </c>
      <c r="K77" t="s">
        <v>20</v>
      </c>
      <c r="L77" t="s">
        <v>21</v>
      </c>
      <c r="M77">
        <f>vlookup("952-258000-100",生产发行表!B:AZ,column(l1),0)</f>
        <v>0</v>
      </c>
      <c r="N77">
        <f>vlookup("952-258000-100",生产发行表!B:AZ,column(m1),0)</f>
        <v>0</v>
      </c>
      <c r="O77">
        <f>vlookup("952-258000-100",生产发行表!B:AZ,column(n1),0)</f>
        <v>0</v>
      </c>
      <c r="P77">
        <f>vlookup("952-258000-100",生产发行表!B:AZ,column(o1),0)</f>
        <v>0</v>
      </c>
      <c r="Q77">
        <f>vlookup("952-258000-100",生产发行表!B:AZ,column(p1),0)</f>
        <v>0</v>
      </c>
      <c r="R77">
        <f>vlookup("952-258000-100",生产发行表!B:AZ,column(q1),0)</f>
        <v>0</v>
      </c>
      <c r="S77">
        <f>vlookup("952-258000-100",生产发行表!B:AZ,column(r1),0)</f>
        <v>0</v>
      </c>
      <c r="T77">
        <f>vlookup("952-258000-100",生产发行表!B:AZ,column(s1),0)</f>
        <v>0</v>
      </c>
      <c r="U77">
        <f>vlookup("952-258000-100",生产发行表!B:AZ,column(t1),0)</f>
        <v>0</v>
      </c>
      <c r="V77">
        <f>vlookup("952-258000-100",生产发行表!B:AZ,column(u1),0)</f>
        <v>0</v>
      </c>
      <c r="W77">
        <f>vlookup("952-258000-100",生产发行表!B:AZ,column(v1),0)</f>
        <v>0</v>
      </c>
      <c r="X77">
        <f>vlookup("952-258000-100",生产发行表!B:AZ,column(w1),0)</f>
        <v>0</v>
      </c>
      <c r="Y77">
        <f>vlookup("952-258000-100",生产发行表!B:AZ,column(x1),0)</f>
        <v>0</v>
      </c>
      <c r="Z77">
        <f>vlookup("952-258000-100",生产发行表!B:AZ,column(y1),0)</f>
        <v>0</v>
      </c>
      <c r="AA77">
        <f>vlookup("952-258000-100",生产发行表!B:AZ,column(z1),0)</f>
        <v>0</v>
      </c>
      <c r="AB77">
        <f>vlookup("952-258000-100",生产发行表!B:AZ,column(aa1),0)</f>
        <v>0</v>
      </c>
      <c r="AC77">
        <f>vlookup("952-258000-100",生产发行表!B:AZ,column(ab1),0)</f>
        <v>0</v>
      </c>
      <c r="AD77">
        <f>vlookup("952-258000-100",生产发行表!B:AZ,column(ac1),0)</f>
        <v>0</v>
      </c>
      <c r="AE77">
        <f>vlookup("952-258000-100",生产发行表!B:AZ,column(ad1),0)</f>
        <v>0</v>
      </c>
      <c r="AF77">
        <f>vlookup("952-258000-100",生产发行表!B:AZ,column(ae1),0)</f>
        <v>0</v>
      </c>
      <c r="AG77">
        <f>vlookup("952-258000-100",生产发行表!B:AZ,column(af1),0)</f>
        <v>0</v>
      </c>
      <c r="AH77">
        <f>vlookup("952-258000-100",生产发行表!B:AZ,column(ag1),0)</f>
        <v>0</v>
      </c>
      <c r="AI77">
        <f>vlookup("952-258000-100",生产发行表!B:AZ,column(ah1),0)</f>
        <v>0</v>
      </c>
      <c r="AJ77">
        <f>vlookup("952-258000-100",生产发行表!B:AZ,column(ai1),0)</f>
        <v>0</v>
      </c>
      <c r="AK77">
        <f>vlookup("952-258000-100",生产发行表!B:AZ,column(aj1),0)</f>
        <v>0</v>
      </c>
      <c r="AL77">
        <f>vlookup("952-258000-100",生产发行表!B:AZ,column(ak1),0)</f>
        <v>0</v>
      </c>
      <c r="AM77">
        <f>vlookup("952-258000-100",生产发行表!B:AZ,column(al1),0)</f>
        <v>0</v>
      </c>
      <c r="AN77">
        <f>vlookup("952-258000-100",生产发行表!B:AZ,column(am1),0)</f>
        <v>0</v>
      </c>
      <c r="AO77">
        <f>vlookup("952-258000-100",生产发行表!B:AZ,column(an1),0)</f>
        <v>0</v>
      </c>
      <c r="AP77">
        <f>vlookup("952-258000-100",生产发行表!B:AZ,column(ao1),0)</f>
        <v>0</v>
      </c>
      <c r="AQ77">
        <f>vlookup("952-258000-100",生产发行表!B:AZ,column(ap1),0)</f>
        <v>0</v>
      </c>
      <c r="AR77">
        <f>vlookup("952-258000-100",生产发行表!B:AZ,column(aq1),0)</f>
        <v>0</v>
      </c>
    </row>
    <row r="78" spans="1:44">
      <c r="A78" t="s">
        <v>31</v>
      </c>
      <c r="B78" t="s">
        <v>281</v>
      </c>
      <c r="C78" t="s">
        <v>99</v>
      </c>
      <c r="D78" t="s">
        <v>17</v>
      </c>
      <c r="E78">
        <v>1</v>
      </c>
      <c r="F78" t="s">
        <v>282</v>
      </c>
      <c r="H78" t="s">
        <v>35</v>
      </c>
      <c r="I78" t="s">
        <v>36</v>
      </c>
      <c r="K78" t="s">
        <v>20</v>
      </c>
      <c r="L78" t="s">
        <v>37</v>
      </c>
      <c r="M78">
        <f>sumifs(m:m,A:A,"总成",B:B,"952-258000-100")*INDIRECT(ADDRESS(78,5))</f>
        <v>0</v>
      </c>
      <c r="N78">
        <f>sumifs(n:n,A:A,"总成",B:B,"952-258000-100")*INDIRECT(ADDRESS(78,5))</f>
        <v>0</v>
      </c>
      <c r="O78">
        <f>sumifs(o:o,A:A,"总成",B:B,"952-258000-100")*INDIRECT(ADDRESS(78,5))</f>
        <v>0</v>
      </c>
      <c r="P78">
        <f>sumifs(p:p,A:A,"总成",B:B,"952-258000-100")*INDIRECT(ADDRESS(78,5))</f>
        <v>0</v>
      </c>
      <c r="Q78">
        <f>sumifs(q:q,A:A,"总成",B:B,"952-258000-100")*INDIRECT(ADDRESS(78,5))</f>
        <v>0</v>
      </c>
      <c r="R78">
        <f>sumifs(r:r,A:A,"总成",B:B,"952-258000-100")*INDIRECT(ADDRESS(78,5))</f>
        <v>0</v>
      </c>
      <c r="S78">
        <f>sumifs(s:s,A:A,"总成",B:B,"952-258000-100")*INDIRECT(ADDRESS(78,5))</f>
        <v>0</v>
      </c>
      <c r="T78">
        <f>sumifs(t:t,A:A,"总成",B:B,"952-258000-100")*INDIRECT(ADDRESS(78,5))</f>
        <v>0</v>
      </c>
      <c r="U78">
        <f>sumifs(u:u,A:A,"总成",B:B,"952-258000-100")*INDIRECT(ADDRESS(78,5))</f>
        <v>0</v>
      </c>
      <c r="V78">
        <f>sumifs(v:v,A:A,"总成",B:B,"952-258000-100")*INDIRECT(ADDRESS(78,5))</f>
        <v>0</v>
      </c>
      <c r="W78">
        <f>sumifs(w:w,A:A,"总成",B:B,"952-258000-100")*INDIRECT(ADDRESS(78,5))</f>
        <v>0</v>
      </c>
      <c r="X78">
        <f>sumifs(x:x,A:A,"总成",B:B,"952-258000-100")*INDIRECT(ADDRESS(78,5))</f>
        <v>0</v>
      </c>
      <c r="Y78">
        <f>sumifs(y:y,A:A,"总成",B:B,"952-258000-100")*INDIRECT(ADDRESS(78,5))</f>
        <v>0</v>
      </c>
      <c r="Z78">
        <f>sumifs(z:z,A:A,"总成",B:B,"952-258000-100")*INDIRECT(ADDRESS(78,5))</f>
        <v>0</v>
      </c>
      <c r="AA78">
        <f>sumifs(aa:aa,A:A,"总成",B:B,"952-258000-100")*INDIRECT(ADDRESS(78,5))</f>
        <v>0</v>
      </c>
      <c r="AB78">
        <f>sumifs(ab:ab,A:A,"总成",B:B,"952-258000-100")*INDIRECT(ADDRESS(78,5))</f>
        <v>0</v>
      </c>
      <c r="AC78">
        <f>sumifs(ac:ac,A:A,"总成",B:B,"952-258000-100")*INDIRECT(ADDRESS(78,5))</f>
        <v>0</v>
      </c>
      <c r="AD78">
        <f>sumifs(ad:ad,A:A,"总成",B:B,"952-258000-100")*INDIRECT(ADDRESS(78,5))</f>
        <v>0</v>
      </c>
      <c r="AE78">
        <f>sumifs(ae:ae,A:A,"总成",B:B,"952-258000-100")*INDIRECT(ADDRESS(78,5))</f>
        <v>0</v>
      </c>
      <c r="AF78">
        <f>sumifs(af:af,A:A,"总成",B:B,"952-258000-100")*INDIRECT(ADDRESS(78,5))</f>
        <v>0</v>
      </c>
      <c r="AG78">
        <f>sumifs(ag:ag,A:A,"总成",B:B,"952-258000-100")*INDIRECT(ADDRESS(78,5))</f>
        <v>0</v>
      </c>
      <c r="AH78">
        <f>sumifs(ah:ah,A:A,"总成",B:B,"952-258000-100")*INDIRECT(ADDRESS(78,5))</f>
        <v>0</v>
      </c>
      <c r="AI78">
        <f>sumifs(ai:ai,A:A,"总成",B:B,"952-258000-100")*INDIRECT(ADDRESS(78,5))</f>
        <v>0</v>
      </c>
      <c r="AJ78">
        <f>sumifs(aj:aj,A:A,"总成",B:B,"952-258000-100")*INDIRECT(ADDRESS(78,5))</f>
        <v>0</v>
      </c>
      <c r="AK78">
        <f>sumifs(ak:ak,A:A,"总成",B:B,"952-258000-100")*INDIRECT(ADDRESS(78,5))</f>
        <v>0</v>
      </c>
      <c r="AL78">
        <f>sumifs(al:al,A:A,"总成",B:B,"952-258000-100")*INDIRECT(ADDRESS(78,5))</f>
        <v>0</v>
      </c>
      <c r="AM78">
        <f>sumifs(am:am,A:A,"总成",B:B,"952-258000-100")*INDIRECT(ADDRESS(78,5))</f>
        <v>0</v>
      </c>
      <c r="AN78">
        <f>sumifs(an:an,A:A,"总成",B:B,"952-258000-100")*INDIRECT(ADDRESS(78,5))</f>
        <v>0</v>
      </c>
      <c r="AO78">
        <f>sumifs(ao:ao,A:A,"总成",B:B,"952-258000-100")*INDIRECT(ADDRESS(78,5))</f>
        <v>0</v>
      </c>
      <c r="AP78">
        <f>sumifs(ap:ap,A:A,"总成",B:B,"952-258000-100")*INDIRECT(ADDRESS(78,5))</f>
        <v>0</v>
      </c>
      <c r="AQ78">
        <f>sumifs(aq:aq,A:A,"总成",B:B,"952-258000-100")*INDIRECT(ADDRESS(78,5))</f>
        <v>0</v>
      </c>
      <c r="AR78">
        <f>sumifs(ar:ar,A:A,"总成",B:B,"952-258000-100")*INDIRECT(ADDRESS(78,5))</f>
        <v>0</v>
      </c>
    </row>
    <row r="79" spans="1:44">
      <c r="A79" t="s">
        <v>14</v>
      </c>
      <c r="B79" t="s">
        <v>283</v>
      </c>
      <c r="C79" t="s">
        <v>268</v>
      </c>
      <c r="D79" t="s">
        <v>27</v>
      </c>
      <c r="E79">
        <v>1</v>
      </c>
      <c r="F79" t="s">
        <v>284</v>
      </c>
      <c r="H79" t="s">
        <v>72</v>
      </c>
      <c r="I79" t="s">
        <v>285</v>
      </c>
      <c r="K79" t="s">
        <v>20</v>
      </c>
      <c r="L79" t="s">
        <v>21</v>
      </c>
      <c r="M79">
        <f>vlookup("952-259000-100",生产发行表!B:AZ,column(l1),0)</f>
        <v>0</v>
      </c>
      <c r="N79">
        <f>vlookup("952-259000-100",生产发行表!B:AZ,column(m1),0)</f>
        <v>0</v>
      </c>
      <c r="O79">
        <f>vlookup("952-259000-100",生产发行表!B:AZ,column(n1),0)</f>
        <v>0</v>
      </c>
      <c r="P79">
        <f>vlookup("952-259000-100",生产发行表!B:AZ,column(o1),0)</f>
        <v>0</v>
      </c>
      <c r="Q79">
        <f>vlookup("952-259000-100",生产发行表!B:AZ,column(p1),0)</f>
        <v>0</v>
      </c>
      <c r="R79">
        <f>vlookup("952-259000-100",生产发行表!B:AZ,column(q1),0)</f>
        <v>0</v>
      </c>
      <c r="S79">
        <f>vlookup("952-259000-100",生产发行表!B:AZ,column(r1),0)</f>
        <v>0</v>
      </c>
      <c r="T79">
        <f>vlookup("952-259000-100",生产发行表!B:AZ,column(s1),0)</f>
        <v>0</v>
      </c>
      <c r="U79">
        <f>vlookup("952-259000-100",生产发行表!B:AZ,column(t1),0)</f>
        <v>0</v>
      </c>
      <c r="V79">
        <f>vlookup("952-259000-100",生产发行表!B:AZ,column(u1),0)</f>
        <v>0</v>
      </c>
      <c r="W79">
        <f>vlookup("952-259000-100",生产发行表!B:AZ,column(v1),0)</f>
        <v>0</v>
      </c>
      <c r="X79">
        <f>vlookup("952-259000-100",生产发行表!B:AZ,column(w1),0)</f>
        <v>0</v>
      </c>
      <c r="Y79">
        <f>vlookup("952-259000-100",生产发行表!B:AZ,column(x1),0)</f>
        <v>0</v>
      </c>
      <c r="Z79">
        <f>vlookup("952-259000-100",生产发行表!B:AZ,column(y1),0)</f>
        <v>0</v>
      </c>
      <c r="AA79">
        <f>vlookup("952-259000-100",生产发行表!B:AZ,column(z1),0)</f>
        <v>0</v>
      </c>
      <c r="AB79">
        <f>vlookup("952-259000-100",生产发行表!B:AZ,column(aa1),0)</f>
        <v>0</v>
      </c>
      <c r="AC79">
        <f>vlookup("952-259000-100",生产发行表!B:AZ,column(ab1),0)</f>
        <v>0</v>
      </c>
      <c r="AD79">
        <f>vlookup("952-259000-100",生产发行表!B:AZ,column(ac1),0)</f>
        <v>0</v>
      </c>
      <c r="AE79">
        <f>vlookup("952-259000-100",生产发行表!B:AZ,column(ad1),0)</f>
        <v>0</v>
      </c>
      <c r="AF79">
        <f>vlookup("952-259000-100",生产发行表!B:AZ,column(ae1),0)</f>
        <v>0</v>
      </c>
      <c r="AG79">
        <f>vlookup("952-259000-100",生产发行表!B:AZ,column(af1),0)</f>
        <v>0</v>
      </c>
      <c r="AH79">
        <f>vlookup("952-259000-100",生产发行表!B:AZ,column(ag1),0)</f>
        <v>0</v>
      </c>
      <c r="AI79">
        <f>vlookup("952-259000-100",生产发行表!B:AZ,column(ah1),0)</f>
        <v>0</v>
      </c>
      <c r="AJ79">
        <f>vlookup("952-259000-100",生产发行表!B:AZ,column(ai1),0)</f>
        <v>0</v>
      </c>
      <c r="AK79">
        <f>vlookup("952-259000-100",生产发行表!B:AZ,column(aj1),0)</f>
        <v>0</v>
      </c>
      <c r="AL79">
        <f>vlookup("952-259000-100",生产发行表!B:AZ,column(ak1),0)</f>
        <v>0</v>
      </c>
      <c r="AM79">
        <f>vlookup("952-259000-100",生产发行表!B:AZ,column(al1),0)</f>
        <v>0</v>
      </c>
      <c r="AN79">
        <f>vlookup("952-259000-100",生产发行表!B:AZ,column(am1),0)</f>
        <v>0</v>
      </c>
      <c r="AO79">
        <f>vlookup("952-259000-100",生产发行表!B:AZ,column(an1),0)</f>
        <v>0</v>
      </c>
      <c r="AP79">
        <f>vlookup("952-259000-100",生产发行表!B:AZ,column(ao1),0)</f>
        <v>0</v>
      </c>
      <c r="AQ79">
        <f>vlookup("952-259000-100",生产发行表!B:AZ,column(ap1),0)</f>
        <v>0</v>
      </c>
      <c r="AR79">
        <f>vlookup("952-259000-100",生产发行表!B:AZ,column(aq1),0)</f>
        <v>0</v>
      </c>
    </row>
    <row r="80" spans="1:44">
      <c r="A80" t="s">
        <v>31</v>
      </c>
      <c r="B80" t="s">
        <v>286</v>
      </c>
      <c r="C80" t="s">
        <v>272</v>
      </c>
      <c r="D80" t="s">
        <v>17</v>
      </c>
      <c r="E80">
        <v>1</v>
      </c>
      <c r="F80" t="s">
        <v>287</v>
      </c>
      <c r="H80" t="s">
        <v>35</v>
      </c>
      <c r="I80" t="s">
        <v>36</v>
      </c>
      <c r="K80" t="s">
        <v>20</v>
      </c>
      <c r="L80" t="s">
        <v>37</v>
      </c>
      <c r="M80">
        <f>sumifs(m:m,A:A,"总成",B:B,"952-259000-100")*INDIRECT(ADDRESS(80,5))</f>
        <v>0</v>
      </c>
      <c r="N80">
        <f>sumifs(n:n,A:A,"总成",B:B,"952-259000-100")*INDIRECT(ADDRESS(80,5))</f>
        <v>0</v>
      </c>
      <c r="O80">
        <f>sumifs(o:o,A:A,"总成",B:B,"952-259000-100")*INDIRECT(ADDRESS(80,5))</f>
        <v>0</v>
      </c>
      <c r="P80">
        <f>sumifs(p:p,A:A,"总成",B:B,"952-259000-100")*INDIRECT(ADDRESS(80,5))</f>
        <v>0</v>
      </c>
      <c r="Q80">
        <f>sumifs(q:q,A:A,"总成",B:B,"952-259000-100")*INDIRECT(ADDRESS(80,5))</f>
        <v>0</v>
      </c>
      <c r="R80">
        <f>sumifs(r:r,A:A,"总成",B:B,"952-259000-100")*INDIRECT(ADDRESS(80,5))</f>
        <v>0</v>
      </c>
      <c r="S80">
        <f>sumifs(s:s,A:A,"总成",B:B,"952-259000-100")*INDIRECT(ADDRESS(80,5))</f>
        <v>0</v>
      </c>
      <c r="T80">
        <f>sumifs(t:t,A:A,"总成",B:B,"952-259000-100")*INDIRECT(ADDRESS(80,5))</f>
        <v>0</v>
      </c>
      <c r="U80">
        <f>sumifs(u:u,A:A,"总成",B:B,"952-259000-100")*INDIRECT(ADDRESS(80,5))</f>
        <v>0</v>
      </c>
      <c r="V80">
        <f>sumifs(v:v,A:A,"总成",B:B,"952-259000-100")*INDIRECT(ADDRESS(80,5))</f>
        <v>0</v>
      </c>
      <c r="W80">
        <f>sumifs(w:w,A:A,"总成",B:B,"952-259000-100")*INDIRECT(ADDRESS(80,5))</f>
        <v>0</v>
      </c>
      <c r="X80">
        <f>sumifs(x:x,A:A,"总成",B:B,"952-259000-100")*INDIRECT(ADDRESS(80,5))</f>
        <v>0</v>
      </c>
      <c r="Y80">
        <f>sumifs(y:y,A:A,"总成",B:B,"952-259000-100")*INDIRECT(ADDRESS(80,5))</f>
        <v>0</v>
      </c>
      <c r="Z80">
        <f>sumifs(z:z,A:A,"总成",B:B,"952-259000-100")*INDIRECT(ADDRESS(80,5))</f>
        <v>0</v>
      </c>
      <c r="AA80">
        <f>sumifs(aa:aa,A:A,"总成",B:B,"952-259000-100")*INDIRECT(ADDRESS(80,5))</f>
        <v>0</v>
      </c>
      <c r="AB80">
        <f>sumifs(ab:ab,A:A,"总成",B:B,"952-259000-100")*INDIRECT(ADDRESS(80,5))</f>
        <v>0</v>
      </c>
      <c r="AC80">
        <f>sumifs(ac:ac,A:A,"总成",B:B,"952-259000-100")*INDIRECT(ADDRESS(80,5))</f>
        <v>0</v>
      </c>
      <c r="AD80">
        <f>sumifs(ad:ad,A:A,"总成",B:B,"952-259000-100")*INDIRECT(ADDRESS(80,5))</f>
        <v>0</v>
      </c>
      <c r="AE80">
        <f>sumifs(ae:ae,A:A,"总成",B:B,"952-259000-100")*INDIRECT(ADDRESS(80,5))</f>
        <v>0</v>
      </c>
      <c r="AF80">
        <f>sumifs(af:af,A:A,"总成",B:B,"952-259000-100")*INDIRECT(ADDRESS(80,5))</f>
        <v>0</v>
      </c>
      <c r="AG80">
        <f>sumifs(ag:ag,A:A,"总成",B:B,"952-259000-100")*INDIRECT(ADDRESS(80,5))</f>
        <v>0</v>
      </c>
      <c r="AH80">
        <f>sumifs(ah:ah,A:A,"总成",B:B,"952-259000-100")*INDIRECT(ADDRESS(80,5))</f>
        <v>0</v>
      </c>
      <c r="AI80">
        <f>sumifs(ai:ai,A:A,"总成",B:B,"952-259000-100")*INDIRECT(ADDRESS(80,5))</f>
        <v>0</v>
      </c>
      <c r="AJ80">
        <f>sumifs(aj:aj,A:A,"总成",B:B,"952-259000-100")*INDIRECT(ADDRESS(80,5))</f>
        <v>0</v>
      </c>
      <c r="AK80">
        <f>sumifs(ak:ak,A:A,"总成",B:B,"952-259000-100")*INDIRECT(ADDRESS(80,5))</f>
        <v>0</v>
      </c>
      <c r="AL80">
        <f>sumifs(al:al,A:A,"总成",B:B,"952-259000-100")*INDIRECT(ADDRESS(80,5))</f>
        <v>0</v>
      </c>
      <c r="AM80">
        <f>sumifs(am:am,A:A,"总成",B:B,"952-259000-100")*INDIRECT(ADDRESS(80,5))</f>
        <v>0</v>
      </c>
      <c r="AN80">
        <f>sumifs(an:an,A:A,"总成",B:B,"952-259000-100")*INDIRECT(ADDRESS(80,5))</f>
        <v>0</v>
      </c>
      <c r="AO80">
        <f>sumifs(ao:ao,A:A,"总成",B:B,"952-259000-100")*INDIRECT(ADDRESS(80,5))</f>
        <v>0</v>
      </c>
      <c r="AP80">
        <f>sumifs(ap:ap,A:A,"总成",B:B,"952-259000-100")*INDIRECT(ADDRESS(80,5))</f>
        <v>0</v>
      </c>
      <c r="AQ80">
        <f>sumifs(aq:aq,A:A,"总成",B:B,"952-259000-100")*INDIRECT(ADDRESS(80,5))</f>
        <v>0</v>
      </c>
      <c r="AR80">
        <f>sumifs(ar:ar,A:A,"总成",B:B,"952-259000-100")*INDIRECT(ADDRESS(80,5))</f>
        <v>0</v>
      </c>
    </row>
    <row r="81" spans="1:44">
      <c r="A81" t="s">
        <v>14</v>
      </c>
      <c r="B81" t="s">
        <v>288</v>
      </c>
      <c r="C81" t="s">
        <v>289</v>
      </c>
      <c r="D81" t="s">
        <v>275</v>
      </c>
      <c r="E81">
        <v>1</v>
      </c>
      <c r="F81" t="s">
        <v>290</v>
      </c>
      <c r="H81" t="s">
        <v>237</v>
      </c>
      <c r="I81" t="s">
        <v>250</v>
      </c>
      <c r="K81" t="s">
        <v>20</v>
      </c>
      <c r="L81" t="s">
        <v>21</v>
      </c>
      <c r="M81">
        <f>vlookup("952-338000-100",生产发行表!B:AZ,column(l1),0)</f>
        <v>0</v>
      </c>
      <c r="N81">
        <f>vlookup("952-338000-100",生产发行表!B:AZ,column(m1),0)</f>
        <v>0</v>
      </c>
      <c r="O81">
        <f>vlookup("952-338000-100",生产发行表!B:AZ,column(n1),0)</f>
        <v>0</v>
      </c>
      <c r="P81">
        <f>vlookup("952-338000-100",生产发行表!B:AZ,column(o1),0)</f>
        <v>0</v>
      </c>
      <c r="Q81">
        <f>vlookup("952-338000-100",生产发行表!B:AZ,column(p1),0)</f>
        <v>0</v>
      </c>
      <c r="R81">
        <f>vlookup("952-338000-100",生产发行表!B:AZ,column(q1),0)</f>
        <v>0</v>
      </c>
      <c r="S81">
        <f>vlookup("952-338000-100",生产发行表!B:AZ,column(r1),0)</f>
        <v>0</v>
      </c>
      <c r="T81">
        <f>vlookup("952-338000-100",生产发行表!B:AZ,column(s1),0)</f>
        <v>0</v>
      </c>
      <c r="U81">
        <f>vlookup("952-338000-100",生产发行表!B:AZ,column(t1),0)</f>
        <v>0</v>
      </c>
      <c r="V81">
        <f>vlookup("952-338000-100",生产发行表!B:AZ,column(u1),0)</f>
        <v>0</v>
      </c>
      <c r="W81">
        <f>vlookup("952-338000-100",生产发行表!B:AZ,column(v1),0)</f>
        <v>0</v>
      </c>
      <c r="X81">
        <f>vlookup("952-338000-100",生产发行表!B:AZ,column(w1),0)</f>
        <v>0</v>
      </c>
      <c r="Y81">
        <f>vlookup("952-338000-100",生产发行表!B:AZ,column(x1),0)</f>
        <v>0</v>
      </c>
      <c r="Z81">
        <f>vlookup("952-338000-100",生产发行表!B:AZ,column(y1),0)</f>
        <v>0</v>
      </c>
      <c r="AA81">
        <f>vlookup("952-338000-100",生产发行表!B:AZ,column(z1),0)</f>
        <v>0</v>
      </c>
      <c r="AB81">
        <f>vlookup("952-338000-100",生产发行表!B:AZ,column(aa1),0)</f>
        <v>0</v>
      </c>
      <c r="AC81">
        <f>vlookup("952-338000-100",生产发行表!B:AZ,column(ab1),0)</f>
        <v>0</v>
      </c>
      <c r="AD81">
        <f>vlookup("952-338000-100",生产发行表!B:AZ,column(ac1),0)</f>
        <v>0</v>
      </c>
      <c r="AE81">
        <f>vlookup("952-338000-100",生产发行表!B:AZ,column(ad1),0)</f>
        <v>0</v>
      </c>
      <c r="AF81">
        <f>vlookup("952-338000-100",生产发行表!B:AZ,column(ae1),0)</f>
        <v>0</v>
      </c>
      <c r="AG81">
        <f>vlookup("952-338000-100",生产发行表!B:AZ,column(af1),0)</f>
        <v>0</v>
      </c>
      <c r="AH81">
        <f>vlookup("952-338000-100",生产发行表!B:AZ,column(ag1),0)</f>
        <v>0</v>
      </c>
      <c r="AI81">
        <f>vlookup("952-338000-100",生产发行表!B:AZ,column(ah1),0)</f>
        <v>0</v>
      </c>
      <c r="AJ81">
        <f>vlookup("952-338000-100",生产发行表!B:AZ,column(ai1),0)</f>
        <v>0</v>
      </c>
      <c r="AK81">
        <f>vlookup("952-338000-100",生产发行表!B:AZ,column(aj1),0)</f>
        <v>0</v>
      </c>
      <c r="AL81">
        <f>vlookup("952-338000-100",生产发行表!B:AZ,column(ak1),0)</f>
        <v>0</v>
      </c>
      <c r="AM81">
        <f>vlookup("952-338000-100",生产发行表!B:AZ,column(al1),0)</f>
        <v>0</v>
      </c>
      <c r="AN81">
        <f>vlookup("952-338000-100",生产发行表!B:AZ,column(am1),0)</f>
        <v>0</v>
      </c>
      <c r="AO81">
        <f>vlookup("952-338000-100",生产发行表!B:AZ,column(an1),0)</f>
        <v>0</v>
      </c>
      <c r="AP81">
        <f>vlookup("952-338000-100",生产发行表!B:AZ,column(ao1),0)</f>
        <v>0</v>
      </c>
      <c r="AQ81">
        <f>vlookup("952-338000-100",生产发行表!B:AZ,column(ap1),0)</f>
        <v>0</v>
      </c>
      <c r="AR81">
        <f>vlookup("952-338000-100",生产发行表!B:AZ,column(aq1),0)</f>
        <v>0</v>
      </c>
    </row>
    <row r="82" spans="1:44">
      <c r="A82" t="s">
        <v>31</v>
      </c>
      <c r="B82" t="s">
        <v>291</v>
      </c>
      <c r="C82" t="s">
        <v>292</v>
      </c>
      <c r="D82" t="s">
        <v>17</v>
      </c>
      <c r="E82">
        <v>1</v>
      </c>
      <c r="F82" t="s">
        <v>293</v>
      </c>
      <c r="K82" t="s">
        <v>20</v>
      </c>
      <c r="L82" t="s">
        <v>37</v>
      </c>
      <c r="M82">
        <f>sumifs(m:m,A:A,"总成",B:B,"952-338000-100")*INDIRECT(ADDRESS(82,5))</f>
        <v>0</v>
      </c>
      <c r="N82">
        <f>sumifs(n:n,A:A,"总成",B:B,"952-338000-100")*INDIRECT(ADDRESS(82,5))</f>
        <v>0</v>
      </c>
      <c r="O82">
        <f>sumifs(o:o,A:A,"总成",B:B,"952-338000-100")*INDIRECT(ADDRESS(82,5))</f>
        <v>0</v>
      </c>
      <c r="P82">
        <f>sumifs(p:p,A:A,"总成",B:B,"952-338000-100")*INDIRECT(ADDRESS(82,5))</f>
        <v>0</v>
      </c>
      <c r="Q82">
        <f>sumifs(q:q,A:A,"总成",B:B,"952-338000-100")*INDIRECT(ADDRESS(82,5))</f>
        <v>0</v>
      </c>
      <c r="R82">
        <f>sumifs(r:r,A:A,"总成",B:B,"952-338000-100")*INDIRECT(ADDRESS(82,5))</f>
        <v>0</v>
      </c>
      <c r="S82">
        <f>sumifs(s:s,A:A,"总成",B:B,"952-338000-100")*INDIRECT(ADDRESS(82,5))</f>
        <v>0</v>
      </c>
      <c r="T82">
        <f>sumifs(t:t,A:A,"总成",B:B,"952-338000-100")*INDIRECT(ADDRESS(82,5))</f>
        <v>0</v>
      </c>
      <c r="U82">
        <f>sumifs(u:u,A:A,"总成",B:B,"952-338000-100")*INDIRECT(ADDRESS(82,5))</f>
        <v>0</v>
      </c>
      <c r="V82">
        <f>sumifs(v:v,A:A,"总成",B:B,"952-338000-100")*INDIRECT(ADDRESS(82,5))</f>
        <v>0</v>
      </c>
      <c r="W82">
        <f>sumifs(w:w,A:A,"总成",B:B,"952-338000-100")*INDIRECT(ADDRESS(82,5))</f>
        <v>0</v>
      </c>
      <c r="X82">
        <f>sumifs(x:x,A:A,"总成",B:B,"952-338000-100")*INDIRECT(ADDRESS(82,5))</f>
        <v>0</v>
      </c>
      <c r="Y82">
        <f>sumifs(y:y,A:A,"总成",B:B,"952-338000-100")*INDIRECT(ADDRESS(82,5))</f>
        <v>0</v>
      </c>
      <c r="Z82">
        <f>sumifs(z:z,A:A,"总成",B:B,"952-338000-100")*INDIRECT(ADDRESS(82,5))</f>
        <v>0</v>
      </c>
      <c r="AA82">
        <f>sumifs(aa:aa,A:A,"总成",B:B,"952-338000-100")*INDIRECT(ADDRESS(82,5))</f>
        <v>0</v>
      </c>
      <c r="AB82">
        <f>sumifs(ab:ab,A:A,"总成",B:B,"952-338000-100")*INDIRECT(ADDRESS(82,5))</f>
        <v>0</v>
      </c>
      <c r="AC82">
        <f>sumifs(ac:ac,A:A,"总成",B:B,"952-338000-100")*INDIRECT(ADDRESS(82,5))</f>
        <v>0</v>
      </c>
      <c r="AD82">
        <f>sumifs(ad:ad,A:A,"总成",B:B,"952-338000-100")*INDIRECT(ADDRESS(82,5))</f>
        <v>0</v>
      </c>
      <c r="AE82">
        <f>sumifs(ae:ae,A:A,"总成",B:B,"952-338000-100")*INDIRECT(ADDRESS(82,5))</f>
        <v>0</v>
      </c>
      <c r="AF82">
        <f>sumifs(af:af,A:A,"总成",B:B,"952-338000-100")*INDIRECT(ADDRESS(82,5))</f>
        <v>0</v>
      </c>
      <c r="AG82">
        <f>sumifs(ag:ag,A:A,"总成",B:B,"952-338000-100")*INDIRECT(ADDRESS(82,5))</f>
        <v>0</v>
      </c>
      <c r="AH82">
        <f>sumifs(ah:ah,A:A,"总成",B:B,"952-338000-100")*INDIRECT(ADDRESS(82,5))</f>
        <v>0</v>
      </c>
      <c r="AI82">
        <f>sumifs(ai:ai,A:A,"总成",B:B,"952-338000-100")*INDIRECT(ADDRESS(82,5))</f>
        <v>0</v>
      </c>
      <c r="AJ82">
        <f>sumifs(aj:aj,A:A,"总成",B:B,"952-338000-100")*INDIRECT(ADDRESS(82,5))</f>
        <v>0</v>
      </c>
      <c r="AK82">
        <f>sumifs(ak:ak,A:A,"总成",B:B,"952-338000-100")*INDIRECT(ADDRESS(82,5))</f>
        <v>0</v>
      </c>
      <c r="AL82">
        <f>sumifs(al:al,A:A,"总成",B:B,"952-338000-100")*INDIRECT(ADDRESS(82,5))</f>
        <v>0</v>
      </c>
      <c r="AM82">
        <f>sumifs(am:am,A:A,"总成",B:B,"952-338000-100")*INDIRECT(ADDRESS(82,5))</f>
        <v>0</v>
      </c>
      <c r="AN82">
        <f>sumifs(an:an,A:A,"总成",B:B,"952-338000-100")*INDIRECT(ADDRESS(82,5))</f>
        <v>0</v>
      </c>
      <c r="AO82">
        <f>sumifs(ao:ao,A:A,"总成",B:B,"952-338000-100")*INDIRECT(ADDRESS(82,5))</f>
        <v>0</v>
      </c>
      <c r="AP82">
        <f>sumifs(ap:ap,A:A,"总成",B:B,"952-338000-100")*INDIRECT(ADDRESS(82,5))</f>
        <v>0</v>
      </c>
      <c r="AQ82">
        <f>sumifs(aq:aq,A:A,"总成",B:B,"952-338000-100")*INDIRECT(ADDRESS(82,5))</f>
        <v>0</v>
      </c>
      <c r="AR82">
        <f>sumifs(ar:ar,A:A,"总成",B:B,"952-338000-100")*INDIRECT(ADDRESS(82,5))</f>
        <v>0</v>
      </c>
    </row>
    <row r="83" spans="1:44">
      <c r="A83" t="s">
        <v>14</v>
      </c>
      <c r="B83" t="s">
        <v>294</v>
      </c>
      <c r="C83" t="s">
        <v>295</v>
      </c>
      <c r="D83" t="s">
        <v>296</v>
      </c>
      <c r="E83">
        <v>1</v>
      </c>
      <c r="F83" t="s">
        <v>297</v>
      </c>
      <c r="K83" t="s">
        <v>20</v>
      </c>
      <c r="L83" t="s">
        <v>21</v>
      </c>
      <c r="M83">
        <f>vlookup("952-078000-100",生产发行表!B:AZ,column(l1),0)</f>
        <v>0</v>
      </c>
      <c r="N83">
        <f>vlookup("952-078000-100",生产发行表!B:AZ,column(m1),0)</f>
        <v>0</v>
      </c>
      <c r="O83">
        <f>vlookup("952-078000-100",生产发行表!B:AZ,column(n1),0)</f>
        <v>0</v>
      </c>
      <c r="P83">
        <f>vlookup("952-078000-100",生产发行表!B:AZ,column(o1),0)</f>
        <v>0</v>
      </c>
      <c r="Q83">
        <f>vlookup("952-078000-100",生产发行表!B:AZ,column(p1),0)</f>
        <v>0</v>
      </c>
      <c r="R83">
        <f>vlookup("952-078000-100",生产发行表!B:AZ,column(q1),0)</f>
        <v>0</v>
      </c>
      <c r="S83">
        <f>vlookup("952-078000-100",生产发行表!B:AZ,column(r1),0)</f>
        <v>0</v>
      </c>
      <c r="T83">
        <f>vlookup("952-078000-100",生产发行表!B:AZ,column(s1),0)</f>
        <v>0</v>
      </c>
      <c r="U83">
        <f>vlookup("952-078000-100",生产发行表!B:AZ,column(t1),0)</f>
        <v>0</v>
      </c>
      <c r="V83">
        <f>vlookup("952-078000-100",生产发行表!B:AZ,column(u1),0)</f>
        <v>0</v>
      </c>
      <c r="W83">
        <f>vlookup("952-078000-100",生产发行表!B:AZ,column(v1),0)</f>
        <v>0</v>
      </c>
      <c r="X83">
        <f>vlookup("952-078000-100",生产发行表!B:AZ,column(w1),0)</f>
        <v>0</v>
      </c>
      <c r="Y83">
        <f>vlookup("952-078000-100",生产发行表!B:AZ,column(x1),0)</f>
        <v>0</v>
      </c>
      <c r="Z83">
        <f>vlookup("952-078000-100",生产发行表!B:AZ,column(y1),0)</f>
        <v>0</v>
      </c>
      <c r="AA83">
        <f>vlookup("952-078000-100",生产发行表!B:AZ,column(z1),0)</f>
        <v>0</v>
      </c>
      <c r="AB83">
        <f>vlookup("952-078000-100",生产发行表!B:AZ,column(aa1),0)</f>
        <v>0</v>
      </c>
      <c r="AC83">
        <f>vlookup("952-078000-100",生产发行表!B:AZ,column(ab1),0)</f>
        <v>0</v>
      </c>
      <c r="AD83">
        <f>vlookup("952-078000-100",生产发行表!B:AZ,column(ac1),0)</f>
        <v>0</v>
      </c>
      <c r="AE83">
        <f>vlookup("952-078000-100",生产发行表!B:AZ,column(ad1),0)</f>
        <v>0</v>
      </c>
      <c r="AF83">
        <f>vlookup("952-078000-100",生产发行表!B:AZ,column(ae1),0)</f>
        <v>0</v>
      </c>
      <c r="AG83">
        <f>vlookup("952-078000-100",生产发行表!B:AZ,column(af1),0)</f>
        <v>0</v>
      </c>
      <c r="AH83">
        <f>vlookup("952-078000-100",生产发行表!B:AZ,column(ag1),0)</f>
        <v>0</v>
      </c>
      <c r="AI83">
        <f>vlookup("952-078000-100",生产发行表!B:AZ,column(ah1),0)</f>
        <v>0</v>
      </c>
      <c r="AJ83">
        <f>vlookup("952-078000-100",生产发行表!B:AZ,column(ai1),0)</f>
        <v>0</v>
      </c>
      <c r="AK83">
        <f>vlookup("952-078000-100",生产发行表!B:AZ,column(aj1),0)</f>
        <v>0</v>
      </c>
      <c r="AL83">
        <f>vlookup("952-078000-100",生产发行表!B:AZ,column(ak1),0)</f>
        <v>0</v>
      </c>
      <c r="AM83">
        <f>vlookup("952-078000-100",生产发行表!B:AZ,column(al1),0)</f>
        <v>0</v>
      </c>
      <c r="AN83">
        <f>vlookup("952-078000-100",生产发行表!B:AZ,column(am1),0)</f>
        <v>0</v>
      </c>
      <c r="AO83">
        <f>vlookup("952-078000-100",生产发行表!B:AZ,column(an1),0)</f>
        <v>0</v>
      </c>
      <c r="AP83">
        <f>vlookup("952-078000-100",生产发行表!B:AZ,column(ao1),0)</f>
        <v>0</v>
      </c>
      <c r="AQ83">
        <f>vlookup("952-078000-100",生产发行表!B:AZ,column(ap1),0)</f>
        <v>0</v>
      </c>
      <c r="AR83">
        <f>vlookup("952-078000-100",生产发行表!B:AZ,column(aq1),0)</f>
        <v>0</v>
      </c>
    </row>
    <row r="84" spans="1:44">
      <c r="A84" t="s">
        <v>31</v>
      </c>
      <c r="B84" t="s">
        <v>298</v>
      </c>
      <c r="C84" t="s">
        <v>299</v>
      </c>
      <c r="D84" t="s">
        <v>17</v>
      </c>
      <c r="E84">
        <v>1</v>
      </c>
      <c r="F84" t="s">
        <v>300</v>
      </c>
      <c r="K84" t="s">
        <v>20</v>
      </c>
      <c r="L84" t="s">
        <v>37</v>
      </c>
      <c r="M84">
        <f>sumifs(m:m,A:A,"总成",B:B,"952-078000-100")*INDIRECT(ADDRESS(84,5))</f>
        <v>0</v>
      </c>
      <c r="N84">
        <f>sumifs(n:n,A:A,"总成",B:B,"952-078000-100")*INDIRECT(ADDRESS(84,5))</f>
        <v>0</v>
      </c>
      <c r="O84">
        <f>sumifs(o:o,A:A,"总成",B:B,"952-078000-100")*INDIRECT(ADDRESS(84,5))</f>
        <v>0</v>
      </c>
      <c r="P84">
        <f>sumifs(p:p,A:A,"总成",B:B,"952-078000-100")*INDIRECT(ADDRESS(84,5))</f>
        <v>0</v>
      </c>
      <c r="Q84">
        <f>sumifs(q:q,A:A,"总成",B:B,"952-078000-100")*INDIRECT(ADDRESS(84,5))</f>
        <v>0</v>
      </c>
      <c r="R84">
        <f>sumifs(r:r,A:A,"总成",B:B,"952-078000-100")*INDIRECT(ADDRESS(84,5))</f>
        <v>0</v>
      </c>
      <c r="S84">
        <f>sumifs(s:s,A:A,"总成",B:B,"952-078000-100")*INDIRECT(ADDRESS(84,5))</f>
        <v>0</v>
      </c>
      <c r="T84">
        <f>sumifs(t:t,A:A,"总成",B:B,"952-078000-100")*INDIRECT(ADDRESS(84,5))</f>
        <v>0</v>
      </c>
      <c r="U84">
        <f>sumifs(u:u,A:A,"总成",B:B,"952-078000-100")*INDIRECT(ADDRESS(84,5))</f>
        <v>0</v>
      </c>
      <c r="V84">
        <f>sumifs(v:v,A:A,"总成",B:B,"952-078000-100")*INDIRECT(ADDRESS(84,5))</f>
        <v>0</v>
      </c>
      <c r="W84">
        <f>sumifs(w:w,A:A,"总成",B:B,"952-078000-100")*INDIRECT(ADDRESS(84,5))</f>
        <v>0</v>
      </c>
      <c r="X84">
        <f>sumifs(x:x,A:A,"总成",B:B,"952-078000-100")*INDIRECT(ADDRESS(84,5))</f>
        <v>0</v>
      </c>
      <c r="Y84">
        <f>sumifs(y:y,A:A,"总成",B:B,"952-078000-100")*INDIRECT(ADDRESS(84,5))</f>
        <v>0</v>
      </c>
      <c r="Z84">
        <f>sumifs(z:z,A:A,"总成",B:B,"952-078000-100")*INDIRECT(ADDRESS(84,5))</f>
        <v>0</v>
      </c>
      <c r="AA84">
        <f>sumifs(aa:aa,A:A,"总成",B:B,"952-078000-100")*INDIRECT(ADDRESS(84,5))</f>
        <v>0</v>
      </c>
      <c r="AB84">
        <f>sumifs(ab:ab,A:A,"总成",B:B,"952-078000-100")*INDIRECT(ADDRESS(84,5))</f>
        <v>0</v>
      </c>
      <c r="AC84">
        <f>sumifs(ac:ac,A:A,"总成",B:B,"952-078000-100")*INDIRECT(ADDRESS(84,5))</f>
        <v>0</v>
      </c>
      <c r="AD84">
        <f>sumifs(ad:ad,A:A,"总成",B:B,"952-078000-100")*INDIRECT(ADDRESS(84,5))</f>
        <v>0</v>
      </c>
      <c r="AE84">
        <f>sumifs(ae:ae,A:A,"总成",B:B,"952-078000-100")*INDIRECT(ADDRESS(84,5))</f>
        <v>0</v>
      </c>
      <c r="AF84">
        <f>sumifs(af:af,A:A,"总成",B:B,"952-078000-100")*INDIRECT(ADDRESS(84,5))</f>
        <v>0</v>
      </c>
      <c r="AG84">
        <f>sumifs(ag:ag,A:A,"总成",B:B,"952-078000-100")*INDIRECT(ADDRESS(84,5))</f>
        <v>0</v>
      </c>
      <c r="AH84">
        <f>sumifs(ah:ah,A:A,"总成",B:B,"952-078000-100")*INDIRECT(ADDRESS(84,5))</f>
        <v>0</v>
      </c>
      <c r="AI84">
        <f>sumifs(ai:ai,A:A,"总成",B:B,"952-078000-100")*INDIRECT(ADDRESS(84,5))</f>
        <v>0</v>
      </c>
      <c r="AJ84">
        <f>sumifs(aj:aj,A:A,"总成",B:B,"952-078000-100")*INDIRECT(ADDRESS(84,5))</f>
        <v>0</v>
      </c>
      <c r="AK84">
        <f>sumifs(ak:ak,A:A,"总成",B:B,"952-078000-100")*INDIRECT(ADDRESS(84,5))</f>
        <v>0</v>
      </c>
      <c r="AL84">
        <f>sumifs(al:al,A:A,"总成",B:B,"952-078000-100")*INDIRECT(ADDRESS(84,5))</f>
        <v>0</v>
      </c>
      <c r="AM84">
        <f>sumifs(am:am,A:A,"总成",B:B,"952-078000-100")*INDIRECT(ADDRESS(84,5))</f>
        <v>0</v>
      </c>
      <c r="AN84">
        <f>sumifs(an:an,A:A,"总成",B:B,"952-078000-100")*INDIRECT(ADDRESS(84,5))</f>
        <v>0</v>
      </c>
      <c r="AO84">
        <f>sumifs(ao:ao,A:A,"总成",B:B,"952-078000-100")*INDIRECT(ADDRESS(84,5))</f>
        <v>0</v>
      </c>
      <c r="AP84">
        <f>sumifs(ap:ap,A:A,"总成",B:B,"952-078000-100")*INDIRECT(ADDRESS(84,5))</f>
        <v>0</v>
      </c>
      <c r="AQ84">
        <f>sumifs(aq:aq,A:A,"总成",B:B,"952-078000-100")*INDIRECT(ADDRESS(84,5))</f>
        <v>0</v>
      </c>
      <c r="AR84">
        <f>sumifs(ar:ar,A:A,"总成",B:B,"952-078000-100")*INDIRECT(ADDRESS(84,5))</f>
        <v>0</v>
      </c>
    </row>
    <row r="85" spans="1:44">
      <c r="A85" t="s">
        <v>14</v>
      </c>
      <c r="B85" t="s">
        <v>301</v>
      </c>
      <c r="C85" t="s">
        <v>302</v>
      </c>
      <c r="D85" t="s">
        <v>17</v>
      </c>
      <c r="E85">
        <v>1</v>
      </c>
      <c r="F85" t="s">
        <v>303</v>
      </c>
      <c r="K85" t="s">
        <v>20</v>
      </c>
      <c r="L85" t="s">
        <v>21</v>
      </c>
      <c r="M85">
        <f>vlookup("952-055000-100",生产发行表!B:AZ,column(l1),0)</f>
        <v>0</v>
      </c>
      <c r="N85">
        <f>vlookup("952-055000-100",生产发行表!B:AZ,column(m1),0)</f>
        <v>0</v>
      </c>
      <c r="O85">
        <f>vlookup("952-055000-100",生产发行表!B:AZ,column(n1),0)</f>
        <v>0</v>
      </c>
      <c r="P85">
        <f>vlookup("952-055000-100",生产发行表!B:AZ,column(o1),0)</f>
        <v>0</v>
      </c>
      <c r="Q85">
        <f>vlookup("952-055000-100",生产发行表!B:AZ,column(p1),0)</f>
        <v>0</v>
      </c>
      <c r="R85">
        <f>vlookup("952-055000-100",生产发行表!B:AZ,column(q1),0)</f>
        <v>0</v>
      </c>
      <c r="S85">
        <f>vlookup("952-055000-100",生产发行表!B:AZ,column(r1),0)</f>
        <v>0</v>
      </c>
      <c r="T85">
        <f>vlookup("952-055000-100",生产发行表!B:AZ,column(s1),0)</f>
        <v>0</v>
      </c>
      <c r="U85">
        <f>vlookup("952-055000-100",生产发行表!B:AZ,column(t1),0)</f>
        <v>0</v>
      </c>
      <c r="V85">
        <f>vlookup("952-055000-100",生产发行表!B:AZ,column(u1),0)</f>
        <v>0</v>
      </c>
      <c r="W85">
        <f>vlookup("952-055000-100",生产发行表!B:AZ,column(v1),0)</f>
        <v>0</v>
      </c>
      <c r="X85">
        <f>vlookup("952-055000-100",生产发行表!B:AZ,column(w1),0)</f>
        <v>0</v>
      </c>
      <c r="Y85">
        <f>vlookup("952-055000-100",生产发行表!B:AZ,column(x1),0)</f>
        <v>0</v>
      </c>
      <c r="Z85">
        <f>vlookup("952-055000-100",生产发行表!B:AZ,column(y1),0)</f>
        <v>0</v>
      </c>
      <c r="AA85">
        <f>vlookup("952-055000-100",生产发行表!B:AZ,column(z1),0)</f>
        <v>0</v>
      </c>
      <c r="AB85">
        <f>vlookup("952-055000-100",生产发行表!B:AZ,column(aa1),0)</f>
        <v>0</v>
      </c>
      <c r="AC85">
        <f>vlookup("952-055000-100",生产发行表!B:AZ,column(ab1),0)</f>
        <v>0</v>
      </c>
      <c r="AD85">
        <f>vlookup("952-055000-100",生产发行表!B:AZ,column(ac1),0)</f>
        <v>0</v>
      </c>
      <c r="AE85">
        <f>vlookup("952-055000-100",生产发行表!B:AZ,column(ad1),0)</f>
        <v>0</v>
      </c>
      <c r="AF85">
        <f>vlookup("952-055000-100",生产发行表!B:AZ,column(ae1),0)</f>
        <v>0</v>
      </c>
      <c r="AG85">
        <f>vlookup("952-055000-100",生产发行表!B:AZ,column(af1),0)</f>
        <v>0</v>
      </c>
      <c r="AH85">
        <f>vlookup("952-055000-100",生产发行表!B:AZ,column(ag1),0)</f>
        <v>0</v>
      </c>
      <c r="AI85">
        <f>vlookup("952-055000-100",生产发行表!B:AZ,column(ah1),0)</f>
        <v>0</v>
      </c>
      <c r="AJ85">
        <f>vlookup("952-055000-100",生产发行表!B:AZ,column(ai1),0)</f>
        <v>0</v>
      </c>
      <c r="AK85">
        <f>vlookup("952-055000-100",生产发行表!B:AZ,column(aj1),0)</f>
        <v>0</v>
      </c>
      <c r="AL85">
        <f>vlookup("952-055000-100",生产发行表!B:AZ,column(ak1),0)</f>
        <v>0</v>
      </c>
      <c r="AM85">
        <f>vlookup("952-055000-100",生产发行表!B:AZ,column(al1),0)</f>
        <v>0</v>
      </c>
      <c r="AN85">
        <f>vlookup("952-055000-100",生产发行表!B:AZ,column(am1),0)</f>
        <v>0</v>
      </c>
      <c r="AO85">
        <f>vlookup("952-055000-100",生产发行表!B:AZ,column(an1),0)</f>
        <v>0</v>
      </c>
      <c r="AP85">
        <f>vlookup("952-055000-100",生产发行表!B:AZ,column(ao1),0)</f>
        <v>0</v>
      </c>
      <c r="AQ85">
        <f>vlookup("952-055000-100",生产发行表!B:AZ,column(ap1),0)</f>
        <v>0</v>
      </c>
      <c r="AR85">
        <f>vlookup("952-055000-100",生产发行表!B:AZ,column(aq1),0)</f>
        <v>0</v>
      </c>
    </row>
    <row r="86" spans="1:44">
      <c r="A86" t="s">
        <v>14</v>
      </c>
      <c r="B86" t="s">
        <v>32</v>
      </c>
      <c r="C86" t="s">
        <v>33</v>
      </c>
      <c r="D86" t="s">
        <v>304</v>
      </c>
      <c r="E86">
        <v>1</v>
      </c>
      <c r="F86" t="s">
        <v>34</v>
      </c>
      <c r="K86" t="s">
        <v>305</v>
      </c>
      <c r="L86" t="s">
        <v>21</v>
      </c>
      <c r="M86">
        <f>vlookup("852-229000-100",生产发行表!B:AZ,column(l1),0)</f>
        <v>0</v>
      </c>
      <c r="N86">
        <f>vlookup("852-229000-100",生产发行表!B:AZ,column(m1),0)</f>
        <v>0</v>
      </c>
      <c r="O86">
        <f>vlookup("852-229000-100",生产发行表!B:AZ,column(n1),0)</f>
        <v>0</v>
      </c>
      <c r="P86">
        <f>vlookup("852-229000-100",生产发行表!B:AZ,column(o1),0)</f>
        <v>0</v>
      </c>
      <c r="Q86">
        <f>vlookup("852-229000-100",生产发行表!B:AZ,column(p1),0)</f>
        <v>0</v>
      </c>
      <c r="R86">
        <f>vlookup("852-229000-100",生产发行表!B:AZ,column(q1),0)</f>
        <v>0</v>
      </c>
      <c r="S86">
        <f>vlookup("852-229000-100",生产发行表!B:AZ,column(r1),0)</f>
        <v>0</v>
      </c>
      <c r="T86">
        <f>vlookup("852-229000-100",生产发行表!B:AZ,column(s1),0)</f>
        <v>0</v>
      </c>
      <c r="U86">
        <f>vlookup("852-229000-100",生产发行表!B:AZ,column(t1),0)</f>
        <v>0</v>
      </c>
      <c r="V86">
        <f>vlookup("852-229000-100",生产发行表!B:AZ,column(u1),0)</f>
        <v>0</v>
      </c>
      <c r="W86">
        <f>vlookup("852-229000-100",生产发行表!B:AZ,column(v1),0)</f>
        <v>0</v>
      </c>
      <c r="X86">
        <f>vlookup("852-229000-100",生产发行表!B:AZ,column(w1),0)</f>
        <v>0</v>
      </c>
      <c r="Y86">
        <f>vlookup("852-229000-100",生产发行表!B:AZ,column(x1),0)</f>
        <v>0</v>
      </c>
      <c r="Z86">
        <f>vlookup("852-229000-100",生产发行表!B:AZ,column(y1),0)</f>
        <v>0</v>
      </c>
      <c r="AA86">
        <f>vlookup("852-229000-100",生产发行表!B:AZ,column(z1),0)</f>
        <v>0</v>
      </c>
      <c r="AB86">
        <f>vlookup("852-229000-100",生产发行表!B:AZ,column(aa1),0)</f>
        <v>0</v>
      </c>
      <c r="AC86">
        <f>vlookup("852-229000-100",生产发行表!B:AZ,column(ab1),0)</f>
        <v>0</v>
      </c>
      <c r="AD86">
        <f>vlookup("852-229000-100",生产发行表!B:AZ,column(ac1),0)</f>
        <v>0</v>
      </c>
      <c r="AE86">
        <f>vlookup("852-229000-100",生产发行表!B:AZ,column(ad1),0)</f>
        <v>0</v>
      </c>
      <c r="AF86">
        <f>vlookup("852-229000-100",生产发行表!B:AZ,column(ae1),0)</f>
        <v>0</v>
      </c>
      <c r="AG86">
        <f>vlookup("852-229000-100",生产发行表!B:AZ,column(af1),0)</f>
        <v>0</v>
      </c>
      <c r="AH86">
        <f>vlookup("852-229000-100",生产发行表!B:AZ,column(ag1),0)</f>
        <v>0</v>
      </c>
      <c r="AI86">
        <f>vlookup("852-229000-100",生产发行表!B:AZ,column(ah1),0)</f>
        <v>0</v>
      </c>
      <c r="AJ86">
        <f>vlookup("852-229000-100",生产发行表!B:AZ,column(ai1),0)</f>
        <v>0</v>
      </c>
      <c r="AK86">
        <f>vlookup("852-229000-100",生产发行表!B:AZ,column(aj1),0)</f>
        <v>0</v>
      </c>
      <c r="AL86">
        <f>vlookup("852-229000-100",生产发行表!B:AZ,column(ak1),0)</f>
        <v>0</v>
      </c>
      <c r="AM86">
        <f>vlookup("852-229000-100",生产发行表!B:AZ,column(al1),0)</f>
        <v>0</v>
      </c>
      <c r="AN86">
        <f>vlookup("852-229000-100",生产发行表!B:AZ,column(am1),0)</f>
        <v>0</v>
      </c>
      <c r="AO86">
        <f>vlookup("852-229000-100",生产发行表!B:AZ,column(an1),0)</f>
        <v>0</v>
      </c>
      <c r="AP86">
        <f>vlookup("852-229000-100",生产发行表!B:AZ,column(ao1),0)</f>
        <v>0</v>
      </c>
      <c r="AQ86">
        <f>vlookup("852-229000-100",生产发行表!B:AZ,column(ap1),0)</f>
        <v>0</v>
      </c>
      <c r="AR86">
        <f>vlookup("852-229000-100",生产发行表!B:AZ,column(aq1),0)</f>
        <v>0</v>
      </c>
    </row>
    <row r="87" spans="1:44">
      <c r="A87" t="s">
        <v>31</v>
      </c>
      <c r="B87" t="s">
        <v>306</v>
      </c>
      <c r="C87" t="s">
        <v>307</v>
      </c>
      <c r="D87" t="s">
        <v>17</v>
      </c>
      <c r="E87">
        <v>1</v>
      </c>
      <c r="F87">
        <v>9110001223</v>
      </c>
      <c r="K87" t="s">
        <v>308</v>
      </c>
      <c r="L87" t="s">
        <v>37</v>
      </c>
      <c r="M87">
        <f>sumifs(m:m,A:A,"总成",B:B,"852-229000-100")*INDIRECT(ADDRESS(87,5))</f>
        <v>0</v>
      </c>
      <c r="N87">
        <f>sumifs(n:n,A:A,"总成",B:B,"852-229000-100")*INDIRECT(ADDRESS(87,5))</f>
        <v>0</v>
      </c>
      <c r="O87">
        <f>sumifs(o:o,A:A,"总成",B:B,"852-229000-100")*INDIRECT(ADDRESS(87,5))</f>
        <v>0</v>
      </c>
      <c r="P87">
        <f>sumifs(p:p,A:A,"总成",B:B,"852-229000-100")*INDIRECT(ADDRESS(87,5))</f>
        <v>0</v>
      </c>
      <c r="Q87">
        <f>sumifs(q:q,A:A,"总成",B:B,"852-229000-100")*INDIRECT(ADDRESS(87,5))</f>
        <v>0</v>
      </c>
      <c r="R87">
        <f>sumifs(r:r,A:A,"总成",B:B,"852-229000-100")*INDIRECT(ADDRESS(87,5))</f>
        <v>0</v>
      </c>
      <c r="S87">
        <f>sumifs(s:s,A:A,"总成",B:B,"852-229000-100")*INDIRECT(ADDRESS(87,5))</f>
        <v>0</v>
      </c>
      <c r="T87">
        <f>sumifs(t:t,A:A,"总成",B:B,"852-229000-100")*INDIRECT(ADDRESS(87,5))</f>
        <v>0</v>
      </c>
      <c r="U87">
        <f>sumifs(u:u,A:A,"总成",B:B,"852-229000-100")*INDIRECT(ADDRESS(87,5))</f>
        <v>0</v>
      </c>
      <c r="V87">
        <f>sumifs(v:v,A:A,"总成",B:B,"852-229000-100")*INDIRECT(ADDRESS(87,5))</f>
        <v>0</v>
      </c>
      <c r="W87">
        <f>sumifs(w:w,A:A,"总成",B:B,"852-229000-100")*INDIRECT(ADDRESS(87,5))</f>
        <v>0</v>
      </c>
      <c r="X87">
        <f>sumifs(x:x,A:A,"总成",B:B,"852-229000-100")*INDIRECT(ADDRESS(87,5))</f>
        <v>0</v>
      </c>
      <c r="Y87">
        <f>sumifs(y:y,A:A,"总成",B:B,"852-229000-100")*INDIRECT(ADDRESS(87,5))</f>
        <v>0</v>
      </c>
      <c r="Z87">
        <f>sumifs(z:z,A:A,"总成",B:B,"852-229000-100")*INDIRECT(ADDRESS(87,5))</f>
        <v>0</v>
      </c>
      <c r="AA87">
        <f>sumifs(aa:aa,A:A,"总成",B:B,"852-229000-100")*INDIRECT(ADDRESS(87,5))</f>
        <v>0</v>
      </c>
      <c r="AB87">
        <f>sumifs(ab:ab,A:A,"总成",B:B,"852-229000-100")*INDIRECT(ADDRESS(87,5))</f>
        <v>0</v>
      </c>
      <c r="AC87">
        <f>sumifs(ac:ac,A:A,"总成",B:B,"852-229000-100")*INDIRECT(ADDRESS(87,5))</f>
        <v>0</v>
      </c>
      <c r="AD87">
        <f>sumifs(ad:ad,A:A,"总成",B:B,"852-229000-100")*INDIRECT(ADDRESS(87,5))</f>
        <v>0</v>
      </c>
      <c r="AE87">
        <f>sumifs(ae:ae,A:A,"总成",B:B,"852-229000-100")*INDIRECT(ADDRESS(87,5))</f>
        <v>0</v>
      </c>
      <c r="AF87">
        <f>sumifs(af:af,A:A,"总成",B:B,"852-229000-100")*INDIRECT(ADDRESS(87,5))</f>
        <v>0</v>
      </c>
      <c r="AG87">
        <f>sumifs(ag:ag,A:A,"总成",B:B,"852-229000-100")*INDIRECT(ADDRESS(87,5))</f>
        <v>0</v>
      </c>
      <c r="AH87">
        <f>sumifs(ah:ah,A:A,"总成",B:B,"852-229000-100")*INDIRECT(ADDRESS(87,5))</f>
        <v>0</v>
      </c>
      <c r="AI87">
        <f>sumifs(ai:ai,A:A,"总成",B:B,"852-229000-100")*INDIRECT(ADDRESS(87,5))</f>
        <v>0</v>
      </c>
      <c r="AJ87">
        <f>sumifs(aj:aj,A:A,"总成",B:B,"852-229000-100")*INDIRECT(ADDRESS(87,5))</f>
        <v>0</v>
      </c>
      <c r="AK87">
        <f>sumifs(ak:ak,A:A,"总成",B:B,"852-229000-100")*INDIRECT(ADDRESS(87,5))</f>
        <v>0</v>
      </c>
      <c r="AL87">
        <f>sumifs(al:al,A:A,"总成",B:B,"852-229000-100")*INDIRECT(ADDRESS(87,5))</f>
        <v>0</v>
      </c>
      <c r="AM87">
        <f>sumifs(am:am,A:A,"总成",B:B,"852-229000-100")*INDIRECT(ADDRESS(87,5))</f>
        <v>0</v>
      </c>
      <c r="AN87">
        <f>sumifs(an:an,A:A,"总成",B:B,"852-229000-100")*INDIRECT(ADDRESS(87,5))</f>
        <v>0</v>
      </c>
      <c r="AO87">
        <f>sumifs(ao:ao,A:A,"总成",B:B,"852-229000-100")*INDIRECT(ADDRESS(87,5))</f>
        <v>0</v>
      </c>
      <c r="AP87">
        <f>sumifs(ap:ap,A:A,"总成",B:B,"852-229000-100")*INDIRECT(ADDRESS(87,5))</f>
        <v>0</v>
      </c>
      <c r="AQ87">
        <f>sumifs(aq:aq,A:A,"总成",B:B,"852-229000-100")*INDIRECT(ADDRESS(87,5))</f>
        <v>0</v>
      </c>
      <c r="AR87">
        <f>sumifs(ar:ar,A:A,"总成",B:B,"852-229000-100")*INDIRECT(ADDRESS(87,5))</f>
        <v>0</v>
      </c>
    </row>
    <row r="88" spans="1:44">
      <c r="A88" t="s">
        <v>14</v>
      </c>
      <c r="B88" t="s">
        <v>41</v>
      </c>
      <c r="C88" t="s">
        <v>42</v>
      </c>
      <c r="D88" t="s">
        <v>304</v>
      </c>
      <c r="E88">
        <v>1</v>
      </c>
      <c r="F88" t="s">
        <v>43</v>
      </c>
      <c r="K88" t="s">
        <v>305</v>
      </c>
      <c r="L88" t="s">
        <v>21</v>
      </c>
      <c r="M88">
        <f>vlookup("852-229000-200",生产发行表!B:AZ,column(l1),0)</f>
        <v>0</v>
      </c>
      <c r="N88">
        <f>vlookup("852-229000-200",生产发行表!B:AZ,column(m1),0)</f>
        <v>0</v>
      </c>
      <c r="O88">
        <f>vlookup("852-229000-200",生产发行表!B:AZ,column(n1),0)</f>
        <v>0</v>
      </c>
      <c r="P88">
        <f>vlookup("852-229000-200",生产发行表!B:AZ,column(o1),0)</f>
        <v>0</v>
      </c>
      <c r="Q88">
        <f>vlookup("852-229000-200",生产发行表!B:AZ,column(p1),0)</f>
        <v>0</v>
      </c>
      <c r="R88">
        <f>vlookup("852-229000-200",生产发行表!B:AZ,column(q1),0)</f>
        <v>0</v>
      </c>
      <c r="S88">
        <f>vlookup("852-229000-200",生产发行表!B:AZ,column(r1),0)</f>
        <v>0</v>
      </c>
      <c r="T88">
        <f>vlookup("852-229000-200",生产发行表!B:AZ,column(s1),0)</f>
        <v>0</v>
      </c>
      <c r="U88">
        <f>vlookup("852-229000-200",生产发行表!B:AZ,column(t1),0)</f>
        <v>0</v>
      </c>
      <c r="V88">
        <f>vlookup("852-229000-200",生产发行表!B:AZ,column(u1),0)</f>
        <v>0</v>
      </c>
      <c r="W88">
        <f>vlookup("852-229000-200",生产发行表!B:AZ,column(v1),0)</f>
        <v>0</v>
      </c>
      <c r="X88">
        <f>vlookup("852-229000-200",生产发行表!B:AZ,column(w1),0)</f>
        <v>0</v>
      </c>
      <c r="Y88">
        <f>vlookup("852-229000-200",生产发行表!B:AZ,column(x1),0)</f>
        <v>0</v>
      </c>
      <c r="Z88">
        <f>vlookup("852-229000-200",生产发行表!B:AZ,column(y1),0)</f>
        <v>0</v>
      </c>
      <c r="AA88">
        <f>vlookup("852-229000-200",生产发行表!B:AZ,column(z1),0)</f>
        <v>0</v>
      </c>
      <c r="AB88">
        <f>vlookup("852-229000-200",生产发行表!B:AZ,column(aa1),0)</f>
        <v>0</v>
      </c>
      <c r="AC88">
        <f>vlookup("852-229000-200",生产发行表!B:AZ,column(ab1),0)</f>
        <v>0</v>
      </c>
      <c r="AD88">
        <f>vlookup("852-229000-200",生产发行表!B:AZ,column(ac1),0)</f>
        <v>0</v>
      </c>
      <c r="AE88">
        <f>vlookup("852-229000-200",生产发行表!B:AZ,column(ad1),0)</f>
        <v>0</v>
      </c>
      <c r="AF88">
        <f>vlookup("852-229000-200",生产发行表!B:AZ,column(ae1),0)</f>
        <v>0</v>
      </c>
      <c r="AG88">
        <f>vlookup("852-229000-200",生产发行表!B:AZ,column(af1),0)</f>
        <v>0</v>
      </c>
      <c r="AH88">
        <f>vlookup("852-229000-200",生产发行表!B:AZ,column(ag1),0)</f>
        <v>0</v>
      </c>
      <c r="AI88">
        <f>vlookup("852-229000-200",生产发行表!B:AZ,column(ah1),0)</f>
        <v>0</v>
      </c>
      <c r="AJ88">
        <f>vlookup("852-229000-200",生产发行表!B:AZ,column(ai1),0)</f>
        <v>0</v>
      </c>
      <c r="AK88">
        <f>vlookup("852-229000-200",生产发行表!B:AZ,column(aj1),0)</f>
        <v>0</v>
      </c>
      <c r="AL88">
        <f>vlookup("852-229000-200",生产发行表!B:AZ,column(ak1),0)</f>
        <v>0</v>
      </c>
      <c r="AM88">
        <f>vlookup("852-229000-200",生产发行表!B:AZ,column(al1),0)</f>
        <v>0</v>
      </c>
      <c r="AN88">
        <f>vlookup("852-229000-200",生产发行表!B:AZ,column(am1),0)</f>
        <v>0</v>
      </c>
      <c r="AO88">
        <f>vlookup("852-229000-200",生产发行表!B:AZ,column(an1),0)</f>
        <v>0</v>
      </c>
      <c r="AP88">
        <f>vlookup("852-229000-200",生产发行表!B:AZ,column(ao1),0)</f>
        <v>0</v>
      </c>
      <c r="AQ88">
        <f>vlookup("852-229000-200",生产发行表!B:AZ,column(ap1),0)</f>
        <v>0</v>
      </c>
      <c r="AR88">
        <f>vlookup("852-229000-200",生产发行表!B:AZ,column(aq1),0)</f>
        <v>0</v>
      </c>
    </row>
    <row r="89" spans="1:44">
      <c r="A89" t="s">
        <v>31</v>
      </c>
      <c r="B89" t="s">
        <v>306</v>
      </c>
      <c r="C89" t="s">
        <v>307</v>
      </c>
      <c r="D89" t="s">
        <v>17</v>
      </c>
      <c r="E89">
        <v>1</v>
      </c>
      <c r="F89">
        <v>9110001223</v>
      </c>
      <c r="K89" t="s">
        <v>308</v>
      </c>
      <c r="L89" t="s">
        <v>37</v>
      </c>
      <c r="M89">
        <f>sumifs(m:m,A:A,"总成",B:B,"852-229000-200")*INDIRECT(ADDRESS(89,5))</f>
        <v>0</v>
      </c>
      <c r="N89">
        <f>sumifs(n:n,A:A,"总成",B:B,"852-229000-200")*INDIRECT(ADDRESS(89,5))</f>
        <v>0</v>
      </c>
      <c r="O89">
        <f>sumifs(o:o,A:A,"总成",B:B,"852-229000-200")*INDIRECT(ADDRESS(89,5))</f>
        <v>0</v>
      </c>
      <c r="P89">
        <f>sumifs(p:p,A:A,"总成",B:B,"852-229000-200")*INDIRECT(ADDRESS(89,5))</f>
        <v>0</v>
      </c>
      <c r="Q89">
        <f>sumifs(q:q,A:A,"总成",B:B,"852-229000-200")*INDIRECT(ADDRESS(89,5))</f>
        <v>0</v>
      </c>
      <c r="R89">
        <f>sumifs(r:r,A:A,"总成",B:B,"852-229000-200")*INDIRECT(ADDRESS(89,5))</f>
        <v>0</v>
      </c>
      <c r="S89">
        <f>sumifs(s:s,A:A,"总成",B:B,"852-229000-200")*INDIRECT(ADDRESS(89,5))</f>
        <v>0</v>
      </c>
      <c r="T89">
        <f>sumifs(t:t,A:A,"总成",B:B,"852-229000-200")*INDIRECT(ADDRESS(89,5))</f>
        <v>0</v>
      </c>
      <c r="U89">
        <f>sumifs(u:u,A:A,"总成",B:B,"852-229000-200")*INDIRECT(ADDRESS(89,5))</f>
        <v>0</v>
      </c>
      <c r="V89">
        <f>sumifs(v:v,A:A,"总成",B:B,"852-229000-200")*INDIRECT(ADDRESS(89,5))</f>
        <v>0</v>
      </c>
      <c r="W89">
        <f>sumifs(w:w,A:A,"总成",B:B,"852-229000-200")*INDIRECT(ADDRESS(89,5))</f>
        <v>0</v>
      </c>
      <c r="X89">
        <f>sumifs(x:x,A:A,"总成",B:B,"852-229000-200")*INDIRECT(ADDRESS(89,5))</f>
        <v>0</v>
      </c>
      <c r="Y89">
        <f>sumifs(y:y,A:A,"总成",B:B,"852-229000-200")*INDIRECT(ADDRESS(89,5))</f>
        <v>0</v>
      </c>
      <c r="Z89">
        <f>sumifs(z:z,A:A,"总成",B:B,"852-229000-200")*INDIRECT(ADDRESS(89,5))</f>
        <v>0</v>
      </c>
      <c r="AA89">
        <f>sumifs(aa:aa,A:A,"总成",B:B,"852-229000-200")*INDIRECT(ADDRESS(89,5))</f>
        <v>0</v>
      </c>
      <c r="AB89">
        <f>sumifs(ab:ab,A:A,"总成",B:B,"852-229000-200")*INDIRECT(ADDRESS(89,5))</f>
        <v>0</v>
      </c>
      <c r="AC89">
        <f>sumifs(ac:ac,A:A,"总成",B:B,"852-229000-200")*INDIRECT(ADDRESS(89,5))</f>
        <v>0</v>
      </c>
      <c r="AD89">
        <f>sumifs(ad:ad,A:A,"总成",B:B,"852-229000-200")*INDIRECT(ADDRESS(89,5))</f>
        <v>0</v>
      </c>
      <c r="AE89">
        <f>sumifs(ae:ae,A:A,"总成",B:B,"852-229000-200")*INDIRECT(ADDRESS(89,5))</f>
        <v>0</v>
      </c>
      <c r="AF89">
        <f>sumifs(af:af,A:A,"总成",B:B,"852-229000-200")*INDIRECT(ADDRESS(89,5))</f>
        <v>0</v>
      </c>
      <c r="AG89">
        <f>sumifs(ag:ag,A:A,"总成",B:B,"852-229000-200")*INDIRECT(ADDRESS(89,5))</f>
        <v>0</v>
      </c>
      <c r="AH89">
        <f>sumifs(ah:ah,A:A,"总成",B:B,"852-229000-200")*INDIRECT(ADDRESS(89,5))</f>
        <v>0</v>
      </c>
      <c r="AI89">
        <f>sumifs(ai:ai,A:A,"总成",B:B,"852-229000-200")*INDIRECT(ADDRESS(89,5))</f>
        <v>0</v>
      </c>
      <c r="AJ89">
        <f>sumifs(aj:aj,A:A,"总成",B:B,"852-229000-200")*INDIRECT(ADDRESS(89,5))</f>
        <v>0</v>
      </c>
      <c r="AK89">
        <f>sumifs(ak:ak,A:A,"总成",B:B,"852-229000-200")*INDIRECT(ADDRESS(89,5))</f>
        <v>0</v>
      </c>
      <c r="AL89">
        <f>sumifs(al:al,A:A,"总成",B:B,"852-229000-200")*INDIRECT(ADDRESS(89,5))</f>
        <v>0</v>
      </c>
      <c r="AM89">
        <f>sumifs(am:am,A:A,"总成",B:B,"852-229000-200")*INDIRECT(ADDRESS(89,5))</f>
        <v>0</v>
      </c>
      <c r="AN89">
        <f>sumifs(an:an,A:A,"总成",B:B,"852-229000-200")*INDIRECT(ADDRESS(89,5))</f>
        <v>0</v>
      </c>
      <c r="AO89">
        <f>sumifs(ao:ao,A:A,"总成",B:B,"852-229000-200")*INDIRECT(ADDRESS(89,5))</f>
        <v>0</v>
      </c>
      <c r="AP89">
        <f>sumifs(ap:ap,A:A,"总成",B:B,"852-229000-200")*INDIRECT(ADDRESS(89,5))</f>
        <v>0</v>
      </c>
      <c r="AQ89">
        <f>sumifs(aq:aq,A:A,"总成",B:B,"852-229000-200")*INDIRECT(ADDRESS(89,5))</f>
        <v>0</v>
      </c>
      <c r="AR89">
        <f>sumifs(ar:ar,A:A,"总成",B:B,"852-229000-200")*INDIRECT(ADDRESS(89,5))</f>
        <v>0</v>
      </c>
    </row>
    <row r="90" spans="1:44">
      <c r="A90" t="s">
        <v>14</v>
      </c>
      <c r="B90" t="s">
        <v>50</v>
      </c>
      <c r="C90" t="s">
        <v>51</v>
      </c>
      <c r="D90" t="s">
        <v>27</v>
      </c>
      <c r="E90">
        <v>1</v>
      </c>
      <c r="F90" t="s">
        <v>52</v>
      </c>
      <c r="K90" t="s">
        <v>305</v>
      </c>
      <c r="L90" t="s">
        <v>21</v>
      </c>
      <c r="M90">
        <f>vlookup("852-230000-100",生产发行表!B:AZ,column(l1),0)</f>
        <v>0</v>
      </c>
      <c r="N90">
        <f>vlookup("852-230000-100",生产发行表!B:AZ,column(m1),0)</f>
        <v>0</v>
      </c>
      <c r="O90">
        <f>vlookup("852-230000-100",生产发行表!B:AZ,column(n1),0)</f>
        <v>0</v>
      </c>
      <c r="P90">
        <f>vlookup("852-230000-100",生产发行表!B:AZ,column(o1),0)</f>
        <v>0</v>
      </c>
      <c r="Q90">
        <f>vlookup("852-230000-100",生产发行表!B:AZ,column(p1),0)</f>
        <v>0</v>
      </c>
      <c r="R90">
        <f>vlookup("852-230000-100",生产发行表!B:AZ,column(q1),0)</f>
        <v>0</v>
      </c>
      <c r="S90">
        <f>vlookup("852-230000-100",生产发行表!B:AZ,column(r1),0)</f>
        <v>0</v>
      </c>
      <c r="T90">
        <f>vlookup("852-230000-100",生产发行表!B:AZ,column(s1),0)</f>
        <v>0</v>
      </c>
      <c r="U90">
        <f>vlookup("852-230000-100",生产发行表!B:AZ,column(t1),0)</f>
        <v>0</v>
      </c>
      <c r="V90">
        <f>vlookup("852-230000-100",生产发行表!B:AZ,column(u1),0)</f>
        <v>0</v>
      </c>
      <c r="W90">
        <f>vlookup("852-230000-100",生产发行表!B:AZ,column(v1),0)</f>
        <v>0</v>
      </c>
      <c r="X90">
        <f>vlookup("852-230000-100",生产发行表!B:AZ,column(w1),0)</f>
        <v>0</v>
      </c>
      <c r="Y90">
        <f>vlookup("852-230000-100",生产发行表!B:AZ,column(x1),0)</f>
        <v>0</v>
      </c>
      <c r="Z90">
        <f>vlookup("852-230000-100",生产发行表!B:AZ,column(y1),0)</f>
        <v>0</v>
      </c>
      <c r="AA90">
        <f>vlookup("852-230000-100",生产发行表!B:AZ,column(z1),0)</f>
        <v>0</v>
      </c>
      <c r="AB90">
        <f>vlookup("852-230000-100",生产发行表!B:AZ,column(aa1),0)</f>
        <v>0</v>
      </c>
      <c r="AC90">
        <f>vlookup("852-230000-100",生产发行表!B:AZ,column(ab1),0)</f>
        <v>0</v>
      </c>
      <c r="AD90">
        <f>vlookup("852-230000-100",生产发行表!B:AZ,column(ac1),0)</f>
        <v>0</v>
      </c>
      <c r="AE90">
        <f>vlookup("852-230000-100",生产发行表!B:AZ,column(ad1),0)</f>
        <v>0</v>
      </c>
      <c r="AF90">
        <f>vlookup("852-230000-100",生产发行表!B:AZ,column(ae1),0)</f>
        <v>0</v>
      </c>
      <c r="AG90">
        <f>vlookup("852-230000-100",生产发行表!B:AZ,column(af1),0)</f>
        <v>0</v>
      </c>
      <c r="AH90">
        <f>vlookup("852-230000-100",生产发行表!B:AZ,column(ag1),0)</f>
        <v>0</v>
      </c>
      <c r="AI90">
        <f>vlookup("852-230000-100",生产发行表!B:AZ,column(ah1),0)</f>
        <v>0</v>
      </c>
      <c r="AJ90">
        <f>vlookup("852-230000-100",生产发行表!B:AZ,column(ai1),0)</f>
        <v>0</v>
      </c>
      <c r="AK90">
        <f>vlookup("852-230000-100",生产发行表!B:AZ,column(aj1),0)</f>
        <v>0</v>
      </c>
      <c r="AL90">
        <f>vlookup("852-230000-100",生产发行表!B:AZ,column(ak1),0)</f>
        <v>0</v>
      </c>
      <c r="AM90">
        <f>vlookup("852-230000-100",生产发行表!B:AZ,column(al1),0)</f>
        <v>0</v>
      </c>
      <c r="AN90">
        <f>vlookup("852-230000-100",生产发行表!B:AZ,column(am1),0)</f>
        <v>0</v>
      </c>
      <c r="AO90">
        <f>vlookup("852-230000-100",生产发行表!B:AZ,column(an1),0)</f>
        <v>0</v>
      </c>
      <c r="AP90">
        <f>vlookup("852-230000-100",生产发行表!B:AZ,column(ao1),0)</f>
        <v>0</v>
      </c>
      <c r="AQ90">
        <f>vlookup("852-230000-100",生产发行表!B:AZ,column(ap1),0)</f>
        <v>0</v>
      </c>
      <c r="AR90">
        <f>vlookup("852-230000-100",生产发行表!B:AZ,column(aq1),0)</f>
        <v>0</v>
      </c>
    </row>
    <row r="91" spans="1:44">
      <c r="A91" t="s">
        <v>14</v>
      </c>
      <c r="B91" t="s">
        <v>53</v>
      </c>
      <c r="C91" t="s">
        <v>54</v>
      </c>
      <c r="D91" t="s">
        <v>17</v>
      </c>
      <c r="E91">
        <v>1</v>
      </c>
      <c r="F91" t="s">
        <v>55</v>
      </c>
      <c r="K91" t="s">
        <v>305</v>
      </c>
      <c r="L91" t="s">
        <v>21</v>
      </c>
      <c r="M91">
        <f>vlookup("852-231000-110",生产发行表!B:AZ,column(l1),0)</f>
        <v>0</v>
      </c>
      <c r="N91">
        <f>vlookup("852-231000-110",生产发行表!B:AZ,column(m1),0)</f>
        <v>0</v>
      </c>
      <c r="O91">
        <f>vlookup("852-231000-110",生产发行表!B:AZ,column(n1),0)</f>
        <v>0</v>
      </c>
      <c r="P91">
        <f>vlookup("852-231000-110",生产发行表!B:AZ,column(o1),0)</f>
        <v>0</v>
      </c>
      <c r="Q91">
        <f>vlookup("852-231000-110",生产发行表!B:AZ,column(p1),0)</f>
        <v>0</v>
      </c>
      <c r="R91">
        <f>vlookup("852-231000-110",生产发行表!B:AZ,column(q1),0)</f>
        <v>0</v>
      </c>
      <c r="S91">
        <f>vlookup("852-231000-110",生产发行表!B:AZ,column(r1),0)</f>
        <v>0</v>
      </c>
      <c r="T91">
        <f>vlookup("852-231000-110",生产发行表!B:AZ,column(s1),0)</f>
        <v>0</v>
      </c>
      <c r="U91">
        <f>vlookup("852-231000-110",生产发行表!B:AZ,column(t1),0)</f>
        <v>0</v>
      </c>
      <c r="V91">
        <f>vlookup("852-231000-110",生产发行表!B:AZ,column(u1),0)</f>
        <v>0</v>
      </c>
      <c r="W91">
        <f>vlookup("852-231000-110",生产发行表!B:AZ,column(v1),0)</f>
        <v>0</v>
      </c>
      <c r="X91">
        <f>vlookup("852-231000-110",生产发行表!B:AZ,column(w1),0)</f>
        <v>0</v>
      </c>
      <c r="Y91">
        <f>vlookup("852-231000-110",生产发行表!B:AZ,column(x1),0)</f>
        <v>0</v>
      </c>
      <c r="Z91">
        <f>vlookup("852-231000-110",生产发行表!B:AZ,column(y1),0)</f>
        <v>0</v>
      </c>
      <c r="AA91">
        <f>vlookup("852-231000-110",生产发行表!B:AZ,column(z1),0)</f>
        <v>0</v>
      </c>
      <c r="AB91">
        <f>vlookup("852-231000-110",生产发行表!B:AZ,column(aa1),0)</f>
        <v>0</v>
      </c>
      <c r="AC91">
        <f>vlookup("852-231000-110",生产发行表!B:AZ,column(ab1),0)</f>
        <v>0</v>
      </c>
      <c r="AD91">
        <f>vlookup("852-231000-110",生产发行表!B:AZ,column(ac1),0)</f>
        <v>0</v>
      </c>
      <c r="AE91">
        <f>vlookup("852-231000-110",生产发行表!B:AZ,column(ad1),0)</f>
        <v>0</v>
      </c>
      <c r="AF91">
        <f>vlookup("852-231000-110",生产发行表!B:AZ,column(ae1),0)</f>
        <v>0</v>
      </c>
      <c r="AG91">
        <f>vlookup("852-231000-110",生产发行表!B:AZ,column(af1),0)</f>
        <v>0</v>
      </c>
      <c r="AH91">
        <f>vlookup("852-231000-110",生产发行表!B:AZ,column(ag1),0)</f>
        <v>0</v>
      </c>
      <c r="AI91">
        <f>vlookup("852-231000-110",生产发行表!B:AZ,column(ah1),0)</f>
        <v>0</v>
      </c>
      <c r="AJ91">
        <f>vlookup("852-231000-110",生产发行表!B:AZ,column(ai1),0)</f>
        <v>0</v>
      </c>
      <c r="AK91">
        <f>vlookup("852-231000-110",生产发行表!B:AZ,column(aj1),0)</f>
        <v>0</v>
      </c>
      <c r="AL91">
        <f>vlookup("852-231000-110",生产发行表!B:AZ,column(ak1),0)</f>
        <v>0</v>
      </c>
      <c r="AM91">
        <f>vlookup("852-231000-110",生产发行表!B:AZ,column(al1),0)</f>
        <v>0</v>
      </c>
      <c r="AN91">
        <f>vlookup("852-231000-110",生产发行表!B:AZ,column(am1),0)</f>
        <v>0</v>
      </c>
      <c r="AO91">
        <f>vlookup("852-231000-110",生产发行表!B:AZ,column(an1),0)</f>
        <v>0</v>
      </c>
      <c r="AP91">
        <f>vlookup("852-231000-110",生产发行表!B:AZ,column(ao1),0)</f>
        <v>0</v>
      </c>
      <c r="AQ91">
        <f>vlookup("852-231000-110",生产发行表!B:AZ,column(ap1),0)</f>
        <v>0</v>
      </c>
      <c r="AR91">
        <f>vlookup("852-231000-110",生产发行表!B:AZ,column(aq1),0)</f>
        <v>0</v>
      </c>
    </row>
    <row r="92" spans="1:44">
      <c r="A92" t="s">
        <v>14</v>
      </c>
      <c r="B92" t="s">
        <v>56</v>
      </c>
      <c r="C92" t="s">
        <v>57</v>
      </c>
      <c r="D92" t="s">
        <v>304</v>
      </c>
      <c r="E92" t="s">
        <v>36</v>
      </c>
      <c r="F92" t="s">
        <v>58</v>
      </c>
      <c r="K92" t="s">
        <v>305</v>
      </c>
      <c r="L92" t="s">
        <v>21</v>
      </c>
      <c r="M92">
        <f>vlookup("852-231000-100",生产发行表!B:AZ,column(l1),0)</f>
        <v>0</v>
      </c>
      <c r="N92">
        <f>vlookup("852-231000-100",生产发行表!B:AZ,column(m1),0)</f>
        <v>0</v>
      </c>
      <c r="O92">
        <f>vlookup("852-231000-100",生产发行表!B:AZ,column(n1),0)</f>
        <v>0</v>
      </c>
      <c r="P92">
        <f>vlookup("852-231000-100",生产发行表!B:AZ,column(o1),0)</f>
        <v>0</v>
      </c>
      <c r="Q92">
        <f>vlookup("852-231000-100",生产发行表!B:AZ,column(p1),0)</f>
        <v>0</v>
      </c>
      <c r="R92">
        <f>vlookup("852-231000-100",生产发行表!B:AZ,column(q1),0)</f>
        <v>0</v>
      </c>
      <c r="S92">
        <f>vlookup("852-231000-100",生产发行表!B:AZ,column(r1),0)</f>
        <v>0</v>
      </c>
      <c r="T92">
        <f>vlookup("852-231000-100",生产发行表!B:AZ,column(s1),0)</f>
        <v>0</v>
      </c>
      <c r="U92">
        <f>vlookup("852-231000-100",生产发行表!B:AZ,column(t1),0)</f>
        <v>0</v>
      </c>
      <c r="V92">
        <f>vlookup("852-231000-100",生产发行表!B:AZ,column(u1),0)</f>
        <v>0</v>
      </c>
      <c r="W92">
        <f>vlookup("852-231000-100",生产发行表!B:AZ,column(v1),0)</f>
        <v>0</v>
      </c>
      <c r="X92">
        <f>vlookup("852-231000-100",生产发行表!B:AZ,column(w1),0)</f>
        <v>0</v>
      </c>
      <c r="Y92">
        <f>vlookup("852-231000-100",生产发行表!B:AZ,column(x1),0)</f>
        <v>0</v>
      </c>
      <c r="Z92">
        <f>vlookup("852-231000-100",生产发行表!B:AZ,column(y1),0)</f>
        <v>0</v>
      </c>
      <c r="AA92">
        <f>vlookup("852-231000-100",生产发行表!B:AZ,column(z1),0)</f>
        <v>0</v>
      </c>
      <c r="AB92">
        <f>vlookup("852-231000-100",生产发行表!B:AZ,column(aa1),0)</f>
        <v>0</v>
      </c>
      <c r="AC92">
        <f>vlookup("852-231000-100",生产发行表!B:AZ,column(ab1),0)</f>
        <v>0</v>
      </c>
      <c r="AD92">
        <f>vlookup("852-231000-100",生产发行表!B:AZ,column(ac1),0)</f>
        <v>0</v>
      </c>
      <c r="AE92">
        <f>vlookup("852-231000-100",生产发行表!B:AZ,column(ad1),0)</f>
        <v>0</v>
      </c>
      <c r="AF92">
        <f>vlookup("852-231000-100",生产发行表!B:AZ,column(ae1),0)</f>
        <v>0</v>
      </c>
      <c r="AG92">
        <f>vlookup("852-231000-100",生产发行表!B:AZ,column(af1),0)</f>
        <v>0</v>
      </c>
      <c r="AH92">
        <f>vlookup("852-231000-100",生产发行表!B:AZ,column(ag1),0)</f>
        <v>0</v>
      </c>
      <c r="AI92">
        <f>vlookup("852-231000-100",生产发行表!B:AZ,column(ah1),0)</f>
        <v>0</v>
      </c>
      <c r="AJ92">
        <f>vlookup("852-231000-100",生产发行表!B:AZ,column(ai1),0)</f>
        <v>0</v>
      </c>
      <c r="AK92">
        <f>vlookup("852-231000-100",生产发行表!B:AZ,column(aj1),0)</f>
        <v>0</v>
      </c>
      <c r="AL92">
        <f>vlookup("852-231000-100",生产发行表!B:AZ,column(ak1),0)</f>
        <v>0</v>
      </c>
      <c r="AM92">
        <f>vlookup("852-231000-100",生产发行表!B:AZ,column(al1),0)</f>
        <v>0</v>
      </c>
      <c r="AN92">
        <f>vlookup("852-231000-100",生产发行表!B:AZ,column(am1),0)</f>
        <v>0</v>
      </c>
      <c r="AO92">
        <f>vlookup("852-231000-100",生产发行表!B:AZ,column(an1),0)</f>
        <v>0</v>
      </c>
      <c r="AP92">
        <f>vlookup("852-231000-100",生产发行表!B:AZ,column(ao1),0)</f>
        <v>0</v>
      </c>
      <c r="AQ92">
        <f>vlookup("852-231000-100",生产发行表!B:AZ,column(ap1),0)</f>
        <v>0</v>
      </c>
      <c r="AR92">
        <f>vlookup("852-231000-100",生产发行表!B:AZ,column(aq1),0)</f>
        <v>0</v>
      </c>
    </row>
    <row r="93" spans="1:44">
      <c r="A93" t="s">
        <v>31</v>
      </c>
      <c r="B93" t="s">
        <v>309</v>
      </c>
      <c r="C93" t="s">
        <v>310</v>
      </c>
      <c r="D93" t="s">
        <v>17</v>
      </c>
      <c r="E93">
        <v>2</v>
      </c>
      <c r="F93" t="s">
        <v>311</v>
      </c>
      <c r="K93" t="s">
        <v>308</v>
      </c>
      <c r="L93" t="s">
        <v>37</v>
      </c>
      <c r="M93">
        <f>sumifs(m:m,A:A,"总成",B:B,"852-231000-100")*INDIRECT(ADDRESS(93,5))</f>
        <v>0</v>
      </c>
      <c r="N93">
        <f>sumifs(n:n,A:A,"总成",B:B,"852-231000-100")*INDIRECT(ADDRESS(93,5))</f>
        <v>0</v>
      </c>
      <c r="O93">
        <f>sumifs(o:o,A:A,"总成",B:B,"852-231000-100")*INDIRECT(ADDRESS(93,5))</f>
        <v>0</v>
      </c>
      <c r="P93">
        <f>sumifs(p:p,A:A,"总成",B:B,"852-231000-100")*INDIRECT(ADDRESS(93,5))</f>
        <v>0</v>
      </c>
      <c r="Q93">
        <f>sumifs(q:q,A:A,"总成",B:B,"852-231000-100")*INDIRECT(ADDRESS(93,5))</f>
        <v>0</v>
      </c>
      <c r="R93">
        <f>sumifs(r:r,A:A,"总成",B:B,"852-231000-100")*INDIRECT(ADDRESS(93,5))</f>
        <v>0</v>
      </c>
      <c r="S93">
        <f>sumifs(s:s,A:A,"总成",B:B,"852-231000-100")*INDIRECT(ADDRESS(93,5))</f>
        <v>0</v>
      </c>
      <c r="T93">
        <f>sumifs(t:t,A:A,"总成",B:B,"852-231000-100")*INDIRECT(ADDRESS(93,5))</f>
        <v>0</v>
      </c>
      <c r="U93">
        <f>sumifs(u:u,A:A,"总成",B:B,"852-231000-100")*INDIRECT(ADDRESS(93,5))</f>
        <v>0</v>
      </c>
      <c r="V93">
        <f>sumifs(v:v,A:A,"总成",B:B,"852-231000-100")*INDIRECT(ADDRESS(93,5))</f>
        <v>0</v>
      </c>
      <c r="W93">
        <f>sumifs(w:w,A:A,"总成",B:B,"852-231000-100")*INDIRECT(ADDRESS(93,5))</f>
        <v>0</v>
      </c>
      <c r="X93">
        <f>sumifs(x:x,A:A,"总成",B:B,"852-231000-100")*INDIRECT(ADDRESS(93,5))</f>
        <v>0</v>
      </c>
      <c r="Y93">
        <f>sumifs(y:y,A:A,"总成",B:B,"852-231000-100")*INDIRECT(ADDRESS(93,5))</f>
        <v>0</v>
      </c>
      <c r="Z93">
        <f>sumifs(z:z,A:A,"总成",B:B,"852-231000-100")*INDIRECT(ADDRESS(93,5))</f>
        <v>0</v>
      </c>
      <c r="AA93">
        <f>sumifs(aa:aa,A:A,"总成",B:B,"852-231000-100")*INDIRECT(ADDRESS(93,5))</f>
        <v>0</v>
      </c>
      <c r="AB93">
        <f>sumifs(ab:ab,A:A,"总成",B:B,"852-231000-100")*INDIRECT(ADDRESS(93,5))</f>
        <v>0</v>
      </c>
      <c r="AC93">
        <f>sumifs(ac:ac,A:A,"总成",B:B,"852-231000-100")*INDIRECT(ADDRESS(93,5))</f>
        <v>0</v>
      </c>
      <c r="AD93">
        <f>sumifs(ad:ad,A:A,"总成",B:B,"852-231000-100")*INDIRECT(ADDRESS(93,5))</f>
        <v>0</v>
      </c>
      <c r="AE93">
        <f>sumifs(ae:ae,A:A,"总成",B:B,"852-231000-100")*INDIRECT(ADDRESS(93,5))</f>
        <v>0</v>
      </c>
      <c r="AF93">
        <f>sumifs(af:af,A:A,"总成",B:B,"852-231000-100")*INDIRECT(ADDRESS(93,5))</f>
        <v>0</v>
      </c>
      <c r="AG93">
        <f>sumifs(ag:ag,A:A,"总成",B:B,"852-231000-100")*INDIRECT(ADDRESS(93,5))</f>
        <v>0</v>
      </c>
      <c r="AH93">
        <f>sumifs(ah:ah,A:A,"总成",B:B,"852-231000-100")*INDIRECT(ADDRESS(93,5))</f>
        <v>0</v>
      </c>
      <c r="AI93">
        <f>sumifs(ai:ai,A:A,"总成",B:B,"852-231000-100")*INDIRECT(ADDRESS(93,5))</f>
        <v>0</v>
      </c>
      <c r="AJ93">
        <f>sumifs(aj:aj,A:A,"总成",B:B,"852-231000-100")*INDIRECT(ADDRESS(93,5))</f>
        <v>0</v>
      </c>
      <c r="AK93">
        <f>sumifs(ak:ak,A:A,"总成",B:B,"852-231000-100")*INDIRECT(ADDRESS(93,5))</f>
        <v>0</v>
      </c>
      <c r="AL93">
        <f>sumifs(al:al,A:A,"总成",B:B,"852-231000-100")*INDIRECT(ADDRESS(93,5))</f>
        <v>0</v>
      </c>
      <c r="AM93">
        <f>sumifs(am:am,A:A,"总成",B:B,"852-231000-100")*INDIRECT(ADDRESS(93,5))</f>
        <v>0</v>
      </c>
      <c r="AN93">
        <f>sumifs(an:an,A:A,"总成",B:B,"852-231000-100")*INDIRECT(ADDRESS(93,5))</f>
        <v>0</v>
      </c>
      <c r="AO93">
        <f>sumifs(ao:ao,A:A,"总成",B:B,"852-231000-100")*INDIRECT(ADDRESS(93,5))</f>
        <v>0</v>
      </c>
      <c r="AP93">
        <f>sumifs(ap:ap,A:A,"总成",B:B,"852-231000-100")*INDIRECT(ADDRESS(93,5))</f>
        <v>0</v>
      </c>
      <c r="AQ93">
        <f>sumifs(aq:aq,A:A,"总成",B:B,"852-231000-100")*INDIRECT(ADDRESS(93,5))</f>
        <v>0</v>
      </c>
      <c r="AR93">
        <f>sumifs(ar:ar,A:A,"总成",B:B,"852-231000-100")*INDIRECT(ADDRESS(93,5))</f>
        <v>0</v>
      </c>
    </row>
    <row r="94" spans="1:44">
      <c r="A94" t="s">
        <v>14</v>
      </c>
      <c r="B94" t="s">
        <v>62</v>
      </c>
      <c r="C94" t="s">
        <v>63</v>
      </c>
      <c r="D94" t="s">
        <v>304</v>
      </c>
      <c r="E94">
        <v>1</v>
      </c>
      <c r="F94" t="s">
        <v>64</v>
      </c>
      <c r="K94" t="s">
        <v>305</v>
      </c>
      <c r="L94" t="s">
        <v>21</v>
      </c>
      <c r="M94">
        <f>vlookup("852-232000-100",生产发行表!B:AZ,column(l1),0)</f>
        <v>0</v>
      </c>
      <c r="N94">
        <f>vlookup("852-232000-100",生产发行表!B:AZ,column(m1),0)</f>
        <v>0</v>
      </c>
      <c r="O94">
        <f>vlookup("852-232000-100",生产发行表!B:AZ,column(n1),0)</f>
        <v>0</v>
      </c>
      <c r="P94">
        <f>vlookup("852-232000-100",生产发行表!B:AZ,column(o1),0)</f>
        <v>0</v>
      </c>
      <c r="Q94">
        <f>vlookup("852-232000-100",生产发行表!B:AZ,column(p1),0)</f>
        <v>0</v>
      </c>
      <c r="R94">
        <f>vlookup("852-232000-100",生产发行表!B:AZ,column(q1),0)</f>
        <v>0</v>
      </c>
      <c r="S94">
        <f>vlookup("852-232000-100",生产发行表!B:AZ,column(r1),0)</f>
        <v>0</v>
      </c>
      <c r="T94">
        <f>vlookup("852-232000-100",生产发行表!B:AZ,column(s1),0)</f>
        <v>0</v>
      </c>
      <c r="U94">
        <f>vlookup("852-232000-100",生产发行表!B:AZ,column(t1),0)</f>
        <v>0</v>
      </c>
      <c r="V94">
        <f>vlookup("852-232000-100",生产发行表!B:AZ,column(u1),0)</f>
        <v>0</v>
      </c>
      <c r="W94">
        <f>vlookup("852-232000-100",生产发行表!B:AZ,column(v1),0)</f>
        <v>0</v>
      </c>
      <c r="X94">
        <f>vlookup("852-232000-100",生产发行表!B:AZ,column(w1),0)</f>
        <v>0</v>
      </c>
      <c r="Y94">
        <f>vlookup("852-232000-100",生产发行表!B:AZ,column(x1),0)</f>
        <v>0</v>
      </c>
      <c r="Z94">
        <f>vlookup("852-232000-100",生产发行表!B:AZ,column(y1),0)</f>
        <v>0</v>
      </c>
      <c r="AA94">
        <f>vlookup("852-232000-100",生产发行表!B:AZ,column(z1),0)</f>
        <v>0</v>
      </c>
      <c r="AB94">
        <f>vlookup("852-232000-100",生产发行表!B:AZ,column(aa1),0)</f>
        <v>0</v>
      </c>
      <c r="AC94">
        <f>vlookup("852-232000-100",生产发行表!B:AZ,column(ab1),0)</f>
        <v>0</v>
      </c>
      <c r="AD94">
        <f>vlookup("852-232000-100",生产发行表!B:AZ,column(ac1),0)</f>
        <v>0</v>
      </c>
      <c r="AE94">
        <f>vlookup("852-232000-100",生产发行表!B:AZ,column(ad1),0)</f>
        <v>0</v>
      </c>
      <c r="AF94">
        <f>vlookup("852-232000-100",生产发行表!B:AZ,column(ae1),0)</f>
        <v>0</v>
      </c>
      <c r="AG94">
        <f>vlookup("852-232000-100",生产发行表!B:AZ,column(af1),0)</f>
        <v>0</v>
      </c>
      <c r="AH94">
        <f>vlookup("852-232000-100",生产发行表!B:AZ,column(ag1),0)</f>
        <v>0</v>
      </c>
      <c r="AI94">
        <f>vlookup("852-232000-100",生产发行表!B:AZ,column(ah1),0)</f>
        <v>0</v>
      </c>
      <c r="AJ94">
        <f>vlookup("852-232000-100",生产发行表!B:AZ,column(ai1),0)</f>
        <v>0</v>
      </c>
      <c r="AK94">
        <f>vlookup("852-232000-100",生产发行表!B:AZ,column(aj1),0)</f>
        <v>0</v>
      </c>
      <c r="AL94">
        <f>vlookup("852-232000-100",生产发行表!B:AZ,column(ak1),0)</f>
        <v>0</v>
      </c>
      <c r="AM94">
        <f>vlookup("852-232000-100",生产发行表!B:AZ,column(al1),0)</f>
        <v>0</v>
      </c>
      <c r="AN94">
        <f>vlookup("852-232000-100",生产发行表!B:AZ,column(am1),0)</f>
        <v>0</v>
      </c>
      <c r="AO94">
        <f>vlookup("852-232000-100",生产发行表!B:AZ,column(an1),0)</f>
        <v>0</v>
      </c>
      <c r="AP94">
        <f>vlookup("852-232000-100",生产发行表!B:AZ,column(ao1),0)</f>
        <v>0</v>
      </c>
      <c r="AQ94">
        <f>vlookup("852-232000-100",生产发行表!B:AZ,column(ap1),0)</f>
        <v>0</v>
      </c>
      <c r="AR94">
        <f>vlookup("852-232000-100",生产发行表!B:AZ,column(aq1),0)</f>
        <v>0</v>
      </c>
    </row>
    <row r="95" spans="1:44">
      <c r="A95" t="s">
        <v>31</v>
      </c>
      <c r="B95" t="s">
        <v>312</v>
      </c>
      <c r="C95" t="s">
        <v>313</v>
      </c>
      <c r="D95" t="s">
        <v>304</v>
      </c>
      <c r="E95">
        <v>1</v>
      </c>
      <c r="F95" t="s">
        <v>314</v>
      </c>
      <c r="K95" t="s">
        <v>308</v>
      </c>
      <c r="L95" t="s">
        <v>37</v>
      </c>
      <c r="M95">
        <f>sumifs(m:m,A:A,"总成",B:B,"852-232000-100")*INDIRECT(ADDRESS(95,5))</f>
        <v>0</v>
      </c>
      <c r="N95">
        <f>sumifs(n:n,A:A,"总成",B:B,"852-232000-100")*INDIRECT(ADDRESS(95,5))</f>
        <v>0</v>
      </c>
      <c r="O95">
        <f>sumifs(o:o,A:A,"总成",B:B,"852-232000-100")*INDIRECT(ADDRESS(95,5))</f>
        <v>0</v>
      </c>
      <c r="P95">
        <f>sumifs(p:p,A:A,"总成",B:B,"852-232000-100")*INDIRECT(ADDRESS(95,5))</f>
        <v>0</v>
      </c>
      <c r="Q95">
        <f>sumifs(q:q,A:A,"总成",B:B,"852-232000-100")*INDIRECT(ADDRESS(95,5))</f>
        <v>0</v>
      </c>
      <c r="R95">
        <f>sumifs(r:r,A:A,"总成",B:B,"852-232000-100")*INDIRECT(ADDRESS(95,5))</f>
        <v>0</v>
      </c>
      <c r="S95">
        <f>sumifs(s:s,A:A,"总成",B:B,"852-232000-100")*INDIRECT(ADDRESS(95,5))</f>
        <v>0</v>
      </c>
      <c r="T95">
        <f>sumifs(t:t,A:A,"总成",B:B,"852-232000-100")*INDIRECT(ADDRESS(95,5))</f>
        <v>0</v>
      </c>
      <c r="U95">
        <f>sumifs(u:u,A:A,"总成",B:B,"852-232000-100")*INDIRECT(ADDRESS(95,5))</f>
        <v>0</v>
      </c>
      <c r="V95">
        <f>sumifs(v:v,A:A,"总成",B:B,"852-232000-100")*INDIRECT(ADDRESS(95,5))</f>
        <v>0</v>
      </c>
      <c r="W95">
        <f>sumifs(w:w,A:A,"总成",B:B,"852-232000-100")*INDIRECT(ADDRESS(95,5))</f>
        <v>0</v>
      </c>
      <c r="X95">
        <f>sumifs(x:x,A:A,"总成",B:B,"852-232000-100")*INDIRECT(ADDRESS(95,5))</f>
        <v>0</v>
      </c>
      <c r="Y95">
        <f>sumifs(y:y,A:A,"总成",B:B,"852-232000-100")*INDIRECT(ADDRESS(95,5))</f>
        <v>0</v>
      </c>
      <c r="Z95">
        <f>sumifs(z:z,A:A,"总成",B:B,"852-232000-100")*INDIRECT(ADDRESS(95,5))</f>
        <v>0</v>
      </c>
      <c r="AA95">
        <f>sumifs(aa:aa,A:A,"总成",B:B,"852-232000-100")*INDIRECT(ADDRESS(95,5))</f>
        <v>0</v>
      </c>
      <c r="AB95">
        <f>sumifs(ab:ab,A:A,"总成",B:B,"852-232000-100")*INDIRECT(ADDRESS(95,5))</f>
        <v>0</v>
      </c>
      <c r="AC95">
        <f>sumifs(ac:ac,A:A,"总成",B:B,"852-232000-100")*INDIRECT(ADDRESS(95,5))</f>
        <v>0</v>
      </c>
      <c r="AD95">
        <f>sumifs(ad:ad,A:A,"总成",B:B,"852-232000-100")*INDIRECT(ADDRESS(95,5))</f>
        <v>0</v>
      </c>
      <c r="AE95">
        <f>sumifs(ae:ae,A:A,"总成",B:B,"852-232000-100")*INDIRECT(ADDRESS(95,5))</f>
        <v>0</v>
      </c>
      <c r="AF95">
        <f>sumifs(af:af,A:A,"总成",B:B,"852-232000-100")*INDIRECT(ADDRESS(95,5))</f>
        <v>0</v>
      </c>
      <c r="AG95">
        <f>sumifs(ag:ag,A:A,"总成",B:B,"852-232000-100")*INDIRECT(ADDRESS(95,5))</f>
        <v>0</v>
      </c>
      <c r="AH95">
        <f>sumifs(ah:ah,A:A,"总成",B:B,"852-232000-100")*INDIRECT(ADDRESS(95,5))</f>
        <v>0</v>
      </c>
      <c r="AI95">
        <f>sumifs(ai:ai,A:A,"总成",B:B,"852-232000-100")*INDIRECT(ADDRESS(95,5))</f>
        <v>0</v>
      </c>
      <c r="AJ95">
        <f>sumifs(aj:aj,A:A,"总成",B:B,"852-232000-100")*INDIRECT(ADDRESS(95,5))</f>
        <v>0</v>
      </c>
      <c r="AK95">
        <f>sumifs(ak:ak,A:A,"总成",B:B,"852-232000-100")*INDIRECT(ADDRESS(95,5))</f>
        <v>0</v>
      </c>
      <c r="AL95">
        <f>sumifs(al:al,A:A,"总成",B:B,"852-232000-100")*INDIRECT(ADDRESS(95,5))</f>
        <v>0</v>
      </c>
      <c r="AM95">
        <f>sumifs(am:am,A:A,"总成",B:B,"852-232000-100")*INDIRECT(ADDRESS(95,5))</f>
        <v>0</v>
      </c>
      <c r="AN95">
        <f>sumifs(an:an,A:A,"总成",B:B,"852-232000-100")*INDIRECT(ADDRESS(95,5))</f>
        <v>0</v>
      </c>
      <c r="AO95">
        <f>sumifs(ao:ao,A:A,"总成",B:B,"852-232000-100")*INDIRECT(ADDRESS(95,5))</f>
        <v>0</v>
      </c>
      <c r="AP95">
        <f>sumifs(ap:ap,A:A,"总成",B:B,"852-232000-100")*INDIRECT(ADDRESS(95,5))</f>
        <v>0</v>
      </c>
      <c r="AQ95">
        <f>sumifs(aq:aq,A:A,"总成",B:B,"852-232000-100")*INDIRECT(ADDRESS(95,5))</f>
        <v>0</v>
      </c>
      <c r="AR95">
        <f>sumifs(ar:ar,A:A,"总成",B:B,"852-232000-100")*INDIRECT(ADDRESS(95,5))</f>
        <v>0</v>
      </c>
    </row>
    <row r="96" spans="1:44">
      <c r="A96" t="s">
        <v>31</v>
      </c>
      <c r="B96" t="s">
        <v>315</v>
      </c>
      <c r="C96" t="s">
        <v>316</v>
      </c>
      <c r="D96" t="s">
        <v>67</v>
      </c>
      <c r="E96">
        <v>1</v>
      </c>
      <c r="F96" t="s">
        <v>317</v>
      </c>
      <c r="K96" t="s">
        <v>308</v>
      </c>
      <c r="L96" t="s">
        <v>37</v>
      </c>
      <c r="M96">
        <f>sumifs(m:m,A:A,"总成",B:B,"852-232000-100")*INDIRECT(ADDRESS(96,5))</f>
        <v>0</v>
      </c>
      <c r="N96">
        <f>sumifs(n:n,A:A,"总成",B:B,"852-232000-100")*INDIRECT(ADDRESS(96,5))</f>
        <v>0</v>
      </c>
      <c r="O96">
        <f>sumifs(o:o,A:A,"总成",B:B,"852-232000-100")*INDIRECT(ADDRESS(96,5))</f>
        <v>0</v>
      </c>
      <c r="P96">
        <f>sumifs(p:p,A:A,"总成",B:B,"852-232000-100")*INDIRECT(ADDRESS(96,5))</f>
        <v>0</v>
      </c>
      <c r="Q96">
        <f>sumifs(q:q,A:A,"总成",B:B,"852-232000-100")*INDIRECT(ADDRESS(96,5))</f>
        <v>0</v>
      </c>
      <c r="R96">
        <f>sumifs(r:r,A:A,"总成",B:B,"852-232000-100")*INDIRECT(ADDRESS(96,5))</f>
        <v>0</v>
      </c>
      <c r="S96">
        <f>sumifs(s:s,A:A,"总成",B:B,"852-232000-100")*INDIRECT(ADDRESS(96,5))</f>
        <v>0</v>
      </c>
      <c r="T96">
        <f>sumifs(t:t,A:A,"总成",B:B,"852-232000-100")*INDIRECT(ADDRESS(96,5))</f>
        <v>0</v>
      </c>
      <c r="U96">
        <f>sumifs(u:u,A:A,"总成",B:B,"852-232000-100")*INDIRECT(ADDRESS(96,5))</f>
        <v>0</v>
      </c>
      <c r="V96">
        <f>sumifs(v:v,A:A,"总成",B:B,"852-232000-100")*INDIRECT(ADDRESS(96,5))</f>
        <v>0</v>
      </c>
      <c r="W96">
        <f>sumifs(w:w,A:A,"总成",B:B,"852-232000-100")*INDIRECT(ADDRESS(96,5))</f>
        <v>0</v>
      </c>
      <c r="X96">
        <f>sumifs(x:x,A:A,"总成",B:B,"852-232000-100")*INDIRECT(ADDRESS(96,5))</f>
        <v>0</v>
      </c>
      <c r="Y96">
        <f>sumifs(y:y,A:A,"总成",B:B,"852-232000-100")*INDIRECT(ADDRESS(96,5))</f>
        <v>0</v>
      </c>
      <c r="Z96">
        <f>sumifs(z:z,A:A,"总成",B:B,"852-232000-100")*INDIRECT(ADDRESS(96,5))</f>
        <v>0</v>
      </c>
      <c r="AA96">
        <f>sumifs(aa:aa,A:A,"总成",B:B,"852-232000-100")*INDIRECT(ADDRESS(96,5))</f>
        <v>0</v>
      </c>
      <c r="AB96">
        <f>sumifs(ab:ab,A:A,"总成",B:B,"852-232000-100")*INDIRECT(ADDRESS(96,5))</f>
        <v>0</v>
      </c>
      <c r="AC96">
        <f>sumifs(ac:ac,A:A,"总成",B:B,"852-232000-100")*INDIRECT(ADDRESS(96,5))</f>
        <v>0</v>
      </c>
      <c r="AD96">
        <f>sumifs(ad:ad,A:A,"总成",B:B,"852-232000-100")*INDIRECT(ADDRESS(96,5))</f>
        <v>0</v>
      </c>
      <c r="AE96">
        <f>sumifs(ae:ae,A:A,"总成",B:B,"852-232000-100")*INDIRECT(ADDRESS(96,5))</f>
        <v>0</v>
      </c>
      <c r="AF96">
        <f>sumifs(af:af,A:A,"总成",B:B,"852-232000-100")*INDIRECT(ADDRESS(96,5))</f>
        <v>0</v>
      </c>
      <c r="AG96">
        <f>sumifs(ag:ag,A:A,"总成",B:B,"852-232000-100")*INDIRECT(ADDRESS(96,5))</f>
        <v>0</v>
      </c>
      <c r="AH96">
        <f>sumifs(ah:ah,A:A,"总成",B:B,"852-232000-100")*INDIRECT(ADDRESS(96,5))</f>
        <v>0</v>
      </c>
      <c r="AI96">
        <f>sumifs(ai:ai,A:A,"总成",B:B,"852-232000-100")*INDIRECT(ADDRESS(96,5))</f>
        <v>0</v>
      </c>
      <c r="AJ96">
        <f>sumifs(aj:aj,A:A,"总成",B:B,"852-232000-100")*INDIRECT(ADDRESS(96,5))</f>
        <v>0</v>
      </c>
      <c r="AK96">
        <f>sumifs(ak:ak,A:A,"总成",B:B,"852-232000-100")*INDIRECT(ADDRESS(96,5))</f>
        <v>0</v>
      </c>
      <c r="AL96">
        <f>sumifs(al:al,A:A,"总成",B:B,"852-232000-100")*INDIRECT(ADDRESS(96,5))</f>
        <v>0</v>
      </c>
      <c r="AM96">
        <f>sumifs(am:am,A:A,"总成",B:B,"852-232000-100")*INDIRECT(ADDRESS(96,5))</f>
        <v>0</v>
      </c>
      <c r="AN96">
        <f>sumifs(an:an,A:A,"总成",B:B,"852-232000-100")*INDIRECT(ADDRESS(96,5))</f>
        <v>0</v>
      </c>
      <c r="AO96">
        <f>sumifs(ao:ao,A:A,"总成",B:B,"852-232000-100")*INDIRECT(ADDRESS(96,5))</f>
        <v>0</v>
      </c>
      <c r="AP96">
        <f>sumifs(ap:ap,A:A,"总成",B:B,"852-232000-100")*INDIRECT(ADDRESS(96,5))</f>
        <v>0</v>
      </c>
      <c r="AQ96">
        <f>sumifs(aq:aq,A:A,"总成",B:B,"852-232000-100")*INDIRECT(ADDRESS(96,5))</f>
        <v>0</v>
      </c>
      <c r="AR96">
        <f>sumifs(ar:ar,A:A,"总成",B:B,"852-232000-100")*INDIRECT(ADDRESS(96,5))</f>
        <v>0</v>
      </c>
    </row>
    <row r="97" spans="1:44">
      <c r="A97" t="s">
        <v>14</v>
      </c>
      <c r="B97" t="s">
        <v>65</v>
      </c>
      <c r="C97" t="s">
        <v>66</v>
      </c>
      <c r="D97" t="s">
        <v>256</v>
      </c>
      <c r="E97">
        <v>1</v>
      </c>
      <c r="F97" t="s">
        <v>68</v>
      </c>
      <c r="K97" t="s">
        <v>305</v>
      </c>
      <c r="L97" t="s">
        <v>21</v>
      </c>
      <c r="M97">
        <f>vlookup("852-233000-100",生产发行表!B:AZ,column(l1),0)</f>
        <v>0</v>
      </c>
      <c r="N97">
        <f>vlookup("852-233000-100",生产发行表!B:AZ,column(m1),0)</f>
        <v>0</v>
      </c>
      <c r="O97">
        <f>vlookup("852-233000-100",生产发行表!B:AZ,column(n1),0)</f>
        <v>0</v>
      </c>
      <c r="P97">
        <f>vlookup("852-233000-100",生产发行表!B:AZ,column(o1),0)</f>
        <v>0</v>
      </c>
      <c r="Q97">
        <f>vlookup("852-233000-100",生产发行表!B:AZ,column(p1),0)</f>
        <v>0</v>
      </c>
      <c r="R97">
        <f>vlookup("852-233000-100",生产发行表!B:AZ,column(q1),0)</f>
        <v>0</v>
      </c>
      <c r="S97">
        <f>vlookup("852-233000-100",生产发行表!B:AZ,column(r1),0)</f>
        <v>0</v>
      </c>
      <c r="T97">
        <f>vlookup("852-233000-100",生产发行表!B:AZ,column(s1),0)</f>
        <v>0</v>
      </c>
      <c r="U97">
        <f>vlookup("852-233000-100",生产发行表!B:AZ,column(t1),0)</f>
        <v>0</v>
      </c>
      <c r="V97">
        <f>vlookup("852-233000-100",生产发行表!B:AZ,column(u1),0)</f>
        <v>0</v>
      </c>
      <c r="W97">
        <f>vlookup("852-233000-100",生产发行表!B:AZ,column(v1),0)</f>
        <v>0</v>
      </c>
      <c r="X97">
        <f>vlookup("852-233000-100",生产发行表!B:AZ,column(w1),0)</f>
        <v>0</v>
      </c>
      <c r="Y97">
        <f>vlookup("852-233000-100",生产发行表!B:AZ,column(x1),0)</f>
        <v>0</v>
      </c>
      <c r="Z97">
        <f>vlookup("852-233000-100",生产发行表!B:AZ,column(y1),0)</f>
        <v>0</v>
      </c>
      <c r="AA97">
        <f>vlookup("852-233000-100",生产发行表!B:AZ,column(z1),0)</f>
        <v>0</v>
      </c>
      <c r="AB97">
        <f>vlookup("852-233000-100",生产发行表!B:AZ,column(aa1),0)</f>
        <v>0</v>
      </c>
      <c r="AC97">
        <f>vlookup("852-233000-100",生产发行表!B:AZ,column(ab1),0)</f>
        <v>0</v>
      </c>
      <c r="AD97">
        <f>vlookup("852-233000-100",生产发行表!B:AZ,column(ac1),0)</f>
        <v>0</v>
      </c>
      <c r="AE97">
        <f>vlookup("852-233000-100",生产发行表!B:AZ,column(ad1),0)</f>
        <v>0</v>
      </c>
      <c r="AF97">
        <f>vlookup("852-233000-100",生产发行表!B:AZ,column(ae1),0)</f>
        <v>0</v>
      </c>
      <c r="AG97">
        <f>vlookup("852-233000-100",生产发行表!B:AZ,column(af1),0)</f>
        <v>0</v>
      </c>
      <c r="AH97">
        <f>vlookup("852-233000-100",生产发行表!B:AZ,column(ag1),0)</f>
        <v>0</v>
      </c>
      <c r="AI97">
        <f>vlookup("852-233000-100",生产发行表!B:AZ,column(ah1),0)</f>
        <v>0</v>
      </c>
      <c r="AJ97">
        <f>vlookup("852-233000-100",生产发行表!B:AZ,column(ai1),0)</f>
        <v>0</v>
      </c>
      <c r="AK97">
        <f>vlookup("852-233000-100",生产发行表!B:AZ,column(aj1),0)</f>
        <v>0</v>
      </c>
      <c r="AL97">
        <f>vlookup("852-233000-100",生产发行表!B:AZ,column(ak1),0)</f>
        <v>0</v>
      </c>
      <c r="AM97">
        <f>vlookup("852-233000-100",生产发行表!B:AZ,column(al1),0)</f>
        <v>0</v>
      </c>
      <c r="AN97">
        <f>vlookup("852-233000-100",生产发行表!B:AZ,column(am1),0)</f>
        <v>0</v>
      </c>
      <c r="AO97">
        <f>vlookup("852-233000-100",生产发行表!B:AZ,column(an1),0)</f>
        <v>0</v>
      </c>
      <c r="AP97">
        <f>vlookup("852-233000-100",生产发行表!B:AZ,column(ao1),0)</f>
        <v>0</v>
      </c>
      <c r="AQ97">
        <f>vlookup("852-233000-100",生产发行表!B:AZ,column(ap1),0)</f>
        <v>0</v>
      </c>
      <c r="AR97">
        <f>vlookup("852-233000-100",生产发行表!B:AZ,column(aq1),0)</f>
        <v>0</v>
      </c>
    </row>
    <row r="98" spans="1:44">
      <c r="A98" t="s">
        <v>31</v>
      </c>
      <c r="B98" t="s">
        <v>309</v>
      </c>
      <c r="C98" t="s">
        <v>310</v>
      </c>
      <c r="D98" t="s">
        <v>304</v>
      </c>
      <c r="E98">
        <v>15</v>
      </c>
      <c r="F98" t="s">
        <v>311</v>
      </c>
      <c r="K98" t="s">
        <v>308</v>
      </c>
      <c r="L98" t="s">
        <v>37</v>
      </c>
      <c r="M98">
        <f>sumifs(m:m,A:A,"总成",B:B,"852-233000-100")*INDIRECT(ADDRESS(98,5))</f>
        <v>0</v>
      </c>
      <c r="N98">
        <f>sumifs(n:n,A:A,"总成",B:B,"852-233000-100")*INDIRECT(ADDRESS(98,5))</f>
        <v>0</v>
      </c>
      <c r="O98">
        <f>sumifs(o:o,A:A,"总成",B:B,"852-233000-100")*INDIRECT(ADDRESS(98,5))</f>
        <v>0</v>
      </c>
      <c r="P98">
        <f>sumifs(p:p,A:A,"总成",B:B,"852-233000-100")*INDIRECT(ADDRESS(98,5))</f>
        <v>0</v>
      </c>
      <c r="Q98">
        <f>sumifs(q:q,A:A,"总成",B:B,"852-233000-100")*INDIRECT(ADDRESS(98,5))</f>
        <v>0</v>
      </c>
      <c r="R98">
        <f>sumifs(r:r,A:A,"总成",B:B,"852-233000-100")*INDIRECT(ADDRESS(98,5))</f>
        <v>0</v>
      </c>
      <c r="S98">
        <f>sumifs(s:s,A:A,"总成",B:B,"852-233000-100")*INDIRECT(ADDRESS(98,5))</f>
        <v>0</v>
      </c>
      <c r="T98">
        <f>sumifs(t:t,A:A,"总成",B:B,"852-233000-100")*INDIRECT(ADDRESS(98,5))</f>
        <v>0</v>
      </c>
      <c r="U98">
        <f>sumifs(u:u,A:A,"总成",B:B,"852-233000-100")*INDIRECT(ADDRESS(98,5))</f>
        <v>0</v>
      </c>
      <c r="V98">
        <f>sumifs(v:v,A:A,"总成",B:B,"852-233000-100")*INDIRECT(ADDRESS(98,5))</f>
        <v>0</v>
      </c>
      <c r="W98">
        <f>sumifs(w:w,A:A,"总成",B:B,"852-233000-100")*INDIRECT(ADDRESS(98,5))</f>
        <v>0</v>
      </c>
      <c r="X98">
        <f>sumifs(x:x,A:A,"总成",B:B,"852-233000-100")*INDIRECT(ADDRESS(98,5))</f>
        <v>0</v>
      </c>
      <c r="Y98">
        <f>sumifs(y:y,A:A,"总成",B:B,"852-233000-100")*INDIRECT(ADDRESS(98,5))</f>
        <v>0</v>
      </c>
      <c r="Z98">
        <f>sumifs(z:z,A:A,"总成",B:B,"852-233000-100")*INDIRECT(ADDRESS(98,5))</f>
        <v>0</v>
      </c>
      <c r="AA98">
        <f>sumifs(aa:aa,A:A,"总成",B:B,"852-233000-100")*INDIRECT(ADDRESS(98,5))</f>
        <v>0</v>
      </c>
      <c r="AB98">
        <f>sumifs(ab:ab,A:A,"总成",B:B,"852-233000-100")*INDIRECT(ADDRESS(98,5))</f>
        <v>0</v>
      </c>
      <c r="AC98">
        <f>sumifs(ac:ac,A:A,"总成",B:B,"852-233000-100")*INDIRECT(ADDRESS(98,5))</f>
        <v>0</v>
      </c>
      <c r="AD98">
        <f>sumifs(ad:ad,A:A,"总成",B:B,"852-233000-100")*INDIRECT(ADDRESS(98,5))</f>
        <v>0</v>
      </c>
      <c r="AE98">
        <f>sumifs(ae:ae,A:A,"总成",B:B,"852-233000-100")*INDIRECT(ADDRESS(98,5))</f>
        <v>0</v>
      </c>
      <c r="AF98">
        <f>sumifs(af:af,A:A,"总成",B:B,"852-233000-100")*INDIRECT(ADDRESS(98,5))</f>
        <v>0</v>
      </c>
      <c r="AG98">
        <f>sumifs(ag:ag,A:A,"总成",B:B,"852-233000-100")*INDIRECT(ADDRESS(98,5))</f>
        <v>0</v>
      </c>
      <c r="AH98">
        <f>sumifs(ah:ah,A:A,"总成",B:B,"852-233000-100")*INDIRECT(ADDRESS(98,5))</f>
        <v>0</v>
      </c>
      <c r="AI98">
        <f>sumifs(ai:ai,A:A,"总成",B:B,"852-233000-100")*INDIRECT(ADDRESS(98,5))</f>
        <v>0</v>
      </c>
      <c r="AJ98">
        <f>sumifs(aj:aj,A:A,"总成",B:B,"852-233000-100")*INDIRECT(ADDRESS(98,5))</f>
        <v>0</v>
      </c>
      <c r="AK98">
        <f>sumifs(ak:ak,A:A,"总成",B:B,"852-233000-100")*INDIRECT(ADDRESS(98,5))</f>
        <v>0</v>
      </c>
      <c r="AL98">
        <f>sumifs(al:al,A:A,"总成",B:B,"852-233000-100")*INDIRECT(ADDRESS(98,5))</f>
        <v>0</v>
      </c>
      <c r="AM98">
        <f>sumifs(am:am,A:A,"总成",B:B,"852-233000-100")*INDIRECT(ADDRESS(98,5))</f>
        <v>0</v>
      </c>
      <c r="AN98">
        <f>sumifs(an:an,A:A,"总成",B:B,"852-233000-100")*INDIRECT(ADDRESS(98,5))</f>
        <v>0</v>
      </c>
      <c r="AO98">
        <f>sumifs(ao:ao,A:A,"总成",B:B,"852-233000-100")*INDIRECT(ADDRESS(98,5))</f>
        <v>0</v>
      </c>
      <c r="AP98">
        <f>sumifs(ap:ap,A:A,"总成",B:B,"852-233000-100")*INDIRECT(ADDRESS(98,5))</f>
        <v>0</v>
      </c>
      <c r="AQ98">
        <f>sumifs(aq:aq,A:A,"总成",B:B,"852-233000-100")*INDIRECT(ADDRESS(98,5))</f>
        <v>0</v>
      </c>
      <c r="AR98">
        <f>sumifs(ar:ar,A:A,"总成",B:B,"852-233000-100")*INDIRECT(ADDRESS(98,5))</f>
        <v>0</v>
      </c>
    </row>
    <row r="99" spans="1:44">
      <c r="A99" t="s">
        <v>31</v>
      </c>
      <c r="B99" t="s">
        <v>318</v>
      </c>
      <c r="C99" t="s">
        <v>319</v>
      </c>
      <c r="D99" t="s">
        <v>304</v>
      </c>
      <c r="E99">
        <v>2</v>
      </c>
      <c r="F99" t="s">
        <v>320</v>
      </c>
      <c r="K99" t="s">
        <v>308</v>
      </c>
      <c r="L99" t="s">
        <v>37</v>
      </c>
      <c r="M99">
        <f>sumifs(m:m,A:A,"总成",B:B,"852-233000-100")*INDIRECT(ADDRESS(99,5))</f>
        <v>0</v>
      </c>
      <c r="N99">
        <f>sumifs(n:n,A:A,"总成",B:B,"852-233000-100")*INDIRECT(ADDRESS(99,5))</f>
        <v>0</v>
      </c>
      <c r="O99">
        <f>sumifs(o:o,A:A,"总成",B:B,"852-233000-100")*INDIRECT(ADDRESS(99,5))</f>
        <v>0</v>
      </c>
      <c r="P99">
        <f>sumifs(p:p,A:A,"总成",B:B,"852-233000-100")*INDIRECT(ADDRESS(99,5))</f>
        <v>0</v>
      </c>
      <c r="Q99">
        <f>sumifs(q:q,A:A,"总成",B:B,"852-233000-100")*INDIRECT(ADDRESS(99,5))</f>
        <v>0</v>
      </c>
      <c r="R99">
        <f>sumifs(r:r,A:A,"总成",B:B,"852-233000-100")*INDIRECT(ADDRESS(99,5))</f>
        <v>0</v>
      </c>
      <c r="S99">
        <f>sumifs(s:s,A:A,"总成",B:B,"852-233000-100")*INDIRECT(ADDRESS(99,5))</f>
        <v>0</v>
      </c>
      <c r="T99">
        <f>sumifs(t:t,A:A,"总成",B:B,"852-233000-100")*INDIRECT(ADDRESS(99,5))</f>
        <v>0</v>
      </c>
      <c r="U99">
        <f>sumifs(u:u,A:A,"总成",B:B,"852-233000-100")*INDIRECT(ADDRESS(99,5))</f>
        <v>0</v>
      </c>
      <c r="V99">
        <f>sumifs(v:v,A:A,"总成",B:B,"852-233000-100")*INDIRECT(ADDRESS(99,5))</f>
        <v>0</v>
      </c>
      <c r="W99">
        <f>sumifs(w:w,A:A,"总成",B:B,"852-233000-100")*INDIRECT(ADDRESS(99,5))</f>
        <v>0</v>
      </c>
      <c r="X99">
        <f>sumifs(x:x,A:A,"总成",B:B,"852-233000-100")*INDIRECT(ADDRESS(99,5))</f>
        <v>0</v>
      </c>
      <c r="Y99">
        <f>sumifs(y:y,A:A,"总成",B:B,"852-233000-100")*INDIRECT(ADDRESS(99,5))</f>
        <v>0</v>
      </c>
      <c r="Z99">
        <f>sumifs(z:z,A:A,"总成",B:B,"852-233000-100")*INDIRECT(ADDRESS(99,5))</f>
        <v>0</v>
      </c>
      <c r="AA99">
        <f>sumifs(aa:aa,A:A,"总成",B:B,"852-233000-100")*INDIRECT(ADDRESS(99,5))</f>
        <v>0</v>
      </c>
      <c r="AB99">
        <f>sumifs(ab:ab,A:A,"总成",B:B,"852-233000-100")*INDIRECT(ADDRESS(99,5))</f>
        <v>0</v>
      </c>
      <c r="AC99">
        <f>sumifs(ac:ac,A:A,"总成",B:B,"852-233000-100")*INDIRECT(ADDRESS(99,5))</f>
        <v>0</v>
      </c>
      <c r="AD99">
        <f>sumifs(ad:ad,A:A,"总成",B:B,"852-233000-100")*INDIRECT(ADDRESS(99,5))</f>
        <v>0</v>
      </c>
      <c r="AE99">
        <f>sumifs(ae:ae,A:A,"总成",B:B,"852-233000-100")*INDIRECT(ADDRESS(99,5))</f>
        <v>0</v>
      </c>
      <c r="AF99">
        <f>sumifs(af:af,A:A,"总成",B:B,"852-233000-100")*INDIRECT(ADDRESS(99,5))</f>
        <v>0</v>
      </c>
      <c r="AG99">
        <f>sumifs(ag:ag,A:A,"总成",B:B,"852-233000-100")*INDIRECT(ADDRESS(99,5))</f>
        <v>0</v>
      </c>
      <c r="AH99">
        <f>sumifs(ah:ah,A:A,"总成",B:B,"852-233000-100")*INDIRECT(ADDRESS(99,5))</f>
        <v>0</v>
      </c>
      <c r="AI99">
        <f>sumifs(ai:ai,A:A,"总成",B:B,"852-233000-100")*INDIRECT(ADDRESS(99,5))</f>
        <v>0</v>
      </c>
      <c r="AJ99">
        <f>sumifs(aj:aj,A:A,"总成",B:B,"852-233000-100")*INDIRECT(ADDRESS(99,5))</f>
        <v>0</v>
      </c>
      <c r="AK99">
        <f>sumifs(ak:ak,A:A,"总成",B:B,"852-233000-100")*INDIRECT(ADDRESS(99,5))</f>
        <v>0</v>
      </c>
      <c r="AL99">
        <f>sumifs(al:al,A:A,"总成",B:B,"852-233000-100")*INDIRECT(ADDRESS(99,5))</f>
        <v>0</v>
      </c>
      <c r="AM99">
        <f>sumifs(am:am,A:A,"总成",B:B,"852-233000-100")*INDIRECT(ADDRESS(99,5))</f>
        <v>0</v>
      </c>
      <c r="AN99">
        <f>sumifs(an:an,A:A,"总成",B:B,"852-233000-100")*INDIRECT(ADDRESS(99,5))</f>
        <v>0</v>
      </c>
      <c r="AO99">
        <f>sumifs(ao:ao,A:A,"总成",B:B,"852-233000-100")*INDIRECT(ADDRESS(99,5))</f>
        <v>0</v>
      </c>
      <c r="AP99">
        <f>sumifs(ap:ap,A:A,"总成",B:B,"852-233000-100")*INDIRECT(ADDRESS(99,5))</f>
        <v>0</v>
      </c>
      <c r="AQ99">
        <f>sumifs(aq:aq,A:A,"总成",B:B,"852-233000-100")*INDIRECT(ADDRESS(99,5))</f>
        <v>0</v>
      </c>
      <c r="AR99">
        <f>sumifs(ar:ar,A:A,"总成",B:B,"852-233000-100")*INDIRECT(ADDRESS(99,5))</f>
        <v>0</v>
      </c>
    </row>
    <row r="100" spans="1:44">
      <c r="A100" t="s">
        <v>31</v>
      </c>
      <c r="B100" t="s">
        <v>321</v>
      </c>
      <c r="C100" t="s">
        <v>322</v>
      </c>
      <c r="D100" t="s">
        <v>17</v>
      </c>
      <c r="E100">
        <v>4</v>
      </c>
      <c r="F100" t="s">
        <v>323</v>
      </c>
      <c r="K100" t="s">
        <v>308</v>
      </c>
      <c r="L100" t="s">
        <v>37</v>
      </c>
      <c r="M100">
        <f>sumifs(m:m,A:A,"总成",B:B,"852-233000-100")*INDIRECT(ADDRESS(100,5))</f>
        <v>0</v>
      </c>
      <c r="N100">
        <f>sumifs(n:n,A:A,"总成",B:B,"852-233000-100")*INDIRECT(ADDRESS(100,5))</f>
        <v>0</v>
      </c>
      <c r="O100">
        <f>sumifs(o:o,A:A,"总成",B:B,"852-233000-100")*INDIRECT(ADDRESS(100,5))</f>
        <v>0</v>
      </c>
      <c r="P100">
        <f>sumifs(p:p,A:A,"总成",B:B,"852-233000-100")*INDIRECT(ADDRESS(100,5))</f>
        <v>0</v>
      </c>
      <c r="Q100">
        <f>sumifs(q:q,A:A,"总成",B:B,"852-233000-100")*INDIRECT(ADDRESS(100,5))</f>
        <v>0</v>
      </c>
      <c r="R100">
        <f>sumifs(r:r,A:A,"总成",B:B,"852-233000-100")*INDIRECT(ADDRESS(100,5))</f>
        <v>0</v>
      </c>
      <c r="S100">
        <f>sumifs(s:s,A:A,"总成",B:B,"852-233000-100")*INDIRECT(ADDRESS(100,5))</f>
        <v>0</v>
      </c>
      <c r="T100">
        <f>sumifs(t:t,A:A,"总成",B:B,"852-233000-100")*INDIRECT(ADDRESS(100,5))</f>
        <v>0</v>
      </c>
      <c r="U100">
        <f>sumifs(u:u,A:A,"总成",B:B,"852-233000-100")*INDIRECT(ADDRESS(100,5))</f>
        <v>0</v>
      </c>
      <c r="V100">
        <f>sumifs(v:v,A:A,"总成",B:B,"852-233000-100")*INDIRECT(ADDRESS(100,5))</f>
        <v>0</v>
      </c>
      <c r="W100">
        <f>sumifs(w:w,A:A,"总成",B:B,"852-233000-100")*INDIRECT(ADDRESS(100,5))</f>
        <v>0</v>
      </c>
      <c r="X100">
        <f>sumifs(x:x,A:A,"总成",B:B,"852-233000-100")*INDIRECT(ADDRESS(100,5))</f>
        <v>0</v>
      </c>
      <c r="Y100">
        <f>sumifs(y:y,A:A,"总成",B:B,"852-233000-100")*INDIRECT(ADDRESS(100,5))</f>
        <v>0</v>
      </c>
      <c r="Z100">
        <f>sumifs(z:z,A:A,"总成",B:B,"852-233000-100")*INDIRECT(ADDRESS(100,5))</f>
        <v>0</v>
      </c>
      <c r="AA100">
        <f>sumifs(aa:aa,A:A,"总成",B:B,"852-233000-100")*INDIRECT(ADDRESS(100,5))</f>
        <v>0</v>
      </c>
      <c r="AB100">
        <f>sumifs(ab:ab,A:A,"总成",B:B,"852-233000-100")*INDIRECT(ADDRESS(100,5))</f>
        <v>0</v>
      </c>
      <c r="AC100">
        <f>sumifs(ac:ac,A:A,"总成",B:B,"852-233000-100")*INDIRECT(ADDRESS(100,5))</f>
        <v>0</v>
      </c>
      <c r="AD100">
        <f>sumifs(ad:ad,A:A,"总成",B:B,"852-233000-100")*INDIRECT(ADDRESS(100,5))</f>
        <v>0</v>
      </c>
      <c r="AE100">
        <f>sumifs(ae:ae,A:A,"总成",B:B,"852-233000-100")*INDIRECT(ADDRESS(100,5))</f>
        <v>0</v>
      </c>
      <c r="AF100">
        <f>sumifs(af:af,A:A,"总成",B:B,"852-233000-100")*INDIRECT(ADDRESS(100,5))</f>
        <v>0</v>
      </c>
      <c r="AG100">
        <f>sumifs(ag:ag,A:A,"总成",B:B,"852-233000-100")*INDIRECT(ADDRESS(100,5))</f>
        <v>0</v>
      </c>
      <c r="AH100">
        <f>sumifs(ah:ah,A:A,"总成",B:B,"852-233000-100")*INDIRECT(ADDRESS(100,5))</f>
        <v>0</v>
      </c>
      <c r="AI100">
        <f>sumifs(ai:ai,A:A,"总成",B:B,"852-233000-100")*INDIRECT(ADDRESS(100,5))</f>
        <v>0</v>
      </c>
      <c r="AJ100">
        <f>sumifs(aj:aj,A:A,"总成",B:B,"852-233000-100")*INDIRECT(ADDRESS(100,5))</f>
        <v>0</v>
      </c>
      <c r="AK100">
        <f>sumifs(ak:ak,A:A,"总成",B:B,"852-233000-100")*INDIRECT(ADDRESS(100,5))</f>
        <v>0</v>
      </c>
      <c r="AL100">
        <f>sumifs(al:al,A:A,"总成",B:B,"852-233000-100")*INDIRECT(ADDRESS(100,5))</f>
        <v>0</v>
      </c>
      <c r="AM100">
        <f>sumifs(am:am,A:A,"总成",B:B,"852-233000-100")*INDIRECT(ADDRESS(100,5))</f>
        <v>0</v>
      </c>
      <c r="AN100">
        <f>sumifs(an:an,A:A,"总成",B:B,"852-233000-100")*INDIRECT(ADDRESS(100,5))</f>
        <v>0</v>
      </c>
      <c r="AO100">
        <f>sumifs(ao:ao,A:A,"总成",B:B,"852-233000-100")*INDIRECT(ADDRESS(100,5))</f>
        <v>0</v>
      </c>
      <c r="AP100">
        <f>sumifs(ap:ap,A:A,"总成",B:B,"852-233000-100")*INDIRECT(ADDRESS(100,5))</f>
        <v>0</v>
      </c>
      <c r="AQ100">
        <f>sumifs(aq:aq,A:A,"总成",B:B,"852-233000-100")*INDIRECT(ADDRESS(100,5))</f>
        <v>0</v>
      </c>
      <c r="AR100">
        <f>sumifs(ar:ar,A:A,"总成",B:B,"852-233000-100")*INDIRECT(ADDRESS(100,5))</f>
        <v>0</v>
      </c>
    </row>
    <row r="101" spans="1:44">
      <c r="A101" t="s">
        <v>14</v>
      </c>
      <c r="B101" t="s">
        <v>73</v>
      </c>
      <c r="C101" t="s">
        <v>74</v>
      </c>
      <c r="D101" t="s">
        <v>17</v>
      </c>
      <c r="E101">
        <v>1</v>
      </c>
      <c r="F101" t="s">
        <v>75</v>
      </c>
      <c r="K101" t="s">
        <v>305</v>
      </c>
      <c r="L101" t="s">
        <v>21</v>
      </c>
      <c r="M101">
        <f>vlookup("852-238000-100",生产发行表!B:AZ,column(l1),0)</f>
        <v>0</v>
      </c>
      <c r="N101">
        <f>vlookup("852-238000-100",生产发行表!B:AZ,column(m1),0)</f>
        <v>0</v>
      </c>
      <c r="O101">
        <f>vlookup("852-238000-100",生产发行表!B:AZ,column(n1),0)</f>
        <v>0</v>
      </c>
      <c r="P101">
        <f>vlookup("852-238000-100",生产发行表!B:AZ,column(o1),0)</f>
        <v>0</v>
      </c>
      <c r="Q101">
        <f>vlookup("852-238000-100",生产发行表!B:AZ,column(p1),0)</f>
        <v>0</v>
      </c>
      <c r="R101">
        <f>vlookup("852-238000-100",生产发行表!B:AZ,column(q1),0)</f>
        <v>0</v>
      </c>
      <c r="S101">
        <f>vlookup("852-238000-100",生产发行表!B:AZ,column(r1),0)</f>
        <v>0</v>
      </c>
      <c r="T101">
        <f>vlookup("852-238000-100",生产发行表!B:AZ,column(s1),0)</f>
        <v>0</v>
      </c>
      <c r="U101">
        <f>vlookup("852-238000-100",生产发行表!B:AZ,column(t1),0)</f>
        <v>0</v>
      </c>
      <c r="V101">
        <f>vlookup("852-238000-100",生产发行表!B:AZ,column(u1),0)</f>
        <v>0</v>
      </c>
      <c r="W101">
        <f>vlookup("852-238000-100",生产发行表!B:AZ,column(v1),0)</f>
        <v>0</v>
      </c>
      <c r="X101">
        <f>vlookup("852-238000-100",生产发行表!B:AZ,column(w1),0)</f>
        <v>0</v>
      </c>
      <c r="Y101">
        <f>vlookup("852-238000-100",生产发行表!B:AZ,column(x1),0)</f>
        <v>0</v>
      </c>
      <c r="Z101">
        <f>vlookup("852-238000-100",生产发行表!B:AZ,column(y1),0)</f>
        <v>0</v>
      </c>
      <c r="AA101">
        <f>vlookup("852-238000-100",生产发行表!B:AZ,column(z1),0)</f>
        <v>0</v>
      </c>
      <c r="AB101">
        <f>vlookup("852-238000-100",生产发行表!B:AZ,column(aa1),0)</f>
        <v>0</v>
      </c>
      <c r="AC101">
        <f>vlookup("852-238000-100",生产发行表!B:AZ,column(ab1),0)</f>
        <v>0</v>
      </c>
      <c r="AD101">
        <f>vlookup("852-238000-100",生产发行表!B:AZ,column(ac1),0)</f>
        <v>0</v>
      </c>
      <c r="AE101">
        <f>vlookup("852-238000-100",生产发行表!B:AZ,column(ad1),0)</f>
        <v>0</v>
      </c>
      <c r="AF101">
        <f>vlookup("852-238000-100",生产发行表!B:AZ,column(ae1),0)</f>
        <v>0</v>
      </c>
      <c r="AG101">
        <f>vlookup("852-238000-100",生产发行表!B:AZ,column(af1),0)</f>
        <v>0</v>
      </c>
      <c r="AH101">
        <f>vlookup("852-238000-100",生产发行表!B:AZ,column(ag1),0)</f>
        <v>0</v>
      </c>
      <c r="AI101">
        <f>vlookup("852-238000-100",生产发行表!B:AZ,column(ah1),0)</f>
        <v>0</v>
      </c>
      <c r="AJ101">
        <f>vlookup("852-238000-100",生产发行表!B:AZ,column(ai1),0)</f>
        <v>0</v>
      </c>
      <c r="AK101">
        <f>vlookup("852-238000-100",生产发行表!B:AZ,column(aj1),0)</f>
        <v>0</v>
      </c>
      <c r="AL101">
        <f>vlookup("852-238000-100",生产发行表!B:AZ,column(ak1),0)</f>
        <v>0</v>
      </c>
      <c r="AM101">
        <f>vlookup("852-238000-100",生产发行表!B:AZ,column(al1),0)</f>
        <v>0</v>
      </c>
      <c r="AN101">
        <f>vlookup("852-238000-100",生产发行表!B:AZ,column(am1),0)</f>
        <v>0</v>
      </c>
      <c r="AO101">
        <f>vlookup("852-238000-100",生产发行表!B:AZ,column(an1),0)</f>
        <v>0</v>
      </c>
      <c r="AP101">
        <f>vlookup("852-238000-100",生产发行表!B:AZ,column(ao1),0)</f>
        <v>0</v>
      </c>
      <c r="AQ101">
        <f>vlookup("852-238000-100",生产发行表!B:AZ,column(ap1),0)</f>
        <v>0</v>
      </c>
      <c r="AR101">
        <f>vlookup("852-238000-100",生产发行表!B:AZ,column(aq1),0)</f>
        <v>0</v>
      </c>
    </row>
    <row r="102" spans="1:44">
      <c r="A102" t="s">
        <v>14</v>
      </c>
      <c r="B102" t="s">
        <v>76</v>
      </c>
      <c r="C102" t="s">
        <v>77</v>
      </c>
      <c r="D102" t="s">
        <v>256</v>
      </c>
      <c r="E102">
        <v>1</v>
      </c>
      <c r="F102" t="s">
        <v>78</v>
      </c>
      <c r="K102" t="s">
        <v>305</v>
      </c>
      <c r="L102" t="s">
        <v>21</v>
      </c>
      <c r="M102">
        <f>vlookup("852-240000-100",生产发行表!B:AZ,column(l1),0)</f>
        <v>0</v>
      </c>
      <c r="N102">
        <f>vlookup("852-240000-100",生产发行表!B:AZ,column(m1),0)</f>
        <v>0</v>
      </c>
      <c r="O102">
        <f>vlookup("852-240000-100",生产发行表!B:AZ,column(n1),0)</f>
        <v>0</v>
      </c>
      <c r="P102">
        <f>vlookup("852-240000-100",生产发行表!B:AZ,column(o1),0)</f>
        <v>0</v>
      </c>
      <c r="Q102">
        <f>vlookup("852-240000-100",生产发行表!B:AZ,column(p1),0)</f>
        <v>0</v>
      </c>
      <c r="R102">
        <f>vlookup("852-240000-100",生产发行表!B:AZ,column(q1),0)</f>
        <v>0</v>
      </c>
      <c r="S102">
        <f>vlookup("852-240000-100",生产发行表!B:AZ,column(r1),0)</f>
        <v>0</v>
      </c>
      <c r="T102">
        <f>vlookup("852-240000-100",生产发行表!B:AZ,column(s1),0)</f>
        <v>0</v>
      </c>
      <c r="U102">
        <f>vlookup("852-240000-100",生产发行表!B:AZ,column(t1),0)</f>
        <v>0</v>
      </c>
      <c r="V102">
        <f>vlookup("852-240000-100",生产发行表!B:AZ,column(u1),0)</f>
        <v>0</v>
      </c>
      <c r="W102">
        <f>vlookup("852-240000-100",生产发行表!B:AZ,column(v1),0)</f>
        <v>0</v>
      </c>
      <c r="X102">
        <f>vlookup("852-240000-100",生产发行表!B:AZ,column(w1),0)</f>
        <v>0</v>
      </c>
      <c r="Y102">
        <f>vlookup("852-240000-100",生产发行表!B:AZ,column(x1),0)</f>
        <v>0</v>
      </c>
      <c r="Z102">
        <f>vlookup("852-240000-100",生产发行表!B:AZ,column(y1),0)</f>
        <v>0</v>
      </c>
      <c r="AA102">
        <f>vlookup("852-240000-100",生产发行表!B:AZ,column(z1),0)</f>
        <v>0</v>
      </c>
      <c r="AB102">
        <f>vlookup("852-240000-100",生产发行表!B:AZ,column(aa1),0)</f>
        <v>0</v>
      </c>
      <c r="AC102">
        <f>vlookup("852-240000-100",生产发行表!B:AZ,column(ab1),0)</f>
        <v>0</v>
      </c>
      <c r="AD102">
        <f>vlookup("852-240000-100",生产发行表!B:AZ,column(ac1),0)</f>
        <v>0</v>
      </c>
      <c r="AE102">
        <f>vlookup("852-240000-100",生产发行表!B:AZ,column(ad1),0)</f>
        <v>0</v>
      </c>
      <c r="AF102">
        <f>vlookup("852-240000-100",生产发行表!B:AZ,column(ae1),0)</f>
        <v>0</v>
      </c>
      <c r="AG102">
        <f>vlookup("852-240000-100",生产发行表!B:AZ,column(af1),0)</f>
        <v>0</v>
      </c>
      <c r="AH102">
        <f>vlookup("852-240000-100",生产发行表!B:AZ,column(ag1),0)</f>
        <v>0</v>
      </c>
      <c r="AI102">
        <f>vlookup("852-240000-100",生产发行表!B:AZ,column(ah1),0)</f>
        <v>0</v>
      </c>
      <c r="AJ102">
        <f>vlookup("852-240000-100",生产发行表!B:AZ,column(ai1),0)</f>
        <v>0</v>
      </c>
      <c r="AK102">
        <f>vlookup("852-240000-100",生产发行表!B:AZ,column(aj1),0)</f>
        <v>0</v>
      </c>
      <c r="AL102">
        <f>vlookup("852-240000-100",生产发行表!B:AZ,column(ak1),0)</f>
        <v>0</v>
      </c>
      <c r="AM102">
        <f>vlookup("852-240000-100",生产发行表!B:AZ,column(al1),0)</f>
        <v>0</v>
      </c>
      <c r="AN102">
        <f>vlookup("852-240000-100",生产发行表!B:AZ,column(am1),0)</f>
        <v>0</v>
      </c>
      <c r="AO102">
        <f>vlookup("852-240000-100",生产发行表!B:AZ,column(an1),0)</f>
        <v>0</v>
      </c>
      <c r="AP102">
        <f>vlookup("852-240000-100",生产发行表!B:AZ,column(ao1),0)</f>
        <v>0</v>
      </c>
      <c r="AQ102">
        <f>vlookup("852-240000-100",生产发行表!B:AZ,column(ap1),0)</f>
        <v>0</v>
      </c>
      <c r="AR102">
        <f>vlookup("852-240000-100",生产发行表!B:AZ,column(aq1),0)</f>
        <v>0</v>
      </c>
    </row>
    <row r="103" spans="1:44">
      <c r="A103" t="s">
        <v>31</v>
      </c>
      <c r="B103" t="s">
        <v>324</v>
      </c>
      <c r="C103" t="s">
        <v>325</v>
      </c>
      <c r="D103" t="s">
        <v>256</v>
      </c>
      <c r="E103">
        <v>8</v>
      </c>
      <c r="F103" t="s">
        <v>326</v>
      </c>
      <c r="K103" t="s">
        <v>308</v>
      </c>
      <c r="L103" t="s">
        <v>37</v>
      </c>
      <c r="M103">
        <f>sumifs(m:m,A:A,"总成",B:B,"852-240000-100")*INDIRECT(ADDRESS(103,5))</f>
        <v>0</v>
      </c>
      <c r="N103">
        <f>sumifs(n:n,A:A,"总成",B:B,"852-240000-100")*INDIRECT(ADDRESS(103,5))</f>
        <v>0</v>
      </c>
      <c r="O103">
        <f>sumifs(o:o,A:A,"总成",B:B,"852-240000-100")*INDIRECT(ADDRESS(103,5))</f>
        <v>0</v>
      </c>
      <c r="P103">
        <f>sumifs(p:p,A:A,"总成",B:B,"852-240000-100")*INDIRECT(ADDRESS(103,5))</f>
        <v>0</v>
      </c>
      <c r="Q103">
        <f>sumifs(q:q,A:A,"总成",B:B,"852-240000-100")*INDIRECT(ADDRESS(103,5))</f>
        <v>0</v>
      </c>
      <c r="R103">
        <f>sumifs(r:r,A:A,"总成",B:B,"852-240000-100")*INDIRECT(ADDRESS(103,5))</f>
        <v>0</v>
      </c>
      <c r="S103">
        <f>sumifs(s:s,A:A,"总成",B:B,"852-240000-100")*INDIRECT(ADDRESS(103,5))</f>
        <v>0</v>
      </c>
      <c r="T103">
        <f>sumifs(t:t,A:A,"总成",B:B,"852-240000-100")*INDIRECT(ADDRESS(103,5))</f>
        <v>0</v>
      </c>
      <c r="U103">
        <f>sumifs(u:u,A:A,"总成",B:B,"852-240000-100")*INDIRECT(ADDRESS(103,5))</f>
        <v>0</v>
      </c>
      <c r="V103">
        <f>sumifs(v:v,A:A,"总成",B:B,"852-240000-100")*INDIRECT(ADDRESS(103,5))</f>
        <v>0</v>
      </c>
      <c r="W103">
        <f>sumifs(w:w,A:A,"总成",B:B,"852-240000-100")*INDIRECT(ADDRESS(103,5))</f>
        <v>0</v>
      </c>
      <c r="X103">
        <f>sumifs(x:x,A:A,"总成",B:B,"852-240000-100")*INDIRECT(ADDRESS(103,5))</f>
        <v>0</v>
      </c>
      <c r="Y103">
        <f>sumifs(y:y,A:A,"总成",B:B,"852-240000-100")*INDIRECT(ADDRESS(103,5))</f>
        <v>0</v>
      </c>
      <c r="Z103">
        <f>sumifs(z:z,A:A,"总成",B:B,"852-240000-100")*INDIRECT(ADDRESS(103,5))</f>
        <v>0</v>
      </c>
      <c r="AA103">
        <f>sumifs(aa:aa,A:A,"总成",B:B,"852-240000-100")*INDIRECT(ADDRESS(103,5))</f>
        <v>0</v>
      </c>
      <c r="AB103">
        <f>sumifs(ab:ab,A:A,"总成",B:B,"852-240000-100")*INDIRECT(ADDRESS(103,5))</f>
        <v>0</v>
      </c>
      <c r="AC103">
        <f>sumifs(ac:ac,A:A,"总成",B:B,"852-240000-100")*INDIRECT(ADDRESS(103,5))</f>
        <v>0</v>
      </c>
      <c r="AD103">
        <f>sumifs(ad:ad,A:A,"总成",B:B,"852-240000-100")*INDIRECT(ADDRESS(103,5))</f>
        <v>0</v>
      </c>
      <c r="AE103">
        <f>sumifs(ae:ae,A:A,"总成",B:B,"852-240000-100")*INDIRECT(ADDRESS(103,5))</f>
        <v>0</v>
      </c>
      <c r="AF103">
        <f>sumifs(af:af,A:A,"总成",B:B,"852-240000-100")*INDIRECT(ADDRESS(103,5))</f>
        <v>0</v>
      </c>
      <c r="AG103">
        <f>sumifs(ag:ag,A:A,"总成",B:B,"852-240000-100")*INDIRECT(ADDRESS(103,5))</f>
        <v>0</v>
      </c>
      <c r="AH103">
        <f>sumifs(ah:ah,A:A,"总成",B:B,"852-240000-100")*INDIRECT(ADDRESS(103,5))</f>
        <v>0</v>
      </c>
      <c r="AI103">
        <f>sumifs(ai:ai,A:A,"总成",B:B,"852-240000-100")*INDIRECT(ADDRESS(103,5))</f>
        <v>0</v>
      </c>
      <c r="AJ103">
        <f>sumifs(aj:aj,A:A,"总成",B:B,"852-240000-100")*INDIRECT(ADDRESS(103,5))</f>
        <v>0</v>
      </c>
      <c r="AK103">
        <f>sumifs(ak:ak,A:A,"总成",B:B,"852-240000-100")*INDIRECT(ADDRESS(103,5))</f>
        <v>0</v>
      </c>
      <c r="AL103">
        <f>sumifs(al:al,A:A,"总成",B:B,"852-240000-100")*INDIRECT(ADDRESS(103,5))</f>
        <v>0</v>
      </c>
      <c r="AM103">
        <f>sumifs(am:am,A:A,"总成",B:B,"852-240000-100")*INDIRECT(ADDRESS(103,5))</f>
        <v>0</v>
      </c>
      <c r="AN103">
        <f>sumifs(an:an,A:A,"总成",B:B,"852-240000-100")*INDIRECT(ADDRESS(103,5))</f>
        <v>0</v>
      </c>
      <c r="AO103">
        <f>sumifs(ao:ao,A:A,"总成",B:B,"852-240000-100")*INDIRECT(ADDRESS(103,5))</f>
        <v>0</v>
      </c>
      <c r="AP103">
        <f>sumifs(ap:ap,A:A,"总成",B:B,"852-240000-100")*INDIRECT(ADDRESS(103,5))</f>
        <v>0</v>
      </c>
      <c r="AQ103">
        <f>sumifs(aq:aq,A:A,"总成",B:B,"852-240000-100")*INDIRECT(ADDRESS(103,5))</f>
        <v>0</v>
      </c>
      <c r="AR103">
        <f>sumifs(ar:ar,A:A,"总成",B:B,"852-240000-100")*INDIRECT(ADDRESS(103,5))</f>
        <v>0</v>
      </c>
    </row>
    <row r="104" spans="1:44">
      <c r="A104" t="s">
        <v>31</v>
      </c>
      <c r="B104" t="s">
        <v>327</v>
      </c>
      <c r="C104" t="s">
        <v>328</v>
      </c>
      <c r="D104" t="s">
        <v>329</v>
      </c>
      <c r="E104">
        <v>1</v>
      </c>
      <c r="F104" t="s">
        <v>330</v>
      </c>
      <c r="K104" t="s">
        <v>308</v>
      </c>
      <c r="L104" t="s">
        <v>37</v>
      </c>
      <c r="M104">
        <f>sumifs(m:m,A:A,"总成",B:B,"852-240000-100")*INDIRECT(ADDRESS(104,5))</f>
        <v>0</v>
      </c>
      <c r="N104">
        <f>sumifs(n:n,A:A,"总成",B:B,"852-240000-100")*INDIRECT(ADDRESS(104,5))</f>
        <v>0</v>
      </c>
      <c r="O104">
        <f>sumifs(o:o,A:A,"总成",B:B,"852-240000-100")*INDIRECT(ADDRESS(104,5))</f>
        <v>0</v>
      </c>
      <c r="P104">
        <f>sumifs(p:p,A:A,"总成",B:B,"852-240000-100")*INDIRECT(ADDRESS(104,5))</f>
        <v>0</v>
      </c>
      <c r="Q104">
        <f>sumifs(q:q,A:A,"总成",B:B,"852-240000-100")*INDIRECT(ADDRESS(104,5))</f>
        <v>0</v>
      </c>
      <c r="R104">
        <f>sumifs(r:r,A:A,"总成",B:B,"852-240000-100")*INDIRECT(ADDRESS(104,5))</f>
        <v>0</v>
      </c>
      <c r="S104">
        <f>sumifs(s:s,A:A,"总成",B:B,"852-240000-100")*INDIRECT(ADDRESS(104,5))</f>
        <v>0</v>
      </c>
      <c r="T104">
        <f>sumifs(t:t,A:A,"总成",B:B,"852-240000-100")*INDIRECT(ADDRESS(104,5))</f>
        <v>0</v>
      </c>
      <c r="U104">
        <f>sumifs(u:u,A:A,"总成",B:B,"852-240000-100")*INDIRECT(ADDRESS(104,5))</f>
        <v>0</v>
      </c>
      <c r="V104">
        <f>sumifs(v:v,A:A,"总成",B:B,"852-240000-100")*INDIRECT(ADDRESS(104,5))</f>
        <v>0</v>
      </c>
      <c r="W104">
        <f>sumifs(w:w,A:A,"总成",B:B,"852-240000-100")*INDIRECT(ADDRESS(104,5))</f>
        <v>0</v>
      </c>
      <c r="X104">
        <f>sumifs(x:x,A:A,"总成",B:B,"852-240000-100")*INDIRECT(ADDRESS(104,5))</f>
        <v>0</v>
      </c>
      <c r="Y104">
        <f>sumifs(y:y,A:A,"总成",B:B,"852-240000-100")*INDIRECT(ADDRESS(104,5))</f>
        <v>0</v>
      </c>
      <c r="Z104">
        <f>sumifs(z:z,A:A,"总成",B:B,"852-240000-100")*INDIRECT(ADDRESS(104,5))</f>
        <v>0</v>
      </c>
      <c r="AA104">
        <f>sumifs(aa:aa,A:A,"总成",B:B,"852-240000-100")*INDIRECT(ADDRESS(104,5))</f>
        <v>0</v>
      </c>
      <c r="AB104">
        <f>sumifs(ab:ab,A:A,"总成",B:B,"852-240000-100")*INDIRECT(ADDRESS(104,5))</f>
        <v>0</v>
      </c>
      <c r="AC104">
        <f>sumifs(ac:ac,A:A,"总成",B:B,"852-240000-100")*INDIRECT(ADDRESS(104,5))</f>
        <v>0</v>
      </c>
      <c r="AD104">
        <f>sumifs(ad:ad,A:A,"总成",B:B,"852-240000-100")*INDIRECT(ADDRESS(104,5))</f>
        <v>0</v>
      </c>
      <c r="AE104">
        <f>sumifs(ae:ae,A:A,"总成",B:B,"852-240000-100")*INDIRECT(ADDRESS(104,5))</f>
        <v>0</v>
      </c>
      <c r="AF104">
        <f>sumifs(af:af,A:A,"总成",B:B,"852-240000-100")*INDIRECT(ADDRESS(104,5))</f>
        <v>0</v>
      </c>
      <c r="AG104">
        <f>sumifs(ag:ag,A:A,"总成",B:B,"852-240000-100")*INDIRECT(ADDRESS(104,5))</f>
        <v>0</v>
      </c>
      <c r="AH104">
        <f>sumifs(ah:ah,A:A,"总成",B:B,"852-240000-100")*INDIRECT(ADDRESS(104,5))</f>
        <v>0</v>
      </c>
      <c r="AI104">
        <f>sumifs(ai:ai,A:A,"总成",B:B,"852-240000-100")*INDIRECT(ADDRESS(104,5))</f>
        <v>0</v>
      </c>
      <c r="AJ104">
        <f>sumifs(aj:aj,A:A,"总成",B:B,"852-240000-100")*INDIRECT(ADDRESS(104,5))</f>
        <v>0</v>
      </c>
      <c r="AK104">
        <f>sumifs(ak:ak,A:A,"总成",B:B,"852-240000-100")*INDIRECT(ADDRESS(104,5))</f>
        <v>0</v>
      </c>
      <c r="AL104">
        <f>sumifs(al:al,A:A,"总成",B:B,"852-240000-100")*INDIRECT(ADDRESS(104,5))</f>
        <v>0</v>
      </c>
      <c r="AM104">
        <f>sumifs(am:am,A:A,"总成",B:B,"852-240000-100")*INDIRECT(ADDRESS(104,5))</f>
        <v>0</v>
      </c>
      <c r="AN104">
        <f>sumifs(an:an,A:A,"总成",B:B,"852-240000-100")*INDIRECT(ADDRESS(104,5))</f>
        <v>0</v>
      </c>
      <c r="AO104">
        <f>sumifs(ao:ao,A:A,"总成",B:B,"852-240000-100")*INDIRECT(ADDRESS(104,5))</f>
        <v>0</v>
      </c>
      <c r="AP104">
        <f>sumifs(ap:ap,A:A,"总成",B:B,"852-240000-100")*INDIRECT(ADDRESS(104,5))</f>
        <v>0</v>
      </c>
      <c r="AQ104">
        <f>sumifs(aq:aq,A:A,"总成",B:B,"852-240000-100")*INDIRECT(ADDRESS(104,5))</f>
        <v>0</v>
      </c>
      <c r="AR104">
        <f>sumifs(ar:ar,A:A,"总成",B:B,"852-240000-100")*INDIRECT(ADDRESS(104,5))</f>
        <v>0</v>
      </c>
    </row>
    <row r="105" spans="1:44">
      <c r="A105" t="s">
        <v>31</v>
      </c>
      <c r="B105" t="s">
        <v>331</v>
      </c>
      <c r="C105" t="s">
        <v>332</v>
      </c>
      <c r="D105" t="s">
        <v>329</v>
      </c>
      <c r="E105">
        <v>1</v>
      </c>
      <c r="F105" t="s">
        <v>333</v>
      </c>
      <c r="K105" t="s">
        <v>308</v>
      </c>
      <c r="L105" t="s">
        <v>37</v>
      </c>
      <c r="M105">
        <f>sumifs(m:m,A:A,"总成",B:B,"852-240000-100")*INDIRECT(ADDRESS(105,5))</f>
        <v>0</v>
      </c>
      <c r="N105">
        <f>sumifs(n:n,A:A,"总成",B:B,"852-240000-100")*INDIRECT(ADDRESS(105,5))</f>
        <v>0</v>
      </c>
      <c r="O105">
        <f>sumifs(o:o,A:A,"总成",B:B,"852-240000-100")*INDIRECT(ADDRESS(105,5))</f>
        <v>0</v>
      </c>
      <c r="P105">
        <f>sumifs(p:p,A:A,"总成",B:B,"852-240000-100")*INDIRECT(ADDRESS(105,5))</f>
        <v>0</v>
      </c>
      <c r="Q105">
        <f>sumifs(q:q,A:A,"总成",B:B,"852-240000-100")*INDIRECT(ADDRESS(105,5))</f>
        <v>0</v>
      </c>
      <c r="R105">
        <f>sumifs(r:r,A:A,"总成",B:B,"852-240000-100")*INDIRECT(ADDRESS(105,5))</f>
        <v>0</v>
      </c>
      <c r="S105">
        <f>sumifs(s:s,A:A,"总成",B:B,"852-240000-100")*INDIRECT(ADDRESS(105,5))</f>
        <v>0</v>
      </c>
      <c r="T105">
        <f>sumifs(t:t,A:A,"总成",B:B,"852-240000-100")*INDIRECT(ADDRESS(105,5))</f>
        <v>0</v>
      </c>
      <c r="U105">
        <f>sumifs(u:u,A:A,"总成",B:B,"852-240000-100")*INDIRECT(ADDRESS(105,5))</f>
        <v>0</v>
      </c>
      <c r="V105">
        <f>sumifs(v:v,A:A,"总成",B:B,"852-240000-100")*INDIRECT(ADDRESS(105,5))</f>
        <v>0</v>
      </c>
      <c r="W105">
        <f>sumifs(w:w,A:A,"总成",B:B,"852-240000-100")*INDIRECT(ADDRESS(105,5))</f>
        <v>0</v>
      </c>
      <c r="X105">
        <f>sumifs(x:x,A:A,"总成",B:B,"852-240000-100")*INDIRECT(ADDRESS(105,5))</f>
        <v>0</v>
      </c>
      <c r="Y105">
        <f>sumifs(y:y,A:A,"总成",B:B,"852-240000-100")*INDIRECT(ADDRESS(105,5))</f>
        <v>0</v>
      </c>
      <c r="Z105">
        <f>sumifs(z:z,A:A,"总成",B:B,"852-240000-100")*INDIRECT(ADDRESS(105,5))</f>
        <v>0</v>
      </c>
      <c r="AA105">
        <f>sumifs(aa:aa,A:A,"总成",B:B,"852-240000-100")*INDIRECT(ADDRESS(105,5))</f>
        <v>0</v>
      </c>
      <c r="AB105">
        <f>sumifs(ab:ab,A:A,"总成",B:B,"852-240000-100")*INDIRECT(ADDRESS(105,5))</f>
        <v>0</v>
      </c>
      <c r="AC105">
        <f>sumifs(ac:ac,A:A,"总成",B:B,"852-240000-100")*INDIRECT(ADDRESS(105,5))</f>
        <v>0</v>
      </c>
      <c r="AD105">
        <f>sumifs(ad:ad,A:A,"总成",B:B,"852-240000-100")*INDIRECT(ADDRESS(105,5))</f>
        <v>0</v>
      </c>
      <c r="AE105">
        <f>sumifs(ae:ae,A:A,"总成",B:B,"852-240000-100")*INDIRECT(ADDRESS(105,5))</f>
        <v>0</v>
      </c>
      <c r="AF105">
        <f>sumifs(af:af,A:A,"总成",B:B,"852-240000-100")*INDIRECT(ADDRESS(105,5))</f>
        <v>0</v>
      </c>
      <c r="AG105">
        <f>sumifs(ag:ag,A:A,"总成",B:B,"852-240000-100")*INDIRECT(ADDRESS(105,5))</f>
        <v>0</v>
      </c>
      <c r="AH105">
        <f>sumifs(ah:ah,A:A,"总成",B:B,"852-240000-100")*INDIRECT(ADDRESS(105,5))</f>
        <v>0</v>
      </c>
      <c r="AI105">
        <f>sumifs(ai:ai,A:A,"总成",B:B,"852-240000-100")*INDIRECT(ADDRESS(105,5))</f>
        <v>0</v>
      </c>
      <c r="AJ105">
        <f>sumifs(aj:aj,A:A,"总成",B:B,"852-240000-100")*INDIRECT(ADDRESS(105,5))</f>
        <v>0</v>
      </c>
      <c r="AK105">
        <f>sumifs(ak:ak,A:A,"总成",B:B,"852-240000-100")*INDIRECT(ADDRESS(105,5))</f>
        <v>0</v>
      </c>
      <c r="AL105">
        <f>sumifs(al:al,A:A,"总成",B:B,"852-240000-100")*INDIRECT(ADDRESS(105,5))</f>
        <v>0</v>
      </c>
      <c r="AM105">
        <f>sumifs(am:am,A:A,"总成",B:B,"852-240000-100")*INDIRECT(ADDRESS(105,5))</f>
        <v>0</v>
      </c>
      <c r="AN105">
        <f>sumifs(an:an,A:A,"总成",B:B,"852-240000-100")*INDIRECT(ADDRESS(105,5))</f>
        <v>0</v>
      </c>
      <c r="AO105">
        <f>sumifs(ao:ao,A:A,"总成",B:B,"852-240000-100")*INDIRECT(ADDRESS(105,5))</f>
        <v>0</v>
      </c>
      <c r="AP105">
        <f>sumifs(ap:ap,A:A,"总成",B:B,"852-240000-100")*INDIRECT(ADDRESS(105,5))</f>
        <v>0</v>
      </c>
      <c r="AQ105">
        <f>sumifs(aq:aq,A:A,"总成",B:B,"852-240000-100")*INDIRECT(ADDRESS(105,5))</f>
        <v>0</v>
      </c>
      <c r="AR105">
        <f>sumifs(ar:ar,A:A,"总成",B:B,"852-240000-100")*INDIRECT(ADDRESS(105,5))</f>
        <v>0</v>
      </c>
    </row>
    <row r="106" spans="1:44">
      <c r="A106" t="s">
        <v>31</v>
      </c>
      <c r="B106" t="s">
        <v>334</v>
      </c>
      <c r="C106" t="s">
        <v>335</v>
      </c>
      <c r="D106" t="s">
        <v>17</v>
      </c>
      <c r="E106">
        <v>1</v>
      </c>
      <c r="F106" t="s">
        <v>336</v>
      </c>
      <c r="K106" t="s">
        <v>308</v>
      </c>
      <c r="L106" t="s">
        <v>37</v>
      </c>
      <c r="M106">
        <f>sumifs(m:m,A:A,"总成",B:B,"852-240000-100")*INDIRECT(ADDRESS(106,5))</f>
        <v>0</v>
      </c>
      <c r="N106">
        <f>sumifs(n:n,A:A,"总成",B:B,"852-240000-100")*INDIRECT(ADDRESS(106,5))</f>
        <v>0</v>
      </c>
      <c r="O106">
        <f>sumifs(o:o,A:A,"总成",B:B,"852-240000-100")*INDIRECT(ADDRESS(106,5))</f>
        <v>0</v>
      </c>
      <c r="P106">
        <f>sumifs(p:p,A:A,"总成",B:B,"852-240000-100")*INDIRECT(ADDRESS(106,5))</f>
        <v>0</v>
      </c>
      <c r="Q106">
        <f>sumifs(q:q,A:A,"总成",B:B,"852-240000-100")*INDIRECT(ADDRESS(106,5))</f>
        <v>0</v>
      </c>
      <c r="R106">
        <f>sumifs(r:r,A:A,"总成",B:B,"852-240000-100")*INDIRECT(ADDRESS(106,5))</f>
        <v>0</v>
      </c>
      <c r="S106">
        <f>sumifs(s:s,A:A,"总成",B:B,"852-240000-100")*INDIRECT(ADDRESS(106,5))</f>
        <v>0</v>
      </c>
      <c r="T106">
        <f>sumifs(t:t,A:A,"总成",B:B,"852-240000-100")*INDIRECT(ADDRESS(106,5))</f>
        <v>0</v>
      </c>
      <c r="U106">
        <f>sumifs(u:u,A:A,"总成",B:B,"852-240000-100")*INDIRECT(ADDRESS(106,5))</f>
        <v>0</v>
      </c>
      <c r="V106">
        <f>sumifs(v:v,A:A,"总成",B:B,"852-240000-100")*INDIRECT(ADDRESS(106,5))</f>
        <v>0</v>
      </c>
      <c r="W106">
        <f>sumifs(w:w,A:A,"总成",B:B,"852-240000-100")*INDIRECT(ADDRESS(106,5))</f>
        <v>0</v>
      </c>
      <c r="X106">
        <f>sumifs(x:x,A:A,"总成",B:B,"852-240000-100")*INDIRECT(ADDRESS(106,5))</f>
        <v>0</v>
      </c>
      <c r="Y106">
        <f>sumifs(y:y,A:A,"总成",B:B,"852-240000-100")*INDIRECT(ADDRESS(106,5))</f>
        <v>0</v>
      </c>
      <c r="Z106">
        <f>sumifs(z:z,A:A,"总成",B:B,"852-240000-100")*INDIRECT(ADDRESS(106,5))</f>
        <v>0</v>
      </c>
      <c r="AA106">
        <f>sumifs(aa:aa,A:A,"总成",B:B,"852-240000-100")*INDIRECT(ADDRESS(106,5))</f>
        <v>0</v>
      </c>
      <c r="AB106">
        <f>sumifs(ab:ab,A:A,"总成",B:B,"852-240000-100")*INDIRECT(ADDRESS(106,5))</f>
        <v>0</v>
      </c>
      <c r="AC106">
        <f>sumifs(ac:ac,A:A,"总成",B:B,"852-240000-100")*INDIRECT(ADDRESS(106,5))</f>
        <v>0</v>
      </c>
      <c r="AD106">
        <f>sumifs(ad:ad,A:A,"总成",B:B,"852-240000-100")*INDIRECT(ADDRESS(106,5))</f>
        <v>0</v>
      </c>
      <c r="AE106">
        <f>sumifs(ae:ae,A:A,"总成",B:B,"852-240000-100")*INDIRECT(ADDRESS(106,5))</f>
        <v>0</v>
      </c>
      <c r="AF106">
        <f>sumifs(af:af,A:A,"总成",B:B,"852-240000-100")*INDIRECT(ADDRESS(106,5))</f>
        <v>0</v>
      </c>
      <c r="AG106">
        <f>sumifs(ag:ag,A:A,"总成",B:B,"852-240000-100")*INDIRECT(ADDRESS(106,5))</f>
        <v>0</v>
      </c>
      <c r="AH106">
        <f>sumifs(ah:ah,A:A,"总成",B:B,"852-240000-100")*INDIRECT(ADDRESS(106,5))</f>
        <v>0</v>
      </c>
      <c r="AI106">
        <f>sumifs(ai:ai,A:A,"总成",B:B,"852-240000-100")*INDIRECT(ADDRESS(106,5))</f>
        <v>0</v>
      </c>
      <c r="AJ106">
        <f>sumifs(aj:aj,A:A,"总成",B:B,"852-240000-100")*INDIRECT(ADDRESS(106,5))</f>
        <v>0</v>
      </c>
      <c r="AK106">
        <f>sumifs(ak:ak,A:A,"总成",B:B,"852-240000-100")*INDIRECT(ADDRESS(106,5))</f>
        <v>0</v>
      </c>
      <c r="AL106">
        <f>sumifs(al:al,A:A,"总成",B:B,"852-240000-100")*INDIRECT(ADDRESS(106,5))</f>
        <v>0</v>
      </c>
      <c r="AM106">
        <f>sumifs(am:am,A:A,"总成",B:B,"852-240000-100")*INDIRECT(ADDRESS(106,5))</f>
        <v>0</v>
      </c>
      <c r="AN106">
        <f>sumifs(an:an,A:A,"总成",B:B,"852-240000-100")*INDIRECT(ADDRESS(106,5))</f>
        <v>0</v>
      </c>
      <c r="AO106">
        <f>sumifs(ao:ao,A:A,"总成",B:B,"852-240000-100")*INDIRECT(ADDRESS(106,5))</f>
        <v>0</v>
      </c>
      <c r="AP106">
        <f>sumifs(ap:ap,A:A,"总成",B:B,"852-240000-100")*INDIRECT(ADDRESS(106,5))</f>
        <v>0</v>
      </c>
      <c r="AQ106">
        <f>sumifs(aq:aq,A:A,"总成",B:B,"852-240000-100")*INDIRECT(ADDRESS(106,5))</f>
        <v>0</v>
      </c>
      <c r="AR106">
        <f>sumifs(ar:ar,A:A,"总成",B:B,"852-240000-100")*INDIRECT(ADDRESS(106,5))</f>
        <v>0</v>
      </c>
    </row>
    <row r="107" spans="1:44">
      <c r="A107" t="s">
        <v>14</v>
      </c>
      <c r="B107" t="s">
        <v>82</v>
      </c>
      <c r="C107" t="s">
        <v>83</v>
      </c>
      <c r="D107" t="s">
        <v>17</v>
      </c>
      <c r="E107">
        <v>1</v>
      </c>
      <c r="F107" t="s">
        <v>84</v>
      </c>
      <c r="K107" t="s">
        <v>305</v>
      </c>
      <c r="L107" t="s">
        <v>21</v>
      </c>
      <c r="M107">
        <f>vlookup("852-238000-200",生产发行表!B:AZ,column(l1),0)</f>
        <v>0</v>
      </c>
      <c r="N107">
        <f>vlookup("852-238000-200",生产发行表!B:AZ,column(m1),0)</f>
        <v>0</v>
      </c>
      <c r="O107">
        <f>vlookup("852-238000-200",生产发行表!B:AZ,column(n1),0)</f>
        <v>0</v>
      </c>
      <c r="P107">
        <f>vlookup("852-238000-200",生产发行表!B:AZ,column(o1),0)</f>
        <v>0</v>
      </c>
      <c r="Q107">
        <f>vlookup("852-238000-200",生产发行表!B:AZ,column(p1),0)</f>
        <v>0</v>
      </c>
      <c r="R107">
        <f>vlookup("852-238000-200",生产发行表!B:AZ,column(q1),0)</f>
        <v>0</v>
      </c>
      <c r="S107">
        <f>vlookup("852-238000-200",生产发行表!B:AZ,column(r1),0)</f>
        <v>0</v>
      </c>
      <c r="T107">
        <f>vlookup("852-238000-200",生产发行表!B:AZ,column(s1),0)</f>
        <v>0</v>
      </c>
      <c r="U107">
        <f>vlookup("852-238000-200",生产发行表!B:AZ,column(t1),0)</f>
        <v>0</v>
      </c>
      <c r="V107">
        <f>vlookup("852-238000-200",生产发行表!B:AZ,column(u1),0)</f>
        <v>0</v>
      </c>
      <c r="W107">
        <f>vlookup("852-238000-200",生产发行表!B:AZ,column(v1),0)</f>
        <v>0</v>
      </c>
      <c r="X107">
        <f>vlookup("852-238000-200",生产发行表!B:AZ,column(w1),0)</f>
        <v>0</v>
      </c>
      <c r="Y107">
        <f>vlookup("852-238000-200",生产发行表!B:AZ,column(x1),0)</f>
        <v>0</v>
      </c>
      <c r="Z107">
        <f>vlookup("852-238000-200",生产发行表!B:AZ,column(y1),0)</f>
        <v>0</v>
      </c>
      <c r="AA107">
        <f>vlookup("852-238000-200",生产发行表!B:AZ,column(z1),0)</f>
        <v>0</v>
      </c>
      <c r="AB107">
        <f>vlookup("852-238000-200",生产发行表!B:AZ,column(aa1),0)</f>
        <v>0</v>
      </c>
      <c r="AC107">
        <f>vlookup("852-238000-200",生产发行表!B:AZ,column(ab1),0)</f>
        <v>0</v>
      </c>
      <c r="AD107">
        <f>vlookup("852-238000-200",生产发行表!B:AZ,column(ac1),0)</f>
        <v>0</v>
      </c>
      <c r="AE107">
        <f>vlookup("852-238000-200",生产发行表!B:AZ,column(ad1),0)</f>
        <v>0</v>
      </c>
      <c r="AF107">
        <f>vlookup("852-238000-200",生产发行表!B:AZ,column(ae1),0)</f>
        <v>0</v>
      </c>
      <c r="AG107">
        <f>vlookup("852-238000-200",生产发行表!B:AZ,column(af1),0)</f>
        <v>0</v>
      </c>
      <c r="AH107">
        <f>vlookup("852-238000-200",生产发行表!B:AZ,column(ag1),0)</f>
        <v>0</v>
      </c>
      <c r="AI107">
        <f>vlookup("852-238000-200",生产发行表!B:AZ,column(ah1),0)</f>
        <v>0</v>
      </c>
      <c r="AJ107">
        <f>vlookup("852-238000-200",生产发行表!B:AZ,column(ai1),0)</f>
        <v>0</v>
      </c>
      <c r="AK107">
        <f>vlookup("852-238000-200",生产发行表!B:AZ,column(aj1),0)</f>
        <v>0</v>
      </c>
      <c r="AL107">
        <f>vlookup("852-238000-200",生产发行表!B:AZ,column(ak1),0)</f>
        <v>0</v>
      </c>
      <c r="AM107">
        <f>vlookup("852-238000-200",生产发行表!B:AZ,column(al1),0)</f>
        <v>0</v>
      </c>
      <c r="AN107">
        <f>vlookup("852-238000-200",生产发行表!B:AZ,column(am1),0)</f>
        <v>0</v>
      </c>
      <c r="AO107">
        <f>vlookup("852-238000-200",生产发行表!B:AZ,column(an1),0)</f>
        <v>0</v>
      </c>
      <c r="AP107">
        <f>vlookup("852-238000-200",生产发行表!B:AZ,column(ao1),0)</f>
        <v>0</v>
      </c>
      <c r="AQ107">
        <f>vlookup("852-238000-200",生产发行表!B:AZ,column(ap1),0)</f>
        <v>0</v>
      </c>
      <c r="AR107">
        <f>vlookup("852-238000-200",生产发行表!B:AZ,column(aq1),0)</f>
        <v>0</v>
      </c>
    </row>
    <row r="108" spans="1:44">
      <c r="A108" t="s">
        <v>14</v>
      </c>
      <c r="B108" t="s">
        <v>85</v>
      </c>
      <c r="C108" t="s">
        <v>86</v>
      </c>
      <c r="D108" t="s">
        <v>256</v>
      </c>
      <c r="E108">
        <v>1</v>
      </c>
      <c r="F108" t="s">
        <v>87</v>
      </c>
      <c r="K108" t="s">
        <v>305</v>
      </c>
      <c r="L108" t="s">
        <v>21</v>
      </c>
      <c r="M108">
        <f>vlookup("852-240000-200",生产发行表!B:AZ,column(l1),0)</f>
        <v>0</v>
      </c>
      <c r="N108">
        <f>vlookup("852-240000-200",生产发行表!B:AZ,column(m1),0)</f>
        <v>0</v>
      </c>
      <c r="O108">
        <f>vlookup("852-240000-200",生产发行表!B:AZ,column(n1),0)</f>
        <v>0</v>
      </c>
      <c r="P108">
        <f>vlookup("852-240000-200",生产发行表!B:AZ,column(o1),0)</f>
        <v>0</v>
      </c>
      <c r="Q108">
        <f>vlookup("852-240000-200",生产发行表!B:AZ,column(p1),0)</f>
        <v>0</v>
      </c>
      <c r="R108">
        <f>vlookup("852-240000-200",生产发行表!B:AZ,column(q1),0)</f>
        <v>0</v>
      </c>
      <c r="S108">
        <f>vlookup("852-240000-200",生产发行表!B:AZ,column(r1),0)</f>
        <v>0</v>
      </c>
      <c r="T108">
        <f>vlookup("852-240000-200",生产发行表!B:AZ,column(s1),0)</f>
        <v>0</v>
      </c>
      <c r="U108">
        <f>vlookup("852-240000-200",生产发行表!B:AZ,column(t1),0)</f>
        <v>0</v>
      </c>
      <c r="V108">
        <f>vlookup("852-240000-200",生产发行表!B:AZ,column(u1),0)</f>
        <v>0</v>
      </c>
      <c r="W108">
        <f>vlookup("852-240000-200",生产发行表!B:AZ,column(v1),0)</f>
        <v>0</v>
      </c>
      <c r="X108">
        <f>vlookup("852-240000-200",生产发行表!B:AZ,column(w1),0)</f>
        <v>0</v>
      </c>
      <c r="Y108">
        <f>vlookup("852-240000-200",生产发行表!B:AZ,column(x1),0)</f>
        <v>0</v>
      </c>
      <c r="Z108">
        <f>vlookup("852-240000-200",生产发行表!B:AZ,column(y1),0)</f>
        <v>0</v>
      </c>
      <c r="AA108">
        <f>vlookup("852-240000-200",生产发行表!B:AZ,column(z1),0)</f>
        <v>0</v>
      </c>
      <c r="AB108">
        <f>vlookup("852-240000-200",生产发行表!B:AZ,column(aa1),0)</f>
        <v>0</v>
      </c>
      <c r="AC108">
        <f>vlookup("852-240000-200",生产发行表!B:AZ,column(ab1),0)</f>
        <v>0</v>
      </c>
      <c r="AD108">
        <f>vlookup("852-240000-200",生产发行表!B:AZ,column(ac1),0)</f>
        <v>0</v>
      </c>
      <c r="AE108">
        <f>vlookup("852-240000-200",生产发行表!B:AZ,column(ad1),0)</f>
        <v>0</v>
      </c>
      <c r="AF108">
        <f>vlookup("852-240000-200",生产发行表!B:AZ,column(ae1),0)</f>
        <v>0</v>
      </c>
      <c r="AG108">
        <f>vlookup("852-240000-200",生产发行表!B:AZ,column(af1),0)</f>
        <v>0</v>
      </c>
      <c r="AH108">
        <f>vlookup("852-240000-200",生产发行表!B:AZ,column(ag1),0)</f>
        <v>0</v>
      </c>
      <c r="AI108">
        <f>vlookup("852-240000-200",生产发行表!B:AZ,column(ah1),0)</f>
        <v>0</v>
      </c>
      <c r="AJ108">
        <f>vlookup("852-240000-200",生产发行表!B:AZ,column(ai1),0)</f>
        <v>0</v>
      </c>
      <c r="AK108">
        <f>vlookup("852-240000-200",生产发行表!B:AZ,column(aj1),0)</f>
        <v>0</v>
      </c>
      <c r="AL108">
        <f>vlookup("852-240000-200",生产发行表!B:AZ,column(ak1),0)</f>
        <v>0</v>
      </c>
      <c r="AM108">
        <f>vlookup("852-240000-200",生产发行表!B:AZ,column(al1),0)</f>
        <v>0</v>
      </c>
      <c r="AN108">
        <f>vlookup("852-240000-200",生产发行表!B:AZ,column(am1),0)</f>
        <v>0</v>
      </c>
      <c r="AO108">
        <f>vlookup("852-240000-200",生产发行表!B:AZ,column(an1),0)</f>
        <v>0</v>
      </c>
      <c r="AP108">
        <f>vlookup("852-240000-200",生产发行表!B:AZ,column(ao1),0)</f>
        <v>0</v>
      </c>
      <c r="AQ108">
        <f>vlookup("852-240000-200",生产发行表!B:AZ,column(ap1),0)</f>
        <v>0</v>
      </c>
      <c r="AR108">
        <f>vlookup("852-240000-200",生产发行表!B:AZ,column(aq1),0)</f>
        <v>0</v>
      </c>
    </row>
    <row r="109" spans="1:44">
      <c r="A109" t="s">
        <v>31</v>
      </c>
      <c r="B109" t="s">
        <v>324</v>
      </c>
      <c r="C109" t="s">
        <v>325</v>
      </c>
      <c r="D109" t="s">
        <v>256</v>
      </c>
      <c r="E109">
        <v>8</v>
      </c>
      <c r="F109" t="s">
        <v>326</v>
      </c>
      <c r="K109" t="s">
        <v>308</v>
      </c>
      <c r="L109" t="s">
        <v>37</v>
      </c>
      <c r="M109">
        <f>sumifs(m:m,A:A,"总成",B:B,"852-240000-200")*INDIRECT(ADDRESS(109,5))</f>
        <v>0</v>
      </c>
      <c r="N109">
        <f>sumifs(n:n,A:A,"总成",B:B,"852-240000-200")*INDIRECT(ADDRESS(109,5))</f>
        <v>0</v>
      </c>
      <c r="O109">
        <f>sumifs(o:o,A:A,"总成",B:B,"852-240000-200")*INDIRECT(ADDRESS(109,5))</f>
        <v>0</v>
      </c>
      <c r="P109">
        <f>sumifs(p:p,A:A,"总成",B:B,"852-240000-200")*INDIRECT(ADDRESS(109,5))</f>
        <v>0</v>
      </c>
      <c r="Q109">
        <f>sumifs(q:q,A:A,"总成",B:B,"852-240000-200")*INDIRECT(ADDRESS(109,5))</f>
        <v>0</v>
      </c>
      <c r="R109">
        <f>sumifs(r:r,A:A,"总成",B:B,"852-240000-200")*INDIRECT(ADDRESS(109,5))</f>
        <v>0</v>
      </c>
      <c r="S109">
        <f>sumifs(s:s,A:A,"总成",B:B,"852-240000-200")*INDIRECT(ADDRESS(109,5))</f>
        <v>0</v>
      </c>
      <c r="T109">
        <f>sumifs(t:t,A:A,"总成",B:B,"852-240000-200")*INDIRECT(ADDRESS(109,5))</f>
        <v>0</v>
      </c>
      <c r="U109">
        <f>sumifs(u:u,A:A,"总成",B:B,"852-240000-200")*INDIRECT(ADDRESS(109,5))</f>
        <v>0</v>
      </c>
      <c r="V109">
        <f>sumifs(v:v,A:A,"总成",B:B,"852-240000-200")*INDIRECT(ADDRESS(109,5))</f>
        <v>0</v>
      </c>
      <c r="W109">
        <f>sumifs(w:w,A:A,"总成",B:B,"852-240000-200")*INDIRECT(ADDRESS(109,5))</f>
        <v>0</v>
      </c>
      <c r="X109">
        <f>sumifs(x:x,A:A,"总成",B:B,"852-240000-200")*INDIRECT(ADDRESS(109,5))</f>
        <v>0</v>
      </c>
      <c r="Y109">
        <f>sumifs(y:y,A:A,"总成",B:B,"852-240000-200")*INDIRECT(ADDRESS(109,5))</f>
        <v>0</v>
      </c>
      <c r="Z109">
        <f>sumifs(z:z,A:A,"总成",B:B,"852-240000-200")*INDIRECT(ADDRESS(109,5))</f>
        <v>0</v>
      </c>
      <c r="AA109">
        <f>sumifs(aa:aa,A:A,"总成",B:B,"852-240000-200")*INDIRECT(ADDRESS(109,5))</f>
        <v>0</v>
      </c>
      <c r="AB109">
        <f>sumifs(ab:ab,A:A,"总成",B:B,"852-240000-200")*INDIRECT(ADDRESS(109,5))</f>
        <v>0</v>
      </c>
      <c r="AC109">
        <f>sumifs(ac:ac,A:A,"总成",B:B,"852-240000-200")*INDIRECT(ADDRESS(109,5))</f>
        <v>0</v>
      </c>
      <c r="AD109">
        <f>sumifs(ad:ad,A:A,"总成",B:B,"852-240000-200")*INDIRECT(ADDRESS(109,5))</f>
        <v>0</v>
      </c>
      <c r="AE109">
        <f>sumifs(ae:ae,A:A,"总成",B:B,"852-240000-200")*INDIRECT(ADDRESS(109,5))</f>
        <v>0</v>
      </c>
      <c r="AF109">
        <f>sumifs(af:af,A:A,"总成",B:B,"852-240000-200")*INDIRECT(ADDRESS(109,5))</f>
        <v>0</v>
      </c>
      <c r="AG109">
        <f>sumifs(ag:ag,A:A,"总成",B:B,"852-240000-200")*INDIRECT(ADDRESS(109,5))</f>
        <v>0</v>
      </c>
      <c r="AH109">
        <f>sumifs(ah:ah,A:A,"总成",B:B,"852-240000-200")*INDIRECT(ADDRESS(109,5))</f>
        <v>0</v>
      </c>
      <c r="AI109">
        <f>sumifs(ai:ai,A:A,"总成",B:B,"852-240000-200")*INDIRECT(ADDRESS(109,5))</f>
        <v>0</v>
      </c>
      <c r="AJ109">
        <f>sumifs(aj:aj,A:A,"总成",B:B,"852-240000-200")*INDIRECT(ADDRESS(109,5))</f>
        <v>0</v>
      </c>
      <c r="AK109">
        <f>sumifs(ak:ak,A:A,"总成",B:B,"852-240000-200")*INDIRECT(ADDRESS(109,5))</f>
        <v>0</v>
      </c>
      <c r="AL109">
        <f>sumifs(al:al,A:A,"总成",B:B,"852-240000-200")*INDIRECT(ADDRESS(109,5))</f>
        <v>0</v>
      </c>
      <c r="AM109">
        <f>sumifs(am:am,A:A,"总成",B:B,"852-240000-200")*INDIRECT(ADDRESS(109,5))</f>
        <v>0</v>
      </c>
      <c r="AN109">
        <f>sumifs(an:an,A:A,"总成",B:B,"852-240000-200")*INDIRECT(ADDRESS(109,5))</f>
        <v>0</v>
      </c>
      <c r="AO109">
        <f>sumifs(ao:ao,A:A,"总成",B:B,"852-240000-200")*INDIRECT(ADDRESS(109,5))</f>
        <v>0</v>
      </c>
      <c r="AP109">
        <f>sumifs(ap:ap,A:A,"总成",B:B,"852-240000-200")*INDIRECT(ADDRESS(109,5))</f>
        <v>0</v>
      </c>
      <c r="AQ109">
        <f>sumifs(aq:aq,A:A,"总成",B:B,"852-240000-200")*INDIRECT(ADDRESS(109,5))</f>
        <v>0</v>
      </c>
      <c r="AR109">
        <f>sumifs(ar:ar,A:A,"总成",B:B,"852-240000-200")*INDIRECT(ADDRESS(109,5))</f>
        <v>0</v>
      </c>
    </row>
    <row r="110" spans="1:44">
      <c r="A110" t="s">
        <v>31</v>
      </c>
      <c r="B110" t="s">
        <v>327</v>
      </c>
      <c r="C110" t="s">
        <v>328</v>
      </c>
      <c r="D110" t="s">
        <v>329</v>
      </c>
      <c r="E110">
        <v>1</v>
      </c>
      <c r="F110" t="s">
        <v>330</v>
      </c>
      <c r="K110" t="s">
        <v>308</v>
      </c>
      <c r="L110" t="s">
        <v>37</v>
      </c>
      <c r="M110">
        <f>sumifs(m:m,A:A,"总成",B:B,"852-240000-200")*INDIRECT(ADDRESS(110,5))</f>
        <v>0</v>
      </c>
      <c r="N110">
        <f>sumifs(n:n,A:A,"总成",B:B,"852-240000-200")*INDIRECT(ADDRESS(110,5))</f>
        <v>0</v>
      </c>
      <c r="O110">
        <f>sumifs(o:o,A:A,"总成",B:B,"852-240000-200")*INDIRECT(ADDRESS(110,5))</f>
        <v>0</v>
      </c>
      <c r="P110">
        <f>sumifs(p:p,A:A,"总成",B:B,"852-240000-200")*INDIRECT(ADDRESS(110,5))</f>
        <v>0</v>
      </c>
      <c r="Q110">
        <f>sumifs(q:q,A:A,"总成",B:B,"852-240000-200")*INDIRECT(ADDRESS(110,5))</f>
        <v>0</v>
      </c>
      <c r="R110">
        <f>sumifs(r:r,A:A,"总成",B:B,"852-240000-200")*INDIRECT(ADDRESS(110,5))</f>
        <v>0</v>
      </c>
      <c r="S110">
        <f>sumifs(s:s,A:A,"总成",B:B,"852-240000-200")*INDIRECT(ADDRESS(110,5))</f>
        <v>0</v>
      </c>
      <c r="T110">
        <f>sumifs(t:t,A:A,"总成",B:B,"852-240000-200")*INDIRECT(ADDRESS(110,5))</f>
        <v>0</v>
      </c>
      <c r="U110">
        <f>sumifs(u:u,A:A,"总成",B:B,"852-240000-200")*INDIRECT(ADDRESS(110,5))</f>
        <v>0</v>
      </c>
      <c r="V110">
        <f>sumifs(v:v,A:A,"总成",B:B,"852-240000-200")*INDIRECT(ADDRESS(110,5))</f>
        <v>0</v>
      </c>
      <c r="W110">
        <f>sumifs(w:w,A:A,"总成",B:B,"852-240000-200")*INDIRECT(ADDRESS(110,5))</f>
        <v>0</v>
      </c>
      <c r="X110">
        <f>sumifs(x:x,A:A,"总成",B:B,"852-240000-200")*INDIRECT(ADDRESS(110,5))</f>
        <v>0</v>
      </c>
      <c r="Y110">
        <f>sumifs(y:y,A:A,"总成",B:B,"852-240000-200")*INDIRECT(ADDRESS(110,5))</f>
        <v>0</v>
      </c>
      <c r="Z110">
        <f>sumifs(z:z,A:A,"总成",B:B,"852-240000-200")*INDIRECT(ADDRESS(110,5))</f>
        <v>0</v>
      </c>
      <c r="AA110">
        <f>sumifs(aa:aa,A:A,"总成",B:B,"852-240000-200")*INDIRECT(ADDRESS(110,5))</f>
        <v>0</v>
      </c>
      <c r="AB110">
        <f>sumifs(ab:ab,A:A,"总成",B:B,"852-240000-200")*INDIRECT(ADDRESS(110,5))</f>
        <v>0</v>
      </c>
      <c r="AC110">
        <f>sumifs(ac:ac,A:A,"总成",B:B,"852-240000-200")*INDIRECT(ADDRESS(110,5))</f>
        <v>0</v>
      </c>
      <c r="AD110">
        <f>sumifs(ad:ad,A:A,"总成",B:B,"852-240000-200")*INDIRECT(ADDRESS(110,5))</f>
        <v>0</v>
      </c>
      <c r="AE110">
        <f>sumifs(ae:ae,A:A,"总成",B:B,"852-240000-200")*INDIRECT(ADDRESS(110,5))</f>
        <v>0</v>
      </c>
      <c r="AF110">
        <f>sumifs(af:af,A:A,"总成",B:B,"852-240000-200")*INDIRECT(ADDRESS(110,5))</f>
        <v>0</v>
      </c>
      <c r="AG110">
        <f>sumifs(ag:ag,A:A,"总成",B:B,"852-240000-200")*INDIRECT(ADDRESS(110,5))</f>
        <v>0</v>
      </c>
      <c r="AH110">
        <f>sumifs(ah:ah,A:A,"总成",B:B,"852-240000-200")*INDIRECT(ADDRESS(110,5))</f>
        <v>0</v>
      </c>
      <c r="AI110">
        <f>sumifs(ai:ai,A:A,"总成",B:B,"852-240000-200")*INDIRECT(ADDRESS(110,5))</f>
        <v>0</v>
      </c>
      <c r="AJ110">
        <f>sumifs(aj:aj,A:A,"总成",B:B,"852-240000-200")*INDIRECT(ADDRESS(110,5))</f>
        <v>0</v>
      </c>
      <c r="AK110">
        <f>sumifs(ak:ak,A:A,"总成",B:B,"852-240000-200")*INDIRECT(ADDRESS(110,5))</f>
        <v>0</v>
      </c>
      <c r="AL110">
        <f>sumifs(al:al,A:A,"总成",B:B,"852-240000-200")*INDIRECT(ADDRESS(110,5))</f>
        <v>0</v>
      </c>
      <c r="AM110">
        <f>sumifs(am:am,A:A,"总成",B:B,"852-240000-200")*INDIRECT(ADDRESS(110,5))</f>
        <v>0</v>
      </c>
      <c r="AN110">
        <f>sumifs(an:an,A:A,"总成",B:B,"852-240000-200")*INDIRECT(ADDRESS(110,5))</f>
        <v>0</v>
      </c>
      <c r="AO110">
        <f>sumifs(ao:ao,A:A,"总成",B:B,"852-240000-200")*INDIRECT(ADDRESS(110,5))</f>
        <v>0</v>
      </c>
      <c r="AP110">
        <f>sumifs(ap:ap,A:A,"总成",B:B,"852-240000-200")*INDIRECT(ADDRESS(110,5))</f>
        <v>0</v>
      </c>
      <c r="AQ110">
        <f>sumifs(aq:aq,A:A,"总成",B:B,"852-240000-200")*INDIRECT(ADDRESS(110,5))</f>
        <v>0</v>
      </c>
      <c r="AR110">
        <f>sumifs(ar:ar,A:A,"总成",B:B,"852-240000-200")*INDIRECT(ADDRESS(110,5))</f>
        <v>0</v>
      </c>
    </row>
    <row r="111" spans="1:44">
      <c r="A111" t="s">
        <v>31</v>
      </c>
      <c r="B111" t="s">
        <v>331</v>
      </c>
      <c r="C111" t="s">
        <v>332</v>
      </c>
      <c r="D111" t="s">
        <v>329</v>
      </c>
      <c r="E111">
        <v>1</v>
      </c>
      <c r="F111" t="s">
        <v>333</v>
      </c>
      <c r="K111" t="s">
        <v>308</v>
      </c>
      <c r="L111" t="s">
        <v>37</v>
      </c>
      <c r="M111">
        <f>sumifs(m:m,A:A,"总成",B:B,"852-240000-200")*INDIRECT(ADDRESS(111,5))</f>
        <v>0</v>
      </c>
      <c r="N111">
        <f>sumifs(n:n,A:A,"总成",B:B,"852-240000-200")*INDIRECT(ADDRESS(111,5))</f>
        <v>0</v>
      </c>
      <c r="O111">
        <f>sumifs(o:o,A:A,"总成",B:B,"852-240000-200")*INDIRECT(ADDRESS(111,5))</f>
        <v>0</v>
      </c>
      <c r="P111">
        <f>sumifs(p:p,A:A,"总成",B:B,"852-240000-200")*INDIRECT(ADDRESS(111,5))</f>
        <v>0</v>
      </c>
      <c r="Q111">
        <f>sumifs(q:q,A:A,"总成",B:B,"852-240000-200")*INDIRECT(ADDRESS(111,5))</f>
        <v>0</v>
      </c>
      <c r="R111">
        <f>sumifs(r:r,A:A,"总成",B:B,"852-240000-200")*INDIRECT(ADDRESS(111,5))</f>
        <v>0</v>
      </c>
      <c r="S111">
        <f>sumifs(s:s,A:A,"总成",B:B,"852-240000-200")*INDIRECT(ADDRESS(111,5))</f>
        <v>0</v>
      </c>
      <c r="T111">
        <f>sumifs(t:t,A:A,"总成",B:B,"852-240000-200")*INDIRECT(ADDRESS(111,5))</f>
        <v>0</v>
      </c>
      <c r="U111">
        <f>sumifs(u:u,A:A,"总成",B:B,"852-240000-200")*INDIRECT(ADDRESS(111,5))</f>
        <v>0</v>
      </c>
      <c r="V111">
        <f>sumifs(v:v,A:A,"总成",B:B,"852-240000-200")*INDIRECT(ADDRESS(111,5))</f>
        <v>0</v>
      </c>
      <c r="W111">
        <f>sumifs(w:w,A:A,"总成",B:B,"852-240000-200")*INDIRECT(ADDRESS(111,5))</f>
        <v>0</v>
      </c>
      <c r="X111">
        <f>sumifs(x:x,A:A,"总成",B:B,"852-240000-200")*INDIRECT(ADDRESS(111,5))</f>
        <v>0</v>
      </c>
      <c r="Y111">
        <f>sumifs(y:y,A:A,"总成",B:B,"852-240000-200")*INDIRECT(ADDRESS(111,5))</f>
        <v>0</v>
      </c>
      <c r="Z111">
        <f>sumifs(z:z,A:A,"总成",B:B,"852-240000-200")*INDIRECT(ADDRESS(111,5))</f>
        <v>0</v>
      </c>
      <c r="AA111">
        <f>sumifs(aa:aa,A:A,"总成",B:B,"852-240000-200")*INDIRECT(ADDRESS(111,5))</f>
        <v>0</v>
      </c>
      <c r="AB111">
        <f>sumifs(ab:ab,A:A,"总成",B:B,"852-240000-200")*INDIRECT(ADDRESS(111,5))</f>
        <v>0</v>
      </c>
      <c r="AC111">
        <f>sumifs(ac:ac,A:A,"总成",B:B,"852-240000-200")*INDIRECT(ADDRESS(111,5))</f>
        <v>0</v>
      </c>
      <c r="AD111">
        <f>sumifs(ad:ad,A:A,"总成",B:B,"852-240000-200")*INDIRECT(ADDRESS(111,5))</f>
        <v>0</v>
      </c>
      <c r="AE111">
        <f>sumifs(ae:ae,A:A,"总成",B:B,"852-240000-200")*INDIRECT(ADDRESS(111,5))</f>
        <v>0</v>
      </c>
      <c r="AF111">
        <f>sumifs(af:af,A:A,"总成",B:B,"852-240000-200")*INDIRECT(ADDRESS(111,5))</f>
        <v>0</v>
      </c>
      <c r="AG111">
        <f>sumifs(ag:ag,A:A,"总成",B:B,"852-240000-200")*INDIRECT(ADDRESS(111,5))</f>
        <v>0</v>
      </c>
      <c r="AH111">
        <f>sumifs(ah:ah,A:A,"总成",B:B,"852-240000-200")*INDIRECT(ADDRESS(111,5))</f>
        <v>0</v>
      </c>
      <c r="AI111">
        <f>sumifs(ai:ai,A:A,"总成",B:B,"852-240000-200")*INDIRECT(ADDRESS(111,5))</f>
        <v>0</v>
      </c>
      <c r="AJ111">
        <f>sumifs(aj:aj,A:A,"总成",B:B,"852-240000-200")*INDIRECT(ADDRESS(111,5))</f>
        <v>0</v>
      </c>
      <c r="AK111">
        <f>sumifs(ak:ak,A:A,"总成",B:B,"852-240000-200")*INDIRECT(ADDRESS(111,5))</f>
        <v>0</v>
      </c>
      <c r="AL111">
        <f>sumifs(al:al,A:A,"总成",B:B,"852-240000-200")*INDIRECT(ADDRESS(111,5))</f>
        <v>0</v>
      </c>
      <c r="AM111">
        <f>sumifs(am:am,A:A,"总成",B:B,"852-240000-200")*INDIRECT(ADDRESS(111,5))</f>
        <v>0</v>
      </c>
      <c r="AN111">
        <f>sumifs(an:an,A:A,"总成",B:B,"852-240000-200")*INDIRECT(ADDRESS(111,5))</f>
        <v>0</v>
      </c>
      <c r="AO111">
        <f>sumifs(ao:ao,A:A,"总成",B:B,"852-240000-200")*INDIRECT(ADDRESS(111,5))</f>
        <v>0</v>
      </c>
      <c r="AP111">
        <f>sumifs(ap:ap,A:A,"总成",B:B,"852-240000-200")*INDIRECT(ADDRESS(111,5))</f>
        <v>0</v>
      </c>
      <c r="AQ111">
        <f>sumifs(aq:aq,A:A,"总成",B:B,"852-240000-200")*INDIRECT(ADDRESS(111,5))</f>
        <v>0</v>
      </c>
      <c r="AR111">
        <f>sumifs(ar:ar,A:A,"总成",B:B,"852-240000-200")*INDIRECT(ADDRESS(111,5))</f>
        <v>0</v>
      </c>
    </row>
    <row r="112" spans="1:44">
      <c r="A112" t="s">
        <v>31</v>
      </c>
      <c r="B112" t="s">
        <v>334</v>
      </c>
      <c r="C112" t="s">
        <v>335</v>
      </c>
      <c r="D112" t="s">
        <v>17</v>
      </c>
      <c r="E112">
        <v>1</v>
      </c>
      <c r="F112" t="s">
        <v>336</v>
      </c>
      <c r="K112" t="s">
        <v>308</v>
      </c>
      <c r="L112" t="s">
        <v>37</v>
      </c>
      <c r="M112">
        <f>sumifs(m:m,A:A,"总成",B:B,"852-240000-200")*INDIRECT(ADDRESS(112,5))</f>
        <v>0</v>
      </c>
      <c r="N112">
        <f>sumifs(n:n,A:A,"总成",B:B,"852-240000-200")*INDIRECT(ADDRESS(112,5))</f>
        <v>0</v>
      </c>
      <c r="O112">
        <f>sumifs(o:o,A:A,"总成",B:B,"852-240000-200")*INDIRECT(ADDRESS(112,5))</f>
        <v>0</v>
      </c>
      <c r="P112">
        <f>sumifs(p:p,A:A,"总成",B:B,"852-240000-200")*INDIRECT(ADDRESS(112,5))</f>
        <v>0</v>
      </c>
      <c r="Q112">
        <f>sumifs(q:q,A:A,"总成",B:B,"852-240000-200")*INDIRECT(ADDRESS(112,5))</f>
        <v>0</v>
      </c>
      <c r="R112">
        <f>sumifs(r:r,A:A,"总成",B:B,"852-240000-200")*INDIRECT(ADDRESS(112,5))</f>
        <v>0</v>
      </c>
      <c r="S112">
        <f>sumifs(s:s,A:A,"总成",B:B,"852-240000-200")*INDIRECT(ADDRESS(112,5))</f>
        <v>0</v>
      </c>
      <c r="T112">
        <f>sumifs(t:t,A:A,"总成",B:B,"852-240000-200")*INDIRECT(ADDRESS(112,5))</f>
        <v>0</v>
      </c>
      <c r="U112">
        <f>sumifs(u:u,A:A,"总成",B:B,"852-240000-200")*INDIRECT(ADDRESS(112,5))</f>
        <v>0</v>
      </c>
      <c r="V112">
        <f>sumifs(v:v,A:A,"总成",B:B,"852-240000-200")*INDIRECT(ADDRESS(112,5))</f>
        <v>0</v>
      </c>
      <c r="W112">
        <f>sumifs(w:w,A:A,"总成",B:B,"852-240000-200")*INDIRECT(ADDRESS(112,5))</f>
        <v>0</v>
      </c>
      <c r="X112">
        <f>sumifs(x:x,A:A,"总成",B:B,"852-240000-200")*INDIRECT(ADDRESS(112,5))</f>
        <v>0</v>
      </c>
      <c r="Y112">
        <f>sumifs(y:y,A:A,"总成",B:B,"852-240000-200")*INDIRECT(ADDRESS(112,5))</f>
        <v>0</v>
      </c>
      <c r="Z112">
        <f>sumifs(z:z,A:A,"总成",B:B,"852-240000-200")*INDIRECT(ADDRESS(112,5))</f>
        <v>0</v>
      </c>
      <c r="AA112">
        <f>sumifs(aa:aa,A:A,"总成",B:B,"852-240000-200")*INDIRECT(ADDRESS(112,5))</f>
        <v>0</v>
      </c>
      <c r="AB112">
        <f>sumifs(ab:ab,A:A,"总成",B:B,"852-240000-200")*INDIRECT(ADDRESS(112,5))</f>
        <v>0</v>
      </c>
      <c r="AC112">
        <f>sumifs(ac:ac,A:A,"总成",B:B,"852-240000-200")*INDIRECT(ADDRESS(112,5))</f>
        <v>0</v>
      </c>
      <c r="AD112">
        <f>sumifs(ad:ad,A:A,"总成",B:B,"852-240000-200")*INDIRECT(ADDRESS(112,5))</f>
        <v>0</v>
      </c>
      <c r="AE112">
        <f>sumifs(ae:ae,A:A,"总成",B:B,"852-240000-200")*INDIRECT(ADDRESS(112,5))</f>
        <v>0</v>
      </c>
      <c r="AF112">
        <f>sumifs(af:af,A:A,"总成",B:B,"852-240000-200")*INDIRECT(ADDRESS(112,5))</f>
        <v>0</v>
      </c>
      <c r="AG112">
        <f>sumifs(ag:ag,A:A,"总成",B:B,"852-240000-200")*INDIRECT(ADDRESS(112,5))</f>
        <v>0</v>
      </c>
      <c r="AH112">
        <f>sumifs(ah:ah,A:A,"总成",B:B,"852-240000-200")*INDIRECT(ADDRESS(112,5))</f>
        <v>0</v>
      </c>
      <c r="AI112">
        <f>sumifs(ai:ai,A:A,"总成",B:B,"852-240000-200")*INDIRECT(ADDRESS(112,5))</f>
        <v>0</v>
      </c>
      <c r="AJ112">
        <f>sumifs(aj:aj,A:A,"总成",B:B,"852-240000-200")*INDIRECT(ADDRESS(112,5))</f>
        <v>0</v>
      </c>
      <c r="AK112">
        <f>sumifs(ak:ak,A:A,"总成",B:B,"852-240000-200")*INDIRECT(ADDRESS(112,5))</f>
        <v>0</v>
      </c>
      <c r="AL112">
        <f>sumifs(al:al,A:A,"总成",B:B,"852-240000-200")*INDIRECT(ADDRESS(112,5))</f>
        <v>0</v>
      </c>
      <c r="AM112">
        <f>sumifs(am:am,A:A,"总成",B:B,"852-240000-200")*INDIRECT(ADDRESS(112,5))</f>
        <v>0</v>
      </c>
      <c r="AN112">
        <f>sumifs(an:an,A:A,"总成",B:B,"852-240000-200")*INDIRECT(ADDRESS(112,5))</f>
        <v>0</v>
      </c>
      <c r="AO112">
        <f>sumifs(ao:ao,A:A,"总成",B:B,"852-240000-200")*INDIRECT(ADDRESS(112,5))</f>
        <v>0</v>
      </c>
      <c r="AP112">
        <f>sumifs(ap:ap,A:A,"总成",B:B,"852-240000-200")*INDIRECT(ADDRESS(112,5))</f>
        <v>0</v>
      </c>
      <c r="AQ112">
        <f>sumifs(aq:aq,A:A,"总成",B:B,"852-240000-200")*INDIRECT(ADDRESS(112,5))</f>
        <v>0</v>
      </c>
      <c r="AR112">
        <f>sumifs(ar:ar,A:A,"总成",B:B,"852-240000-200")*INDIRECT(ADDRESS(112,5))</f>
        <v>0</v>
      </c>
    </row>
    <row r="113" spans="1:44">
      <c r="A113" t="s">
        <v>14</v>
      </c>
      <c r="B113" t="s">
        <v>92</v>
      </c>
      <c r="C113" t="s">
        <v>93</v>
      </c>
      <c r="D113" t="s">
        <v>256</v>
      </c>
      <c r="E113">
        <v>1</v>
      </c>
      <c r="F113" t="s">
        <v>94</v>
      </c>
      <c r="K113" t="s">
        <v>305</v>
      </c>
      <c r="L113" t="s">
        <v>21</v>
      </c>
      <c r="M113">
        <f>vlookup("852-239000-100",生产发行表!B:AZ,column(l1),0)</f>
        <v>0</v>
      </c>
      <c r="N113">
        <f>vlookup("852-239000-100",生产发行表!B:AZ,column(m1),0)</f>
        <v>0</v>
      </c>
      <c r="O113">
        <f>vlookup("852-239000-100",生产发行表!B:AZ,column(n1),0)</f>
        <v>0</v>
      </c>
      <c r="P113">
        <f>vlookup("852-239000-100",生产发行表!B:AZ,column(o1),0)</f>
        <v>0</v>
      </c>
      <c r="Q113">
        <f>vlookup("852-239000-100",生产发行表!B:AZ,column(p1),0)</f>
        <v>0</v>
      </c>
      <c r="R113">
        <f>vlookup("852-239000-100",生产发行表!B:AZ,column(q1),0)</f>
        <v>0</v>
      </c>
      <c r="S113">
        <f>vlookup("852-239000-100",生产发行表!B:AZ,column(r1),0)</f>
        <v>0</v>
      </c>
      <c r="T113">
        <f>vlookup("852-239000-100",生产发行表!B:AZ,column(s1),0)</f>
        <v>0</v>
      </c>
      <c r="U113">
        <f>vlookup("852-239000-100",生产发行表!B:AZ,column(t1),0)</f>
        <v>0</v>
      </c>
      <c r="V113">
        <f>vlookup("852-239000-100",生产发行表!B:AZ,column(u1),0)</f>
        <v>0</v>
      </c>
      <c r="W113">
        <f>vlookup("852-239000-100",生产发行表!B:AZ,column(v1),0)</f>
        <v>0</v>
      </c>
      <c r="X113">
        <f>vlookup("852-239000-100",生产发行表!B:AZ,column(w1),0)</f>
        <v>0</v>
      </c>
      <c r="Y113">
        <f>vlookup("852-239000-100",生产发行表!B:AZ,column(x1),0)</f>
        <v>0</v>
      </c>
      <c r="Z113">
        <f>vlookup("852-239000-100",生产发行表!B:AZ,column(y1),0)</f>
        <v>0</v>
      </c>
      <c r="AA113">
        <f>vlookup("852-239000-100",生产发行表!B:AZ,column(z1),0)</f>
        <v>0</v>
      </c>
      <c r="AB113">
        <f>vlookup("852-239000-100",生产发行表!B:AZ,column(aa1),0)</f>
        <v>0</v>
      </c>
      <c r="AC113">
        <f>vlookup("852-239000-100",生产发行表!B:AZ,column(ab1),0)</f>
        <v>0</v>
      </c>
      <c r="AD113">
        <f>vlookup("852-239000-100",生产发行表!B:AZ,column(ac1),0)</f>
        <v>0</v>
      </c>
      <c r="AE113">
        <f>vlookup("852-239000-100",生产发行表!B:AZ,column(ad1),0)</f>
        <v>0</v>
      </c>
      <c r="AF113">
        <f>vlookup("852-239000-100",生产发行表!B:AZ,column(ae1),0)</f>
        <v>0</v>
      </c>
      <c r="AG113">
        <f>vlookup("852-239000-100",生产发行表!B:AZ,column(af1),0)</f>
        <v>0</v>
      </c>
      <c r="AH113">
        <f>vlookup("852-239000-100",生产发行表!B:AZ,column(ag1),0)</f>
        <v>0</v>
      </c>
      <c r="AI113">
        <f>vlookup("852-239000-100",生产发行表!B:AZ,column(ah1),0)</f>
        <v>0</v>
      </c>
      <c r="AJ113">
        <f>vlookup("852-239000-100",生产发行表!B:AZ,column(ai1),0)</f>
        <v>0</v>
      </c>
      <c r="AK113">
        <f>vlookup("852-239000-100",生产发行表!B:AZ,column(aj1),0)</f>
        <v>0</v>
      </c>
      <c r="AL113">
        <f>vlookup("852-239000-100",生产发行表!B:AZ,column(ak1),0)</f>
        <v>0</v>
      </c>
      <c r="AM113">
        <f>vlookup("852-239000-100",生产发行表!B:AZ,column(al1),0)</f>
        <v>0</v>
      </c>
      <c r="AN113">
        <f>vlookup("852-239000-100",生产发行表!B:AZ,column(am1),0)</f>
        <v>0</v>
      </c>
      <c r="AO113">
        <f>vlookup("852-239000-100",生产发行表!B:AZ,column(an1),0)</f>
        <v>0</v>
      </c>
      <c r="AP113">
        <f>vlookup("852-239000-100",生产发行表!B:AZ,column(ao1),0)</f>
        <v>0</v>
      </c>
      <c r="AQ113">
        <f>vlookup("852-239000-100",生产发行表!B:AZ,column(ap1),0)</f>
        <v>0</v>
      </c>
      <c r="AR113">
        <f>vlookup("852-239000-100",生产发行表!B:AZ,column(aq1),0)</f>
        <v>0</v>
      </c>
    </row>
    <row r="114" spans="1:44">
      <c r="A114" t="s">
        <v>31</v>
      </c>
      <c r="B114" t="s">
        <v>327</v>
      </c>
      <c r="C114" t="s">
        <v>328</v>
      </c>
      <c r="D114" t="s">
        <v>329</v>
      </c>
      <c r="E114">
        <v>3</v>
      </c>
      <c r="F114" t="s">
        <v>330</v>
      </c>
      <c r="K114" t="s">
        <v>308</v>
      </c>
      <c r="L114" t="s">
        <v>37</v>
      </c>
      <c r="M114">
        <f>sumifs(m:m,A:A,"总成",B:B,"852-239000-100")*INDIRECT(ADDRESS(114,5))</f>
        <v>0</v>
      </c>
      <c r="N114">
        <f>sumifs(n:n,A:A,"总成",B:B,"852-239000-100")*INDIRECT(ADDRESS(114,5))</f>
        <v>0</v>
      </c>
      <c r="O114">
        <f>sumifs(o:o,A:A,"总成",B:B,"852-239000-100")*INDIRECT(ADDRESS(114,5))</f>
        <v>0</v>
      </c>
      <c r="P114">
        <f>sumifs(p:p,A:A,"总成",B:B,"852-239000-100")*INDIRECT(ADDRESS(114,5))</f>
        <v>0</v>
      </c>
      <c r="Q114">
        <f>sumifs(q:q,A:A,"总成",B:B,"852-239000-100")*INDIRECT(ADDRESS(114,5))</f>
        <v>0</v>
      </c>
      <c r="R114">
        <f>sumifs(r:r,A:A,"总成",B:B,"852-239000-100")*INDIRECT(ADDRESS(114,5))</f>
        <v>0</v>
      </c>
      <c r="S114">
        <f>sumifs(s:s,A:A,"总成",B:B,"852-239000-100")*INDIRECT(ADDRESS(114,5))</f>
        <v>0</v>
      </c>
      <c r="T114">
        <f>sumifs(t:t,A:A,"总成",B:B,"852-239000-100")*INDIRECT(ADDRESS(114,5))</f>
        <v>0</v>
      </c>
      <c r="U114">
        <f>sumifs(u:u,A:A,"总成",B:B,"852-239000-100")*INDIRECT(ADDRESS(114,5))</f>
        <v>0</v>
      </c>
      <c r="V114">
        <f>sumifs(v:v,A:A,"总成",B:B,"852-239000-100")*INDIRECT(ADDRESS(114,5))</f>
        <v>0</v>
      </c>
      <c r="W114">
        <f>sumifs(w:w,A:A,"总成",B:B,"852-239000-100")*INDIRECT(ADDRESS(114,5))</f>
        <v>0</v>
      </c>
      <c r="X114">
        <f>sumifs(x:x,A:A,"总成",B:B,"852-239000-100")*INDIRECT(ADDRESS(114,5))</f>
        <v>0</v>
      </c>
      <c r="Y114">
        <f>sumifs(y:y,A:A,"总成",B:B,"852-239000-100")*INDIRECT(ADDRESS(114,5))</f>
        <v>0</v>
      </c>
      <c r="Z114">
        <f>sumifs(z:z,A:A,"总成",B:B,"852-239000-100")*INDIRECT(ADDRESS(114,5))</f>
        <v>0</v>
      </c>
      <c r="AA114">
        <f>sumifs(aa:aa,A:A,"总成",B:B,"852-239000-100")*INDIRECT(ADDRESS(114,5))</f>
        <v>0</v>
      </c>
      <c r="AB114">
        <f>sumifs(ab:ab,A:A,"总成",B:B,"852-239000-100")*INDIRECT(ADDRESS(114,5))</f>
        <v>0</v>
      </c>
      <c r="AC114">
        <f>sumifs(ac:ac,A:A,"总成",B:B,"852-239000-100")*INDIRECT(ADDRESS(114,5))</f>
        <v>0</v>
      </c>
      <c r="AD114">
        <f>sumifs(ad:ad,A:A,"总成",B:B,"852-239000-100")*INDIRECT(ADDRESS(114,5))</f>
        <v>0</v>
      </c>
      <c r="AE114">
        <f>sumifs(ae:ae,A:A,"总成",B:B,"852-239000-100")*INDIRECT(ADDRESS(114,5))</f>
        <v>0</v>
      </c>
      <c r="AF114">
        <f>sumifs(af:af,A:A,"总成",B:B,"852-239000-100")*INDIRECT(ADDRESS(114,5))</f>
        <v>0</v>
      </c>
      <c r="AG114">
        <f>sumifs(ag:ag,A:A,"总成",B:B,"852-239000-100")*INDIRECT(ADDRESS(114,5))</f>
        <v>0</v>
      </c>
      <c r="AH114">
        <f>sumifs(ah:ah,A:A,"总成",B:B,"852-239000-100")*INDIRECT(ADDRESS(114,5))</f>
        <v>0</v>
      </c>
      <c r="AI114">
        <f>sumifs(ai:ai,A:A,"总成",B:B,"852-239000-100")*INDIRECT(ADDRESS(114,5))</f>
        <v>0</v>
      </c>
      <c r="AJ114">
        <f>sumifs(aj:aj,A:A,"总成",B:B,"852-239000-100")*INDIRECT(ADDRESS(114,5))</f>
        <v>0</v>
      </c>
      <c r="AK114">
        <f>sumifs(ak:ak,A:A,"总成",B:B,"852-239000-100")*INDIRECT(ADDRESS(114,5))</f>
        <v>0</v>
      </c>
      <c r="AL114">
        <f>sumifs(al:al,A:A,"总成",B:B,"852-239000-100")*INDIRECT(ADDRESS(114,5))</f>
        <v>0</v>
      </c>
      <c r="AM114">
        <f>sumifs(am:am,A:A,"总成",B:B,"852-239000-100")*INDIRECT(ADDRESS(114,5))</f>
        <v>0</v>
      </c>
      <c r="AN114">
        <f>sumifs(an:an,A:A,"总成",B:B,"852-239000-100")*INDIRECT(ADDRESS(114,5))</f>
        <v>0</v>
      </c>
      <c r="AO114">
        <f>sumifs(ao:ao,A:A,"总成",B:B,"852-239000-100")*INDIRECT(ADDRESS(114,5))</f>
        <v>0</v>
      </c>
      <c r="AP114">
        <f>sumifs(ap:ap,A:A,"总成",B:B,"852-239000-100")*INDIRECT(ADDRESS(114,5))</f>
        <v>0</v>
      </c>
      <c r="AQ114">
        <f>sumifs(aq:aq,A:A,"总成",B:B,"852-239000-100")*INDIRECT(ADDRESS(114,5))</f>
        <v>0</v>
      </c>
      <c r="AR114">
        <f>sumifs(ar:ar,A:A,"总成",B:B,"852-239000-100")*INDIRECT(ADDRESS(114,5))</f>
        <v>0</v>
      </c>
    </row>
    <row r="115" spans="1:44">
      <c r="A115" t="s">
        <v>31</v>
      </c>
      <c r="B115" t="s">
        <v>337</v>
      </c>
      <c r="C115" t="s">
        <v>338</v>
      </c>
      <c r="D115" t="s">
        <v>17</v>
      </c>
      <c r="E115">
        <v>1</v>
      </c>
      <c r="F115" t="s">
        <v>339</v>
      </c>
      <c r="K115" t="s">
        <v>308</v>
      </c>
      <c r="L115" t="s">
        <v>37</v>
      </c>
      <c r="M115">
        <f>sumifs(m:m,A:A,"总成",B:B,"852-239000-100")*INDIRECT(ADDRESS(115,5))</f>
        <v>0</v>
      </c>
      <c r="N115">
        <f>sumifs(n:n,A:A,"总成",B:B,"852-239000-100")*INDIRECT(ADDRESS(115,5))</f>
        <v>0</v>
      </c>
      <c r="O115">
        <f>sumifs(o:o,A:A,"总成",B:B,"852-239000-100")*INDIRECT(ADDRESS(115,5))</f>
        <v>0</v>
      </c>
      <c r="P115">
        <f>sumifs(p:p,A:A,"总成",B:B,"852-239000-100")*INDIRECT(ADDRESS(115,5))</f>
        <v>0</v>
      </c>
      <c r="Q115">
        <f>sumifs(q:q,A:A,"总成",B:B,"852-239000-100")*INDIRECT(ADDRESS(115,5))</f>
        <v>0</v>
      </c>
      <c r="R115">
        <f>sumifs(r:r,A:A,"总成",B:B,"852-239000-100")*INDIRECT(ADDRESS(115,5))</f>
        <v>0</v>
      </c>
      <c r="S115">
        <f>sumifs(s:s,A:A,"总成",B:B,"852-239000-100")*INDIRECT(ADDRESS(115,5))</f>
        <v>0</v>
      </c>
      <c r="T115">
        <f>sumifs(t:t,A:A,"总成",B:B,"852-239000-100")*INDIRECT(ADDRESS(115,5))</f>
        <v>0</v>
      </c>
      <c r="U115">
        <f>sumifs(u:u,A:A,"总成",B:B,"852-239000-100")*INDIRECT(ADDRESS(115,5))</f>
        <v>0</v>
      </c>
      <c r="V115">
        <f>sumifs(v:v,A:A,"总成",B:B,"852-239000-100")*INDIRECT(ADDRESS(115,5))</f>
        <v>0</v>
      </c>
      <c r="W115">
        <f>sumifs(w:w,A:A,"总成",B:B,"852-239000-100")*INDIRECT(ADDRESS(115,5))</f>
        <v>0</v>
      </c>
      <c r="X115">
        <f>sumifs(x:x,A:A,"总成",B:B,"852-239000-100")*INDIRECT(ADDRESS(115,5))</f>
        <v>0</v>
      </c>
      <c r="Y115">
        <f>sumifs(y:y,A:A,"总成",B:B,"852-239000-100")*INDIRECT(ADDRESS(115,5))</f>
        <v>0</v>
      </c>
      <c r="Z115">
        <f>sumifs(z:z,A:A,"总成",B:B,"852-239000-100")*INDIRECT(ADDRESS(115,5))</f>
        <v>0</v>
      </c>
      <c r="AA115">
        <f>sumifs(aa:aa,A:A,"总成",B:B,"852-239000-100")*INDIRECT(ADDRESS(115,5))</f>
        <v>0</v>
      </c>
      <c r="AB115">
        <f>sumifs(ab:ab,A:A,"总成",B:B,"852-239000-100")*INDIRECT(ADDRESS(115,5))</f>
        <v>0</v>
      </c>
      <c r="AC115">
        <f>sumifs(ac:ac,A:A,"总成",B:B,"852-239000-100")*INDIRECT(ADDRESS(115,5))</f>
        <v>0</v>
      </c>
      <c r="AD115">
        <f>sumifs(ad:ad,A:A,"总成",B:B,"852-239000-100")*INDIRECT(ADDRESS(115,5))</f>
        <v>0</v>
      </c>
      <c r="AE115">
        <f>sumifs(ae:ae,A:A,"总成",B:B,"852-239000-100")*INDIRECT(ADDRESS(115,5))</f>
        <v>0</v>
      </c>
      <c r="AF115">
        <f>sumifs(af:af,A:A,"总成",B:B,"852-239000-100")*INDIRECT(ADDRESS(115,5))</f>
        <v>0</v>
      </c>
      <c r="AG115">
        <f>sumifs(ag:ag,A:A,"总成",B:B,"852-239000-100")*INDIRECT(ADDRESS(115,5))</f>
        <v>0</v>
      </c>
      <c r="AH115">
        <f>sumifs(ah:ah,A:A,"总成",B:B,"852-239000-100")*INDIRECT(ADDRESS(115,5))</f>
        <v>0</v>
      </c>
      <c r="AI115">
        <f>sumifs(ai:ai,A:A,"总成",B:B,"852-239000-100")*INDIRECT(ADDRESS(115,5))</f>
        <v>0</v>
      </c>
      <c r="AJ115">
        <f>sumifs(aj:aj,A:A,"总成",B:B,"852-239000-100")*INDIRECT(ADDRESS(115,5))</f>
        <v>0</v>
      </c>
      <c r="AK115">
        <f>sumifs(ak:ak,A:A,"总成",B:B,"852-239000-100")*INDIRECT(ADDRESS(115,5))</f>
        <v>0</v>
      </c>
      <c r="AL115">
        <f>sumifs(al:al,A:A,"总成",B:B,"852-239000-100")*INDIRECT(ADDRESS(115,5))</f>
        <v>0</v>
      </c>
      <c r="AM115">
        <f>sumifs(am:am,A:A,"总成",B:B,"852-239000-100")*INDIRECT(ADDRESS(115,5))</f>
        <v>0</v>
      </c>
      <c r="AN115">
        <f>sumifs(an:an,A:A,"总成",B:B,"852-239000-100")*INDIRECT(ADDRESS(115,5))</f>
        <v>0</v>
      </c>
      <c r="AO115">
        <f>sumifs(ao:ao,A:A,"总成",B:B,"852-239000-100")*INDIRECT(ADDRESS(115,5))</f>
        <v>0</v>
      </c>
      <c r="AP115">
        <f>sumifs(ap:ap,A:A,"总成",B:B,"852-239000-100")*INDIRECT(ADDRESS(115,5))</f>
        <v>0</v>
      </c>
      <c r="AQ115">
        <f>sumifs(aq:aq,A:A,"总成",B:B,"852-239000-100")*INDIRECT(ADDRESS(115,5))</f>
        <v>0</v>
      </c>
      <c r="AR115">
        <f>sumifs(ar:ar,A:A,"总成",B:B,"852-239000-100")*INDIRECT(ADDRESS(115,5))</f>
        <v>0</v>
      </c>
    </row>
    <row r="116" spans="1:44">
      <c r="A116" t="s">
        <v>14</v>
      </c>
      <c r="B116" t="s">
        <v>98</v>
      </c>
      <c r="C116" t="s">
        <v>99</v>
      </c>
      <c r="D116" t="s">
        <v>256</v>
      </c>
      <c r="E116">
        <v>1</v>
      </c>
      <c r="F116" t="s">
        <v>100</v>
      </c>
      <c r="K116" t="s">
        <v>305</v>
      </c>
      <c r="L116" t="s">
        <v>21</v>
      </c>
      <c r="M116">
        <f>vlookup("852-239000-200",生产发行表!B:AZ,column(l1),0)</f>
        <v>0</v>
      </c>
      <c r="N116">
        <f>vlookup("852-239000-200",生产发行表!B:AZ,column(m1),0)</f>
        <v>0</v>
      </c>
      <c r="O116">
        <f>vlookup("852-239000-200",生产发行表!B:AZ,column(n1),0)</f>
        <v>0</v>
      </c>
      <c r="P116">
        <f>vlookup("852-239000-200",生产发行表!B:AZ,column(o1),0)</f>
        <v>0</v>
      </c>
      <c r="Q116">
        <f>vlookup("852-239000-200",生产发行表!B:AZ,column(p1),0)</f>
        <v>0</v>
      </c>
      <c r="R116">
        <f>vlookup("852-239000-200",生产发行表!B:AZ,column(q1),0)</f>
        <v>0</v>
      </c>
      <c r="S116">
        <f>vlookup("852-239000-200",生产发行表!B:AZ,column(r1),0)</f>
        <v>0</v>
      </c>
      <c r="T116">
        <f>vlookup("852-239000-200",生产发行表!B:AZ,column(s1),0)</f>
        <v>0</v>
      </c>
      <c r="U116">
        <f>vlookup("852-239000-200",生产发行表!B:AZ,column(t1),0)</f>
        <v>0</v>
      </c>
      <c r="V116">
        <f>vlookup("852-239000-200",生产发行表!B:AZ,column(u1),0)</f>
        <v>0</v>
      </c>
      <c r="W116">
        <f>vlookup("852-239000-200",生产发行表!B:AZ,column(v1),0)</f>
        <v>0</v>
      </c>
      <c r="X116">
        <f>vlookup("852-239000-200",生产发行表!B:AZ,column(w1),0)</f>
        <v>0</v>
      </c>
      <c r="Y116">
        <f>vlookup("852-239000-200",生产发行表!B:AZ,column(x1),0)</f>
        <v>0</v>
      </c>
      <c r="Z116">
        <f>vlookup("852-239000-200",生产发行表!B:AZ,column(y1),0)</f>
        <v>0</v>
      </c>
      <c r="AA116">
        <f>vlookup("852-239000-200",生产发行表!B:AZ,column(z1),0)</f>
        <v>0</v>
      </c>
      <c r="AB116">
        <f>vlookup("852-239000-200",生产发行表!B:AZ,column(aa1),0)</f>
        <v>0</v>
      </c>
      <c r="AC116">
        <f>vlookup("852-239000-200",生产发行表!B:AZ,column(ab1),0)</f>
        <v>0</v>
      </c>
      <c r="AD116">
        <f>vlookup("852-239000-200",生产发行表!B:AZ,column(ac1),0)</f>
        <v>0</v>
      </c>
      <c r="AE116">
        <f>vlookup("852-239000-200",生产发行表!B:AZ,column(ad1),0)</f>
        <v>0</v>
      </c>
      <c r="AF116">
        <f>vlookup("852-239000-200",生产发行表!B:AZ,column(ae1),0)</f>
        <v>0</v>
      </c>
      <c r="AG116">
        <f>vlookup("852-239000-200",生产发行表!B:AZ,column(af1),0)</f>
        <v>0</v>
      </c>
      <c r="AH116">
        <f>vlookup("852-239000-200",生产发行表!B:AZ,column(ag1),0)</f>
        <v>0</v>
      </c>
      <c r="AI116">
        <f>vlookup("852-239000-200",生产发行表!B:AZ,column(ah1),0)</f>
        <v>0</v>
      </c>
      <c r="AJ116">
        <f>vlookup("852-239000-200",生产发行表!B:AZ,column(ai1),0)</f>
        <v>0</v>
      </c>
      <c r="AK116">
        <f>vlookup("852-239000-200",生产发行表!B:AZ,column(aj1),0)</f>
        <v>0</v>
      </c>
      <c r="AL116">
        <f>vlookup("852-239000-200",生产发行表!B:AZ,column(ak1),0)</f>
        <v>0</v>
      </c>
      <c r="AM116">
        <f>vlookup("852-239000-200",生产发行表!B:AZ,column(al1),0)</f>
        <v>0</v>
      </c>
      <c r="AN116">
        <f>vlookup("852-239000-200",生产发行表!B:AZ,column(am1),0)</f>
        <v>0</v>
      </c>
      <c r="AO116">
        <f>vlookup("852-239000-200",生产发行表!B:AZ,column(an1),0)</f>
        <v>0</v>
      </c>
      <c r="AP116">
        <f>vlookup("852-239000-200",生产发行表!B:AZ,column(ao1),0)</f>
        <v>0</v>
      </c>
      <c r="AQ116">
        <f>vlookup("852-239000-200",生产发行表!B:AZ,column(ap1),0)</f>
        <v>0</v>
      </c>
      <c r="AR116">
        <f>vlookup("852-239000-200",生产发行表!B:AZ,column(aq1),0)</f>
        <v>0</v>
      </c>
    </row>
    <row r="117" spans="1:44">
      <c r="A117" t="s">
        <v>31</v>
      </c>
      <c r="B117" t="s">
        <v>327</v>
      </c>
      <c r="C117" t="s">
        <v>328</v>
      </c>
      <c r="D117" t="s">
        <v>329</v>
      </c>
      <c r="E117">
        <v>3</v>
      </c>
      <c r="F117" t="s">
        <v>330</v>
      </c>
      <c r="K117" t="s">
        <v>308</v>
      </c>
      <c r="L117" t="s">
        <v>37</v>
      </c>
      <c r="M117">
        <f>sumifs(m:m,A:A,"总成",B:B,"852-239000-200")*INDIRECT(ADDRESS(117,5))</f>
        <v>0</v>
      </c>
      <c r="N117">
        <f>sumifs(n:n,A:A,"总成",B:B,"852-239000-200")*INDIRECT(ADDRESS(117,5))</f>
        <v>0</v>
      </c>
      <c r="O117">
        <f>sumifs(o:o,A:A,"总成",B:B,"852-239000-200")*INDIRECT(ADDRESS(117,5))</f>
        <v>0</v>
      </c>
      <c r="P117">
        <f>sumifs(p:p,A:A,"总成",B:B,"852-239000-200")*INDIRECT(ADDRESS(117,5))</f>
        <v>0</v>
      </c>
      <c r="Q117">
        <f>sumifs(q:q,A:A,"总成",B:B,"852-239000-200")*INDIRECT(ADDRESS(117,5))</f>
        <v>0</v>
      </c>
      <c r="R117">
        <f>sumifs(r:r,A:A,"总成",B:B,"852-239000-200")*INDIRECT(ADDRESS(117,5))</f>
        <v>0</v>
      </c>
      <c r="S117">
        <f>sumifs(s:s,A:A,"总成",B:B,"852-239000-200")*INDIRECT(ADDRESS(117,5))</f>
        <v>0</v>
      </c>
      <c r="T117">
        <f>sumifs(t:t,A:A,"总成",B:B,"852-239000-200")*INDIRECT(ADDRESS(117,5))</f>
        <v>0</v>
      </c>
      <c r="U117">
        <f>sumifs(u:u,A:A,"总成",B:B,"852-239000-200")*INDIRECT(ADDRESS(117,5))</f>
        <v>0</v>
      </c>
      <c r="V117">
        <f>sumifs(v:v,A:A,"总成",B:B,"852-239000-200")*INDIRECT(ADDRESS(117,5))</f>
        <v>0</v>
      </c>
      <c r="W117">
        <f>sumifs(w:w,A:A,"总成",B:B,"852-239000-200")*INDIRECT(ADDRESS(117,5))</f>
        <v>0</v>
      </c>
      <c r="X117">
        <f>sumifs(x:x,A:A,"总成",B:B,"852-239000-200")*INDIRECT(ADDRESS(117,5))</f>
        <v>0</v>
      </c>
      <c r="Y117">
        <f>sumifs(y:y,A:A,"总成",B:B,"852-239000-200")*INDIRECT(ADDRESS(117,5))</f>
        <v>0</v>
      </c>
      <c r="Z117">
        <f>sumifs(z:z,A:A,"总成",B:B,"852-239000-200")*INDIRECT(ADDRESS(117,5))</f>
        <v>0</v>
      </c>
      <c r="AA117">
        <f>sumifs(aa:aa,A:A,"总成",B:B,"852-239000-200")*INDIRECT(ADDRESS(117,5))</f>
        <v>0</v>
      </c>
      <c r="AB117">
        <f>sumifs(ab:ab,A:A,"总成",B:B,"852-239000-200")*INDIRECT(ADDRESS(117,5))</f>
        <v>0</v>
      </c>
      <c r="AC117">
        <f>sumifs(ac:ac,A:A,"总成",B:B,"852-239000-200")*INDIRECT(ADDRESS(117,5))</f>
        <v>0</v>
      </c>
      <c r="AD117">
        <f>sumifs(ad:ad,A:A,"总成",B:B,"852-239000-200")*INDIRECT(ADDRESS(117,5))</f>
        <v>0</v>
      </c>
      <c r="AE117">
        <f>sumifs(ae:ae,A:A,"总成",B:B,"852-239000-200")*INDIRECT(ADDRESS(117,5))</f>
        <v>0</v>
      </c>
      <c r="AF117">
        <f>sumifs(af:af,A:A,"总成",B:B,"852-239000-200")*INDIRECT(ADDRESS(117,5))</f>
        <v>0</v>
      </c>
      <c r="AG117">
        <f>sumifs(ag:ag,A:A,"总成",B:B,"852-239000-200")*INDIRECT(ADDRESS(117,5))</f>
        <v>0</v>
      </c>
      <c r="AH117">
        <f>sumifs(ah:ah,A:A,"总成",B:B,"852-239000-200")*INDIRECT(ADDRESS(117,5))</f>
        <v>0</v>
      </c>
      <c r="AI117">
        <f>sumifs(ai:ai,A:A,"总成",B:B,"852-239000-200")*INDIRECT(ADDRESS(117,5))</f>
        <v>0</v>
      </c>
      <c r="AJ117">
        <f>sumifs(aj:aj,A:A,"总成",B:B,"852-239000-200")*INDIRECT(ADDRESS(117,5))</f>
        <v>0</v>
      </c>
      <c r="AK117">
        <f>sumifs(ak:ak,A:A,"总成",B:B,"852-239000-200")*INDIRECT(ADDRESS(117,5))</f>
        <v>0</v>
      </c>
      <c r="AL117">
        <f>sumifs(al:al,A:A,"总成",B:B,"852-239000-200")*INDIRECT(ADDRESS(117,5))</f>
        <v>0</v>
      </c>
      <c r="AM117">
        <f>sumifs(am:am,A:A,"总成",B:B,"852-239000-200")*INDIRECT(ADDRESS(117,5))</f>
        <v>0</v>
      </c>
      <c r="AN117">
        <f>sumifs(an:an,A:A,"总成",B:B,"852-239000-200")*INDIRECT(ADDRESS(117,5))</f>
        <v>0</v>
      </c>
      <c r="AO117">
        <f>sumifs(ao:ao,A:A,"总成",B:B,"852-239000-200")*INDIRECT(ADDRESS(117,5))</f>
        <v>0</v>
      </c>
      <c r="AP117">
        <f>sumifs(ap:ap,A:A,"总成",B:B,"852-239000-200")*INDIRECT(ADDRESS(117,5))</f>
        <v>0</v>
      </c>
      <c r="AQ117">
        <f>sumifs(aq:aq,A:A,"总成",B:B,"852-239000-200")*INDIRECT(ADDRESS(117,5))</f>
        <v>0</v>
      </c>
      <c r="AR117">
        <f>sumifs(ar:ar,A:A,"总成",B:B,"852-239000-200")*INDIRECT(ADDRESS(117,5))</f>
        <v>0</v>
      </c>
    </row>
    <row r="118" spans="1:44">
      <c r="A118" t="s">
        <v>31</v>
      </c>
      <c r="B118" t="s">
        <v>340</v>
      </c>
      <c r="C118" t="s">
        <v>341</v>
      </c>
      <c r="D118" t="s">
        <v>17</v>
      </c>
      <c r="E118">
        <v>1</v>
      </c>
      <c r="F118" t="s">
        <v>342</v>
      </c>
      <c r="K118" t="s">
        <v>308</v>
      </c>
      <c r="L118" t="s">
        <v>37</v>
      </c>
      <c r="M118">
        <f>sumifs(m:m,A:A,"总成",B:B,"852-239000-200")*INDIRECT(ADDRESS(118,5))</f>
        <v>0</v>
      </c>
      <c r="N118">
        <f>sumifs(n:n,A:A,"总成",B:B,"852-239000-200")*INDIRECT(ADDRESS(118,5))</f>
        <v>0</v>
      </c>
      <c r="O118">
        <f>sumifs(o:o,A:A,"总成",B:B,"852-239000-200")*INDIRECT(ADDRESS(118,5))</f>
        <v>0</v>
      </c>
      <c r="P118">
        <f>sumifs(p:p,A:A,"总成",B:B,"852-239000-200")*INDIRECT(ADDRESS(118,5))</f>
        <v>0</v>
      </c>
      <c r="Q118">
        <f>sumifs(q:q,A:A,"总成",B:B,"852-239000-200")*INDIRECT(ADDRESS(118,5))</f>
        <v>0</v>
      </c>
      <c r="R118">
        <f>sumifs(r:r,A:A,"总成",B:B,"852-239000-200")*INDIRECT(ADDRESS(118,5))</f>
        <v>0</v>
      </c>
      <c r="S118">
        <f>sumifs(s:s,A:A,"总成",B:B,"852-239000-200")*INDIRECT(ADDRESS(118,5))</f>
        <v>0</v>
      </c>
      <c r="T118">
        <f>sumifs(t:t,A:A,"总成",B:B,"852-239000-200")*INDIRECT(ADDRESS(118,5))</f>
        <v>0</v>
      </c>
      <c r="U118">
        <f>sumifs(u:u,A:A,"总成",B:B,"852-239000-200")*INDIRECT(ADDRESS(118,5))</f>
        <v>0</v>
      </c>
      <c r="V118">
        <f>sumifs(v:v,A:A,"总成",B:B,"852-239000-200")*INDIRECT(ADDRESS(118,5))</f>
        <v>0</v>
      </c>
      <c r="W118">
        <f>sumifs(w:w,A:A,"总成",B:B,"852-239000-200")*INDIRECT(ADDRESS(118,5))</f>
        <v>0</v>
      </c>
      <c r="X118">
        <f>sumifs(x:x,A:A,"总成",B:B,"852-239000-200")*INDIRECT(ADDRESS(118,5))</f>
        <v>0</v>
      </c>
      <c r="Y118">
        <f>sumifs(y:y,A:A,"总成",B:B,"852-239000-200")*INDIRECT(ADDRESS(118,5))</f>
        <v>0</v>
      </c>
      <c r="Z118">
        <f>sumifs(z:z,A:A,"总成",B:B,"852-239000-200")*INDIRECT(ADDRESS(118,5))</f>
        <v>0</v>
      </c>
      <c r="AA118">
        <f>sumifs(aa:aa,A:A,"总成",B:B,"852-239000-200")*INDIRECT(ADDRESS(118,5))</f>
        <v>0</v>
      </c>
      <c r="AB118">
        <f>sumifs(ab:ab,A:A,"总成",B:B,"852-239000-200")*INDIRECT(ADDRESS(118,5))</f>
        <v>0</v>
      </c>
      <c r="AC118">
        <f>sumifs(ac:ac,A:A,"总成",B:B,"852-239000-200")*INDIRECT(ADDRESS(118,5))</f>
        <v>0</v>
      </c>
      <c r="AD118">
        <f>sumifs(ad:ad,A:A,"总成",B:B,"852-239000-200")*INDIRECT(ADDRESS(118,5))</f>
        <v>0</v>
      </c>
      <c r="AE118">
        <f>sumifs(ae:ae,A:A,"总成",B:B,"852-239000-200")*INDIRECT(ADDRESS(118,5))</f>
        <v>0</v>
      </c>
      <c r="AF118">
        <f>sumifs(af:af,A:A,"总成",B:B,"852-239000-200")*INDIRECT(ADDRESS(118,5))</f>
        <v>0</v>
      </c>
      <c r="AG118">
        <f>sumifs(ag:ag,A:A,"总成",B:B,"852-239000-200")*INDIRECT(ADDRESS(118,5))</f>
        <v>0</v>
      </c>
      <c r="AH118">
        <f>sumifs(ah:ah,A:A,"总成",B:B,"852-239000-200")*INDIRECT(ADDRESS(118,5))</f>
        <v>0</v>
      </c>
      <c r="AI118">
        <f>sumifs(ai:ai,A:A,"总成",B:B,"852-239000-200")*INDIRECT(ADDRESS(118,5))</f>
        <v>0</v>
      </c>
      <c r="AJ118">
        <f>sumifs(aj:aj,A:A,"总成",B:B,"852-239000-200")*INDIRECT(ADDRESS(118,5))</f>
        <v>0</v>
      </c>
      <c r="AK118">
        <f>sumifs(ak:ak,A:A,"总成",B:B,"852-239000-200")*INDIRECT(ADDRESS(118,5))</f>
        <v>0</v>
      </c>
      <c r="AL118">
        <f>sumifs(al:al,A:A,"总成",B:B,"852-239000-200")*INDIRECT(ADDRESS(118,5))</f>
        <v>0</v>
      </c>
      <c r="AM118">
        <f>sumifs(am:am,A:A,"总成",B:B,"852-239000-200")*INDIRECT(ADDRESS(118,5))</f>
        <v>0</v>
      </c>
      <c r="AN118">
        <f>sumifs(an:an,A:A,"总成",B:B,"852-239000-200")*INDIRECT(ADDRESS(118,5))</f>
        <v>0</v>
      </c>
      <c r="AO118">
        <f>sumifs(ao:ao,A:A,"总成",B:B,"852-239000-200")*INDIRECT(ADDRESS(118,5))</f>
        <v>0</v>
      </c>
      <c r="AP118">
        <f>sumifs(ap:ap,A:A,"总成",B:B,"852-239000-200")*INDIRECT(ADDRESS(118,5))</f>
        <v>0</v>
      </c>
      <c r="AQ118">
        <f>sumifs(aq:aq,A:A,"总成",B:B,"852-239000-200")*INDIRECT(ADDRESS(118,5))</f>
        <v>0</v>
      </c>
      <c r="AR118">
        <f>sumifs(ar:ar,A:A,"总成",B:B,"852-239000-200")*INDIRECT(ADDRESS(118,5))</f>
        <v>0</v>
      </c>
    </row>
    <row r="119" spans="1:44">
      <c r="A119" t="s">
        <v>14</v>
      </c>
      <c r="B119" t="s">
        <v>105</v>
      </c>
      <c r="C119" t="s">
        <v>106</v>
      </c>
      <c r="D119" t="s">
        <v>304</v>
      </c>
      <c r="E119">
        <v>1</v>
      </c>
      <c r="F119" t="s">
        <v>107</v>
      </c>
      <c r="K119" t="s">
        <v>305</v>
      </c>
      <c r="L119" t="s">
        <v>21</v>
      </c>
      <c r="M119">
        <f>vlookup("852-244000-100",生产发行表!B:AZ,column(l1),0)</f>
        <v>0</v>
      </c>
      <c r="N119">
        <f>vlookup("852-244000-100",生产发行表!B:AZ,column(m1),0)</f>
        <v>0</v>
      </c>
      <c r="O119">
        <f>vlookup("852-244000-100",生产发行表!B:AZ,column(n1),0)</f>
        <v>0</v>
      </c>
      <c r="P119">
        <f>vlookup("852-244000-100",生产发行表!B:AZ,column(o1),0)</f>
        <v>0</v>
      </c>
      <c r="Q119">
        <f>vlookup("852-244000-100",生产发行表!B:AZ,column(p1),0)</f>
        <v>0</v>
      </c>
      <c r="R119">
        <f>vlookup("852-244000-100",生产发行表!B:AZ,column(q1),0)</f>
        <v>0</v>
      </c>
      <c r="S119">
        <f>vlookup("852-244000-100",生产发行表!B:AZ,column(r1),0)</f>
        <v>0</v>
      </c>
      <c r="T119">
        <f>vlookup("852-244000-100",生产发行表!B:AZ,column(s1),0)</f>
        <v>0</v>
      </c>
      <c r="U119">
        <f>vlookup("852-244000-100",生产发行表!B:AZ,column(t1),0)</f>
        <v>0</v>
      </c>
      <c r="V119">
        <f>vlookup("852-244000-100",生产发行表!B:AZ,column(u1),0)</f>
        <v>0</v>
      </c>
      <c r="W119">
        <f>vlookup("852-244000-100",生产发行表!B:AZ,column(v1),0)</f>
        <v>0</v>
      </c>
      <c r="X119">
        <f>vlookup("852-244000-100",生产发行表!B:AZ,column(w1),0)</f>
        <v>0</v>
      </c>
      <c r="Y119">
        <f>vlookup("852-244000-100",生产发行表!B:AZ,column(x1),0)</f>
        <v>0</v>
      </c>
      <c r="Z119">
        <f>vlookup("852-244000-100",生产发行表!B:AZ,column(y1),0)</f>
        <v>0</v>
      </c>
      <c r="AA119">
        <f>vlookup("852-244000-100",生产发行表!B:AZ,column(z1),0)</f>
        <v>0</v>
      </c>
      <c r="AB119">
        <f>vlookup("852-244000-100",生产发行表!B:AZ,column(aa1),0)</f>
        <v>0</v>
      </c>
      <c r="AC119">
        <f>vlookup("852-244000-100",生产发行表!B:AZ,column(ab1),0)</f>
        <v>0</v>
      </c>
      <c r="AD119">
        <f>vlookup("852-244000-100",生产发行表!B:AZ,column(ac1),0)</f>
        <v>0</v>
      </c>
      <c r="AE119">
        <f>vlookup("852-244000-100",生产发行表!B:AZ,column(ad1),0)</f>
        <v>0</v>
      </c>
      <c r="AF119">
        <f>vlookup("852-244000-100",生产发行表!B:AZ,column(ae1),0)</f>
        <v>0</v>
      </c>
      <c r="AG119">
        <f>vlookup("852-244000-100",生产发行表!B:AZ,column(af1),0)</f>
        <v>0</v>
      </c>
      <c r="AH119">
        <f>vlookup("852-244000-100",生产发行表!B:AZ,column(ag1),0)</f>
        <v>0</v>
      </c>
      <c r="AI119">
        <f>vlookup("852-244000-100",生产发行表!B:AZ,column(ah1),0)</f>
        <v>0</v>
      </c>
      <c r="AJ119">
        <f>vlookup("852-244000-100",生产发行表!B:AZ,column(ai1),0)</f>
        <v>0</v>
      </c>
      <c r="AK119">
        <f>vlookup("852-244000-100",生产发行表!B:AZ,column(aj1),0)</f>
        <v>0</v>
      </c>
      <c r="AL119">
        <f>vlookup("852-244000-100",生产发行表!B:AZ,column(ak1),0)</f>
        <v>0</v>
      </c>
      <c r="AM119">
        <f>vlookup("852-244000-100",生产发行表!B:AZ,column(al1),0)</f>
        <v>0</v>
      </c>
      <c r="AN119">
        <f>vlookup("852-244000-100",生产发行表!B:AZ,column(am1),0)</f>
        <v>0</v>
      </c>
      <c r="AO119">
        <f>vlookup("852-244000-100",生产发行表!B:AZ,column(an1),0)</f>
        <v>0</v>
      </c>
      <c r="AP119">
        <f>vlookup("852-244000-100",生产发行表!B:AZ,column(ao1),0)</f>
        <v>0</v>
      </c>
      <c r="AQ119">
        <f>vlookup("852-244000-100",生产发行表!B:AZ,column(ap1),0)</f>
        <v>0</v>
      </c>
      <c r="AR119">
        <f>vlookup("852-244000-100",生产发行表!B:AZ,column(aq1),0)</f>
        <v>0</v>
      </c>
    </row>
    <row r="120" spans="1:44">
      <c r="A120" t="s">
        <v>31</v>
      </c>
      <c r="B120" t="s">
        <v>343</v>
      </c>
      <c r="C120" t="s">
        <v>344</v>
      </c>
      <c r="D120" t="s">
        <v>256</v>
      </c>
      <c r="E120">
        <v>1</v>
      </c>
      <c r="F120" t="s">
        <v>345</v>
      </c>
      <c r="K120" t="s">
        <v>308</v>
      </c>
      <c r="L120" t="s">
        <v>37</v>
      </c>
      <c r="M120">
        <f>sumifs(m:m,A:A,"总成",B:B,"852-244000-100")*INDIRECT(ADDRESS(120,5))</f>
        <v>0</v>
      </c>
      <c r="N120">
        <f>sumifs(n:n,A:A,"总成",B:B,"852-244000-100")*INDIRECT(ADDRESS(120,5))</f>
        <v>0</v>
      </c>
      <c r="O120">
        <f>sumifs(o:o,A:A,"总成",B:B,"852-244000-100")*INDIRECT(ADDRESS(120,5))</f>
        <v>0</v>
      </c>
      <c r="P120">
        <f>sumifs(p:p,A:A,"总成",B:B,"852-244000-100")*INDIRECT(ADDRESS(120,5))</f>
        <v>0</v>
      </c>
      <c r="Q120">
        <f>sumifs(q:q,A:A,"总成",B:B,"852-244000-100")*INDIRECT(ADDRESS(120,5))</f>
        <v>0</v>
      </c>
      <c r="R120">
        <f>sumifs(r:r,A:A,"总成",B:B,"852-244000-100")*INDIRECT(ADDRESS(120,5))</f>
        <v>0</v>
      </c>
      <c r="S120">
        <f>sumifs(s:s,A:A,"总成",B:B,"852-244000-100")*INDIRECT(ADDRESS(120,5))</f>
        <v>0</v>
      </c>
      <c r="T120">
        <f>sumifs(t:t,A:A,"总成",B:B,"852-244000-100")*INDIRECT(ADDRESS(120,5))</f>
        <v>0</v>
      </c>
      <c r="U120">
        <f>sumifs(u:u,A:A,"总成",B:B,"852-244000-100")*INDIRECT(ADDRESS(120,5))</f>
        <v>0</v>
      </c>
      <c r="V120">
        <f>sumifs(v:v,A:A,"总成",B:B,"852-244000-100")*INDIRECT(ADDRESS(120,5))</f>
        <v>0</v>
      </c>
      <c r="W120">
        <f>sumifs(w:w,A:A,"总成",B:B,"852-244000-100")*INDIRECT(ADDRESS(120,5))</f>
        <v>0</v>
      </c>
      <c r="X120">
        <f>sumifs(x:x,A:A,"总成",B:B,"852-244000-100")*INDIRECT(ADDRESS(120,5))</f>
        <v>0</v>
      </c>
      <c r="Y120">
        <f>sumifs(y:y,A:A,"总成",B:B,"852-244000-100")*INDIRECT(ADDRESS(120,5))</f>
        <v>0</v>
      </c>
      <c r="Z120">
        <f>sumifs(z:z,A:A,"总成",B:B,"852-244000-100")*INDIRECT(ADDRESS(120,5))</f>
        <v>0</v>
      </c>
      <c r="AA120">
        <f>sumifs(aa:aa,A:A,"总成",B:B,"852-244000-100")*INDIRECT(ADDRESS(120,5))</f>
        <v>0</v>
      </c>
      <c r="AB120">
        <f>sumifs(ab:ab,A:A,"总成",B:B,"852-244000-100")*INDIRECT(ADDRESS(120,5))</f>
        <v>0</v>
      </c>
      <c r="AC120">
        <f>sumifs(ac:ac,A:A,"总成",B:B,"852-244000-100")*INDIRECT(ADDRESS(120,5))</f>
        <v>0</v>
      </c>
      <c r="AD120">
        <f>sumifs(ad:ad,A:A,"总成",B:B,"852-244000-100")*INDIRECT(ADDRESS(120,5))</f>
        <v>0</v>
      </c>
      <c r="AE120">
        <f>sumifs(ae:ae,A:A,"总成",B:B,"852-244000-100")*INDIRECT(ADDRESS(120,5))</f>
        <v>0</v>
      </c>
      <c r="AF120">
        <f>sumifs(af:af,A:A,"总成",B:B,"852-244000-100")*INDIRECT(ADDRESS(120,5))</f>
        <v>0</v>
      </c>
      <c r="AG120">
        <f>sumifs(ag:ag,A:A,"总成",B:B,"852-244000-100")*INDIRECT(ADDRESS(120,5))</f>
        <v>0</v>
      </c>
      <c r="AH120">
        <f>sumifs(ah:ah,A:A,"总成",B:B,"852-244000-100")*INDIRECT(ADDRESS(120,5))</f>
        <v>0</v>
      </c>
      <c r="AI120">
        <f>sumifs(ai:ai,A:A,"总成",B:B,"852-244000-100")*INDIRECT(ADDRESS(120,5))</f>
        <v>0</v>
      </c>
      <c r="AJ120">
        <f>sumifs(aj:aj,A:A,"总成",B:B,"852-244000-100")*INDIRECT(ADDRESS(120,5))</f>
        <v>0</v>
      </c>
      <c r="AK120">
        <f>sumifs(ak:ak,A:A,"总成",B:B,"852-244000-100")*INDIRECT(ADDRESS(120,5))</f>
        <v>0</v>
      </c>
      <c r="AL120">
        <f>sumifs(al:al,A:A,"总成",B:B,"852-244000-100")*INDIRECT(ADDRESS(120,5))</f>
        <v>0</v>
      </c>
      <c r="AM120">
        <f>sumifs(am:am,A:A,"总成",B:B,"852-244000-100")*INDIRECT(ADDRESS(120,5))</f>
        <v>0</v>
      </c>
      <c r="AN120">
        <f>sumifs(an:an,A:A,"总成",B:B,"852-244000-100")*INDIRECT(ADDRESS(120,5))</f>
        <v>0</v>
      </c>
      <c r="AO120">
        <f>sumifs(ao:ao,A:A,"总成",B:B,"852-244000-100")*INDIRECT(ADDRESS(120,5))</f>
        <v>0</v>
      </c>
      <c r="AP120">
        <f>sumifs(ap:ap,A:A,"总成",B:B,"852-244000-100")*INDIRECT(ADDRESS(120,5))</f>
        <v>0</v>
      </c>
      <c r="AQ120">
        <f>sumifs(aq:aq,A:A,"总成",B:B,"852-244000-100")*INDIRECT(ADDRESS(120,5))</f>
        <v>0</v>
      </c>
      <c r="AR120">
        <f>sumifs(ar:ar,A:A,"总成",B:B,"852-244000-100")*INDIRECT(ADDRESS(120,5))</f>
        <v>0</v>
      </c>
    </row>
    <row r="121" spans="1:44">
      <c r="A121" t="s">
        <v>31</v>
      </c>
      <c r="B121" t="s">
        <v>346</v>
      </c>
      <c r="C121" t="s">
        <v>347</v>
      </c>
      <c r="D121" t="s">
        <v>256</v>
      </c>
      <c r="E121">
        <v>1</v>
      </c>
      <c r="F121" t="s">
        <v>348</v>
      </c>
      <c r="K121" t="s">
        <v>308</v>
      </c>
      <c r="L121" t="s">
        <v>37</v>
      </c>
      <c r="M121">
        <f>sumifs(m:m,A:A,"总成",B:B,"852-244000-100")*INDIRECT(ADDRESS(121,5))</f>
        <v>0</v>
      </c>
      <c r="N121">
        <f>sumifs(n:n,A:A,"总成",B:B,"852-244000-100")*INDIRECT(ADDRESS(121,5))</f>
        <v>0</v>
      </c>
      <c r="O121">
        <f>sumifs(o:o,A:A,"总成",B:B,"852-244000-100")*INDIRECT(ADDRESS(121,5))</f>
        <v>0</v>
      </c>
      <c r="P121">
        <f>sumifs(p:p,A:A,"总成",B:B,"852-244000-100")*INDIRECT(ADDRESS(121,5))</f>
        <v>0</v>
      </c>
      <c r="Q121">
        <f>sumifs(q:q,A:A,"总成",B:B,"852-244000-100")*INDIRECT(ADDRESS(121,5))</f>
        <v>0</v>
      </c>
      <c r="R121">
        <f>sumifs(r:r,A:A,"总成",B:B,"852-244000-100")*INDIRECT(ADDRESS(121,5))</f>
        <v>0</v>
      </c>
      <c r="S121">
        <f>sumifs(s:s,A:A,"总成",B:B,"852-244000-100")*INDIRECT(ADDRESS(121,5))</f>
        <v>0</v>
      </c>
      <c r="T121">
        <f>sumifs(t:t,A:A,"总成",B:B,"852-244000-100")*INDIRECT(ADDRESS(121,5))</f>
        <v>0</v>
      </c>
      <c r="U121">
        <f>sumifs(u:u,A:A,"总成",B:B,"852-244000-100")*INDIRECT(ADDRESS(121,5))</f>
        <v>0</v>
      </c>
      <c r="V121">
        <f>sumifs(v:v,A:A,"总成",B:B,"852-244000-100")*INDIRECT(ADDRESS(121,5))</f>
        <v>0</v>
      </c>
      <c r="W121">
        <f>sumifs(w:w,A:A,"总成",B:B,"852-244000-100")*INDIRECT(ADDRESS(121,5))</f>
        <v>0</v>
      </c>
      <c r="X121">
        <f>sumifs(x:x,A:A,"总成",B:B,"852-244000-100")*INDIRECT(ADDRESS(121,5))</f>
        <v>0</v>
      </c>
      <c r="Y121">
        <f>sumifs(y:y,A:A,"总成",B:B,"852-244000-100")*INDIRECT(ADDRESS(121,5))</f>
        <v>0</v>
      </c>
      <c r="Z121">
        <f>sumifs(z:z,A:A,"总成",B:B,"852-244000-100")*INDIRECT(ADDRESS(121,5))</f>
        <v>0</v>
      </c>
      <c r="AA121">
        <f>sumifs(aa:aa,A:A,"总成",B:B,"852-244000-100")*INDIRECT(ADDRESS(121,5))</f>
        <v>0</v>
      </c>
      <c r="AB121">
        <f>sumifs(ab:ab,A:A,"总成",B:B,"852-244000-100")*INDIRECT(ADDRESS(121,5))</f>
        <v>0</v>
      </c>
      <c r="AC121">
        <f>sumifs(ac:ac,A:A,"总成",B:B,"852-244000-100")*INDIRECT(ADDRESS(121,5))</f>
        <v>0</v>
      </c>
      <c r="AD121">
        <f>sumifs(ad:ad,A:A,"总成",B:B,"852-244000-100")*INDIRECT(ADDRESS(121,5))</f>
        <v>0</v>
      </c>
      <c r="AE121">
        <f>sumifs(ae:ae,A:A,"总成",B:B,"852-244000-100")*INDIRECT(ADDRESS(121,5))</f>
        <v>0</v>
      </c>
      <c r="AF121">
        <f>sumifs(af:af,A:A,"总成",B:B,"852-244000-100")*INDIRECT(ADDRESS(121,5))</f>
        <v>0</v>
      </c>
      <c r="AG121">
        <f>sumifs(ag:ag,A:A,"总成",B:B,"852-244000-100")*INDIRECT(ADDRESS(121,5))</f>
        <v>0</v>
      </c>
      <c r="AH121">
        <f>sumifs(ah:ah,A:A,"总成",B:B,"852-244000-100")*INDIRECT(ADDRESS(121,5))</f>
        <v>0</v>
      </c>
      <c r="AI121">
        <f>sumifs(ai:ai,A:A,"总成",B:B,"852-244000-100")*INDIRECT(ADDRESS(121,5))</f>
        <v>0</v>
      </c>
      <c r="AJ121">
        <f>sumifs(aj:aj,A:A,"总成",B:B,"852-244000-100")*INDIRECT(ADDRESS(121,5))</f>
        <v>0</v>
      </c>
      <c r="AK121">
        <f>sumifs(ak:ak,A:A,"总成",B:B,"852-244000-100")*INDIRECT(ADDRESS(121,5))</f>
        <v>0</v>
      </c>
      <c r="AL121">
        <f>sumifs(al:al,A:A,"总成",B:B,"852-244000-100")*INDIRECT(ADDRESS(121,5))</f>
        <v>0</v>
      </c>
      <c r="AM121">
        <f>sumifs(am:am,A:A,"总成",B:B,"852-244000-100")*INDIRECT(ADDRESS(121,5))</f>
        <v>0</v>
      </c>
      <c r="AN121">
        <f>sumifs(an:an,A:A,"总成",B:B,"852-244000-100")*INDIRECT(ADDRESS(121,5))</f>
        <v>0</v>
      </c>
      <c r="AO121">
        <f>sumifs(ao:ao,A:A,"总成",B:B,"852-244000-100")*INDIRECT(ADDRESS(121,5))</f>
        <v>0</v>
      </c>
      <c r="AP121">
        <f>sumifs(ap:ap,A:A,"总成",B:B,"852-244000-100")*INDIRECT(ADDRESS(121,5))</f>
        <v>0</v>
      </c>
      <c r="AQ121">
        <f>sumifs(aq:aq,A:A,"总成",B:B,"852-244000-100")*INDIRECT(ADDRESS(121,5))</f>
        <v>0</v>
      </c>
      <c r="AR121">
        <f>sumifs(ar:ar,A:A,"总成",B:B,"852-244000-100")*INDIRECT(ADDRESS(121,5))</f>
        <v>0</v>
      </c>
    </row>
    <row r="122" spans="1:44">
      <c r="A122" t="s">
        <v>31</v>
      </c>
      <c r="B122" t="s">
        <v>349</v>
      </c>
      <c r="C122" t="s">
        <v>350</v>
      </c>
      <c r="D122" t="s">
        <v>256</v>
      </c>
      <c r="E122">
        <v>1</v>
      </c>
      <c r="F122" t="s">
        <v>351</v>
      </c>
      <c r="K122" t="s">
        <v>308</v>
      </c>
      <c r="L122" t="s">
        <v>37</v>
      </c>
      <c r="M122">
        <f>sumifs(m:m,A:A,"总成",B:B,"852-244000-100")*INDIRECT(ADDRESS(122,5))</f>
        <v>0</v>
      </c>
      <c r="N122">
        <f>sumifs(n:n,A:A,"总成",B:B,"852-244000-100")*INDIRECT(ADDRESS(122,5))</f>
        <v>0</v>
      </c>
      <c r="O122">
        <f>sumifs(o:o,A:A,"总成",B:B,"852-244000-100")*INDIRECT(ADDRESS(122,5))</f>
        <v>0</v>
      </c>
      <c r="P122">
        <f>sumifs(p:p,A:A,"总成",B:B,"852-244000-100")*INDIRECT(ADDRESS(122,5))</f>
        <v>0</v>
      </c>
      <c r="Q122">
        <f>sumifs(q:q,A:A,"总成",B:B,"852-244000-100")*INDIRECT(ADDRESS(122,5))</f>
        <v>0</v>
      </c>
      <c r="R122">
        <f>sumifs(r:r,A:A,"总成",B:B,"852-244000-100")*INDIRECT(ADDRESS(122,5))</f>
        <v>0</v>
      </c>
      <c r="S122">
        <f>sumifs(s:s,A:A,"总成",B:B,"852-244000-100")*INDIRECT(ADDRESS(122,5))</f>
        <v>0</v>
      </c>
      <c r="T122">
        <f>sumifs(t:t,A:A,"总成",B:B,"852-244000-100")*INDIRECT(ADDRESS(122,5))</f>
        <v>0</v>
      </c>
      <c r="U122">
        <f>sumifs(u:u,A:A,"总成",B:B,"852-244000-100")*INDIRECT(ADDRESS(122,5))</f>
        <v>0</v>
      </c>
      <c r="V122">
        <f>sumifs(v:v,A:A,"总成",B:B,"852-244000-100")*INDIRECT(ADDRESS(122,5))</f>
        <v>0</v>
      </c>
      <c r="W122">
        <f>sumifs(w:w,A:A,"总成",B:B,"852-244000-100")*INDIRECT(ADDRESS(122,5))</f>
        <v>0</v>
      </c>
      <c r="X122">
        <f>sumifs(x:x,A:A,"总成",B:B,"852-244000-100")*INDIRECT(ADDRESS(122,5))</f>
        <v>0</v>
      </c>
      <c r="Y122">
        <f>sumifs(y:y,A:A,"总成",B:B,"852-244000-100")*INDIRECT(ADDRESS(122,5))</f>
        <v>0</v>
      </c>
      <c r="Z122">
        <f>sumifs(z:z,A:A,"总成",B:B,"852-244000-100")*INDIRECT(ADDRESS(122,5))</f>
        <v>0</v>
      </c>
      <c r="AA122">
        <f>sumifs(aa:aa,A:A,"总成",B:B,"852-244000-100")*INDIRECT(ADDRESS(122,5))</f>
        <v>0</v>
      </c>
      <c r="AB122">
        <f>sumifs(ab:ab,A:A,"总成",B:B,"852-244000-100")*INDIRECT(ADDRESS(122,5))</f>
        <v>0</v>
      </c>
      <c r="AC122">
        <f>sumifs(ac:ac,A:A,"总成",B:B,"852-244000-100")*INDIRECT(ADDRESS(122,5))</f>
        <v>0</v>
      </c>
      <c r="AD122">
        <f>sumifs(ad:ad,A:A,"总成",B:B,"852-244000-100")*INDIRECT(ADDRESS(122,5))</f>
        <v>0</v>
      </c>
      <c r="AE122">
        <f>sumifs(ae:ae,A:A,"总成",B:B,"852-244000-100")*INDIRECT(ADDRESS(122,5))</f>
        <v>0</v>
      </c>
      <c r="AF122">
        <f>sumifs(af:af,A:A,"总成",B:B,"852-244000-100")*INDIRECT(ADDRESS(122,5))</f>
        <v>0</v>
      </c>
      <c r="AG122">
        <f>sumifs(ag:ag,A:A,"总成",B:B,"852-244000-100")*INDIRECT(ADDRESS(122,5))</f>
        <v>0</v>
      </c>
      <c r="AH122">
        <f>sumifs(ah:ah,A:A,"总成",B:B,"852-244000-100")*INDIRECT(ADDRESS(122,5))</f>
        <v>0</v>
      </c>
      <c r="AI122">
        <f>sumifs(ai:ai,A:A,"总成",B:B,"852-244000-100")*INDIRECT(ADDRESS(122,5))</f>
        <v>0</v>
      </c>
      <c r="AJ122">
        <f>sumifs(aj:aj,A:A,"总成",B:B,"852-244000-100")*INDIRECT(ADDRESS(122,5))</f>
        <v>0</v>
      </c>
      <c r="AK122">
        <f>sumifs(ak:ak,A:A,"总成",B:B,"852-244000-100")*INDIRECT(ADDRESS(122,5))</f>
        <v>0</v>
      </c>
      <c r="AL122">
        <f>sumifs(al:al,A:A,"总成",B:B,"852-244000-100")*INDIRECT(ADDRESS(122,5))</f>
        <v>0</v>
      </c>
      <c r="AM122">
        <f>sumifs(am:am,A:A,"总成",B:B,"852-244000-100")*INDIRECT(ADDRESS(122,5))</f>
        <v>0</v>
      </c>
      <c r="AN122">
        <f>sumifs(an:an,A:A,"总成",B:B,"852-244000-100")*INDIRECT(ADDRESS(122,5))</f>
        <v>0</v>
      </c>
      <c r="AO122">
        <f>sumifs(ao:ao,A:A,"总成",B:B,"852-244000-100")*INDIRECT(ADDRESS(122,5))</f>
        <v>0</v>
      </c>
      <c r="AP122">
        <f>sumifs(ap:ap,A:A,"总成",B:B,"852-244000-100")*INDIRECT(ADDRESS(122,5))</f>
        <v>0</v>
      </c>
      <c r="AQ122">
        <f>sumifs(aq:aq,A:A,"总成",B:B,"852-244000-100")*INDIRECT(ADDRESS(122,5))</f>
        <v>0</v>
      </c>
      <c r="AR122">
        <f>sumifs(ar:ar,A:A,"总成",B:B,"852-244000-100")*INDIRECT(ADDRESS(122,5))</f>
        <v>0</v>
      </c>
    </row>
    <row r="123" spans="1:44">
      <c r="A123" t="s">
        <v>31</v>
      </c>
      <c r="B123" t="s">
        <v>352</v>
      </c>
      <c r="C123" t="s">
        <v>353</v>
      </c>
      <c r="D123" t="s">
        <v>354</v>
      </c>
      <c r="E123" t="s">
        <v>36</v>
      </c>
      <c r="K123" t="s">
        <v>308</v>
      </c>
      <c r="L123" t="s">
        <v>37</v>
      </c>
      <c r="M123">
        <f>sumifs(m:m,A:A,"总成",B:B,"852-244000-100")*INDIRECT(ADDRESS(123,5))</f>
        <v>0</v>
      </c>
      <c r="N123">
        <f>sumifs(n:n,A:A,"总成",B:B,"852-244000-100")*INDIRECT(ADDRESS(123,5))</f>
        <v>0</v>
      </c>
      <c r="O123">
        <f>sumifs(o:o,A:A,"总成",B:B,"852-244000-100")*INDIRECT(ADDRESS(123,5))</f>
        <v>0</v>
      </c>
      <c r="P123">
        <f>sumifs(p:p,A:A,"总成",B:B,"852-244000-100")*INDIRECT(ADDRESS(123,5))</f>
        <v>0</v>
      </c>
      <c r="Q123">
        <f>sumifs(q:q,A:A,"总成",B:B,"852-244000-100")*INDIRECT(ADDRESS(123,5))</f>
        <v>0</v>
      </c>
      <c r="R123">
        <f>sumifs(r:r,A:A,"总成",B:B,"852-244000-100")*INDIRECT(ADDRESS(123,5))</f>
        <v>0</v>
      </c>
      <c r="S123">
        <f>sumifs(s:s,A:A,"总成",B:B,"852-244000-100")*INDIRECT(ADDRESS(123,5))</f>
        <v>0</v>
      </c>
      <c r="T123">
        <f>sumifs(t:t,A:A,"总成",B:B,"852-244000-100")*INDIRECT(ADDRESS(123,5))</f>
        <v>0</v>
      </c>
      <c r="U123">
        <f>sumifs(u:u,A:A,"总成",B:B,"852-244000-100")*INDIRECT(ADDRESS(123,5))</f>
        <v>0</v>
      </c>
      <c r="V123">
        <f>sumifs(v:v,A:A,"总成",B:B,"852-244000-100")*INDIRECT(ADDRESS(123,5))</f>
        <v>0</v>
      </c>
      <c r="W123">
        <f>sumifs(w:w,A:A,"总成",B:B,"852-244000-100")*INDIRECT(ADDRESS(123,5))</f>
        <v>0</v>
      </c>
      <c r="X123">
        <f>sumifs(x:x,A:A,"总成",B:B,"852-244000-100")*INDIRECT(ADDRESS(123,5))</f>
        <v>0</v>
      </c>
      <c r="Y123">
        <f>sumifs(y:y,A:A,"总成",B:B,"852-244000-100")*INDIRECT(ADDRESS(123,5))</f>
        <v>0</v>
      </c>
      <c r="Z123">
        <f>sumifs(z:z,A:A,"总成",B:B,"852-244000-100")*INDIRECT(ADDRESS(123,5))</f>
        <v>0</v>
      </c>
      <c r="AA123">
        <f>sumifs(aa:aa,A:A,"总成",B:B,"852-244000-100")*INDIRECT(ADDRESS(123,5))</f>
        <v>0</v>
      </c>
      <c r="AB123">
        <f>sumifs(ab:ab,A:A,"总成",B:B,"852-244000-100")*INDIRECT(ADDRESS(123,5))</f>
        <v>0</v>
      </c>
      <c r="AC123">
        <f>sumifs(ac:ac,A:A,"总成",B:B,"852-244000-100")*INDIRECT(ADDRESS(123,5))</f>
        <v>0</v>
      </c>
      <c r="AD123">
        <f>sumifs(ad:ad,A:A,"总成",B:B,"852-244000-100")*INDIRECT(ADDRESS(123,5))</f>
        <v>0</v>
      </c>
      <c r="AE123">
        <f>sumifs(ae:ae,A:A,"总成",B:B,"852-244000-100")*INDIRECT(ADDRESS(123,5))</f>
        <v>0</v>
      </c>
      <c r="AF123">
        <f>sumifs(af:af,A:A,"总成",B:B,"852-244000-100")*INDIRECT(ADDRESS(123,5))</f>
        <v>0</v>
      </c>
      <c r="AG123">
        <f>sumifs(ag:ag,A:A,"总成",B:B,"852-244000-100")*INDIRECT(ADDRESS(123,5))</f>
        <v>0</v>
      </c>
      <c r="AH123">
        <f>sumifs(ah:ah,A:A,"总成",B:B,"852-244000-100")*INDIRECT(ADDRESS(123,5))</f>
        <v>0</v>
      </c>
      <c r="AI123">
        <f>sumifs(ai:ai,A:A,"总成",B:B,"852-244000-100")*INDIRECT(ADDRESS(123,5))</f>
        <v>0</v>
      </c>
      <c r="AJ123">
        <f>sumifs(aj:aj,A:A,"总成",B:B,"852-244000-100")*INDIRECT(ADDRESS(123,5))</f>
        <v>0</v>
      </c>
      <c r="AK123">
        <f>sumifs(ak:ak,A:A,"总成",B:B,"852-244000-100")*INDIRECT(ADDRESS(123,5))</f>
        <v>0</v>
      </c>
      <c r="AL123">
        <f>sumifs(al:al,A:A,"总成",B:B,"852-244000-100")*INDIRECT(ADDRESS(123,5))</f>
        <v>0</v>
      </c>
      <c r="AM123">
        <f>sumifs(am:am,A:A,"总成",B:B,"852-244000-100")*INDIRECT(ADDRESS(123,5))</f>
        <v>0</v>
      </c>
      <c r="AN123">
        <f>sumifs(an:an,A:A,"总成",B:B,"852-244000-100")*INDIRECT(ADDRESS(123,5))</f>
        <v>0</v>
      </c>
      <c r="AO123">
        <f>sumifs(ao:ao,A:A,"总成",B:B,"852-244000-100")*INDIRECT(ADDRESS(123,5))</f>
        <v>0</v>
      </c>
      <c r="AP123">
        <f>sumifs(ap:ap,A:A,"总成",B:B,"852-244000-100")*INDIRECT(ADDRESS(123,5))</f>
        <v>0</v>
      </c>
      <c r="AQ123">
        <f>sumifs(aq:aq,A:A,"总成",B:B,"852-244000-100")*INDIRECT(ADDRESS(123,5))</f>
        <v>0</v>
      </c>
      <c r="AR123">
        <f>sumifs(ar:ar,A:A,"总成",B:B,"852-244000-100")*INDIRECT(ADDRESS(123,5))</f>
        <v>0</v>
      </c>
    </row>
    <row r="124" spans="1:44">
      <c r="A124" t="s">
        <v>31</v>
      </c>
      <c r="B124" t="s">
        <v>355</v>
      </c>
      <c r="C124" t="s">
        <v>356</v>
      </c>
      <c r="D124" t="s">
        <v>354</v>
      </c>
      <c r="E124">
        <v>1</v>
      </c>
      <c r="F124" t="s">
        <v>357</v>
      </c>
      <c r="K124" t="s">
        <v>308</v>
      </c>
      <c r="L124" t="s">
        <v>37</v>
      </c>
      <c r="M124">
        <f>sumifs(m:m,A:A,"总成",B:B,"852-244000-100")*INDIRECT(ADDRESS(124,5))</f>
        <v>0</v>
      </c>
      <c r="N124">
        <f>sumifs(n:n,A:A,"总成",B:B,"852-244000-100")*INDIRECT(ADDRESS(124,5))</f>
        <v>0</v>
      </c>
      <c r="O124">
        <f>sumifs(o:o,A:A,"总成",B:B,"852-244000-100")*INDIRECT(ADDRESS(124,5))</f>
        <v>0</v>
      </c>
      <c r="P124">
        <f>sumifs(p:p,A:A,"总成",B:B,"852-244000-100")*INDIRECT(ADDRESS(124,5))</f>
        <v>0</v>
      </c>
      <c r="Q124">
        <f>sumifs(q:q,A:A,"总成",B:B,"852-244000-100")*INDIRECT(ADDRESS(124,5))</f>
        <v>0</v>
      </c>
      <c r="R124">
        <f>sumifs(r:r,A:A,"总成",B:B,"852-244000-100")*INDIRECT(ADDRESS(124,5))</f>
        <v>0</v>
      </c>
      <c r="S124">
        <f>sumifs(s:s,A:A,"总成",B:B,"852-244000-100")*INDIRECT(ADDRESS(124,5))</f>
        <v>0</v>
      </c>
      <c r="T124">
        <f>sumifs(t:t,A:A,"总成",B:B,"852-244000-100")*INDIRECT(ADDRESS(124,5))</f>
        <v>0</v>
      </c>
      <c r="U124">
        <f>sumifs(u:u,A:A,"总成",B:B,"852-244000-100")*INDIRECT(ADDRESS(124,5))</f>
        <v>0</v>
      </c>
      <c r="V124">
        <f>sumifs(v:v,A:A,"总成",B:B,"852-244000-100")*INDIRECT(ADDRESS(124,5))</f>
        <v>0</v>
      </c>
      <c r="W124">
        <f>sumifs(w:w,A:A,"总成",B:B,"852-244000-100")*INDIRECT(ADDRESS(124,5))</f>
        <v>0</v>
      </c>
      <c r="X124">
        <f>sumifs(x:x,A:A,"总成",B:B,"852-244000-100")*INDIRECT(ADDRESS(124,5))</f>
        <v>0</v>
      </c>
      <c r="Y124">
        <f>sumifs(y:y,A:A,"总成",B:B,"852-244000-100")*INDIRECT(ADDRESS(124,5))</f>
        <v>0</v>
      </c>
      <c r="Z124">
        <f>sumifs(z:z,A:A,"总成",B:B,"852-244000-100")*INDIRECT(ADDRESS(124,5))</f>
        <v>0</v>
      </c>
      <c r="AA124">
        <f>sumifs(aa:aa,A:A,"总成",B:B,"852-244000-100")*INDIRECT(ADDRESS(124,5))</f>
        <v>0</v>
      </c>
      <c r="AB124">
        <f>sumifs(ab:ab,A:A,"总成",B:B,"852-244000-100")*INDIRECT(ADDRESS(124,5))</f>
        <v>0</v>
      </c>
      <c r="AC124">
        <f>sumifs(ac:ac,A:A,"总成",B:B,"852-244000-100")*INDIRECT(ADDRESS(124,5))</f>
        <v>0</v>
      </c>
      <c r="AD124">
        <f>sumifs(ad:ad,A:A,"总成",B:B,"852-244000-100")*INDIRECT(ADDRESS(124,5))</f>
        <v>0</v>
      </c>
      <c r="AE124">
        <f>sumifs(ae:ae,A:A,"总成",B:B,"852-244000-100")*INDIRECT(ADDRESS(124,5))</f>
        <v>0</v>
      </c>
      <c r="AF124">
        <f>sumifs(af:af,A:A,"总成",B:B,"852-244000-100")*INDIRECT(ADDRESS(124,5))</f>
        <v>0</v>
      </c>
      <c r="AG124">
        <f>sumifs(ag:ag,A:A,"总成",B:B,"852-244000-100")*INDIRECT(ADDRESS(124,5))</f>
        <v>0</v>
      </c>
      <c r="AH124">
        <f>sumifs(ah:ah,A:A,"总成",B:B,"852-244000-100")*INDIRECT(ADDRESS(124,5))</f>
        <v>0</v>
      </c>
      <c r="AI124">
        <f>sumifs(ai:ai,A:A,"总成",B:B,"852-244000-100")*INDIRECT(ADDRESS(124,5))</f>
        <v>0</v>
      </c>
      <c r="AJ124">
        <f>sumifs(aj:aj,A:A,"总成",B:B,"852-244000-100")*INDIRECT(ADDRESS(124,5))</f>
        <v>0</v>
      </c>
      <c r="AK124">
        <f>sumifs(ak:ak,A:A,"总成",B:B,"852-244000-100")*INDIRECT(ADDRESS(124,5))</f>
        <v>0</v>
      </c>
      <c r="AL124">
        <f>sumifs(al:al,A:A,"总成",B:B,"852-244000-100")*INDIRECT(ADDRESS(124,5))</f>
        <v>0</v>
      </c>
      <c r="AM124">
        <f>sumifs(am:am,A:A,"总成",B:B,"852-244000-100")*INDIRECT(ADDRESS(124,5))</f>
        <v>0</v>
      </c>
      <c r="AN124">
        <f>sumifs(an:an,A:A,"总成",B:B,"852-244000-100")*INDIRECT(ADDRESS(124,5))</f>
        <v>0</v>
      </c>
      <c r="AO124">
        <f>sumifs(ao:ao,A:A,"总成",B:B,"852-244000-100")*INDIRECT(ADDRESS(124,5))</f>
        <v>0</v>
      </c>
      <c r="AP124">
        <f>sumifs(ap:ap,A:A,"总成",B:B,"852-244000-100")*INDIRECT(ADDRESS(124,5))</f>
        <v>0</v>
      </c>
      <c r="AQ124">
        <f>sumifs(aq:aq,A:A,"总成",B:B,"852-244000-100")*INDIRECT(ADDRESS(124,5))</f>
        <v>0</v>
      </c>
      <c r="AR124">
        <f>sumifs(ar:ar,A:A,"总成",B:B,"852-244000-100")*INDIRECT(ADDRESS(124,5))</f>
        <v>0</v>
      </c>
    </row>
    <row r="125" spans="1:44">
      <c r="A125" t="s">
        <v>31</v>
      </c>
      <c r="B125" t="s">
        <v>358</v>
      </c>
      <c r="C125" t="s">
        <v>359</v>
      </c>
      <c r="D125" t="s">
        <v>354</v>
      </c>
      <c r="E125">
        <v>1</v>
      </c>
      <c r="F125" t="s">
        <v>360</v>
      </c>
      <c r="K125" t="s">
        <v>308</v>
      </c>
      <c r="L125" t="s">
        <v>37</v>
      </c>
      <c r="M125">
        <f>sumifs(m:m,A:A,"总成",B:B,"852-244000-100")*INDIRECT(ADDRESS(125,5))</f>
        <v>0</v>
      </c>
      <c r="N125">
        <f>sumifs(n:n,A:A,"总成",B:B,"852-244000-100")*INDIRECT(ADDRESS(125,5))</f>
        <v>0</v>
      </c>
      <c r="O125">
        <f>sumifs(o:o,A:A,"总成",B:B,"852-244000-100")*INDIRECT(ADDRESS(125,5))</f>
        <v>0</v>
      </c>
      <c r="P125">
        <f>sumifs(p:p,A:A,"总成",B:B,"852-244000-100")*INDIRECT(ADDRESS(125,5))</f>
        <v>0</v>
      </c>
      <c r="Q125">
        <f>sumifs(q:q,A:A,"总成",B:B,"852-244000-100")*INDIRECT(ADDRESS(125,5))</f>
        <v>0</v>
      </c>
      <c r="R125">
        <f>sumifs(r:r,A:A,"总成",B:B,"852-244000-100")*INDIRECT(ADDRESS(125,5))</f>
        <v>0</v>
      </c>
      <c r="S125">
        <f>sumifs(s:s,A:A,"总成",B:B,"852-244000-100")*INDIRECT(ADDRESS(125,5))</f>
        <v>0</v>
      </c>
      <c r="T125">
        <f>sumifs(t:t,A:A,"总成",B:B,"852-244000-100")*INDIRECT(ADDRESS(125,5))</f>
        <v>0</v>
      </c>
      <c r="U125">
        <f>sumifs(u:u,A:A,"总成",B:B,"852-244000-100")*INDIRECT(ADDRESS(125,5))</f>
        <v>0</v>
      </c>
      <c r="V125">
        <f>sumifs(v:v,A:A,"总成",B:B,"852-244000-100")*INDIRECT(ADDRESS(125,5))</f>
        <v>0</v>
      </c>
      <c r="W125">
        <f>sumifs(w:w,A:A,"总成",B:B,"852-244000-100")*INDIRECT(ADDRESS(125,5))</f>
        <v>0</v>
      </c>
      <c r="X125">
        <f>sumifs(x:x,A:A,"总成",B:B,"852-244000-100")*INDIRECT(ADDRESS(125,5))</f>
        <v>0</v>
      </c>
      <c r="Y125">
        <f>sumifs(y:y,A:A,"总成",B:B,"852-244000-100")*INDIRECT(ADDRESS(125,5))</f>
        <v>0</v>
      </c>
      <c r="Z125">
        <f>sumifs(z:z,A:A,"总成",B:B,"852-244000-100")*INDIRECT(ADDRESS(125,5))</f>
        <v>0</v>
      </c>
      <c r="AA125">
        <f>sumifs(aa:aa,A:A,"总成",B:B,"852-244000-100")*INDIRECT(ADDRESS(125,5))</f>
        <v>0</v>
      </c>
      <c r="AB125">
        <f>sumifs(ab:ab,A:A,"总成",B:B,"852-244000-100")*INDIRECT(ADDRESS(125,5))</f>
        <v>0</v>
      </c>
      <c r="AC125">
        <f>sumifs(ac:ac,A:A,"总成",B:B,"852-244000-100")*INDIRECT(ADDRESS(125,5))</f>
        <v>0</v>
      </c>
      <c r="AD125">
        <f>sumifs(ad:ad,A:A,"总成",B:B,"852-244000-100")*INDIRECT(ADDRESS(125,5))</f>
        <v>0</v>
      </c>
      <c r="AE125">
        <f>sumifs(ae:ae,A:A,"总成",B:B,"852-244000-100")*INDIRECT(ADDRESS(125,5))</f>
        <v>0</v>
      </c>
      <c r="AF125">
        <f>sumifs(af:af,A:A,"总成",B:B,"852-244000-100")*INDIRECT(ADDRESS(125,5))</f>
        <v>0</v>
      </c>
      <c r="AG125">
        <f>sumifs(ag:ag,A:A,"总成",B:B,"852-244000-100")*INDIRECT(ADDRESS(125,5))</f>
        <v>0</v>
      </c>
      <c r="AH125">
        <f>sumifs(ah:ah,A:A,"总成",B:B,"852-244000-100")*INDIRECT(ADDRESS(125,5))</f>
        <v>0</v>
      </c>
      <c r="AI125">
        <f>sumifs(ai:ai,A:A,"总成",B:B,"852-244000-100")*INDIRECT(ADDRESS(125,5))</f>
        <v>0</v>
      </c>
      <c r="AJ125">
        <f>sumifs(aj:aj,A:A,"总成",B:B,"852-244000-100")*INDIRECT(ADDRESS(125,5))</f>
        <v>0</v>
      </c>
      <c r="AK125">
        <f>sumifs(ak:ak,A:A,"总成",B:B,"852-244000-100")*INDIRECT(ADDRESS(125,5))</f>
        <v>0</v>
      </c>
      <c r="AL125">
        <f>sumifs(al:al,A:A,"总成",B:B,"852-244000-100")*INDIRECT(ADDRESS(125,5))</f>
        <v>0</v>
      </c>
      <c r="AM125">
        <f>sumifs(am:am,A:A,"总成",B:B,"852-244000-100")*INDIRECT(ADDRESS(125,5))</f>
        <v>0</v>
      </c>
      <c r="AN125">
        <f>sumifs(an:an,A:A,"总成",B:B,"852-244000-100")*INDIRECT(ADDRESS(125,5))</f>
        <v>0</v>
      </c>
      <c r="AO125">
        <f>sumifs(ao:ao,A:A,"总成",B:B,"852-244000-100")*INDIRECT(ADDRESS(125,5))</f>
        <v>0</v>
      </c>
      <c r="AP125">
        <f>sumifs(ap:ap,A:A,"总成",B:B,"852-244000-100")*INDIRECT(ADDRESS(125,5))</f>
        <v>0</v>
      </c>
      <c r="AQ125">
        <f>sumifs(aq:aq,A:A,"总成",B:B,"852-244000-100")*INDIRECT(ADDRESS(125,5))</f>
        <v>0</v>
      </c>
      <c r="AR125">
        <f>sumifs(ar:ar,A:A,"总成",B:B,"852-244000-100")*INDIRECT(ADDRESS(125,5))</f>
        <v>0</v>
      </c>
    </row>
    <row r="126" spans="1:44">
      <c r="A126" t="s">
        <v>31</v>
      </c>
      <c r="B126" t="s">
        <v>361</v>
      </c>
      <c r="C126" t="s">
        <v>362</v>
      </c>
      <c r="D126" t="s">
        <v>17</v>
      </c>
      <c r="E126">
        <v>1</v>
      </c>
      <c r="F126" t="s">
        <v>363</v>
      </c>
      <c r="K126" t="s">
        <v>308</v>
      </c>
      <c r="L126" t="s">
        <v>37</v>
      </c>
      <c r="M126">
        <f>sumifs(m:m,A:A,"总成",B:B,"852-244000-100")*INDIRECT(ADDRESS(126,5))</f>
        <v>0</v>
      </c>
      <c r="N126">
        <f>sumifs(n:n,A:A,"总成",B:B,"852-244000-100")*INDIRECT(ADDRESS(126,5))</f>
        <v>0</v>
      </c>
      <c r="O126">
        <f>sumifs(o:o,A:A,"总成",B:B,"852-244000-100")*INDIRECT(ADDRESS(126,5))</f>
        <v>0</v>
      </c>
      <c r="P126">
        <f>sumifs(p:p,A:A,"总成",B:B,"852-244000-100")*INDIRECT(ADDRESS(126,5))</f>
        <v>0</v>
      </c>
      <c r="Q126">
        <f>sumifs(q:q,A:A,"总成",B:B,"852-244000-100")*INDIRECT(ADDRESS(126,5))</f>
        <v>0</v>
      </c>
      <c r="R126">
        <f>sumifs(r:r,A:A,"总成",B:B,"852-244000-100")*INDIRECT(ADDRESS(126,5))</f>
        <v>0</v>
      </c>
      <c r="S126">
        <f>sumifs(s:s,A:A,"总成",B:B,"852-244000-100")*INDIRECT(ADDRESS(126,5))</f>
        <v>0</v>
      </c>
      <c r="T126">
        <f>sumifs(t:t,A:A,"总成",B:B,"852-244000-100")*INDIRECT(ADDRESS(126,5))</f>
        <v>0</v>
      </c>
      <c r="U126">
        <f>sumifs(u:u,A:A,"总成",B:B,"852-244000-100")*INDIRECT(ADDRESS(126,5))</f>
        <v>0</v>
      </c>
      <c r="V126">
        <f>sumifs(v:v,A:A,"总成",B:B,"852-244000-100")*INDIRECT(ADDRESS(126,5))</f>
        <v>0</v>
      </c>
      <c r="W126">
        <f>sumifs(w:w,A:A,"总成",B:B,"852-244000-100")*INDIRECT(ADDRESS(126,5))</f>
        <v>0</v>
      </c>
      <c r="X126">
        <f>sumifs(x:x,A:A,"总成",B:B,"852-244000-100")*INDIRECT(ADDRESS(126,5))</f>
        <v>0</v>
      </c>
      <c r="Y126">
        <f>sumifs(y:y,A:A,"总成",B:B,"852-244000-100")*INDIRECT(ADDRESS(126,5))</f>
        <v>0</v>
      </c>
      <c r="Z126">
        <f>sumifs(z:z,A:A,"总成",B:B,"852-244000-100")*INDIRECT(ADDRESS(126,5))</f>
        <v>0</v>
      </c>
      <c r="AA126">
        <f>sumifs(aa:aa,A:A,"总成",B:B,"852-244000-100")*INDIRECT(ADDRESS(126,5))</f>
        <v>0</v>
      </c>
      <c r="AB126">
        <f>sumifs(ab:ab,A:A,"总成",B:B,"852-244000-100")*INDIRECT(ADDRESS(126,5))</f>
        <v>0</v>
      </c>
      <c r="AC126">
        <f>sumifs(ac:ac,A:A,"总成",B:B,"852-244000-100")*INDIRECT(ADDRESS(126,5))</f>
        <v>0</v>
      </c>
      <c r="AD126">
        <f>sumifs(ad:ad,A:A,"总成",B:B,"852-244000-100")*INDIRECT(ADDRESS(126,5))</f>
        <v>0</v>
      </c>
      <c r="AE126">
        <f>sumifs(ae:ae,A:A,"总成",B:B,"852-244000-100")*INDIRECT(ADDRESS(126,5))</f>
        <v>0</v>
      </c>
      <c r="AF126">
        <f>sumifs(af:af,A:A,"总成",B:B,"852-244000-100")*INDIRECT(ADDRESS(126,5))</f>
        <v>0</v>
      </c>
      <c r="AG126">
        <f>sumifs(ag:ag,A:A,"总成",B:B,"852-244000-100")*INDIRECT(ADDRESS(126,5))</f>
        <v>0</v>
      </c>
      <c r="AH126">
        <f>sumifs(ah:ah,A:A,"总成",B:B,"852-244000-100")*INDIRECT(ADDRESS(126,5))</f>
        <v>0</v>
      </c>
      <c r="AI126">
        <f>sumifs(ai:ai,A:A,"总成",B:B,"852-244000-100")*INDIRECT(ADDRESS(126,5))</f>
        <v>0</v>
      </c>
      <c r="AJ126">
        <f>sumifs(aj:aj,A:A,"总成",B:B,"852-244000-100")*INDIRECT(ADDRESS(126,5))</f>
        <v>0</v>
      </c>
      <c r="AK126">
        <f>sumifs(ak:ak,A:A,"总成",B:B,"852-244000-100")*INDIRECT(ADDRESS(126,5))</f>
        <v>0</v>
      </c>
      <c r="AL126">
        <f>sumifs(al:al,A:A,"总成",B:B,"852-244000-100")*INDIRECT(ADDRESS(126,5))</f>
        <v>0</v>
      </c>
      <c r="AM126">
        <f>sumifs(am:am,A:A,"总成",B:B,"852-244000-100")*INDIRECT(ADDRESS(126,5))</f>
        <v>0</v>
      </c>
      <c r="AN126">
        <f>sumifs(an:an,A:A,"总成",B:B,"852-244000-100")*INDIRECT(ADDRESS(126,5))</f>
        <v>0</v>
      </c>
      <c r="AO126">
        <f>sumifs(ao:ao,A:A,"总成",B:B,"852-244000-100")*INDIRECT(ADDRESS(126,5))</f>
        <v>0</v>
      </c>
      <c r="AP126">
        <f>sumifs(ap:ap,A:A,"总成",B:B,"852-244000-100")*INDIRECT(ADDRESS(126,5))</f>
        <v>0</v>
      </c>
      <c r="AQ126">
        <f>sumifs(aq:aq,A:A,"总成",B:B,"852-244000-100")*INDIRECT(ADDRESS(126,5))</f>
        <v>0</v>
      </c>
      <c r="AR126">
        <f>sumifs(ar:ar,A:A,"总成",B:B,"852-244000-100")*INDIRECT(ADDRESS(126,5))</f>
        <v>0</v>
      </c>
    </row>
    <row r="127" spans="1:44">
      <c r="A127" t="s">
        <v>14</v>
      </c>
      <c r="B127" t="s">
        <v>120</v>
      </c>
      <c r="C127" t="s">
        <v>121</v>
      </c>
      <c r="D127" t="s">
        <v>256</v>
      </c>
      <c r="E127">
        <v>1</v>
      </c>
      <c r="F127" t="s">
        <v>122</v>
      </c>
      <c r="K127" t="s">
        <v>305</v>
      </c>
      <c r="L127" t="s">
        <v>21</v>
      </c>
      <c r="M127">
        <f>vlookup("852-246000-100",生产发行表!B:AZ,column(l1),0)</f>
        <v>0</v>
      </c>
      <c r="N127">
        <f>vlookup("852-246000-100",生产发行表!B:AZ,column(m1),0)</f>
        <v>0</v>
      </c>
      <c r="O127">
        <f>vlookup("852-246000-100",生产发行表!B:AZ,column(n1),0)</f>
        <v>0</v>
      </c>
      <c r="P127">
        <f>vlookup("852-246000-100",生产发行表!B:AZ,column(o1),0)</f>
        <v>0</v>
      </c>
      <c r="Q127">
        <f>vlookup("852-246000-100",生产发行表!B:AZ,column(p1),0)</f>
        <v>0</v>
      </c>
      <c r="R127">
        <f>vlookup("852-246000-100",生产发行表!B:AZ,column(q1),0)</f>
        <v>0</v>
      </c>
      <c r="S127">
        <f>vlookup("852-246000-100",生产发行表!B:AZ,column(r1),0)</f>
        <v>0</v>
      </c>
      <c r="T127">
        <f>vlookup("852-246000-100",生产发行表!B:AZ,column(s1),0)</f>
        <v>0</v>
      </c>
      <c r="U127">
        <f>vlookup("852-246000-100",生产发行表!B:AZ,column(t1),0)</f>
        <v>0</v>
      </c>
      <c r="V127">
        <f>vlookup("852-246000-100",生产发行表!B:AZ,column(u1),0)</f>
        <v>0</v>
      </c>
      <c r="W127">
        <f>vlookup("852-246000-100",生产发行表!B:AZ,column(v1),0)</f>
        <v>0</v>
      </c>
      <c r="X127">
        <f>vlookup("852-246000-100",生产发行表!B:AZ,column(w1),0)</f>
        <v>0</v>
      </c>
      <c r="Y127">
        <f>vlookup("852-246000-100",生产发行表!B:AZ,column(x1),0)</f>
        <v>0</v>
      </c>
      <c r="Z127">
        <f>vlookup("852-246000-100",生产发行表!B:AZ,column(y1),0)</f>
        <v>0</v>
      </c>
      <c r="AA127">
        <f>vlookup("852-246000-100",生产发行表!B:AZ,column(z1),0)</f>
        <v>0</v>
      </c>
      <c r="AB127">
        <f>vlookup("852-246000-100",生产发行表!B:AZ,column(aa1),0)</f>
        <v>0</v>
      </c>
      <c r="AC127">
        <f>vlookup("852-246000-100",生产发行表!B:AZ,column(ab1),0)</f>
        <v>0</v>
      </c>
      <c r="AD127">
        <f>vlookup("852-246000-100",生产发行表!B:AZ,column(ac1),0)</f>
        <v>0</v>
      </c>
      <c r="AE127">
        <f>vlookup("852-246000-100",生产发行表!B:AZ,column(ad1),0)</f>
        <v>0</v>
      </c>
      <c r="AF127">
        <f>vlookup("852-246000-100",生产发行表!B:AZ,column(ae1),0)</f>
        <v>0</v>
      </c>
      <c r="AG127">
        <f>vlookup("852-246000-100",生产发行表!B:AZ,column(af1),0)</f>
        <v>0</v>
      </c>
      <c r="AH127">
        <f>vlookup("852-246000-100",生产发行表!B:AZ,column(ag1),0)</f>
        <v>0</v>
      </c>
      <c r="AI127">
        <f>vlookup("852-246000-100",生产发行表!B:AZ,column(ah1),0)</f>
        <v>0</v>
      </c>
      <c r="AJ127">
        <f>vlookup("852-246000-100",生产发行表!B:AZ,column(ai1),0)</f>
        <v>0</v>
      </c>
      <c r="AK127">
        <f>vlookup("852-246000-100",生产发行表!B:AZ,column(aj1),0)</f>
        <v>0</v>
      </c>
      <c r="AL127">
        <f>vlookup("852-246000-100",生产发行表!B:AZ,column(ak1),0)</f>
        <v>0</v>
      </c>
      <c r="AM127">
        <f>vlookup("852-246000-100",生产发行表!B:AZ,column(al1),0)</f>
        <v>0</v>
      </c>
      <c r="AN127">
        <f>vlookup("852-246000-100",生产发行表!B:AZ,column(am1),0)</f>
        <v>0</v>
      </c>
      <c r="AO127">
        <f>vlookup("852-246000-100",生产发行表!B:AZ,column(an1),0)</f>
        <v>0</v>
      </c>
      <c r="AP127">
        <f>vlookup("852-246000-100",生产发行表!B:AZ,column(ao1),0)</f>
        <v>0</v>
      </c>
      <c r="AQ127">
        <f>vlookup("852-246000-100",生产发行表!B:AZ,column(ap1),0)</f>
        <v>0</v>
      </c>
      <c r="AR127">
        <f>vlookup("852-246000-100",生产发行表!B:AZ,column(aq1),0)</f>
        <v>0</v>
      </c>
    </row>
    <row r="128" spans="1:44">
      <c r="A128" t="s">
        <v>31</v>
      </c>
      <c r="B128" t="s">
        <v>364</v>
      </c>
      <c r="C128" t="s">
        <v>365</v>
      </c>
      <c r="D128" t="s">
        <v>256</v>
      </c>
      <c r="E128">
        <v>7</v>
      </c>
      <c r="F128" t="s">
        <v>366</v>
      </c>
      <c r="K128" t="s">
        <v>308</v>
      </c>
      <c r="L128" t="s">
        <v>37</v>
      </c>
      <c r="M128">
        <f>sumifs(m:m,A:A,"总成",B:B,"852-246000-100")*INDIRECT(ADDRESS(128,5))</f>
        <v>0</v>
      </c>
      <c r="N128">
        <f>sumifs(n:n,A:A,"总成",B:B,"852-246000-100")*INDIRECT(ADDRESS(128,5))</f>
        <v>0</v>
      </c>
      <c r="O128">
        <f>sumifs(o:o,A:A,"总成",B:B,"852-246000-100")*INDIRECT(ADDRESS(128,5))</f>
        <v>0</v>
      </c>
      <c r="P128">
        <f>sumifs(p:p,A:A,"总成",B:B,"852-246000-100")*INDIRECT(ADDRESS(128,5))</f>
        <v>0</v>
      </c>
      <c r="Q128">
        <f>sumifs(q:q,A:A,"总成",B:B,"852-246000-100")*INDIRECT(ADDRESS(128,5))</f>
        <v>0</v>
      </c>
      <c r="R128">
        <f>sumifs(r:r,A:A,"总成",B:B,"852-246000-100")*INDIRECT(ADDRESS(128,5))</f>
        <v>0</v>
      </c>
      <c r="S128">
        <f>sumifs(s:s,A:A,"总成",B:B,"852-246000-100")*INDIRECT(ADDRESS(128,5))</f>
        <v>0</v>
      </c>
      <c r="T128">
        <f>sumifs(t:t,A:A,"总成",B:B,"852-246000-100")*INDIRECT(ADDRESS(128,5))</f>
        <v>0</v>
      </c>
      <c r="U128">
        <f>sumifs(u:u,A:A,"总成",B:B,"852-246000-100")*INDIRECT(ADDRESS(128,5))</f>
        <v>0</v>
      </c>
      <c r="V128">
        <f>sumifs(v:v,A:A,"总成",B:B,"852-246000-100")*INDIRECT(ADDRESS(128,5))</f>
        <v>0</v>
      </c>
      <c r="W128">
        <f>sumifs(w:w,A:A,"总成",B:B,"852-246000-100")*INDIRECT(ADDRESS(128,5))</f>
        <v>0</v>
      </c>
      <c r="X128">
        <f>sumifs(x:x,A:A,"总成",B:B,"852-246000-100")*INDIRECT(ADDRESS(128,5))</f>
        <v>0</v>
      </c>
      <c r="Y128">
        <f>sumifs(y:y,A:A,"总成",B:B,"852-246000-100")*INDIRECT(ADDRESS(128,5))</f>
        <v>0</v>
      </c>
      <c r="Z128">
        <f>sumifs(z:z,A:A,"总成",B:B,"852-246000-100")*INDIRECT(ADDRESS(128,5))</f>
        <v>0</v>
      </c>
      <c r="AA128">
        <f>sumifs(aa:aa,A:A,"总成",B:B,"852-246000-100")*INDIRECT(ADDRESS(128,5))</f>
        <v>0</v>
      </c>
      <c r="AB128">
        <f>sumifs(ab:ab,A:A,"总成",B:B,"852-246000-100")*INDIRECT(ADDRESS(128,5))</f>
        <v>0</v>
      </c>
      <c r="AC128">
        <f>sumifs(ac:ac,A:A,"总成",B:B,"852-246000-100")*INDIRECT(ADDRESS(128,5))</f>
        <v>0</v>
      </c>
      <c r="AD128">
        <f>sumifs(ad:ad,A:A,"总成",B:B,"852-246000-100")*INDIRECT(ADDRESS(128,5))</f>
        <v>0</v>
      </c>
      <c r="AE128">
        <f>sumifs(ae:ae,A:A,"总成",B:B,"852-246000-100")*INDIRECT(ADDRESS(128,5))</f>
        <v>0</v>
      </c>
      <c r="AF128">
        <f>sumifs(af:af,A:A,"总成",B:B,"852-246000-100")*INDIRECT(ADDRESS(128,5))</f>
        <v>0</v>
      </c>
      <c r="AG128">
        <f>sumifs(ag:ag,A:A,"总成",B:B,"852-246000-100")*INDIRECT(ADDRESS(128,5))</f>
        <v>0</v>
      </c>
      <c r="AH128">
        <f>sumifs(ah:ah,A:A,"总成",B:B,"852-246000-100")*INDIRECT(ADDRESS(128,5))</f>
        <v>0</v>
      </c>
      <c r="AI128">
        <f>sumifs(ai:ai,A:A,"总成",B:B,"852-246000-100")*INDIRECT(ADDRESS(128,5))</f>
        <v>0</v>
      </c>
      <c r="AJ128">
        <f>sumifs(aj:aj,A:A,"总成",B:B,"852-246000-100")*INDIRECT(ADDRESS(128,5))</f>
        <v>0</v>
      </c>
      <c r="AK128">
        <f>sumifs(ak:ak,A:A,"总成",B:B,"852-246000-100")*INDIRECT(ADDRESS(128,5))</f>
        <v>0</v>
      </c>
      <c r="AL128">
        <f>sumifs(al:al,A:A,"总成",B:B,"852-246000-100")*INDIRECT(ADDRESS(128,5))</f>
        <v>0</v>
      </c>
      <c r="AM128">
        <f>sumifs(am:am,A:A,"总成",B:B,"852-246000-100")*INDIRECT(ADDRESS(128,5))</f>
        <v>0</v>
      </c>
      <c r="AN128">
        <f>sumifs(an:an,A:A,"总成",B:B,"852-246000-100")*INDIRECT(ADDRESS(128,5))</f>
        <v>0</v>
      </c>
      <c r="AO128">
        <f>sumifs(ao:ao,A:A,"总成",B:B,"852-246000-100")*INDIRECT(ADDRESS(128,5))</f>
        <v>0</v>
      </c>
      <c r="AP128">
        <f>sumifs(ap:ap,A:A,"总成",B:B,"852-246000-100")*INDIRECT(ADDRESS(128,5))</f>
        <v>0</v>
      </c>
      <c r="AQ128">
        <f>sumifs(aq:aq,A:A,"总成",B:B,"852-246000-100")*INDIRECT(ADDRESS(128,5))</f>
        <v>0</v>
      </c>
      <c r="AR128">
        <f>sumifs(ar:ar,A:A,"总成",B:B,"852-246000-100")*INDIRECT(ADDRESS(128,5))</f>
        <v>0</v>
      </c>
    </row>
    <row r="129" spans="1:44">
      <c r="A129" t="s">
        <v>31</v>
      </c>
      <c r="B129" t="s">
        <v>367</v>
      </c>
      <c r="C129" t="s">
        <v>368</v>
      </c>
      <c r="D129" t="s">
        <v>256</v>
      </c>
      <c r="E129">
        <v>3</v>
      </c>
      <c r="F129" t="s">
        <v>369</v>
      </c>
      <c r="K129" t="s">
        <v>308</v>
      </c>
      <c r="L129" t="s">
        <v>37</v>
      </c>
      <c r="M129">
        <f>sumifs(m:m,A:A,"总成",B:B,"852-246000-100")*INDIRECT(ADDRESS(129,5))</f>
        <v>0</v>
      </c>
      <c r="N129">
        <f>sumifs(n:n,A:A,"总成",B:B,"852-246000-100")*INDIRECT(ADDRESS(129,5))</f>
        <v>0</v>
      </c>
      <c r="O129">
        <f>sumifs(o:o,A:A,"总成",B:B,"852-246000-100")*INDIRECT(ADDRESS(129,5))</f>
        <v>0</v>
      </c>
      <c r="P129">
        <f>sumifs(p:p,A:A,"总成",B:B,"852-246000-100")*INDIRECT(ADDRESS(129,5))</f>
        <v>0</v>
      </c>
      <c r="Q129">
        <f>sumifs(q:q,A:A,"总成",B:B,"852-246000-100")*INDIRECT(ADDRESS(129,5))</f>
        <v>0</v>
      </c>
      <c r="R129">
        <f>sumifs(r:r,A:A,"总成",B:B,"852-246000-100")*INDIRECT(ADDRESS(129,5))</f>
        <v>0</v>
      </c>
      <c r="S129">
        <f>sumifs(s:s,A:A,"总成",B:B,"852-246000-100")*INDIRECT(ADDRESS(129,5))</f>
        <v>0</v>
      </c>
      <c r="T129">
        <f>sumifs(t:t,A:A,"总成",B:B,"852-246000-100")*INDIRECT(ADDRESS(129,5))</f>
        <v>0</v>
      </c>
      <c r="U129">
        <f>sumifs(u:u,A:A,"总成",B:B,"852-246000-100")*INDIRECT(ADDRESS(129,5))</f>
        <v>0</v>
      </c>
      <c r="V129">
        <f>sumifs(v:v,A:A,"总成",B:B,"852-246000-100")*INDIRECT(ADDRESS(129,5))</f>
        <v>0</v>
      </c>
      <c r="W129">
        <f>sumifs(w:w,A:A,"总成",B:B,"852-246000-100")*INDIRECT(ADDRESS(129,5))</f>
        <v>0</v>
      </c>
      <c r="X129">
        <f>sumifs(x:x,A:A,"总成",B:B,"852-246000-100")*INDIRECT(ADDRESS(129,5))</f>
        <v>0</v>
      </c>
      <c r="Y129">
        <f>sumifs(y:y,A:A,"总成",B:B,"852-246000-100")*INDIRECT(ADDRESS(129,5))</f>
        <v>0</v>
      </c>
      <c r="Z129">
        <f>sumifs(z:z,A:A,"总成",B:B,"852-246000-100")*INDIRECT(ADDRESS(129,5))</f>
        <v>0</v>
      </c>
      <c r="AA129">
        <f>sumifs(aa:aa,A:A,"总成",B:B,"852-246000-100")*INDIRECT(ADDRESS(129,5))</f>
        <v>0</v>
      </c>
      <c r="AB129">
        <f>sumifs(ab:ab,A:A,"总成",B:B,"852-246000-100")*INDIRECT(ADDRESS(129,5))</f>
        <v>0</v>
      </c>
      <c r="AC129">
        <f>sumifs(ac:ac,A:A,"总成",B:B,"852-246000-100")*INDIRECT(ADDRESS(129,5))</f>
        <v>0</v>
      </c>
      <c r="AD129">
        <f>sumifs(ad:ad,A:A,"总成",B:B,"852-246000-100")*INDIRECT(ADDRESS(129,5))</f>
        <v>0</v>
      </c>
      <c r="AE129">
        <f>sumifs(ae:ae,A:A,"总成",B:B,"852-246000-100")*INDIRECT(ADDRESS(129,5))</f>
        <v>0</v>
      </c>
      <c r="AF129">
        <f>sumifs(af:af,A:A,"总成",B:B,"852-246000-100")*INDIRECT(ADDRESS(129,5))</f>
        <v>0</v>
      </c>
      <c r="AG129">
        <f>sumifs(ag:ag,A:A,"总成",B:B,"852-246000-100")*INDIRECT(ADDRESS(129,5))</f>
        <v>0</v>
      </c>
      <c r="AH129">
        <f>sumifs(ah:ah,A:A,"总成",B:B,"852-246000-100")*INDIRECT(ADDRESS(129,5))</f>
        <v>0</v>
      </c>
      <c r="AI129">
        <f>sumifs(ai:ai,A:A,"总成",B:B,"852-246000-100")*INDIRECT(ADDRESS(129,5))</f>
        <v>0</v>
      </c>
      <c r="AJ129">
        <f>sumifs(aj:aj,A:A,"总成",B:B,"852-246000-100")*INDIRECT(ADDRESS(129,5))</f>
        <v>0</v>
      </c>
      <c r="AK129">
        <f>sumifs(ak:ak,A:A,"总成",B:B,"852-246000-100")*INDIRECT(ADDRESS(129,5))</f>
        <v>0</v>
      </c>
      <c r="AL129">
        <f>sumifs(al:al,A:A,"总成",B:B,"852-246000-100")*INDIRECT(ADDRESS(129,5))</f>
        <v>0</v>
      </c>
      <c r="AM129">
        <f>sumifs(am:am,A:A,"总成",B:B,"852-246000-100")*INDIRECT(ADDRESS(129,5))</f>
        <v>0</v>
      </c>
      <c r="AN129">
        <f>sumifs(an:an,A:A,"总成",B:B,"852-246000-100")*INDIRECT(ADDRESS(129,5))</f>
        <v>0</v>
      </c>
      <c r="AO129">
        <f>sumifs(ao:ao,A:A,"总成",B:B,"852-246000-100")*INDIRECT(ADDRESS(129,5))</f>
        <v>0</v>
      </c>
      <c r="AP129">
        <f>sumifs(ap:ap,A:A,"总成",B:B,"852-246000-100")*INDIRECT(ADDRESS(129,5))</f>
        <v>0</v>
      </c>
      <c r="AQ129">
        <f>sumifs(aq:aq,A:A,"总成",B:B,"852-246000-100")*INDIRECT(ADDRESS(129,5))</f>
        <v>0</v>
      </c>
      <c r="AR129">
        <f>sumifs(ar:ar,A:A,"总成",B:B,"852-246000-100")*INDIRECT(ADDRESS(129,5))</f>
        <v>0</v>
      </c>
    </row>
    <row r="130" spans="1:44">
      <c r="A130" t="s">
        <v>31</v>
      </c>
      <c r="B130" t="s">
        <v>370</v>
      </c>
      <c r="C130" t="s">
        <v>371</v>
      </c>
      <c r="D130" t="s">
        <v>17</v>
      </c>
      <c r="E130">
        <v>1</v>
      </c>
      <c r="F130" t="s">
        <v>372</v>
      </c>
      <c r="K130" t="s">
        <v>308</v>
      </c>
      <c r="L130" t="s">
        <v>37</v>
      </c>
      <c r="M130">
        <f>sumifs(m:m,A:A,"总成",B:B,"852-246000-100")*INDIRECT(ADDRESS(130,5))</f>
        <v>0</v>
      </c>
      <c r="N130">
        <f>sumifs(n:n,A:A,"总成",B:B,"852-246000-100")*INDIRECT(ADDRESS(130,5))</f>
        <v>0</v>
      </c>
      <c r="O130">
        <f>sumifs(o:o,A:A,"总成",B:B,"852-246000-100")*INDIRECT(ADDRESS(130,5))</f>
        <v>0</v>
      </c>
      <c r="P130">
        <f>sumifs(p:p,A:A,"总成",B:B,"852-246000-100")*INDIRECT(ADDRESS(130,5))</f>
        <v>0</v>
      </c>
      <c r="Q130">
        <f>sumifs(q:q,A:A,"总成",B:B,"852-246000-100")*INDIRECT(ADDRESS(130,5))</f>
        <v>0</v>
      </c>
      <c r="R130">
        <f>sumifs(r:r,A:A,"总成",B:B,"852-246000-100")*INDIRECT(ADDRESS(130,5))</f>
        <v>0</v>
      </c>
      <c r="S130">
        <f>sumifs(s:s,A:A,"总成",B:B,"852-246000-100")*INDIRECT(ADDRESS(130,5))</f>
        <v>0</v>
      </c>
      <c r="T130">
        <f>sumifs(t:t,A:A,"总成",B:B,"852-246000-100")*INDIRECT(ADDRESS(130,5))</f>
        <v>0</v>
      </c>
      <c r="U130">
        <f>sumifs(u:u,A:A,"总成",B:B,"852-246000-100")*INDIRECT(ADDRESS(130,5))</f>
        <v>0</v>
      </c>
      <c r="V130">
        <f>sumifs(v:v,A:A,"总成",B:B,"852-246000-100")*INDIRECT(ADDRESS(130,5))</f>
        <v>0</v>
      </c>
      <c r="W130">
        <f>sumifs(w:w,A:A,"总成",B:B,"852-246000-100")*INDIRECT(ADDRESS(130,5))</f>
        <v>0</v>
      </c>
      <c r="X130">
        <f>sumifs(x:x,A:A,"总成",B:B,"852-246000-100")*INDIRECT(ADDRESS(130,5))</f>
        <v>0</v>
      </c>
      <c r="Y130">
        <f>sumifs(y:y,A:A,"总成",B:B,"852-246000-100")*INDIRECT(ADDRESS(130,5))</f>
        <v>0</v>
      </c>
      <c r="Z130">
        <f>sumifs(z:z,A:A,"总成",B:B,"852-246000-100")*INDIRECT(ADDRESS(130,5))</f>
        <v>0</v>
      </c>
      <c r="AA130">
        <f>sumifs(aa:aa,A:A,"总成",B:B,"852-246000-100")*INDIRECT(ADDRESS(130,5))</f>
        <v>0</v>
      </c>
      <c r="AB130">
        <f>sumifs(ab:ab,A:A,"总成",B:B,"852-246000-100")*INDIRECT(ADDRESS(130,5))</f>
        <v>0</v>
      </c>
      <c r="AC130">
        <f>sumifs(ac:ac,A:A,"总成",B:B,"852-246000-100")*INDIRECT(ADDRESS(130,5))</f>
        <v>0</v>
      </c>
      <c r="AD130">
        <f>sumifs(ad:ad,A:A,"总成",B:B,"852-246000-100")*INDIRECT(ADDRESS(130,5))</f>
        <v>0</v>
      </c>
      <c r="AE130">
        <f>sumifs(ae:ae,A:A,"总成",B:B,"852-246000-100")*INDIRECT(ADDRESS(130,5))</f>
        <v>0</v>
      </c>
      <c r="AF130">
        <f>sumifs(af:af,A:A,"总成",B:B,"852-246000-100")*INDIRECT(ADDRESS(130,5))</f>
        <v>0</v>
      </c>
      <c r="AG130">
        <f>sumifs(ag:ag,A:A,"总成",B:B,"852-246000-100")*INDIRECT(ADDRESS(130,5))</f>
        <v>0</v>
      </c>
      <c r="AH130">
        <f>sumifs(ah:ah,A:A,"总成",B:B,"852-246000-100")*INDIRECT(ADDRESS(130,5))</f>
        <v>0</v>
      </c>
      <c r="AI130">
        <f>sumifs(ai:ai,A:A,"总成",B:B,"852-246000-100")*INDIRECT(ADDRESS(130,5))</f>
        <v>0</v>
      </c>
      <c r="AJ130">
        <f>sumifs(aj:aj,A:A,"总成",B:B,"852-246000-100")*INDIRECT(ADDRESS(130,5))</f>
        <v>0</v>
      </c>
      <c r="AK130">
        <f>sumifs(ak:ak,A:A,"总成",B:B,"852-246000-100")*INDIRECT(ADDRESS(130,5))</f>
        <v>0</v>
      </c>
      <c r="AL130">
        <f>sumifs(al:al,A:A,"总成",B:B,"852-246000-100")*INDIRECT(ADDRESS(130,5))</f>
        <v>0</v>
      </c>
      <c r="AM130">
        <f>sumifs(am:am,A:A,"总成",B:B,"852-246000-100")*INDIRECT(ADDRESS(130,5))</f>
        <v>0</v>
      </c>
      <c r="AN130">
        <f>sumifs(an:an,A:A,"总成",B:B,"852-246000-100")*INDIRECT(ADDRESS(130,5))</f>
        <v>0</v>
      </c>
      <c r="AO130">
        <f>sumifs(ao:ao,A:A,"总成",B:B,"852-246000-100")*INDIRECT(ADDRESS(130,5))</f>
        <v>0</v>
      </c>
      <c r="AP130">
        <f>sumifs(ap:ap,A:A,"总成",B:B,"852-246000-100")*INDIRECT(ADDRESS(130,5))</f>
        <v>0</v>
      </c>
      <c r="AQ130">
        <f>sumifs(aq:aq,A:A,"总成",B:B,"852-246000-100")*INDIRECT(ADDRESS(130,5))</f>
        <v>0</v>
      </c>
      <c r="AR130">
        <f>sumifs(ar:ar,A:A,"总成",B:B,"852-246000-100")*INDIRECT(ADDRESS(130,5))</f>
        <v>0</v>
      </c>
    </row>
    <row r="131" spans="1:44">
      <c r="A131" t="s">
        <v>14</v>
      </c>
      <c r="B131" t="s">
        <v>127</v>
      </c>
      <c r="C131" t="s">
        <v>128</v>
      </c>
      <c r="D131" t="s">
        <v>256</v>
      </c>
      <c r="E131">
        <v>1</v>
      </c>
      <c r="F131" t="s">
        <v>129</v>
      </c>
      <c r="K131" t="s">
        <v>305</v>
      </c>
      <c r="L131" t="s">
        <v>21</v>
      </c>
      <c r="M131">
        <f>vlookup("852-246000-200",生产发行表!B:AZ,column(l1),0)</f>
        <v>0</v>
      </c>
      <c r="N131">
        <f>vlookup("852-246000-200",生产发行表!B:AZ,column(m1),0)</f>
        <v>0</v>
      </c>
      <c r="O131">
        <f>vlookup("852-246000-200",生产发行表!B:AZ,column(n1),0)</f>
        <v>0</v>
      </c>
      <c r="P131">
        <f>vlookup("852-246000-200",生产发行表!B:AZ,column(o1),0)</f>
        <v>0</v>
      </c>
      <c r="Q131">
        <f>vlookup("852-246000-200",生产发行表!B:AZ,column(p1),0)</f>
        <v>0</v>
      </c>
      <c r="R131">
        <f>vlookup("852-246000-200",生产发行表!B:AZ,column(q1),0)</f>
        <v>0</v>
      </c>
      <c r="S131">
        <f>vlookup("852-246000-200",生产发行表!B:AZ,column(r1),0)</f>
        <v>0</v>
      </c>
      <c r="T131">
        <f>vlookup("852-246000-200",生产发行表!B:AZ,column(s1),0)</f>
        <v>0</v>
      </c>
      <c r="U131">
        <f>vlookup("852-246000-200",生产发行表!B:AZ,column(t1),0)</f>
        <v>0</v>
      </c>
      <c r="V131">
        <f>vlookup("852-246000-200",生产发行表!B:AZ,column(u1),0)</f>
        <v>0</v>
      </c>
      <c r="W131">
        <f>vlookup("852-246000-200",生产发行表!B:AZ,column(v1),0)</f>
        <v>0</v>
      </c>
      <c r="X131">
        <f>vlookup("852-246000-200",生产发行表!B:AZ,column(w1),0)</f>
        <v>0</v>
      </c>
      <c r="Y131">
        <f>vlookup("852-246000-200",生产发行表!B:AZ,column(x1),0)</f>
        <v>0</v>
      </c>
      <c r="Z131">
        <f>vlookup("852-246000-200",生产发行表!B:AZ,column(y1),0)</f>
        <v>0</v>
      </c>
      <c r="AA131">
        <f>vlookup("852-246000-200",生产发行表!B:AZ,column(z1),0)</f>
        <v>0</v>
      </c>
      <c r="AB131">
        <f>vlookup("852-246000-200",生产发行表!B:AZ,column(aa1),0)</f>
        <v>0</v>
      </c>
      <c r="AC131">
        <f>vlookup("852-246000-200",生产发行表!B:AZ,column(ab1),0)</f>
        <v>0</v>
      </c>
      <c r="AD131">
        <f>vlookup("852-246000-200",生产发行表!B:AZ,column(ac1),0)</f>
        <v>0</v>
      </c>
      <c r="AE131">
        <f>vlookup("852-246000-200",生产发行表!B:AZ,column(ad1),0)</f>
        <v>0</v>
      </c>
      <c r="AF131">
        <f>vlookup("852-246000-200",生产发行表!B:AZ,column(ae1),0)</f>
        <v>0</v>
      </c>
      <c r="AG131">
        <f>vlookup("852-246000-200",生产发行表!B:AZ,column(af1),0)</f>
        <v>0</v>
      </c>
      <c r="AH131">
        <f>vlookup("852-246000-200",生产发行表!B:AZ,column(ag1),0)</f>
        <v>0</v>
      </c>
      <c r="AI131">
        <f>vlookup("852-246000-200",生产发行表!B:AZ,column(ah1),0)</f>
        <v>0</v>
      </c>
      <c r="AJ131">
        <f>vlookup("852-246000-200",生产发行表!B:AZ,column(ai1),0)</f>
        <v>0</v>
      </c>
      <c r="AK131">
        <f>vlookup("852-246000-200",生产发行表!B:AZ,column(aj1),0)</f>
        <v>0</v>
      </c>
      <c r="AL131">
        <f>vlookup("852-246000-200",生产发行表!B:AZ,column(ak1),0)</f>
        <v>0</v>
      </c>
      <c r="AM131">
        <f>vlookup("852-246000-200",生产发行表!B:AZ,column(al1),0)</f>
        <v>0</v>
      </c>
      <c r="AN131">
        <f>vlookup("852-246000-200",生产发行表!B:AZ,column(am1),0)</f>
        <v>0</v>
      </c>
      <c r="AO131">
        <f>vlookup("852-246000-200",生产发行表!B:AZ,column(an1),0)</f>
        <v>0</v>
      </c>
      <c r="AP131">
        <f>vlookup("852-246000-200",生产发行表!B:AZ,column(ao1),0)</f>
        <v>0</v>
      </c>
      <c r="AQ131">
        <f>vlookup("852-246000-200",生产发行表!B:AZ,column(ap1),0)</f>
        <v>0</v>
      </c>
      <c r="AR131">
        <f>vlookup("852-246000-200",生产发行表!B:AZ,column(aq1),0)</f>
        <v>0</v>
      </c>
    </row>
    <row r="132" spans="1:44">
      <c r="A132" t="s">
        <v>31</v>
      </c>
      <c r="B132" t="s">
        <v>364</v>
      </c>
      <c r="C132" t="s">
        <v>365</v>
      </c>
      <c r="D132" t="s">
        <v>256</v>
      </c>
      <c r="E132">
        <v>7</v>
      </c>
      <c r="F132" t="s">
        <v>366</v>
      </c>
      <c r="K132" t="s">
        <v>308</v>
      </c>
      <c r="L132" t="s">
        <v>37</v>
      </c>
      <c r="M132">
        <f>sumifs(m:m,A:A,"总成",B:B,"852-246000-200")*INDIRECT(ADDRESS(132,5))</f>
        <v>0</v>
      </c>
      <c r="N132">
        <f>sumifs(n:n,A:A,"总成",B:B,"852-246000-200")*INDIRECT(ADDRESS(132,5))</f>
        <v>0</v>
      </c>
      <c r="O132">
        <f>sumifs(o:o,A:A,"总成",B:B,"852-246000-200")*INDIRECT(ADDRESS(132,5))</f>
        <v>0</v>
      </c>
      <c r="P132">
        <f>sumifs(p:p,A:A,"总成",B:B,"852-246000-200")*INDIRECT(ADDRESS(132,5))</f>
        <v>0</v>
      </c>
      <c r="Q132">
        <f>sumifs(q:q,A:A,"总成",B:B,"852-246000-200")*INDIRECT(ADDRESS(132,5))</f>
        <v>0</v>
      </c>
      <c r="R132">
        <f>sumifs(r:r,A:A,"总成",B:B,"852-246000-200")*INDIRECT(ADDRESS(132,5))</f>
        <v>0</v>
      </c>
      <c r="S132">
        <f>sumifs(s:s,A:A,"总成",B:B,"852-246000-200")*INDIRECT(ADDRESS(132,5))</f>
        <v>0</v>
      </c>
      <c r="T132">
        <f>sumifs(t:t,A:A,"总成",B:B,"852-246000-200")*INDIRECT(ADDRESS(132,5))</f>
        <v>0</v>
      </c>
      <c r="U132">
        <f>sumifs(u:u,A:A,"总成",B:B,"852-246000-200")*INDIRECT(ADDRESS(132,5))</f>
        <v>0</v>
      </c>
      <c r="V132">
        <f>sumifs(v:v,A:A,"总成",B:B,"852-246000-200")*INDIRECT(ADDRESS(132,5))</f>
        <v>0</v>
      </c>
      <c r="W132">
        <f>sumifs(w:w,A:A,"总成",B:B,"852-246000-200")*INDIRECT(ADDRESS(132,5))</f>
        <v>0</v>
      </c>
      <c r="X132">
        <f>sumifs(x:x,A:A,"总成",B:B,"852-246000-200")*INDIRECT(ADDRESS(132,5))</f>
        <v>0</v>
      </c>
      <c r="Y132">
        <f>sumifs(y:y,A:A,"总成",B:B,"852-246000-200")*INDIRECT(ADDRESS(132,5))</f>
        <v>0</v>
      </c>
      <c r="Z132">
        <f>sumifs(z:z,A:A,"总成",B:B,"852-246000-200")*INDIRECT(ADDRESS(132,5))</f>
        <v>0</v>
      </c>
      <c r="AA132">
        <f>sumifs(aa:aa,A:A,"总成",B:B,"852-246000-200")*INDIRECT(ADDRESS(132,5))</f>
        <v>0</v>
      </c>
      <c r="AB132">
        <f>sumifs(ab:ab,A:A,"总成",B:B,"852-246000-200")*INDIRECT(ADDRESS(132,5))</f>
        <v>0</v>
      </c>
      <c r="AC132">
        <f>sumifs(ac:ac,A:A,"总成",B:B,"852-246000-200")*INDIRECT(ADDRESS(132,5))</f>
        <v>0</v>
      </c>
      <c r="AD132">
        <f>sumifs(ad:ad,A:A,"总成",B:B,"852-246000-200")*INDIRECT(ADDRESS(132,5))</f>
        <v>0</v>
      </c>
      <c r="AE132">
        <f>sumifs(ae:ae,A:A,"总成",B:B,"852-246000-200")*INDIRECT(ADDRESS(132,5))</f>
        <v>0</v>
      </c>
      <c r="AF132">
        <f>sumifs(af:af,A:A,"总成",B:B,"852-246000-200")*INDIRECT(ADDRESS(132,5))</f>
        <v>0</v>
      </c>
      <c r="AG132">
        <f>sumifs(ag:ag,A:A,"总成",B:B,"852-246000-200")*INDIRECT(ADDRESS(132,5))</f>
        <v>0</v>
      </c>
      <c r="AH132">
        <f>sumifs(ah:ah,A:A,"总成",B:B,"852-246000-200")*INDIRECT(ADDRESS(132,5))</f>
        <v>0</v>
      </c>
      <c r="AI132">
        <f>sumifs(ai:ai,A:A,"总成",B:B,"852-246000-200")*INDIRECT(ADDRESS(132,5))</f>
        <v>0</v>
      </c>
      <c r="AJ132">
        <f>sumifs(aj:aj,A:A,"总成",B:B,"852-246000-200")*INDIRECT(ADDRESS(132,5))</f>
        <v>0</v>
      </c>
      <c r="AK132">
        <f>sumifs(ak:ak,A:A,"总成",B:B,"852-246000-200")*INDIRECT(ADDRESS(132,5))</f>
        <v>0</v>
      </c>
      <c r="AL132">
        <f>sumifs(al:al,A:A,"总成",B:B,"852-246000-200")*INDIRECT(ADDRESS(132,5))</f>
        <v>0</v>
      </c>
      <c r="AM132">
        <f>sumifs(am:am,A:A,"总成",B:B,"852-246000-200")*INDIRECT(ADDRESS(132,5))</f>
        <v>0</v>
      </c>
      <c r="AN132">
        <f>sumifs(an:an,A:A,"总成",B:B,"852-246000-200")*INDIRECT(ADDRESS(132,5))</f>
        <v>0</v>
      </c>
      <c r="AO132">
        <f>sumifs(ao:ao,A:A,"总成",B:B,"852-246000-200")*INDIRECT(ADDRESS(132,5))</f>
        <v>0</v>
      </c>
      <c r="AP132">
        <f>sumifs(ap:ap,A:A,"总成",B:B,"852-246000-200")*INDIRECT(ADDRESS(132,5))</f>
        <v>0</v>
      </c>
      <c r="AQ132">
        <f>sumifs(aq:aq,A:A,"总成",B:B,"852-246000-200")*INDIRECT(ADDRESS(132,5))</f>
        <v>0</v>
      </c>
      <c r="AR132">
        <f>sumifs(ar:ar,A:A,"总成",B:B,"852-246000-200")*INDIRECT(ADDRESS(132,5))</f>
        <v>0</v>
      </c>
    </row>
    <row r="133" spans="1:44">
      <c r="A133" t="s">
        <v>31</v>
      </c>
      <c r="B133" t="s">
        <v>367</v>
      </c>
      <c r="C133" t="s">
        <v>368</v>
      </c>
      <c r="D133" t="s">
        <v>256</v>
      </c>
      <c r="E133">
        <v>3</v>
      </c>
      <c r="F133" t="s">
        <v>369</v>
      </c>
      <c r="K133" t="s">
        <v>308</v>
      </c>
      <c r="L133" t="s">
        <v>37</v>
      </c>
      <c r="M133">
        <f>sumifs(m:m,A:A,"总成",B:B,"852-246000-200")*INDIRECT(ADDRESS(133,5))</f>
        <v>0</v>
      </c>
      <c r="N133">
        <f>sumifs(n:n,A:A,"总成",B:B,"852-246000-200")*INDIRECT(ADDRESS(133,5))</f>
        <v>0</v>
      </c>
      <c r="O133">
        <f>sumifs(o:o,A:A,"总成",B:B,"852-246000-200")*INDIRECT(ADDRESS(133,5))</f>
        <v>0</v>
      </c>
      <c r="P133">
        <f>sumifs(p:p,A:A,"总成",B:B,"852-246000-200")*INDIRECT(ADDRESS(133,5))</f>
        <v>0</v>
      </c>
      <c r="Q133">
        <f>sumifs(q:q,A:A,"总成",B:B,"852-246000-200")*INDIRECT(ADDRESS(133,5))</f>
        <v>0</v>
      </c>
      <c r="R133">
        <f>sumifs(r:r,A:A,"总成",B:B,"852-246000-200")*INDIRECT(ADDRESS(133,5))</f>
        <v>0</v>
      </c>
      <c r="S133">
        <f>sumifs(s:s,A:A,"总成",B:B,"852-246000-200")*INDIRECT(ADDRESS(133,5))</f>
        <v>0</v>
      </c>
      <c r="T133">
        <f>sumifs(t:t,A:A,"总成",B:B,"852-246000-200")*INDIRECT(ADDRESS(133,5))</f>
        <v>0</v>
      </c>
      <c r="U133">
        <f>sumifs(u:u,A:A,"总成",B:B,"852-246000-200")*INDIRECT(ADDRESS(133,5))</f>
        <v>0</v>
      </c>
      <c r="V133">
        <f>sumifs(v:v,A:A,"总成",B:B,"852-246000-200")*INDIRECT(ADDRESS(133,5))</f>
        <v>0</v>
      </c>
      <c r="W133">
        <f>sumifs(w:w,A:A,"总成",B:B,"852-246000-200")*INDIRECT(ADDRESS(133,5))</f>
        <v>0</v>
      </c>
      <c r="X133">
        <f>sumifs(x:x,A:A,"总成",B:B,"852-246000-200")*INDIRECT(ADDRESS(133,5))</f>
        <v>0</v>
      </c>
      <c r="Y133">
        <f>sumifs(y:y,A:A,"总成",B:B,"852-246000-200")*INDIRECT(ADDRESS(133,5))</f>
        <v>0</v>
      </c>
      <c r="Z133">
        <f>sumifs(z:z,A:A,"总成",B:B,"852-246000-200")*INDIRECT(ADDRESS(133,5))</f>
        <v>0</v>
      </c>
      <c r="AA133">
        <f>sumifs(aa:aa,A:A,"总成",B:B,"852-246000-200")*INDIRECT(ADDRESS(133,5))</f>
        <v>0</v>
      </c>
      <c r="AB133">
        <f>sumifs(ab:ab,A:A,"总成",B:B,"852-246000-200")*INDIRECT(ADDRESS(133,5))</f>
        <v>0</v>
      </c>
      <c r="AC133">
        <f>sumifs(ac:ac,A:A,"总成",B:B,"852-246000-200")*INDIRECT(ADDRESS(133,5))</f>
        <v>0</v>
      </c>
      <c r="AD133">
        <f>sumifs(ad:ad,A:A,"总成",B:B,"852-246000-200")*INDIRECT(ADDRESS(133,5))</f>
        <v>0</v>
      </c>
      <c r="AE133">
        <f>sumifs(ae:ae,A:A,"总成",B:B,"852-246000-200")*INDIRECT(ADDRESS(133,5))</f>
        <v>0</v>
      </c>
      <c r="AF133">
        <f>sumifs(af:af,A:A,"总成",B:B,"852-246000-200")*INDIRECT(ADDRESS(133,5))</f>
        <v>0</v>
      </c>
      <c r="AG133">
        <f>sumifs(ag:ag,A:A,"总成",B:B,"852-246000-200")*INDIRECT(ADDRESS(133,5))</f>
        <v>0</v>
      </c>
      <c r="AH133">
        <f>sumifs(ah:ah,A:A,"总成",B:B,"852-246000-200")*INDIRECT(ADDRESS(133,5))</f>
        <v>0</v>
      </c>
      <c r="AI133">
        <f>sumifs(ai:ai,A:A,"总成",B:B,"852-246000-200")*INDIRECT(ADDRESS(133,5))</f>
        <v>0</v>
      </c>
      <c r="AJ133">
        <f>sumifs(aj:aj,A:A,"总成",B:B,"852-246000-200")*INDIRECT(ADDRESS(133,5))</f>
        <v>0</v>
      </c>
      <c r="AK133">
        <f>sumifs(ak:ak,A:A,"总成",B:B,"852-246000-200")*INDIRECT(ADDRESS(133,5))</f>
        <v>0</v>
      </c>
      <c r="AL133">
        <f>sumifs(al:al,A:A,"总成",B:B,"852-246000-200")*INDIRECT(ADDRESS(133,5))</f>
        <v>0</v>
      </c>
      <c r="AM133">
        <f>sumifs(am:am,A:A,"总成",B:B,"852-246000-200")*INDIRECT(ADDRESS(133,5))</f>
        <v>0</v>
      </c>
      <c r="AN133">
        <f>sumifs(an:an,A:A,"总成",B:B,"852-246000-200")*INDIRECT(ADDRESS(133,5))</f>
        <v>0</v>
      </c>
      <c r="AO133">
        <f>sumifs(ao:ao,A:A,"总成",B:B,"852-246000-200")*INDIRECT(ADDRESS(133,5))</f>
        <v>0</v>
      </c>
      <c r="AP133">
        <f>sumifs(ap:ap,A:A,"总成",B:B,"852-246000-200")*INDIRECT(ADDRESS(133,5))</f>
        <v>0</v>
      </c>
      <c r="AQ133">
        <f>sumifs(aq:aq,A:A,"总成",B:B,"852-246000-200")*INDIRECT(ADDRESS(133,5))</f>
        <v>0</v>
      </c>
      <c r="AR133">
        <f>sumifs(ar:ar,A:A,"总成",B:B,"852-246000-200")*INDIRECT(ADDRESS(133,5))</f>
        <v>0</v>
      </c>
    </row>
    <row r="134" spans="1:44">
      <c r="A134" t="s">
        <v>31</v>
      </c>
      <c r="B134" t="s">
        <v>370</v>
      </c>
      <c r="C134" t="s">
        <v>371</v>
      </c>
      <c r="D134" t="s">
        <v>17</v>
      </c>
      <c r="E134" t="s">
        <v>36</v>
      </c>
      <c r="F134" t="s">
        <v>372</v>
      </c>
      <c r="K134" t="s">
        <v>308</v>
      </c>
      <c r="L134" t="s">
        <v>37</v>
      </c>
      <c r="M134">
        <f>sumifs(m:m,A:A,"总成",B:B,"852-246000-200")*INDIRECT(ADDRESS(134,5))</f>
        <v>0</v>
      </c>
      <c r="N134">
        <f>sumifs(n:n,A:A,"总成",B:B,"852-246000-200")*INDIRECT(ADDRESS(134,5))</f>
        <v>0</v>
      </c>
      <c r="O134">
        <f>sumifs(o:o,A:A,"总成",B:B,"852-246000-200")*INDIRECT(ADDRESS(134,5))</f>
        <v>0</v>
      </c>
      <c r="P134">
        <f>sumifs(p:p,A:A,"总成",B:B,"852-246000-200")*INDIRECT(ADDRESS(134,5))</f>
        <v>0</v>
      </c>
      <c r="Q134">
        <f>sumifs(q:q,A:A,"总成",B:B,"852-246000-200")*INDIRECT(ADDRESS(134,5))</f>
        <v>0</v>
      </c>
      <c r="R134">
        <f>sumifs(r:r,A:A,"总成",B:B,"852-246000-200")*INDIRECT(ADDRESS(134,5))</f>
        <v>0</v>
      </c>
      <c r="S134">
        <f>sumifs(s:s,A:A,"总成",B:B,"852-246000-200")*INDIRECT(ADDRESS(134,5))</f>
        <v>0</v>
      </c>
      <c r="T134">
        <f>sumifs(t:t,A:A,"总成",B:B,"852-246000-200")*INDIRECT(ADDRESS(134,5))</f>
        <v>0</v>
      </c>
      <c r="U134">
        <f>sumifs(u:u,A:A,"总成",B:B,"852-246000-200")*INDIRECT(ADDRESS(134,5))</f>
        <v>0</v>
      </c>
      <c r="V134">
        <f>sumifs(v:v,A:A,"总成",B:B,"852-246000-200")*INDIRECT(ADDRESS(134,5))</f>
        <v>0</v>
      </c>
      <c r="W134">
        <f>sumifs(w:w,A:A,"总成",B:B,"852-246000-200")*INDIRECT(ADDRESS(134,5))</f>
        <v>0</v>
      </c>
      <c r="X134">
        <f>sumifs(x:x,A:A,"总成",B:B,"852-246000-200")*INDIRECT(ADDRESS(134,5))</f>
        <v>0</v>
      </c>
      <c r="Y134">
        <f>sumifs(y:y,A:A,"总成",B:B,"852-246000-200")*INDIRECT(ADDRESS(134,5))</f>
        <v>0</v>
      </c>
      <c r="Z134">
        <f>sumifs(z:z,A:A,"总成",B:B,"852-246000-200")*INDIRECT(ADDRESS(134,5))</f>
        <v>0</v>
      </c>
      <c r="AA134">
        <f>sumifs(aa:aa,A:A,"总成",B:B,"852-246000-200")*INDIRECT(ADDRESS(134,5))</f>
        <v>0</v>
      </c>
      <c r="AB134">
        <f>sumifs(ab:ab,A:A,"总成",B:B,"852-246000-200")*INDIRECT(ADDRESS(134,5))</f>
        <v>0</v>
      </c>
      <c r="AC134">
        <f>sumifs(ac:ac,A:A,"总成",B:B,"852-246000-200")*INDIRECT(ADDRESS(134,5))</f>
        <v>0</v>
      </c>
      <c r="AD134">
        <f>sumifs(ad:ad,A:A,"总成",B:B,"852-246000-200")*INDIRECT(ADDRESS(134,5))</f>
        <v>0</v>
      </c>
      <c r="AE134">
        <f>sumifs(ae:ae,A:A,"总成",B:B,"852-246000-200")*INDIRECT(ADDRESS(134,5))</f>
        <v>0</v>
      </c>
      <c r="AF134">
        <f>sumifs(af:af,A:A,"总成",B:B,"852-246000-200")*INDIRECT(ADDRESS(134,5))</f>
        <v>0</v>
      </c>
      <c r="AG134">
        <f>sumifs(ag:ag,A:A,"总成",B:B,"852-246000-200")*INDIRECT(ADDRESS(134,5))</f>
        <v>0</v>
      </c>
      <c r="AH134">
        <f>sumifs(ah:ah,A:A,"总成",B:B,"852-246000-200")*INDIRECT(ADDRESS(134,5))</f>
        <v>0</v>
      </c>
      <c r="AI134">
        <f>sumifs(ai:ai,A:A,"总成",B:B,"852-246000-200")*INDIRECT(ADDRESS(134,5))</f>
        <v>0</v>
      </c>
      <c r="AJ134">
        <f>sumifs(aj:aj,A:A,"总成",B:B,"852-246000-200")*INDIRECT(ADDRESS(134,5))</f>
        <v>0</v>
      </c>
      <c r="AK134">
        <f>sumifs(ak:ak,A:A,"总成",B:B,"852-246000-200")*INDIRECT(ADDRESS(134,5))</f>
        <v>0</v>
      </c>
      <c r="AL134">
        <f>sumifs(al:al,A:A,"总成",B:B,"852-246000-200")*INDIRECT(ADDRESS(134,5))</f>
        <v>0</v>
      </c>
      <c r="AM134">
        <f>sumifs(am:am,A:A,"总成",B:B,"852-246000-200")*INDIRECT(ADDRESS(134,5))</f>
        <v>0</v>
      </c>
      <c r="AN134">
        <f>sumifs(an:an,A:A,"总成",B:B,"852-246000-200")*INDIRECT(ADDRESS(134,5))</f>
        <v>0</v>
      </c>
      <c r="AO134">
        <f>sumifs(ao:ao,A:A,"总成",B:B,"852-246000-200")*INDIRECT(ADDRESS(134,5))</f>
        <v>0</v>
      </c>
      <c r="AP134">
        <f>sumifs(ap:ap,A:A,"总成",B:B,"852-246000-200")*INDIRECT(ADDRESS(134,5))</f>
        <v>0</v>
      </c>
      <c r="AQ134">
        <f>sumifs(aq:aq,A:A,"总成",B:B,"852-246000-200")*INDIRECT(ADDRESS(134,5))</f>
        <v>0</v>
      </c>
      <c r="AR134">
        <f>sumifs(ar:ar,A:A,"总成",B:B,"852-246000-200")*INDIRECT(ADDRESS(134,5))</f>
        <v>0</v>
      </c>
    </row>
    <row r="135" spans="1:44">
      <c r="A135" t="s">
        <v>14</v>
      </c>
      <c r="B135" t="s">
        <v>134</v>
      </c>
      <c r="C135" t="s">
        <v>135</v>
      </c>
      <c r="D135" t="s">
        <v>256</v>
      </c>
      <c r="E135">
        <v>1</v>
      </c>
      <c r="F135" t="s">
        <v>136</v>
      </c>
      <c r="K135" t="s">
        <v>305</v>
      </c>
      <c r="L135" t="s">
        <v>21</v>
      </c>
      <c r="M135">
        <f>vlookup("852-247000-100",生产发行表!B:AZ,column(l1),0)</f>
        <v>0</v>
      </c>
      <c r="N135">
        <f>vlookup("852-247000-100",生产发行表!B:AZ,column(m1),0)</f>
        <v>0</v>
      </c>
      <c r="O135">
        <f>vlookup("852-247000-100",生产发行表!B:AZ,column(n1),0)</f>
        <v>0</v>
      </c>
      <c r="P135">
        <f>vlookup("852-247000-100",生产发行表!B:AZ,column(o1),0)</f>
        <v>0</v>
      </c>
      <c r="Q135">
        <f>vlookup("852-247000-100",生产发行表!B:AZ,column(p1),0)</f>
        <v>0</v>
      </c>
      <c r="R135">
        <f>vlookup("852-247000-100",生产发行表!B:AZ,column(q1),0)</f>
        <v>0</v>
      </c>
      <c r="S135">
        <f>vlookup("852-247000-100",生产发行表!B:AZ,column(r1),0)</f>
        <v>0</v>
      </c>
      <c r="T135">
        <f>vlookup("852-247000-100",生产发行表!B:AZ,column(s1),0)</f>
        <v>0</v>
      </c>
      <c r="U135">
        <f>vlookup("852-247000-100",生产发行表!B:AZ,column(t1),0)</f>
        <v>0</v>
      </c>
      <c r="V135">
        <f>vlookup("852-247000-100",生产发行表!B:AZ,column(u1),0)</f>
        <v>0</v>
      </c>
      <c r="W135">
        <f>vlookup("852-247000-100",生产发行表!B:AZ,column(v1),0)</f>
        <v>0</v>
      </c>
      <c r="X135">
        <f>vlookup("852-247000-100",生产发行表!B:AZ,column(w1),0)</f>
        <v>0</v>
      </c>
      <c r="Y135">
        <f>vlookup("852-247000-100",生产发行表!B:AZ,column(x1),0)</f>
        <v>0</v>
      </c>
      <c r="Z135">
        <f>vlookup("852-247000-100",生产发行表!B:AZ,column(y1),0)</f>
        <v>0</v>
      </c>
      <c r="AA135">
        <f>vlookup("852-247000-100",生产发行表!B:AZ,column(z1),0)</f>
        <v>0</v>
      </c>
      <c r="AB135">
        <f>vlookup("852-247000-100",生产发行表!B:AZ,column(aa1),0)</f>
        <v>0</v>
      </c>
      <c r="AC135">
        <f>vlookup("852-247000-100",生产发行表!B:AZ,column(ab1),0)</f>
        <v>0</v>
      </c>
      <c r="AD135">
        <f>vlookup("852-247000-100",生产发行表!B:AZ,column(ac1),0)</f>
        <v>0</v>
      </c>
      <c r="AE135">
        <f>vlookup("852-247000-100",生产发行表!B:AZ,column(ad1),0)</f>
        <v>0</v>
      </c>
      <c r="AF135">
        <f>vlookup("852-247000-100",生产发行表!B:AZ,column(ae1),0)</f>
        <v>0</v>
      </c>
      <c r="AG135">
        <f>vlookup("852-247000-100",生产发行表!B:AZ,column(af1),0)</f>
        <v>0</v>
      </c>
      <c r="AH135">
        <f>vlookup("852-247000-100",生产发行表!B:AZ,column(ag1),0)</f>
        <v>0</v>
      </c>
      <c r="AI135">
        <f>vlookup("852-247000-100",生产发行表!B:AZ,column(ah1),0)</f>
        <v>0</v>
      </c>
      <c r="AJ135">
        <f>vlookup("852-247000-100",生产发行表!B:AZ,column(ai1),0)</f>
        <v>0</v>
      </c>
      <c r="AK135">
        <f>vlookup("852-247000-100",生产发行表!B:AZ,column(aj1),0)</f>
        <v>0</v>
      </c>
      <c r="AL135">
        <f>vlookup("852-247000-100",生产发行表!B:AZ,column(ak1),0)</f>
        <v>0</v>
      </c>
      <c r="AM135">
        <f>vlookup("852-247000-100",生产发行表!B:AZ,column(al1),0)</f>
        <v>0</v>
      </c>
      <c r="AN135">
        <f>vlookup("852-247000-100",生产发行表!B:AZ,column(am1),0)</f>
        <v>0</v>
      </c>
      <c r="AO135">
        <f>vlookup("852-247000-100",生产发行表!B:AZ,column(an1),0)</f>
        <v>0</v>
      </c>
      <c r="AP135">
        <f>vlookup("852-247000-100",生产发行表!B:AZ,column(ao1),0)</f>
        <v>0</v>
      </c>
      <c r="AQ135">
        <f>vlookup("852-247000-100",生产发行表!B:AZ,column(ap1),0)</f>
        <v>0</v>
      </c>
      <c r="AR135">
        <f>vlookup("852-247000-100",生产发行表!B:AZ,column(aq1),0)</f>
        <v>0</v>
      </c>
    </row>
    <row r="136" spans="1:44">
      <c r="A136" t="s">
        <v>31</v>
      </c>
      <c r="B136" t="s">
        <v>373</v>
      </c>
      <c r="C136" t="s">
        <v>365</v>
      </c>
      <c r="D136" t="s">
        <v>256</v>
      </c>
      <c r="E136">
        <v>4</v>
      </c>
      <c r="F136" t="s">
        <v>374</v>
      </c>
      <c r="K136" t="s">
        <v>308</v>
      </c>
      <c r="L136" t="s">
        <v>37</v>
      </c>
      <c r="M136">
        <f>sumifs(m:m,A:A,"总成",B:B,"852-247000-100")*INDIRECT(ADDRESS(136,5))</f>
        <v>0</v>
      </c>
      <c r="N136">
        <f>sumifs(n:n,A:A,"总成",B:B,"852-247000-100")*INDIRECT(ADDRESS(136,5))</f>
        <v>0</v>
      </c>
      <c r="O136">
        <f>sumifs(o:o,A:A,"总成",B:B,"852-247000-100")*INDIRECT(ADDRESS(136,5))</f>
        <v>0</v>
      </c>
      <c r="P136">
        <f>sumifs(p:p,A:A,"总成",B:B,"852-247000-100")*INDIRECT(ADDRESS(136,5))</f>
        <v>0</v>
      </c>
      <c r="Q136">
        <f>sumifs(q:q,A:A,"总成",B:B,"852-247000-100")*INDIRECT(ADDRESS(136,5))</f>
        <v>0</v>
      </c>
      <c r="R136">
        <f>sumifs(r:r,A:A,"总成",B:B,"852-247000-100")*INDIRECT(ADDRESS(136,5))</f>
        <v>0</v>
      </c>
      <c r="S136">
        <f>sumifs(s:s,A:A,"总成",B:B,"852-247000-100")*INDIRECT(ADDRESS(136,5))</f>
        <v>0</v>
      </c>
      <c r="T136">
        <f>sumifs(t:t,A:A,"总成",B:B,"852-247000-100")*INDIRECT(ADDRESS(136,5))</f>
        <v>0</v>
      </c>
      <c r="U136">
        <f>sumifs(u:u,A:A,"总成",B:B,"852-247000-100")*INDIRECT(ADDRESS(136,5))</f>
        <v>0</v>
      </c>
      <c r="V136">
        <f>sumifs(v:v,A:A,"总成",B:B,"852-247000-100")*INDIRECT(ADDRESS(136,5))</f>
        <v>0</v>
      </c>
      <c r="W136">
        <f>sumifs(w:w,A:A,"总成",B:B,"852-247000-100")*INDIRECT(ADDRESS(136,5))</f>
        <v>0</v>
      </c>
      <c r="X136">
        <f>sumifs(x:x,A:A,"总成",B:B,"852-247000-100")*INDIRECT(ADDRESS(136,5))</f>
        <v>0</v>
      </c>
      <c r="Y136">
        <f>sumifs(y:y,A:A,"总成",B:B,"852-247000-100")*INDIRECT(ADDRESS(136,5))</f>
        <v>0</v>
      </c>
      <c r="Z136">
        <f>sumifs(z:z,A:A,"总成",B:B,"852-247000-100")*INDIRECT(ADDRESS(136,5))</f>
        <v>0</v>
      </c>
      <c r="AA136">
        <f>sumifs(aa:aa,A:A,"总成",B:B,"852-247000-100")*INDIRECT(ADDRESS(136,5))</f>
        <v>0</v>
      </c>
      <c r="AB136">
        <f>sumifs(ab:ab,A:A,"总成",B:B,"852-247000-100")*INDIRECT(ADDRESS(136,5))</f>
        <v>0</v>
      </c>
      <c r="AC136">
        <f>sumifs(ac:ac,A:A,"总成",B:B,"852-247000-100")*INDIRECT(ADDRESS(136,5))</f>
        <v>0</v>
      </c>
      <c r="AD136">
        <f>sumifs(ad:ad,A:A,"总成",B:B,"852-247000-100")*INDIRECT(ADDRESS(136,5))</f>
        <v>0</v>
      </c>
      <c r="AE136">
        <f>sumifs(ae:ae,A:A,"总成",B:B,"852-247000-100")*INDIRECT(ADDRESS(136,5))</f>
        <v>0</v>
      </c>
      <c r="AF136">
        <f>sumifs(af:af,A:A,"总成",B:B,"852-247000-100")*INDIRECT(ADDRESS(136,5))</f>
        <v>0</v>
      </c>
      <c r="AG136">
        <f>sumifs(ag:ag,A:A,"总成",B:B,"852-247000-100")*INDIRECT(ADDRESS(136,5))</f>
        <v>0</v>
      </c>
      <c r="AH136">
        <f>sumifs(ah:ah,A:A,"总成",B:B,"852-247000-100")*INDIRECT(ADDRESS(136,5))</f>
        <v>0</v>
      </c>
      <c r="AI136">
        <f>sumifs(ai:ai,A:A,"总成",B:B,"852-247000-100")*INDIRECT(ADDRESS(136,5))</f>
        <v>0</v>
      </c>
      <c r="AJ136">
        <f>sumifs(aj:aj,A:A,"总成",B:B,"852-247000-100")*INDIRECT(ADDRESS(136,5))</f>
        <v>0</v>
      </c>
      <c r="AK136">
        <f>sumifs(ak:ak,A:A,"总成",B:B,"852-247000-100")*INDIRECT(ADDRESS(136,5))</f>
        <v>0</v>
      </c>
      <c r="AL136">
        <f>sumifs(al:al,A:A,"总成",B:B,"852-247000-100")*INDIRECT(ADDRESS(136,5))</f>
        <v>0</v>
      </c>
      <c r="AM136">
        <f>sumifs(am:am,A:A,"总成",B:B,"852-247000-100")*INDIRECT(ADDRESS(136,5))</f>
        <v>0</v>
      </c>
      <c r="AN136">
        <f>sumifs(an:an,A:A,"总成",B:B,"852-247000-100")*INDIRECT(ADDRESS(136,5))</f>
        <v>0</v>
      </c>
      <c r="AO136">
        <f>sumifs(ao:ao,A:A,"总成",B:B,"852-247000-100")*INDIRECT(ADDRESS(136,5))</f>
        <v>0</v>
      </c>
      <c r="AP136">
        <f>sumifs(ap:ap,A:A,"总成",B:B,"852-247000-100")*INDIRECT(ADDRESS(136,5))</f>
        <v>0</v>
      </c>
      <c r="AQ136">
        <f>sumifs(aq:aq,A:A,"总成",B:B,"852-247000-100")*INDIRECT(ADDRESS(136,5))</f>
        <v>0</v>
      </c>
      <c r="AR136">
        <f>sumifs(ar:ar,A:A,"总成",B:B,"852-247000-100")*INDIRECT(ADDRESS(136,5))</f>
        <v>0</v>
      </c>
    </row>
    <row r="137" spans="1:44">
      <c r="A137" t="s">
        <v>31</v>
      </c>
      <c r="B137" t="s">
        <v>375</v>
      </c>
      <c r="C137" t="s">
        <v>376</v>
      </c>
      <c r="D137" t="s">
        <v>256</v>
      </c>
      <c r="E137">
        <v>2</v>
      </c>
      <c r="F137" t="s">
        <v>377</v>
      </c>
      <c r="K137" t="s">
        <v>308</v>
      </c>
      <c r="L137" t="s">
        <v>37</v>
      </c>
      <c r="M137">
        <f>sumifs(m:m,A:A,"总成",B:B,"852-247000-100")*INDIRECT(ADDRESS(137,5))</f>
        <v>0</v>
      </c>
      <c r="N137">
        <f>sumifs(n:n,A:A,"总成",B:B,"852-247000-100")*INDIRECT(ADDRESS(137,5))</f>
        <v>0</v>
      </c>
      <c r="O137">
        <f>sumifs(o:o,A:A,"总成",B:B,"852-247000-100")*INDIRECT(ADDRESS(137,5))</f>
        <v>0</v>
      </c>
      <c r="P137">
        <f>sumifs(p:p,A:A,"总成",B:B,"852-247000-100")*INDIRECT(ADDRESS(137,5))</f>
        <v>0</v>
      </c>
      <c r="Q137">
        <f>sumifs(q:q,A:A,"总成",B:B,"852-247000-100")*INDIRECT(ADDRESS(137,5))</f>
        <v>0</v>
      </c>
      <c r="R137">
        <f>sumifs(r:r,A:A,"总成",B:B,"852-247000-100")*INDIRECT(ADDRESS(137,5))</f>
        <v>0</v>
      </c>
      <c r="S137">
        <f>sumifs(s:s,A:A,"总成",B:B,"852-247000-100")*INDIRECT(ADDRESS(137,5))</f>
        <v>0</v>
      </c>
      <c r="T137">
        <f>sumifs(t:t,A:A,"总成",B:B,"852-247000-100")*INDIRECT(ADDRESS(137,5))</f>
        <v>0</v>
      </c>
      <c r="U137">
        <f>sumifs(u:u,A:A,"总成",B:B,"852-247000-100")*INDIRECT(ADDRESS(137,5))</f>
        <v>0</v>
      </c>
      <c r="V137">
        <f>sumifs(v:v,A:A,"总成",B:B,"852-247000-100")*INDIRECT(ADDRESS(137,5))</f>
        <v>0</v>
      </c>
      <c r="W137">
        <f>sumifs(w:w,A:A,"总成",B:B,"852-247000-100")*INDIRECT(ADDRESS(137,5))</f>
        <v>0</v>
      </c>
      <c r="X137">
        <f>sumifs(x:x,A:A,"总成",B:B,"852-247000-100")*INDIRECT(ADDRESS(137,5))</f>
        <v>0</v>
      </c>
      <c r="Y137">
        <f>sumifs(y:y,A:A,"总成",B:B,"852-247000-100")*INDIRECT(ADDRESS(137,5))</f>
        <v>0</v>
      </c>
      <c r="Z137">
        <f>sumifs(z:z,A:A,"总成",B:B,"852-247000-100")*INDIRECT(ADDRESS(137,5))</f>
        <v>0</v>
      </c>
      <c r="AA137">
        <f>sumifs(aa:aa,A:A,"总成",B:B,"852-247000-100")*INDIRECT(ADDRESS(137,5))</f>
        <v>0</v>
      </c>
      <c r="AB137">
        <f>sumifs(ab:ab,A:A,"总成",B:B,"852-247000-100")*INDIRECT(ADDRESS(137,5))</f>
        <v>0</v>
      </c>
      <c r="AC137">
        <f>sumifs(ac:ac,A:A,"总成",B:B,"852-247000-100")*INDIRECT(ADDRESS(137,5))</f>
        <v>0</v>
      </c>
      <c r="AD137">
        <f>sumifs(ad:ad,A:A,"总成",B:B,"852-247000-100")*INDIRECT(ADDRESS(137,5))</f>
        <v>0</v>
      </c>
      <c r="AE137">
        <f>sumifs(ae:ae,A:A,"总成",B:B,"852-247000-100")*INDIRECT(ADDRESS(137,5))</f>
        <v>0</v>
      </c>
      <c r="AF137">
        <f>sumifs(af:af,A:A,"总成",B:B,"852-247000-100")*INDIRECT(ADDRESS(137,5))</f>
        <v>0</v>
      </c>
      <c r="AG137">
        <f>sumifs(ag:ag,A:A,"总成",B:B,"852-247000-100")*INDIRECT(ADDRESS(137,5))</f>
        <v>0</v>
      </c>
      <c r="AH137">
        <f>sumifs(ah:ah,A:A,"总成",B:B,"852-247000-100")*INDIRECT(ADDRESS(137,5))</f>
        <v>0</v>
      </c>
      <c r="AI137">
        <f>sumifs(ai:ai,A:A,"总成",B:B,"852-247000-100")*INDIRECT(ADDRESS(137,5))</f>
        <v>0</v>
      </c>
      <c r="AJ137">
        <f>sumifs(aj:aj,A:A,"总成",B:B,"852-247000-100")*INDIRECT(ADDRESS(137,5))</f>
        <v>0</v>
      </c>
      <c r="AK137">
        <f>sumifs(ak:ak,A:A,"总成",B:B,"852-247000-100")*INDIRECT(ADDRESS(137,5))</f>
        <v>0</v>
      </c>
      <c r="AL137">
        <f>sumifs(al:al,A:A,"总成",B:B,"852-247000-100")*INDIRECT(ADDRESS(137,5))</f>
        <v>0</v>
      </c>
      <c r="AM137">
        <f>sumifs(am:am,A:A,"总成",B:B,"852-247000-100")*INDIRECT(ADDRESS(137,5))</f>
        <v>0</v>
      </c>
      <c r="AN137">
        <f>sumifs(an:an,A:A,"总成",B:B,"852-247000-100")*INDIRECT(ADDRESS(137,5))</f>
        <v>0</v>
      </c>
      <c r="AO137">
        <f>sumifs(ao:ao,A:A,"总成",B:B,"852-247000-100")*INDIRECT(ADDRESS(137,5))</f>
        <v>0</v>
      </c>
      <c r="AP137">
        <f>sumifs(ap:ap,A:A,"总成",B:B,"852-247000-100")*INDIRECT(ADDRESS(137,5))</f>
        <v>0</v>
      </c>
      <c r="AQ137">
        <f>sumifs(aq:aq,A:A,"总成",B:B,"852-247000-100")*INDIRECT(ADDRESS(137,5))</f>
        <v>0</v>
      </c>
      <c r="AR137">
        <f>sumifs(ar:ar,A:A,"总成",B:B,"852-247000-100")*INDIRECT(ADDRESS(137,5))</f>
        <v>0</v>
      </c>
    </row>
    <row r="138" spans="1:44">
      <c r="A138" t="s">
        <v>31</v>
      </c>
      <c r="B138" t="s">
        <v>378</v>
      </c>
      <c r="C138" t="s">
        <v>379</v>
      </c>
      <c r="D138" t="s">
        <v>256</v>
      </c>
      <c r="E138">
        <v>1</v>
      </c>
      <c r="F138" t="s">
        <v>380</v>
      </c>
      <c r="K138" t="s">
        <v>308</v>
      </c>
      <c r="L138" t="s">
        <v>37</v>
      </c>
      <c r="M138">
        <f>sumifs(m:m,A:A,"总成",B:B,"852-247000-100")*INDIRECT(ADDRESS(138,5))</f>
        <v>0</v>
      </c>
      <c r="N138">
        <f>sumifs(n:n,A:A,"总成",B:B,"852-247000-100")*INDIRECT(ADDRESS(138,5))</f>
        <v>0</v>
      </c>
      <c r="O138">
        <f>sumifs(o:o,A:A,"总成",B:B,"852-247000-100")*INDIRECT(ADDRESS(138,5))</f>
        <v>0</v>
      </c>
      <c r="P138">
        <f>sumifs(p:p,A:A,"总成",B:B,"852-247000-100")*INDIRECT(ADDRESS(138,5))</f>
        <v>0</v>
      </c>
      <c r="Q138">
        <f>sumifs(q:q,A:A,"总成",B:B,"852-247000-100")*INDIRECT(ADDRESS(138,5))</f>
        <v>0</v>
      </c>
      <c r="R138">
        <f>sumifs(r:r,A:A,"总成",B:B,"852-247000-100")*INDIRECT(ADDRESS(138,5))</f>
        <v>0</v>
      </c>
      <c r="S138">
        <f>sumifs(s:s,A:A,"总成",B:B,"852-247000-100")*INDIRECT(ADDRESS(138,5))</f>
        <v>0</v>
      </c>
      <c r="T138">
        <f>sumifs(t:t,A:A,"总成",B:B,"852-247000-100")*INDIRECT(ADDRESS(138,5))</f>
        <v>0</v>
      </c>
      <c r="U138">
        <f>sumifs(u:u,A:A,"总成",B:B,"852-247000-100")*INDIRECT(ADDRESS(138,5))</f>
        <v>0</v>
      </c>
      <c r="V138">
        <f>sumifs(v:v,A:A,"总成",B:B,"852-247000-100")*INDIRECT(ADDRESS(138,5))</f>
        <v>0</v>
      </c>
      <c r="W138">
        <f>sumifs(w:w,A:A,"总成",B:B,"852-247000-100")*INDIRECT(ADDRESS(138,5))</f>
        <v>0</v>
      </c>
      <c r="X138">
        <f>sumifs(x:x,A:A,"总成",B:B,"852-247000-100")*INDIRECT(ADDRESS(138,5))</f>
        <v>0</v>
      </c>
      <c r="Y138">
        <f>sumifs(y:y,A:A,"总成",B:B,"852-247000-100")*INDIRECT(ADDRESS(138,5))</f>
        <v>0</v>
      </c>
      <c r="Z138">
        <f>sumifs(z:z,A:A,"总成",B:B,"852-247000-100")*INDIRECT(ADDRESS(138,5))</f>
        <v>0</v>
      </c>
      <c r="AA138">
        <f>sumifs(aa:aa,A:A,"总成",B:B,"852-247000-100")*INDIRECT(ADDRESS(138,5))</f>
        <v>0</v>
      </c>
      <c r="AB138">
        <f>sumifs(ab:ab,A:A,"总成",B:B,"852-247000-100")*INDIRECT(ADDRESS(138,5))</f>
        <v>0</v>
      </c>
      <c r="AC138">
        <f>sumifs(ac:ac,A:A,"总成",B:B,"852-247000-100")*INDIRECT(ADDRESS(138,5))</f>
        <v>0</v>
      </c>
      <c r="AD138">
        <f>sumifs(ad:ad,A:A,"总成",B:B,"852-247000-100")*INDIRECT(ADDRESS(138,5))</f>
        <v>0</v>
      </c>
      <c r="AE138">
        <f>sumifs(ae:ae,A:A,"总成",B:B,"852-247000-100")*INDIRECT(ADDRESS(138,5))</f>
        <v>0</v>
      </c>
      <c r="AF138">
        <f>sumifs(af:af,A:A,"总成",B:B,"852-247000-100")*INDIRECT(ADDRESS(138,5))</f>
        <v>0</v>
      </c>
      <c r="AG138">
        <f>sumifs(ag:ag,A:A,"总成",B:B,"852-247000-100")*INDIRECT(ADDRESS(138,5))</f>
        <v>0</v>
      </c>
      <c r="AH138">
        <f>sumifs(ah:ah,A:A,"总成",B:B,"852-247000-100")*INDIRECT(ADDRESS(138,5))</f>
        <v>0</v>
      </c>
      <c r="AI138">
        <f>sumifs(ai:ai,A:A,"总成",B:B,"852-247000-100")*INDIRECT(ADDRESS(138,5))</f>
        <v>0</v>
      </c>
      <c r="AJ138">
        <f>sumifs(aj:aj,A:A,"总成",B:B,"852-247000-100")*INDIRECT(ADDRESS(138,5))</f>
        <v>0</v>
      </c>
      <c r="AK138">
        <f>sumifs(ak:ak,A:A,"总成",B:B,"852-247000-100")*INDIRECT(ADDRESS(138,5))</f>
        <v>0</v>
      </c>
      <c r="AL138">
        <f>sumifs(al:al,A:A,"总成",B:B,"852-247000-100")*INDIRECT(ADDRESS(138,5))</f>
        <v>0</v>
      </c>
      <c r="AM138">
        <f>sumifs(am:am,A:A,"总成",B:B,"852-247000-100")*INDIRECT(ADDRESS(138,5))</f>
        <v>0</v>
      </c>
      <c r="AN138">
        <f>sumifs(an:an,A:A,"总成",B:B,"852-247000-100")*INDIRECT(ADDRESS(138,5))</f>
        <v>0</v>
      </c>
      <c r="AO138">
        <f>sumifs(ao:ao,A:A,"总成",B:B,"852-247000-100")*INDIRECT(ADDRESS(138,5))</f>
        <v>0</v>
      </c>
      <c r="AP138">
        <f>sumifs(ap:ap,A:A,"总成",B:B,"852-247000-100")*INDIRECT(ADDRESS(138,5))</f>
        <v>0</v>
      </c>
      <c r="AQ138">
        <f>sumifs(aq:aq,A:A,"总成",B:B,"852-247000-100")*INDIRECT(ADDRESS(138,5))</f>
        <v>0</v>
      </c>
      <c r="AR138">
        <f>sumifs(ar:ar,A:A,"总成",B:B,"852-247000-100")*INDIRECT(ADDRESS(138,5))</f>
        <v>0</v>
      </c>
    </row>
    <row r="139" spans="1:44">
      <c r="A139" t="s">
        <v>31</v>
      </c>
      <c r="B139" t="s">
        <v>381</v>
      </c>
      <c r="C139" t="s">
        <v>382</v>
      </c>
      <c r="D139" t="s">
        <v>256</v>
      </c>
      <c r="E139">
        <v>1</v>
      </c>
      <c r="F139" t="s">
        <v>383</v>
      </c>
      <c r="K139" t="s">
        <v>308</v>
      </c>
      <c r="L139" t="s">
        <v>37</v>
      </c>
      <c r="M139">
        <f>sumifs(m:m,A:A,"总成",B:B,"852-247000-100")*INDIRECT(ADDRESS(139,5))</f>
        <v>0</v>
      </c>
      <c r="N139">
        <f>sumifs(n:n,A:A,"总成",B:B,"852-247000-100")*INDIRECT(ADDRESS(139,5))</f>
        <v>0</v>
      </c>
      <c r="O139">
        <f>sumifs(o:o,A:A,"总成",B:B,"852-247000-100")*INDIRECT(ADDRESS(139,5))</f>
        <v>0</v>
      </c>
      <c r="P139">
        <f>sumifs(p:p,A:A,"总成",B:B,"852-247000-100")*INDIRECT(ADDRESS(139,5))</f>
        <v>0</v>
      </c>
      <c r="Q139">
        <f>sumifs(q:q,A:A,"总成",B:B,"852-247000-100")*INDIRECT(ADDRESS(139,5))</f>
        <v>0</v>
      </c>
      <c r="R139">
        <f>sumifs(r:r,A:A,"总成",B:B,"852-247000-100")*INDIRECT(ADDRESS(139,5))</f>
        <v>0</v>
      </c>
      <c r="S139">
        <f>sumifs(s:s,A:A,"总成",B:B,"852-247000-100")*INDIRECT(ADDRESS(139,5))</f>
        <v>0</v>
      </c>
      <c r="T139">
        <f>sumifs(t:t,A:A,"总成",B:B,"852-247000-100")*INDIRECT(ADDRESS(139,5))</f>
        <v>0</v>
      </c>
      <c r="U139">
        <f>sumifs(u:u,A:A,"总成",B:B,"852-247000-100")*INDIRECT(ADDRESS(139,5))</f>
        <v>0</v>
      </c>
      <c r="V139">
        <f>sumifs(v:v,A:A,"总成",B:B,"852-247000-100")*INDIRECT(ADDRESS(139,5))</f>
        <v>0</v>
      </c>
      <c r="W139">
        <f>sumifs(w:w,A:A,"总成",B:B,"852-247000-100")*INDIRECT(ADDRESS(139,5))</f>
        <v>0</v>
      </c>
      <c r="X139">
        <f>sumifs(x:x,A:A,"总成",B:B,"852-247000-100")*INDIRECT(ADDRESS(139,5))</f>
        <v>0</v>
      </c>
      <c r="Y139">
        <f>sumifs(y:y,A:A,"总成",B:B,"852-247000-100")*INDIRECT(ADDRESS(139,5))</f>
        <v>0</v>
      </c>
      <c r="Z139">
        <f>sumifs(z:z,A:A,"总成",B:B,"852-247000-100")*INDIRECT(ADDRESS(139,5))</f>
        <v>0</v>
      </c>
      <c r="AA139">
        <f>sumifs(aa:aa,A:A,"总成",B:B,"852-247000-100")*INDIRECT(ADDRESS(139,5))</f>
        <v>0</v>
      </c>
      <c r="AB139">
        <f>sumifs(ab:ab,A:A,"总成",B:B,"852-247000-100")*INDIRECT(ADDRESS(139,5))</f>
        <v>0</v>
      </c>
      <c r="AC139">
        <f>sumifs(ac:ac,A:A,"总成",B:B,"852-247000-100")*INDIRECT(ADDRESS(139,5))</f>
        <v>0</v>
      </c>
      <c r="AD139">
        <f>sumifs(ad:ad,A:A,"总成",B:B,"852-247000-100")*INDIRECT(ADDRESS(139,5))</f>
        <v>0</v>
      </c>
      <c r="AE139">
        <f>sumifs(ae:ae,A:A,"总成",B:B,"852-247000-100")*INDIRECT(ADDRESS(139,5))</f>
        <v>0</v>
      </c>
      <c r="AF139">
        <f>sumifs(af:af,A:A,"总成",B:B,"852-247000-100")*INDIRECT(ADDRESS(139,5))</f>
        <v>0</v>
      </c>
      <c r="AG139">
        <f>sumifs(ag:ag,A:A,"总成",B:B,"852-247000-100")*INDIRECT(ADDRESS(139,5))</f>
        <v>0</v>
      </c>
      <c r="AH139">
        <f>sumifs(ah:ah,A:A,"总成",B:B,"852-247000-100")*INDIRECT(ADDRESS(139,5))</f>
        <v>0</v>
      </c>
      <c r="AI139">
        <f>sumifs(ai:ai,A:A,"总成",B:B,"852-247000-100")*INDIRECT(ADDRESS(139,5))</f>
        <v>0</v>
      </c>
      <c r="AJ139">
        <f>sumifs(aj:aj,A:A,"总成",B:B,"852-247000-100")*INDIRECT(ADDRESS(139,5))</f>
        <v>0</v>
      </c>
      <c r="AK139">
        <f>sumifs(ak:ak,A:A,"总成",B:B,"852-247000-100")*INDIRECT(ADDRESS(139,5))</f>
        <v>0</v>
      </c>
      <c r="AL139">
        <f>sumifs(al:al,A:A,"总成",B:B,"852-247000-100")*INDIRECT(ADDRESS(139,5))</f>
        <v>0</v>
      </c>
      <c r="AM139">
        <f>sumifs(am:am,A:A,"总成",B:B,"852-247000-100")*INDIRECT(ADDRESS(139,5))</f>
        <v>0</v>
      </c>
      <c r="AN139">
        <f>sumifs(an:an,A:A,"总成",B:B,"852-247000-100")*INDIRECT(ADDRESS(139,5))</f>
        <v>0</v>
      </c>
      <c r="AO139">
        <f>sumifs(ao:ao,A:A,"总成",B:B,"852-247000-100")*INDIRECT(ADDRESS(139,5))</f>
        <v>0</v>
      </c>
      <c r="AP139">
        <f>sumifs(ap:ap,A:A,"总成",B:B,"852-247000-100")*INDIRECT(ADDRESS(139,5))</f>
        <v>0</v>
      </c>
      <c r="AQ139">
        <f>sumifs(aq:aq,A:A,"总成",B:B,"852-247000-100")*INDIRECT(ADDRESS(139,5))</f>
        <v>0</v>
      </c>
      <c r="AR139">
        <f>sumifs(ar:ar,A:A,"总成",B:B,"852-247000-100")*INDIRECT(ADDRESS(139,5))</f>
        <v>0</v>
      </c>
    </row>
    <row r="140" spans="1:44">
      <c r="A140" t="s">
        <v>31</v>
      </c>
      <c r="B140" t="s">
        <v>384</v>
      </c>
      <c r="C140" t="s">
        <v>385</v>
      </c>
      <c r="D140" t="s">
        <v>256</v>
      </c>
      <c r="E140">
        <v>1</v>
      </c>
      <c r="K140" t="s">
        <v>308</v>
      </c>
      <c r="L140" t="s">
        <v>37</v>
      </c>
      <c r="M140">
        <f>sumifs(m:m,A:A,"总成",B:B,"852-247000-100")*INDIRECT(ADDRESS(140,5))</f>
        <v>0</v>
      </c>
      <c r="N140">
        <f>sumifs(n:n,A:A,"总成",B:B,"852-247000-100")*INDIRECT(ADDRESS(140,5))</f>
        <v>0</v>
      </c>
      <c r="O140">
        <f>sumifs(o:o,A:A,"总成",B:B,"852-247000-100")*INDIRECT(ADDRESS(140,5))</f>
        <v>0</v>
      </c>
      <c r="P140">
        <f>sumifs(p:p,A:A,"总成",B:B,"852-247000-100")*INDIRECT(ADDRESS(140,5))</f>
        <v>0</v>
      </c>
      <c r="Q140">
        <f>sumifs(q:q,A:A,"总成",B:B,"852-247000-100")*INDIRECT(ADDRESS(140,5))</f>
        <v>0</v>
      </c>
      <c r="R140">
        <f>sumifs(r:r,A:A,"总成",B:B,"852-247000-100")*INDIRECT(ADDRESS(140,5))</f>
        <v>0</v>
      </c>
      <c r="S140">
        <f>sumifs(s:s,A:A,"总成",B:B,"852-247000-100")*INDIRECT(ADDRESS(140,5))</f>
        <v>0</v>
      </c>
      <c r="T140">
        <f>sumifs(t:t,A:A,"总成",B:B,"852-247000-100")*INDIRECT(ADDRESS(140,5))</f>
        <v>0</v>
      </c>
      <c r="U140">
        <f>sumifs(u:u,A:A,"总成",B:B,"852-247000-100")*INDIRECT(ADDRESS(140,5))</f>
        <v>0</v>
      </c>
      <c r="V140">
        <f>sumifs(v:v,A:A,"总成",B:B,"852-247000-100")*INDIRECT(ADDRESS(140,5))</f>
        <v>0</v>
      </c>
      <c r="W140">
        <f>sumifs(w:w,A:A,"总成",B:B,"852-247000-100")*INDIRECT(ADDRESS(140,5))</f>
        <v>0</v>
      </c>
      <c r="X140">
        <f>sumifs(x:x,A:A,"总成",B:B,"852-247000-100")*INDIRECT(ADDRESS(140,5))</f>
        <v>0</v>
      </c>
      <c r="Y140">
        <f>sumifs(y:y,A:A,"总成",B:B,"852-247000-100")*INDIRECT(ADDRESS(140,5))</f>
        <v>0</v>
      </c>
      <c r="Z140">
        <f>sumifs(z:z,A:A,"总成",B:B,"852-247000-100")*INDIRECT(ADDRESS(140,5))</f>
        <v>0</v>
      </c>
      <c r="AA140">
        <f>sumifs(aa:aa,A:A,"总成",B:B,"852-247000-100")*INDIRECT(ADDRESS(140,5))</f>
        <v>0</v>
      </c>
      <c r="AB140">
        <f>sumifs(ab:ab,A:A,"总成",B:B,"852-247000-100")*INDIRECT(ADDRESS(140,5))</f>
        <v>0</v>
      </c>
      <c r="AC140">
        <f>sumifs(ac:ac,A:A,"总成",B:B,"852-247000-100")*INDIRECT(ADDRESS(140,5))</f>
        <v>0</v>
      </c>
      <c r="AD140">
        <f>sumifs(ad:ad,A:A,"总成",B:B,"852-247000-100")*INDIRECT(ADDRESS(140,5))</f>
        <v>0</v>
      </c>
      <c r="AE140">
        <f>sumifs(ae:ae,A:A,"总成",B:B,"852-247000-100")*INDIRECT(ADDRESS(140,5))</f>
        <v>0</v>
      </c>
      <c r="AF140">
        <f>sumifs(af:af,A:A,"总成",B:B,"852-247000-100")*INDIRECT(ADDRESS(140,5))</f>
        <v>0</v>
      </c>
      <c r="AG140">
        <f>sumifs(ag:ag,A:A,"总成",B:B,"852-247000-100")*INDIRECT(ADDRESS(140,5))</f>
        <v>0</v>
      </c>
      <c r="AH140">
        <f>sumifs(ah:ah,A:A,"总成",B:B,"852-247000-100")*INDIRECT(ADDRESS(140,5))</f>
        <v>0</v>
      </c>
      <c r="AI140">
        <f>sumifs(ai:ai,A:A,"总成",B:B,"852-247000-100")*INDIRECT(ADDRESS(140,5))</f>
        <v>0</v>
      </c>
      <c r="AJ140">
        <f>sumifs(aj:aj,A:A,"总成",B:B,"852-247000-100")*INDIRECT(ADDRESS(140,5))</f>
        <v>0</v>
      </c>
      <c r="AK140">
        <f>sumifs(ak:ak,A:A,"总成",B:B,"852-247000-100")*INDIRECT(ADDRESS(140,5))</f>
        <v>0</v>
      </c>
      <c r="AL140">
        <f>sumifs(al:al,A:A,"总成",B:B,"852-247000-100")*INDIRECT(ADDRESS(140,5))</f>
        <v>0</v>
      </c>
      <c r="AM140">
        <f>sumifs(am:am,A:A,"总成",B:B,"852-247000-100")*INDIRECT(ADDRESS(140,5))</f>
        <v>0</v>
      </c>
      <c r="AN140">
        <f>sumifs(an:an,A:A,"总成",B:B,"852-247000-100")*INDIRECT(ADDRESS(140,5))</f>
        <v>0</v>
      </c>
      <c r="AO140">
        <f>sumifs(ao:ao,A:A,"总成",B:B,"852-247000-100")*INDIRECT(ADDRESS(140,5))</f>
        <v>0</v>
      </c>
      <c r="AP140">
        <f>sumifs(ap:ap,A:A,"总成",B:B,"852-247000-100")*INDIRECT(ADDRESS(140,5))</f>
        <v>0</v>
      </c>
      <c r="AQ140">
        <f>sumifs(aq:aq,A:A,"总成",B:B,"852-247000-100")*INDIRECT(ADDRESS(140,5))</f>
        <v>0</v>
      </c>
      <c r="AR140">
        <f>sumifs(ar:ar,A:A,"总成",B:B,"852-247000-100")*INDIRECT(ADDRESS(140,5))</f>
        <v>0</v>
      </c>
    </row>
    <row r="141" spans="1:44">
      <c r="A141" t="s">
        <v>31</v>
      </c>
      <c r="B141" t="s">
        <v>352</v>
      </c>
      <c r="C141" t="s">
        <v>353</v>
      </c>
      <c r="D141" t="s">
        <v>17</v>
      </c>
      <c r="E141" t="s">
        <v>36</v>
      </c>
      <c r="K141" t="s">
        <v>308</v>
      </c>
      <c r="L141" t="s">
        <v>37</v>
      </c>
      <c r="M141">
        <f>sumifs(m:m,A:A,"总成",B:B,"852-247000-100")*INDIRECT(ADDRESS(141,5))</f>
        <v>0</v>
      </c>
      <c r="N141">
        <f>sumifs(n:n,A:A,"总成",B:B,"852-247000-100")*INDIRECT(ADDRESS(141,5))</f>
        <v>0</v>
      </c>
      <c r="O141">
        <f>sumifs(o:o,A:A,"总成",B:B,"852-247000-100")*INDIRECT(ADDRESS(141,5))</f>
        <v>0</v>
      </c>
      <c r="P141">
        <f>sumifs(p:p,A:A,"总成",B:B,"852-247000-100")*INDIRECT(ADDRESS(141,5))</f>
        <v>0</v>
      </c>
      <c r="Q141">
        <f>sumifs(q:q,A:A,"总成",B:B,"852-247000-100")*INDIRECT(ADDRESS(141,5))</f>
        <v>0</v>
      </c>
      <c r="R141">
        <f>sumifs(r:r,A:A,"总成",B:B,"852-247000-100")*INDIRECT(ADDRESS(141,5))</f>
        <v>0</v>
      </c>
      <c r="S141">
        <f>sumifs(s:s,A:A,"总成",B:B,"852-247000-100")*INDIRECT(ADDRESS(141,5))</f>
        <v>0</v>
      </c>
      <c r="T141">
        <f>sumifs(t:t,A:A,"总成",B:B,"852-247000-100")*INDIRECT(ADDRESS(141,5))</f>
        <v>0</v>
      </c>
      <c r="U141">
        <f>sumifs(u:u,A:A,"总成",B:B,"852-247000-100")*INDIRECT(ADDRESS(141,5))</f>
        <v>0</v>
      </c>
      <c r="V141">
        <f>sumifs(v:v,A:A,"总成",B:B,"852-247000-100")*INDIRECT(ADDRESS(141,5))</f>
        <v>0</v>
      </c>
      <c r="W141">
        <f>sumifs(w:w,A:A,"总成",B:B,"852-247000-100")*INDIRECT(ADDRESS(141,5))</f>
        <v>0</v>
      </c>
      <c r="X141">
        <f>sumifs(x:x,A:A,"总成",B:B,"852-247000-100")*INDIRECT(ADDRESS(141,5))</f>
        <v>0</v>
      </c>
      <c r="Y141">
        <f>sumifs(y:y,A:A,"总成",B:B,"852-247000-100")*INDIRECT(ADDRESS(141,5))</f>
        <v>0</v>
      </c>
      <c r="Z141">
        <f>sumifs(z:z,A:A,"总成",B:B,"852-247000-100")*INDIRECT(ADDRESS(141,5))</f>
        <v>0</v>
      </c>
      <c r="AA141">
        <f>sumifs(aa:aa,A:A,"总成",B:B,"852-247000-100")*INDIRECT(ADDRESS(141,5))</f>
        <v>0</v>
      </c>
      <c r="AB141">
        <f>sumifs(ab:ab,A:A,"总成",B:B,"852-247000-100")*INDIRECT(ADDRESS(141,5))</f>
        <v>0</v>
      </c>
      <c r="AC141">
        <f>sumifs(ac:ac,A:A,"总成",B:B,"852-247000-100")*INDIRECT(ADDRESS(141,5))</f>
        <v>0</v>
      </c>
      <c r="AD141">
        <f>sumifs(ad:ad,A:A,"总成",B:B,"852-247000-100")*INDIRECT(ADDRESS(141,5))</f>
        <v>0</v>
      </c>
      <c r="AE141">
        <f>sumifs(ae:ae,A:A,"总成",B:B,"852-247000-100")*INDIRECT(ADDRESS(141,5))</f>
        <v>0</v>
      </c>
      <c r="AF141">
        <f>sumifs(af:af,A:A,"总成",B:B,"852-247000-100")*INDIRECT(ADDRESS(141,5))</f>
        <v>0</v>
      </c>
      <c r="AG141">
        <f>sumifs(ag:ag,A:A,"总成",B:B,"852-247000-100")*INDIRECT(ADDRESS(141,5))</f>
        <v>0</v>
      </c>
      <c r="AH141">
        <f>sumifs(ah:ah,A:A,"总成",B:B,"852-247000-100")*INDIRECT(ADDRESS(141,5))</f>
        <v>0</v>
      </c>
      <c r="AI141">
        <f>sumifs(ai:ai,A:A,"总成",B:B,"852-247000-100")*INDIRECT(ADDRESS(141,5))</f>
        <v>0</v>
      </c>
      <c r="AJ141">
        <f>sumifs(aj:aj,A:A,"总成",B:B,"852-247000-100")*INDIRECT(ADDRESS(141,5))</f>
        <v>0</v>
      </c>
      <c r="AK141">
        <f>sumifs(ak:ak,A:A,"总成",B:B,"852-247000-100")*INDIRECT(ADDRESS(141,5))</f>
        <v>0</v>
      </c>
      <c r="AL141">
        <f>sumifs(al:al,A:A,"总成",B:B,"852-247000-100")*INDIRECT(ADDRESS(141,5))</f>
        <v>0</v>
      </c>
      <c r="AM141">
        <f>sumifs(am:am,A:A,"总成",B:B,"852-247000-100")*INDIRECT(ADDRESS(141,5))</f>
        <v>0</v>
      </c>
      <c r="AN141">
        <f>sumifs(an:an,A:A,"总成",B:B,"852-247000-100")*INDIRECT(ADDRESS(141,5))</f>
        <v>0</v>
      </c>
      <c r="AO141">
        <f>sumifs(ao:ao,A:A,"总成",B:B,"852-247000-100")*INDIRECT(ADDRESS(141,5))</f>
        <v>0</v>
      </c>
      <c r="AP141">
        <f>sumifs(ap:ap,A:A,"总成",B:B,"852-247000-100")*INDIRECT(ADDRESS(141,5))</f>
        <v>0</v>
      </c>
      <c r="AQ141">
        <f>sumifs(aq:aq,A:A,"总成",B:B,"852-247000-100")*INDIRECT(ADDRESS(141,5))</f>
        <v>0</v>
      </c>
      <c r="AR141">
        <f>sumifs(ar:ar,A:A,"总成",B:B,"852-247000-100")*INDIRECT(ADDRESS(141,5))</f>
        <v>0</v>
      </c>
    </row>
    <row r="142" spans="1:44">
      <c r="A142" t="s">
        <v>14</v>
      </c>
      <c r="B142" t="s">
        <v>140</v>
      </c>
      <c r="C142" t="s">
        <v>141</v>
      </c>
      <c r="D142" t="s">
        <v>256</v>
      </c>
      <c r="E142">
        <v>1</v>
      </c>
      <c r="F142" t="s">
        <v>142</v>
      </c>
      <c r="K142" t="s">
        <v>305</v>
      </c>
      <c r="L142" t="s">
        <v>21</v>
      </c>
      <c r="M142">
        <f>vlookup("852-247000-200",生产发行表!B:AZ,column(l1),0)</f>
        <v>0</v>
      </c>
      <c r="N142">
        <f>vlookup("852-247000-200",生产发行表!B:AZ,column(m1),0)</f>
        <v>0</v>
      </c>
      <c r="O142">
        <f>vlookup("852-247000-200",生产发行表!B:AZ,column(n1),0)</f>
        <v>0</v>
      </c>
      <c r="P142">
        <f>vlookup("852-247000-200",生产发行表!B:AZ,column(o1),0)</f>
        <v>0</v>
      </c>
      <c r="Q142">
        <f>vlookup("852-247000-200",生产发行表!B:AZ,column(p1),0)</f>
        <v>0</v>
      </c>
      <c r="R142">
        <f>vlookup("852-247000-200",生产发行表!B:AZ,column(q1),0)</f>
        <v>0</v>
      </c>
      <c r="S142">
        <f>vlookup("852-247000-200",生产发行表!B:AZ,column(r1),0)</f>
        <v>0</v>
      </c>
      <c r="T142">
        <f>vlookup("852-247000-200",生产发行表!B:AZ,column(s1),0)</f>
        <v>0</v>
      </c>
      <c r="U142">
        <f>vlookup("852-247000-200",生产发行表!B:AZ,column(t1),0)</f>
        <v>0</v>
      </c>
      <c r="V142">
        <f>vlookup("852-247000-200",生产发行表!B:AZ,column(u1),0)</f>
        <v>0</v>
      </c>
      <c r="W142">
        <f>vlookup("852-247000-200",生产发行表!B:AZ,column(v1),0)</f>
        <v>0</v>
      </c>
      <c r="X142">
        <f>vlookup("852-247000-200",生产发行表!B:AZ,column(w1),0)</f>
        <v>0</v>
      </c>
      <c r="Y142">
        <f>vlookup("852-247000-200",生产发行表!B:AZ,column(x1),0)</f>
        <v>0</v>
      </c>
      <c r="Z142">
        <f>vlookup("852-247000-200",生产发行表!B:AZ,column(y1),0)</f>
        <v>0</v>
      </c>
      <c r="AA142">
        <f>vlookup("852-247000-200",生产发行表!B:AZ,column(z1),0)</f>
        <v>0</v>
      </c>
      <c r="AB142">
        <f>vlookup("852-247000-200",生产发行表!B:AZ,column(aa1),0)</f>
        <v>0</v>
      </c>
      <c r="AC142">
        <f>vlookup("852-247000-200",生产发行表!B:AZ,column(ab1),0)</f>
        <v>0</v>
      </c>
      <c r="AD142">
        <f>vlookup("852-247000-200",生产发行表!B:AZ,column(ac1),0)</f>
        <v>0</v>
      </c>
      <c r="AE142">
        <f>vlookup("852-247000-200",生产发行表!B:AZ,column(ad1),0)</f>
        <v>0</v>
      </c>
      <c r="AF142">
        <f>vlookup("852-247000-200",生产发行表!B:AZ,column(ae1),0)</f>
        <v>0</v>
      </c>
      <c r="AG142">
        <f>vlookup("852-247000-200",生产发行表!B:AZ,column(af1),0)</f>
        <v>0</v>
      </c>
      <c r="AH142">
        <f>vlookup("852-247000-200",生产发行表!B:AZ,column(ag1),0)</f>
        <v>0</v>
      </c>
      <c r="AI142">
        <f>vlookup("852-247000-200",生产发行表!B:AZ,column(ah1),0)</f>
        <v>0</v>
      </c>
      <c r="AJ142">
        <f>vlookup("852-247000-200",生产发行表!B:AZ,column(ai1),0)</f>
        <v>0</v>
      </c>
      <c r="AK142">
        <f>vlookup("852-247000-200",生产发行表!B:AZ,column(aj1),0)</f>
        <v>0</v>
      </c>
      <c r="AL142">
        <f>vlookup("852-247000-200",生产发行表!B:AZ,column(ak1),0)</f>
        <v>0</v>
      </c>
      <c r="AM142">
        <f>vlookup("852-247000-200",生产发行表!B:AZ,column(al1),0)</f>
        <v>0</v>
      </c>
      <c r="AN142">
        <f>vlookup("852-247000-200",生产发行表!B:AZ,column(am1),0)</f>
        <v>0</v>
      </c>
      <c r="AO142">
        <f>vlookup("852-247000-200",生产发行表!B:AZ,column(an1),0)</f>
        <v>0</v>
      </c>
      <c r="AP142">
        <f>vlookup("852-247000-200",生产发行表!B:AZ,column(ao1),0)</f>
        <v>0</v>
      </c>
      <c r="AQ142">
        <f>vlookup("852-247000-200",生产发行表!B:AZ,column(ap1),0)</f>
        <v>0</v>
      </c>
      <c r="AR142">
        <f>vlookup("852-247000-200",生产发行表!B:AZ,column(aq1),0)</f>
        <v>0</v>
      </c>
    </row>
    <row r="143" spans="1:44">
      <c r="A143" t="s">
        <v>31</v>
      </c>
      <c r="B143" t="s">
        <v>373</v>
      </c>
      <c r="C143" t="s">
        <v>365</v>
      </c>
      <c r="D143" t="s">
        <v>256</v>
      </c>
      <c r="E143">
        <v>4</v>
      </c>
      <c r="F143" t="s">
        <v>374</v>
      </c>
      <c r="K143" t="s">
        <v>308</v>
      </c>
      <c r="L143" t="s">
        <v>37</v>
      </c>
      <c r="M143">
        <f>sumifs(m:m,A:A,"总成",B:B,"852-247000-200")*INDIRECT(ADDRESS(143,5))</f>
        <v>0</v>
      </c>
      <c r="N143">
        <f>sumifs(n:n,A:A,"总成",B:B,"852-247000-200")*INDIRECT(ADDRESS(143,5))</f>
        <v>0</v>
      </c>
      <c r="O143">
        <f>sumifs(o:o,A:A,"总成",B:B,"852-247000-200")*INDIRECT(ADDRESS(143,5))</f>
        <v>0</v>
      </c>
      <c r="P143">
        <f>sumifs(p:p,A:A,"总成",B:B,"852-247000-200")*INDIRECT(ADDRESS(143,5))</f>
        <v>0</v>
      </c>
      <c r="Q143">
        <f>sumifs(q:q,A:A,"总成",B:B,"852-247000-200")*INDIRECT(ADDRESS(143,5))</f>
        <v>0</v>
      </c>
      <c r="R143">
        <f>sumifs(r:r,A:A,"总成",B:B,"852-247000-200")*INDIRECT(ADDRESS(143,5))</f>
        <v>0</v>
      </c>
      <c r="S143">
        <f>sumifs(s:s,A:A,"总成",B:B,"852-247000-200")*INDIRECT(ADDRESS(143,5))</f>
        <v>0</v>
      </c>
      <c r="T143">
        <f>sumifs(t:t,A:A,"总成",B:B,"852-247000-200")*INDIRECT(ADDRESS(143,5))</f>
        <v>0</v>
      </c>
      <c r="U143">
        <f>sumifs(u:u,A:A,"总成",B:B,"852-247000-200")*INDIRECT(ADDRESS(143,5))</f>
        <v>0</v>
      </c>
      <c r="V143">
        <f>sumifs(v:v,A:A,"总成",B:B,"852-247000-200")*INDIRECT(ADDRESS(143,5))</f>
        <v>0</v>
      </c>
      <c r="W143">
        <f>sumifs(w:w,A:A,"总成",B:B,"852-247000-200")*INDIRECT(ADDRESS(143,5))</f>
        <v>0</v>
      </c>
      <c r="X143">
        <f>sumifs(x:x,A:A,"总成",B:B,"852-247000-200")*INDIRECT(ADDRESS(143,5))</f>
        <v>0</v>
      </c>
      <c r="Y143">
        <f>sumifs(y:y,A:A,"总成",B:B,"852-247000-200")*INDIRECT(ADDRESS(143,5))</f>
        <v>0</v>
      </c>
      <c r="Z143">
        <f>sumifs(z:z,A:A,"总成",B:B,"852-247000-200")*INDIRECT(ADDRESS(143,5))</f>
        <v>0</v>
      </c>
      <c r="AA143">
        <f>sumifs(aa:aa,A:A,"总成",B:B,"852-247000-200")*INDIRECT(ADDRESS(143,5))</f>
        <v>0</v>
      </c>
      <c r="AB143">
        <f>sumifs(ab:ab,A:A,"总成",B:B,"852-247000-200")*INDIRECT(ADDRESS(143,5))</f>
        <v>0</v>
      </c>
      <c r="AC143">
        <f>sumifs(ac:ac,A:A,"总成",B:B,"852-247000-200")*INDIRECT(ADDRESS(143,5))</f>
        <v>0</v>
      </c>
      <c r="AD143">
        <f>sumifs(ad:ad,A:A,"总成",B:B,"852-247000-200")*INDIRECT(ADDRESS(143,5))</f>
        <v>0</v>
      </c>
      <c r="AE143">
        <f>sumifs(ae:ae,A:A,"总成",B:B,"852-247000-200")*INDIRECT(ADDRESS(143,5))</f>
        <v>0</v>
      </c>
      <c r="AF143">
        <f>sumifs(af:af,A:A,"总成",B:B,"852-247000-200")*INDIRECT(ADDRESS(143,5))</f>
        <v>0</v>
      </c>
      <c r="AG143">
        <f>sumifs(ag:ag,A:A,"总成",B:B,"852-247000-200")*INDIRECT(ADDRESS(143,5))</f>
        <v>0</v>
      </c>
      <c r="AH143">
        <f>sumifs(ah:ah,A:A,"总成",B:B,"852-247000-200")*INDIRECT(ADDRESS(143,5))</f>
        <v>0</v>
      </c>
      <c r="AI143">
        <f>sumifs(ai:ai,A:A,"总成",B:B,"852-247000-200")*INDIRECT(ADDRESS(143,5))</f>
        <v>0</v>
      </c>
      <c r="AJ143">
        <f>sumifs(aj:aj,A:A,"总成",B:B,"852-247000-200")*INDIRECT(ADDRESS(143,5))</f>
        <v>0</v>
      </c>
      <c r="AK143">
        <f>sumifs(ak:ak,A:A,"总成",B:B,"852-247000-200")*INDIRECT(ADDRESS(143,5))</f>
        <v>0</v>
      </c>
      <c r="AL143">
        <f>sumifs(al:al,A:A,"总成",B:B,"852-247000-200")*INDIRECT(ADDRESS(143,5))</f>
        <v>0</v>
      </c>
      <c r="AM143">
        <f>sumifs(am:am,A:A,"总成",B:B,"852-247000-200")*INDIRECT(ADDRESS(143,5))</f>
        <v>0</v>
      </c>
      <c r="AN143">
        <f>sumifs(an:an,A:A,"总成",B:B,"852-247000-200")*INDIRECT(ADDRESS(143,5))</f>
        <v>0</v>
      </c>
      <c r="AO143">
        <f>sumifs(ao:ao,A:A,"总成",B:B,"852-247000-200")*INDIRECT(ADDRESS(143,5))</f>
        <v>0</v>
      </c>
      <c r="AP143">
        <f>sumifs(ap:ap,A:A,"总成",B:B,"852-247000-200")*INDIRECT(ADDRESS(143,5))</f>
        <v>0</v>
      </c>
      <c r="AQ143">
        <f>sumifs(aq:aq,A:A,"总成",B:B,"852-247000-200")*INDIRECT(ADDRESS(143,5))</f>
        <v>0</v>
      </c>
      <c r="AR143">
        <f>sumifs(ar:ar,A:A,"总成",B:B,"852-247000-200")*INDIRECT(ADDRESS(143,5))</f>
        <v>0</v>
      </c>
    </row>
    <row r="144" spans="1:44">
      <c r="A144" t="s">
        <v>31</v>
      </c>
      <c r="B144" t="s">
        <v>375</v>
      </c>
      <c r="C144" t="s">
        <v>376</v>
      </c>
      <c r="D144" t="s">
        <v>256</v>
      </c>
      <c r="E144">
        <v>2</v>
      </c>
      <c r="F144" t="s">
        <v>377</v>
      </c>
      <c r="K144" t="s">
        <v>308</v>
      </c>
      <c r="L144" t="s">
        <v>37</v>
      </c>
      <c r="M144">
        <f>sumifs(m:m,A:A,"总成",B:B,"852-247000-200")*INDIRECT(ADDRESS(144,5))</f>
        <v>0</v>
      </c>
      <c r="N144">
        <f>sumifs(n:n,A:A,"总成",B:B,"852-247000-200")*INDIRECT(ADDRESS(144,5))</f>
        <v>0</v>
      </c>
      <c r="O144">
        <f>sumifs(o:o,A:A,"总成",B:B,"852-247000-200")*INDIRECT(ADDRESS(144,5))</f>
        <v>0</v>
      </c>
      <c r="P144">
        <f>sumifs(p:p,A:A,"总成",B:B,"852-247000-200")*INDIRECT(ADDRESS(144,5))</f>
        <v>0</v>
      </c>
      <c r="Q144">
        <f>sumifs(q:q,A:A,"总成",B:B,"852-247000-200")*INDIRECT(ADDRESS(144,5))</f>
        <v>0</v>
      </c>
      <c r="R144">
        <f>sumifs(r:r,A:A,"总成",B:B,"852-247000-200")*INDIRECT(ADDRESS(144,5))</f>
        <v>0</v>
      </c>
      <c r="S144">
        <f>sumifs(s:s,A:A,"总成",B:B,"852-247000-200")*INDIRECT(ADDRESS(144,5))</f>
        <v>0</v>
      </c>
      <c r="T144">
        <f>sumifs(t:t,A:A,"总成",B:B,"852-247000-200")*INDIRECT(ADDRESS(144,5))</f>
        <v>0</v>
      </c>
      <c r="U144">
        <f>sumifs(u:u,A:A,"总成",B:B,"852-247000-200")*INDIRECT(ADDRESS(144,5))</f>
        <v>0</v>
      </c>
      <c r="V144">
        <f>sumifs(v:v,A:A,"总成",B:B,"852-247000-200")*INDIRECT(ADDRESS(144,5))</f>
        <v>0</v>
      </c>
      <c r="W144">
        <f>sumifs(w:w,A:A,"总成",B:B,"852-247000-200")*INDIRECT(ADDRESS(144,5))</f>
        <v>0</v>
      </c>
      <c r="X144">
        <f>sumifs(x:x,A:A,"总成",B:B,"852-247000-200")*INDIRECT(ADDRESS(144,5))</f>
        <v>0</v>
      </c>
      <c r="Y144">
        <f>sumifs(y:y,A:A,"总成",B:B,"852-247000-200")*INDIRECT(ADDRESS(144,5))</f>
        <v>0</v>
      </c>
      <c r="Z144">
        <f>sumifs(z:z,A:A,"总成",B:B,"852-247000-200")*INDIRECT(ADDRESS(144,5))</f>
        <v>0</v>
      </c>
      <c r="AA144">
        <f>sumifs(aa:aa,A:A,"总成",B:B,"852-247000-200")*INDIRECT(ADDRESS(144,5))</f>
        <v>0</v>
      </c>
      <c r="AB144">
        <f>sumifs(ab:ab,A:A,"总成",B:B,"852-247000-200")*INDIRECT(ADDRESS(144,5))</f>
        <v>0</v>
      </c>
      <c r="AC144">
        <f>sumifs(ac:ac,A:A,"总成",B:B,"852-247000-200")*INDIRECT(ADDRESS(144,5))</f>
        <v>0</v>
      </c>
      <c r="AD144">
        <f>sumifs(ad:ad,A:A,"总成",B:B,"852-247000-200")*INDIRECT(ADDRESS(144,5))</f>
        <v>0</v>
      </c>
      <c r="AE144">
        <f>sumifs(ae:ae,A:A,"总成",B:B,"852-247000-200")*INDIRECT(ADDRESS(144,5))</f>
        <v>0</v>
      </c>
      <c r="AF144">
        <f>sumifs(af:af,A:A,"总成",B:B,"852-247000-200")*INDIRECT(ADDRESS(144,5))</f>
        <v>0</v>
      </c>
      <c r="AG144">
        <f>sumifs(ag:ag,A:A,"总成",B:B,"852-247000-200")*INDIRECT(ADDRESS(144,5))</f>
        <v>0</v>
      </c>
      <c r="AH144">
        <f>sumifs(ah:ah,A:A,"总成",B:B,"852-247000-200")*INDIRECT(ADDRESS(144,5))</f>
        <v>0</v>
      </c>
      <c r="AI144">
        <f>sumifs(ai:ai,A:A,"总成",B:B,"852-247000-200")*INDIRECT(ADDRESS(144,5))</f>
        <v>0</v>
      </c>
      <c r="AJ144">
        <f>sumifs(aj:aj,A:A,"总成",B:B,"852-247000-200")*INDIRECT(ADDRESS(144,5))</f>
        <v>0</v>
      </c>
      <c r="AK144">
        <f>sumifs(ak:ak,A:A,"总成",B:B,"852-247000-200")*INDIRECT(ADDRESS(144,5))</f>
        <v>0</v>
      </c>
      <c r="AL144">
        <f>sumifs(al:al,A:A,"总成",B:B,"852-247000-200")*INDIRECT(ADDRESS(144,5))</f>
        <v>0</v>
      </c>
      <c r="AM144">
        <f>sumifs(am:am,A:A,"总成",B:B,"852-247000-200")*INDIRECT(ADDRESS(144,5))</f>
        <v>0</v>
      </c>
      <c r="AN144">
        <f>sumifs(an:an,A:A,"总成",B:B,"852-247000-200")*INDIRECT(ADDRESS(144,5))</f>
        <v>0</v>
      </c>
      <c r="AO144">
        <f>sumifs(ao:ao,A:A,"总成",B:B,"852-247000-200")*INDIRECT(ADDRESS(144,5))</f>
        <v>0</v>
      </c>
      <c r="AP144">
        <f>sumifs(ap:ap,A:A,"总成",B:B,"852-247000-200")*INDIRECT(ADDRESS(144,5))</f>
        <v>0</v>
      </c>
      <c r="AQ144">
        <f>sumifs(aq:aq,A:A,"总成",B:B,"852-247000-200")*INDIRECT(ADDRESS(144,5))</f>
        <v>0</v>
      </c>
      <c r="AR144">
        <f>sumifs(ar:ar,A:A,"总成",B:B,"852-247000-200")*INDIRECT(ADDRESS(144,5))</f>
        <v>0</v>
      </c>
    </row>
    <row r="145" spans="1:44">
      <c r="A145" t="s">
        <v>31</v>
      </c>
      <c r="B145" t="s">
        <v>378</v>
      </c>
      <c r="C145" t="s">
        <v>379</v>
      </c>
      <c r="D145" t="s">
        <v>256</v>
      </c>
      <c r="E145">
        <v>1</v>
      </c>
      <c r="F145" t="s">
        <v>380</v>
      </c>
      <c r="K145" t="s">
        <v>308</v>
      </c>
      <c r="L145" t="s">
        <v>37</v>
      </c>
      <c r="M145">
        <f>sumifs(m:m,A:A,"总成",B:B,"852-247000-200")*INDIRECT(ADDRESS(145,5))</f>
        <v>0</v>
      </c>
      <c r="N145">
        <f>sumifs(n:n,A:A,"总成",B:B,"852-247000-200")*INDIRECT(ADDRESS(145,5))</f>
        <v>0</v>
      </c>
      <c r="O145">
        <f>sumifs(o:o,A:A,"总成",B:B,"852-247000-200")*INDIRECT(ADDRESS(145,5))</f>
        <v>0</v>
      </c>
      <c r="P145">
        <f>sumifs(p:p,A:A,"总成",B:B,"852-247000-200")*INDIRECT(ADDRESS(145,5))</f>
        <v>0</v>
      </c>
      <c r="Q145">
        <f>sumifs(q:q,A:A,"总成",B:B,"852-247000-200")*INDIRECT(ADDRESS(145,5))</f>
        <v>0</v>
      </c>
      <c r="R145">
        <f>sumifs(r:r,A:A,"总成",B:B,"852-247000-200")*INDIRECT(ADDRESS(145,5))</f>
        <v>0</v>
      </c>
      <c r="S145">
        <f>sumifs(s:s,A:A,"总成",B:B,"852-247000-200")*INDIRECT(ADDRESS(145,5))</f>
        <v>0</v>
      </c>
      <c r="T145">
        <f>sumifs(t:t,A:A,"总成",B:B,"852-247000-200")*INDIRECT(ADDRESS(145,5))</f>
        <v>0</v>
      </c>
      <c r="U145">
        <f>sumifs(u:u,A:A,"总成",B:B,"852-247000-200")*INDIRECT(ADDRESS(145,5))</f>
        <v>0</v>
      </c>
      <c r="V145">
        <f>sumifs(v:v,A:A,"总成",B:B,"852-247000-200")*INDIRECT(ADDRESS(145,5))</f>
        <v>0</v>
      </c>
      <c r="W145">
        <f>sumifs(w:w,A:A,"总成",B:B,"852-247000-200")*INDIRECT(ADDRESS(145,5))</f>
        <v>0</v>
      </c>
      <c r="X145">
        <f>sumifs(x:x,A:A,"总成",B:B,"852-247000-200")*INDIRECT(ADDRESS(145,5))</f>
        <v>0</v>
      </c>
      <c r="Y145">
        <f>sumifs(y:y,A:A,"总成",B:B,"852-247000-200")*INDIRECT(ADDRESS(145,5))</f>
        <v>0</v>
      </c>
      <c r="Z145">
        <f>sumifs(z:z,A:A,"总成",B:B,"852-247000-200")*INDIRECT(ADDRESS(145,5))</f>
        <v>0</v>
      </c>
      <c r="AA145">
        <f>sumifs(aa:aa,A:A,"总成",B:B,"852-247000-200")*INDIRECT(ADDRESS(145,5))</f>
        <v>0</v>
      </c>
      <c r="AB145">
        <f>sumifs(ab:ab,A:A,"总成",B:B,"852-247000-200")*INDIRECT(ADDRESS(145,5))</f>
        <v>0</v>
      </c>
      <c r="AC145">
        <f>sumifs(ac:ac,A:A,"总成",B:B,"852-247000-200")*INDIRECT(ADDRESS(145,5))</f>
        <v>0</v>
      </c>
      <c r="AD145">
        <f>sumifs(ad:ad,A:A,"总成",B:B,"852-247000-200")*INDIRECT(ADDRESS(145,5))</f>
        <v>0</v>
      </c>
      <c r="AE145">
        <f>sumifs(ae:ae,A:A,"总成",B:B,"852-247000-200")*INDIRECT(ADDRESS(145,5))</f>
        <v>0</v>
      </c>
      <c r="AF145">
        <f>sumifs(af:af,A:A,"总成",B:B,"852-247000-200")*INDIRECT(ADDRESS(145,5))</f>
        <v>0</v>
      </c>
      <c r="AG145">
        <f>sumifs(ag:ag,A:A,"总成",B:B,"852-247000-200")*INDIRECT(ADDRESS(145,5))</f>
        <v>0</v>
      </c>
      <c r="AH145">
        <f>sumifs(ah:ah,A:A,"总成",B:B,"852-247000-200")*INDIRECT(ADDRESS(145,5))</f>
        <v>0</v>
      </c>
      <c r="AI145">
        <f>sumifs(ai:ai,A:A,"总成",B:B,"852-247000-200")*INDIRECT(ADDRESS(145,5))</f>
        <v>0</v>
      </c>
      <c r="AJ145">
        <f>sumifs(aj:aj,A:A,"总成",B:B,"852-247000-200")*INDIRECT(ADDRESS(145,5))</f>
        <v>0</v>
      </c>
      <c r="AK145">
        <f>sumifs(ak:ak,A:A,"总成",B:B,"852-247000-200")*INDIRECT(ADDRESS(145,5))</f>
        <v>0</v>
      </c>
      <c r="AL145">
        <f>sumifs(al:al,A:A,"总成",B:B,"852-247000-200")*INDIRECT(ADDRESS(145,5))</f>
        <v>0</v>
      </c>
      <c r="AM145">
        <f>sumifs(am:am,A:A,"总成",B:B,"852-247000-200")*INDIRECT(ADDRESS(145,5))</f>
        <v>0</v>
      </c>
      <c r="AN145">
        <f>sumifs(an:an,A:A,"总成",B:B,"852-247000-200")*INDIRECT(ADDRESS(145,5))</f>
        <v>0</v>
      </c>
      <c r="AO145">
        <f>sumifs(ao:ao,A:A,"总成",B:B,"852-247000-200")*INDIRECT(ADDRESS(145,5))</f>
        <v>0</v>
      </c>
      <c r="AP145">
        <f>sumifs(ap:ap,A:A,"总成",B:B,"852-247000-200")*INDIRECT(ADDRESS(145,5))</f>
        <v>0</v>
      </c>
      <c r="AQ145">
        <f>sumifs(aq:aq,A:A,"总成",B:B,"852-247000-200")*INDIRECT(ADDRESS(145,5))</f>
        <v>0</v>
      </c>
      <c r="AR145">
        <f>sumifs(ar:ar,A:A,"总成",B:B,"852-247000-200")*INDIRECT(ADDRESS(145,5))</f>
        <v>0</v>
      </c>
    </row>
    <row r="146" spans="1:44">
      <c r="A146" t="s">
        <v>31</v>
      </c>
      <c r="B146" t="s">
        <v>381</v>
      </c>
      <c r="C146" t="s">
        <v>382</v>
      </c>
      <c r="D146" t="s">
        <v>256</v>
      </c>
      <c r="E146">
        <v>1</v>
      </c>
      <c r="F146" t="s">
        <v>383</v>
      </c>
      <c r="K146" t="s">
        <v>308</v>
      </c>
      <c r="L146" t="s">
        <v>37</v>
      </c>
      <c r="M146">
        <f>sumifs(m:m,A:A,"总成",B:B,"852-247000-200")*INDIRECT(ADDRESS(146,5))</f>
        <v>0</v>
      </c>
      <c r="N146">
        <f>sumifs(n:n,A:A,"总成",B:B,"852-247000-200")*INDIRECT(ADDRESS(146,5))</f>
        <v>0</v>
      </c>
      <c r="O146">
        <f>sumifs(o:o,A:A,"总成",B:B,"852-247000-200")*INDIRECT(ADDRESS(146,5))</f>
        <v>0</v>
      </c>
      <c r="P146">
        <f>sumifs(p:p,A:A,"总成",B:B,"852-247000-200")*INDIRECT(ADDRESS(146,5))</f>
        <v>0</v>
      </c>
      <c r="Q146">
        <f>sumifs(q:q,A:A,"总成",B:B,"852-247000-200")*INDIRECT(ADDRESS(146,5))</f>
        <v>0</v>
      </c>
      <c r="R146">
        <f>sumifs(r:r,A:A,"总成",B:B,"852-247000-200")*INDIRECT(ADDRESS(146,5))</f>
        <v>0</v>
      </c>
      <c r="S146">
        <f>sumifs(s:s,A:A,"总成",B:B,"852-247000-200")*INDIRECT(ADDRESS(146,5))</f>
        <v>0</v>
      </c>
      <c r="T146">
        <f>sumifs(t:t,A:A,"总成",B:B,"852-247000-200")*INDIRECT(ADDRESS(146,5))</f>
        <v>0</v>
      </c>
      <c r="U146">
        <f>sumifs(u:u,A:A,"总成",B:B,"852-247000-200")*INDIRECT(ADDRESS(146,5))</f>
        <v>0</v>
      </c>
      <c r="V146">
        <f>sumifs(v:v,A:A,"总成",B:B,"852-247000-200")*INDIRECT(ADDRESS(146,5))</f>
        <v>0</v>
      </c>
      <c r="W146">
        <f>sumifs(w:w,A:A,"总成",B:B,"852-247000-200")*INDIRECT(ADDRESS(146,5))</f>
        <v>0</v>
      </c>
      <c r="X146">
        <f>sumifs(x:x,A:A,"总成",B:B,"852-247000-200")*INDIRECT(ADDRESS(146,5))</f>
        <v>0</v>
      </c>
      <c r="Y146">
        <f>sumifs(y:y,A:A,"总成",B:B,"852-247000-200")*INDIRECT(ADDRESS(146,5))</f>
        <v>0</v>
      </c>
      <c r="Z146">
        <f>sumifs(z:z,A:A,"总成",B:B,"852-247000-200")*INDIRECT(ADDRESS(146,5))</f>
        <v>0</v>
      </c>
      <c r="AA146">
        <f>sumifs(aa:aa,A:A,"总成",B:B,"852-247000-200")*INDIRECT(ADDRESS(146,5))</f>
        <v>0</v>
      </c>
      <c r="AB146">
        <f>sumifs(ab:ab,A:A,"总成",B:B,"852-247000-200")*INDIRECT(ADDRESS(146,5))</f>
        <v>0</v>
      </c>
      <c r="AC146">
        <f>sumifs(ac:ac,A:A,"总成",B:B,"852-247000-200")*INDIRECT(ADDRESS(146,5))</f>
        <v>0</v>
      </c>
      <c r="AD146">
        <f>sumifs(ad:ad,A:A,"总成",B:B,"852-247000-200")*INDIRECT(ADDRESS(146,5))</f>
        <v>0</v>
      </c>
      <c r="AE146">
        <f>sumifs(ae:ae,A:A,"总成",B:B,"852-247000-200")*INDIRECT(ADDRESS(146,5))</f>
        <v>0</v>
      </c>
      <c r="AF146">
        <f>sumifs(af:af,A:A,"总成",B:B,"852-247000-200")*INDIRECT(ADDRESS(146,5))</f>
        <v>0</v>
      </c>
      <c r="AG146">
        <f>sumifs(ag:ag,A:A,"总成",B:B,"852-247000-200")*INDIRECT(ADDRESS(146,5))</f>
        <v>0</v>
      </c>
      <c r="AH146">
        <f>sumifs(ah:ah,A:A,"总成",B:B,"852-247000-200")*INDIRECT(ADDRESS(146,5))</f>
        <v>0</v>
      </c>
      <c r="AI146">
        <f>sumifs(ai:ai,A:A,"总成",B:B,"852-247000-200")*INDIRECT(ADDRESS(146,5))</f>
        <v>0</v>
      </c>
      <c r="AJ146">
        <f>sumifs(aj:aj,A:A,"总成",B:B,"852-247000-200")*INDIRECT(ADDRESS(146,5))</f>
        <v>0</v>
      </c>
      <c r="AK146">
        <f>sumifs(ak:ak,A:A,"总成",B:B,"852-247000-200")*INDIRECT(ADDRESS(146,5))</f>
        <v>0</v>
      </c>
      <c r="AL146">
        <f>sumifs(al:al,A:A,"总成",B:B,"852-247000-200")*INDIRECT(ADDRESS(146,5))</f>
        <v>0</v>
      </c>
      <c r="AM146">
        <f>sumifs(am:am,A:A,"总成",B:B,"852-247000-200")*INDIRECT(ADDRESS(146,5))</f>
        <v>0</v>
      </c>
      <c r="AN146">
        <f>sumifs(an:an,A:A,"总成",B:B,"852-247000-200")*INDIRECT(ADDRESS(146,5))</f>
        <v>0</v>
      </c>
      <c r="AO146">
        <f>sumifs(ao:ao,A:A,"总成",B:B,"852-247000-200")*INDIRECT(ADDRESS(146,5))</f>
        <v>0</v>
      </c>
      <c r="AP146">
        <f>sumifs(ap:ap,A:A,"总成",B:B,"852-247000-200")*INDIRECT(ADDRESS(146,5))</f>
        <v>0</v>
      </c>
      <c r="AQ146">
        <f>sumifs(aq:aq,A:A,"总成",B:B,"852-247000-200")*INDIRECT(ADDRESS(146,5))</f>
        <v>0</v>
      </c>
      <c r="AR146">
        <f>sumifs(ar:ar,A:A,"总成",B:B,"852-247000-200")*INDIRECT(ADDRESS(146,5))</f>
        <v>0</v>
      </c>
    </row>
    <row r="147" spans="1:44">
      <c r="A147" t="s">
        <v>31</v>
      </c>
      <c r="B147" t="s">
        <v>384</v>
      </c>
      <c r="C147" t="s">
        <v>385</v>
      </c>
      <c r="D147" t="s">
        <v>256</v>
      </c>
      <c r="E147">
        <v>1</v>
      </c>
      <c r="K147" t="s">
        <v>308</v>
      </c>
      <c r="L147" t="s">
        <v>37</v>
      </c>
      <c r="M147">
        <f>sumifs(m:m,A:A,"总成",B:B,"852-247000-200")*INDIRECT(ADDRESS(147,5))</f>
        <v>0</v>
      </c>
      <c r="N147">
        <f>sumifs(n:n,A:A,"总成",B:B,"852-247000-200")*INDIRECT(ADDRESS(147,5))</f>
        <v>0</v>
      </c>
      <c r="O147">
        <f>sumifs(o:o,A:A,"总成",B:B,"852-247000-200")*INDIRECT(ADDRESS(147,5))</f>
        <v>0</v>
      </c>
      <c r="P147">
        <f>sumifs(p:p,A:A,"总成",B:B,"852-247000-200")*INDIRECT(ADDRESS(147,5))</f>
        <v>0</v>
      </c>
      <c r="Q147">
        <f>sumifs(q:q,A:A,"总成",B:B,"852-247000-200")*INDIRECT(ADDRESS(147,5))</f>
        <v>0</v>
      </c>
      <c r="R147">
        <f>sumifs(r:r,A:A,"总成",B:B,"852-247000-200")*INDIRECT(ADDRESS(147,5))</f>
        <v>0</v>
      </c>
      <c r="S147">
        <f>sumifs(s:s,A:A,"总成",B:B,"852-247000-200")*INDIRECT(ADDRESS(147,5))</f>
        <v>0</v>
      </c>
      <c r="T147">
        <f>sumifs(t:t,A:A,"总成",B:B,"852-247000-200")*INDIRECT(ADDRESS(147,5))</f>
        <v>0</v>
      </c>
      <c r="U147">
        <f>sumifs(u:u,A:A,"总成",B:B,"852-247000-200")*INDIRECT(ADDRESS(147,5))</f>
        <v>0</v>
      </c>
      <c r="V147">
        <f>sumifs(v:v,A:A,"总成",B:B,"852-247000-200")*INDIRECT(ADDRESS(147,5))</f>
        <v>0</v>
      </c>
      <c r="W147">
        <f>sumifs(w:w,A:A,"总成",B:B,"852-247000-200")*INDIRECT(ADDRESS(147,5))</f>
        <v>0</v>
      </c>
      <c r="X147">
        <f>sumifs(x:x,A:A,"总成",B:B,"852-247000-200")*INDIRECT(ADDRESS(147,5))</f>
        <v>0</v>
      </c>
      <c r="Y147">
        <f>sumifs(y:y,A:A,"总成",B:B,"852-247000-200")*INDIRECT(ADDRESS(147,5))</f>
        <v>0</v>
      </c>
      <c r="Z147">
        <f>sumifs(z:z,A:A,"总成",B:B,"852-247000-200")*INDIRECT(ADDRESS(147,5))</f>
        <v>0</v>
      </c>
      <c r="AA147">
        <f>sumifs(aa:aa,A:A,"总成",B:B,"852-247000-200")*INDIRECT(ADDRESS(147,5))</f>
        <v>0</v>
      </c>
      <c r="AB147">
        <f>sumifs(ab:ab,A:A,"总成",B:B,"852-247000-200")*INDIRECT(ADDRESS(147,5))</f>
        <v>0</v>
      </c>
      <c r="AC147">
        <f>sumifs(ac:ac,A:A,"总成",B:B,"852-247000-200")*INDIRECT(ADDRESS(147,5))</f>
        <v>0</v>
      </c>
      <c r="AD147">
        <f>sumifs(ad:ad,A:A,"总成",B:B,"852-247000-200")*INDIRECT(ADDRESS(147,5))</f>
        <v>0</v>
      </c>
      <c r="AE147">
        <f>sumifs(ae:ae,A:A,"总成",B:B,"852-247000-200")*INDIRECT(ADDRESS(147,5))</f>
        <v>0</v>
      </c>
      <c r="AF147">
        <f>sumifs(af:af,A:A,"总成",B:B,"852-247000-200")*INDIRECT(ADDRESS(147,5))</f>
        <v>0</v>
      </c>
      <c r="AG147">
        <f>sumifs(ag:ag,A:A,"总成",B:B,"852-247000-200")*INDIRECT(ADDRESS(147,5))</f>
        <v>0</v>
      </c>
      <c r="AH147">
        <f>sumifs(ah:ah,A:A,"总成",B:B,"852-247000-200")*INDIRECT(ADDRESS(147,5))</f>
        <v>0</v>
      </c>
      <c r="AI147">
        <f>sumifs(ai:ai,A:A,"总成",B:B,"852-247000-200")*INDIRECT(ADDRESS(147,5))</f>
        <v>0</v>
      </c>
      <c r="AJ147">
        <f>sumifs(aj:aj,A:A,"总成",B:B,"852-247000-200")*INDIRECT(ADDRESS(147,5))</f>
        <v>0</v>
      </c>
      <c r="AK147">
        <f>sumifs(ak:ak,A:A,"总成",B:B,"852-247000-200")*INDIRECT(ADDRESS(147,5))</f>
        <v>0</v>
      </c>
      <c r="AL147">
        <f>sumifs(al:al,A:A,"总成",B:B,"852-247000-200")*INDIRECT(ADDRESS(147,5))</f>
        <v>0</v>
      </c>
      <c r="AM147">
        <f>sumifs(am:am,A:A,"总成",B:B,"852-247000-200")*INDIRECT(ADDRESS(147,5))</f>
        <v>0</v>
      </c>
      <c r="AN147">
        <f>sumifs(an:an,A:A,"总成",B:B,"852-247000-200")*INDIRECT(ADDRESS(147,5))</f>
        <v>0</v>
      </c>
      <c r="AO147">
        <f>sumifs(ao:ao,A:A,"总成",B:B,"852-247000-200")*INDIRECT(ADDRESS(147,5))</f>
        <v>0</v>
      </c>
      <c r="AP147">
        <f>sumifs(ap:ap,A:A,"总成",B:B,"852-247000-200")*INDIRECT(ADDRESS(147,5))</f>
        <v>0</v>
      </c>
      <c r="AQ147">
        <f>sumifs(aq:aq,A:A,"总成",B:B,"852-247000-200")*INDIRECT(ADDRESS(147,5))</f>
        <v>0</v>
      </c>
      <c r="AR147">
        <f>sumifs(ar:ar,A:A,"总成",B:B,"852-247000-200")*INDIRECT(ADDRESS(147,5))</f>
        <v>0</v>
      </c>
    </row>
    <row r="148" spans="1:44">
      <c r="A148" t="s">
        <v>31</v>
      </c>
      <c r="B148" t="s">
        <v>352</v>
      </c>
      <c r="C148" t="s">
        <v>353</v>
      </c>
      <c r="D148" t="s">
        <v>17</v>
      </c>
      <c r="E148" t="s">
        <v>36</v>
      </c>
      <c r="K148" t="s">
        <v>308</v>
      </c>
      <c r="L148" t="s">
        <v>37</v>
      </c>
      <c r="M148">
        <f>sumifs(m:m,A:A,"总成",B:B,"852-247000-200")*INDIRECT(ADDRESS(148,5))</f>
        <v>0</v>
      </c>
      <c r="N148">
        <f>sumifs(n:n,A:A,"总成",B:B,"852-247000-200")*INDIRECT(ADDRESS(148,5))</f>
        <v>0</v>
      </c>
      <c r="O148">
        <f>sumifs(o:o,A:A,"总成",B:B,"852-247000-200")*INDIRECT(ADDRESS(148,5))</f>
        <v>0</v>
      </c>
      <c r="P148">
        <f>sumifs(p:p,A:A,"总成",B:B,"852-247000-200")*INDIRECT(ADDRESS(148,5))</f>
        <v>0</v>
      </c>
      <c r="Q148">
        <f>sumifs(q:q,A:A,"总成",B:B,"852-247000-200")*INDIRECT(ADDRESS(148,5))</f>
        <v>0</v>
      </c>
      <c r="R148">
        <f>sumifs(r:r,A:A,"总成",B:B,"852-247000-200")*INDIRECT(ADDRESS(148,5))</f>
        <v>0</v>
      </c>
      <c r="S148">
        <f>sumifs(s:s,A:A,"总成",B:B,"852-247000-200")*INDIRECT(ADDRESS(148,5))</f>
        <v>0</v>
      </c>
      <c r="T148">
        <f>sumifs(t:t,A:A,"总成",B:B,"852-247000-200")*INDIRECT(ADDRESS(148,5))</f>
        <v>0</v>
      </c>
      <c r="U148">
        <f>sumifs(u:u,A:A,"总成",B:B,"852-247000-200")*INDIRECT(ADDRESS(148,5))</f>
        <v>0</v>
      </c>
      <c r="V148">
        <f>sumifs(v:v,A:A,"总成",B:B,"852-247000-200")*INDIRECT(ADDRESS(148,5))</f>
        <v>0</v>
      </c>
      <c r="W148">
        <f>sumifs(w:w,A:A,"总成",B:B,"852-247000-200")*INDIRECT(ADDRESS(148,5))</f>
        <v>0</v>
      </c>
      <c r="X148">
        <f>sumifs(x:x,A:A,"总成",B:B,"852-247000-200")*INDIRECT(ADDRESS(148,5))</f>
        <v>0</v>
      </c>
      <c r="Y148">
        <f>sumifs(y:y,A:A,"总成",B:B,"852-247000-200")*INDIRECT(ADDRESS(148,5))</f>
        <v>0</v>
      </c>
      <c r="Z148">
        <f>sumifs(z:z,A:A,"总成",B:B,"852-247000-200")*INDIRECT(ADDRESS(148,5))</f>
        <v>0</v>
      </c>
      <c r="AA148">
        <f>sumifs(aa:aa,A:A,"总成",B:B,"852-247000-200")*INDIRECT(ADDRESS(148,5))</f>
        <v>0</v>
      </c>
      <c r="AB148">
        <f>sumifs(ab:ab,A:A,"总成",B:B,"852-247000-200")*INDIRECT(ADDRESS(148,5))</f>
        <v>0</v>
      </c>
      <c r="AC148">
        <f>sumifs(ac:ac,A:A,"总成",B:B,"852-247000-200")*INDIRECT(ADDRESS(148,5))</f>
        <v>0</v>
      </c>
      <c r="AD148">
        <f>sumifs(ad:ad,A:A,"总成",B:B,"852-247000-200")*INDIRECT(ADDRESS(148,5))</f>
        <v>0</v>
      </c>
      <c r="AE148">
        <f>sumifs(ae:ae,A:A,"总成",B:B,"852-247000-200")*INDIRECT(ADDRESS(148,5))</f>
        <v>0</v>
      </c>
      <c r="AF148">
        <f>sumifs(af:af,A:A,"总成",B:B,"852-247000-200")*INDIRECT(ADDRESS(148,5))</f>
        <v>0</v>
      </c>
      <c r="AG148">
        <f>sumifs(ag:ag,A:A,"总成",B:B,"852-247000-200")*INDIRECT(ADDRESS(148,5))</f>
        <v>0</v>
      </c>
      <c r="AH148">
        <f>sumifs(ah:ah,A:A,"总成",B:B,"852-247000-200")*INDIRECT(ADDRESS(148,5))</f>
        <v>0</v>
      </c>
      <c r="AI148">
        <f>sumifs(ai:ai,A:A,"总成",B:B,"852-247000-200")*INDIRECT(ADDRESS(148,5))</f>
        <v>0</v>
      </c>
      <c r="AJ148">
        <f>sumifs(aj:aj,A:A,"总成",B:B,"852-247000-200")*INDIRECT(ADDRESS(148,5))</f>
        <v>0</v>
      </c>
      <c r="AK148">
        <f>sumifs(ak:ak,A:A,"总成",B:B,"852-247000-200")*INDIRECT(ADDRESS(148,5))</f>
        <v>0</v>
      </c>
      <c r="AL148">
        <f>sumifs(al:al,A:A,"总成",B:B,"852-247000-200")*INDIRECT(ADDRESS(148,5))</f>
        <v>0</v>
      </c>
      <c r="AM148">
        <f>sumifs(am:am,A:A,"总成",B:B,"852-247000-200")*INDIRECT(ADDRESS(148,5))</f>
        <v>0</v>
      </c>
      <c r="AN148">
        <f>sumifs(an:an,A:A,"总成",B:B,"852-247000-200")*INDIRECT(ADDRESS(148,5))</f>
        <v>0</v>
      </c>
      <c r="AO148">
        <f>sumifs(ao:ao,A:A,"总成",B:B,"852-247000-200")*INDIRECT(ADDRESS(148,5))</f>
        <v>0</v>
      </c>
      <c r="AP148">
        <f>sumifs(ap:ap,A:A,"总成",B:B,"852-247000-200")*INDIRECT(ADDRESS(148,5))</f>
        <v>0</v>
      </c>
      <c r="AQ148">
        <f>sumifs(aq:aq,A:A,"总成",B:B,"852-247000-200")*INDIRECT(ADDRESS(148,5))</f>
        <v>0</v>
      </c>
      <c r="AR148">
        <f>sumifs(ar:ar,A:A,"总成",B:B,"852-247000-200")*INDIRECT(ADDRESS(148,5))</f>
        <v>0</v>
      </c>
    </row>
    <row r="149" spans="1:44">
      <c r="A149" t="s">
        <v>14</v>
      </c>
      <c r="B149" t="s">
        <v>147</v>
      </c>
      <c r="C149" t="s">
        <v>148</v>
      </c>
      <c r="D149" t="s">
        <v>256</v>
      </c>
      <c r="E149">
        <v>1</v>
      </c>
      <c r="F149" t="s">
        <v>149</v>
      </c>
      <c r="K149" t="s">
        <v>305</v>
      </c>
      <c r="L149" t="s">
        <v>21</v>
      </c>
      <c r="M149">
        <f>vlookup("852-248000-100",生产发行表!B:AZ,column(l1),0)</f>
        <v>0</v>
      </c>
      <c r="N149">
        <f>vlookup("852-248000-100",生产发行表!B:AZ,column(m1),0)</f>
        <v>0</v>
      </c>
      <c r="O149">
        <f>vlookup("852-248000-100",生产发行表!B:AZ,column(n1),0)</f>
        <v>0</v>
      </c>
      <c r="P149">
        <f>vlookup("852-248000-100",生产发行表!B:AZ,column(o1),0)</f>
        <v>0</v>
      </c>
      <c r="Q149">
        <f>vlookup("852-248000-100",生产发行表!B:AZ,column(p1),0)</f>
        <v>0</v>
      </c>
      <c r="R149">
        <f>vlookup("852-248000-100",生产发行表!B:AZ,column(q1),0)</f>
        <v>0</v>
      </c>
      <c r="S149">
        <f>vlookup("852-248000-100",生产发行表!B:AZ,column(r1),0)</f>
        <v>0</v>
      </c>
      <c r="T149">
        <f>vlookup("852-248000-100",生产发行表!B:AZ,column(s1),0)</f>
        <v>0</v>
      </c>
      <c r="U149">
        <f>vlookup("852-248000-100",生产发行表!B:AZ,column(t1),0)</f>
        <v>0</v>
      </c>
      <c r="V149">
        <f>vlookup("852-248000-100",生产发行表!B:AZ,column(u1),0)</f>
        <v>0</v>
      </c>
      <c r="W149">
        <f>vlookup("852-248000-100",生产发行表!B:AZ,column(v1),0)</f>
        <v>0</v>
      </c>
      <c r="X149">
        <f>vlookup("852-248000-100",生产发行表!B:AZ,column(w1),0)</f>
        <v>0</v>
      </c>
      <c r="Y149">
        <f>vlookup("852-248000-100",生产发行表!B:AZ,column(x1),0)</f>
        <v>0</v>
      </c>
      <c r="Z149">
        <f>vlookup("852-248000-100",生产发行表!B:AZ,column(y1),0)</f>
        <v>0</v>
      </c>
      <c r="AA149">
        <f>vlookup("852-248000-100",生产发行表!B:AZ,column(z1),0)</f>
        <v>0</v>
      </c>
      <c r="AB149">
        <f>vlookup("852-248000-100",生产发行表!B:AZ,column(aa1),0)</f>
        <v>0</v>
      </c>
      <c r="AC149">
        <f>vlookup("852-248000-100",生产发行表!B:AZ,column(ab1),0)</f>
        <v>0</v>
      </c>
      <c r="AD149">
        <f>vlookup("852-248000-100",生产发行表!B:AZ,column(ac1),0)</f>
        <v>0</v>
      </c>
      <c r="AE149">
        <f>vlookup("852-248000-100",生产发行表!B:AZ,column(ad1),0)</f>
        <v>0</v>
      </c>
      <c r="AF149">
        <f>vlookup("852-248000-100",生产发行表!B:AZ,column(ae1),0)</f>
        <v>0</v>
      </c>
      <c r="AG149">
        <f>vlookup("852-248000-100",生产发行表!B:AZ,column(af1),0)</f>
        <v>0</v>
      </c>
      <c r="AH149">
        <f>vlookup("852-248000-100",生产发行表!B:AZ,column(ag1),0)</f>
        <v>0</v>
      </c>
      <c r="AI149">
        <f>vlookup("852-248000-100",生产发行表!B:AZ,column(ah1),0)</f>
        <v>0</v>
      </c>
      <c r="AJ149">
        <f>vlookup("852-248000-100",生产发行表!B:AZ,column(ai1),0)</f>
        <v>0</v>
      </c>
      <c r="AK149">
        <f>vlookup("852-248000-100",生产发行表!B:AZ,column(aj1),0)</f>
        <v>0</v>
      </c>
      <c r="AL149">
        <f>vlookup("852-248000-100",生产发行表!B:AZ,column(ak1),0)</f>
        <v>0</v>
      </c>
      <c r="AM149">
        <f>vlookup("852-248000-100",生产发行表!B:AZ,column(al1),0)</f>
        <v>0</v>
      </c>
      <c r="AN149">
        <f>vlookup("852-248000-100",生产发行表!B:AZ,column(am1),0)</f>
        <v>0</v>
      </c>
      <c r="AO149">
        <f>vlookup("852-248000-100",生产发行表!B:AZ,column(an1),0)</f>
        <v>0</v>
      </c>
      <c r="AP149">
        <f>vlookup("852-248000-100",生产发行表!B:AZ,column(ao1),0)</f>
        <v>0</v>
      </c>
      <c r="AQ149">
        <f>vlookup("852-248000-100",生产发行表!B:AZ,column(ap1),0)</f>
        <v>0</v>
      </c>
      <c r="AR149">
        <f>vlookup("852-248000-100",生产发行表!B:AZ,column(aq1),0)</f>
        <v>0</v>
      </c>
    </row>
    <row r="150" spans="1:44">
      <c r="A150" t="s">
        <v>31</v>
      </c>
      <c r="B150" t="s">
        <v>364</v>
      </c>
      <c r="C150" t="s">
        <v>365</v>
      </c>
      <c r="D150" t="s">
        <v>256</v>
      </c>
      <c r="E150">
        <v>5</v>
      </c>
      <c r="F150" t="s">
        <v>386</v>
      </c>
      <c r="K150" t="s">
        <v>308</v>
      </c>
      <c r="L150" t="s">
        <v>37</v>
      </c>
      <c r="M150">
        <f>sumifs(m:m,A:A,"总成",B:B,"852-248000-100")*INDIRECT(ADDRESS(150,5))</f>
        <v>0</v>
      </c>
      <c r="N150">
        <f>sumifs(n:n,A:A,"总成",B:B,"852-248000-100")*INDIRECT(ADDRESS(150,5))</f>
        <v>0</v>
      </c>
      <c r="O150">
        <f>sumifs(o:o,A:A,"总成",B:B,"852-248000-100")*INDIRECT(ADDRESS(150,5))</f>
        <v>0</v>
      </c>
      <c r="P150">
        <f>sumifs(p:p,A:A,"总成",B:B,"852-248000-100")*INDIRECT(ADDRESS(150,5))</f>
        <v>0</v>
      </c>
      <c r="Q150">
        <f>sumifs(q:q,A:A,"总成",B:B,"852-248000-100")*INDIRECT(ADDRESS(150,5))</f>
        <v>0</v>
      </c>
      <c r="R150">
        <f>sumifs(r:r,A:A,"总成",B:B,"852-248000-100")*INDIRECT(ADDRESS(150,5))</f>
        <v>0</v>
      </c>
      <c r="S150">
        <f>sumifs(s:s,A:A,"总成",B:B,"852-248000-100")*INDIRECT(ADDRESS(150,5))</f>
        <v>0</v>
      </c>
      <c r="T150">
        <f>sumifs(t:t,A:A,"总成",B:B,"852-248000-100")*INDIRECT(ADDRESS(150,5))</f>
        <v>0</v>
      </c>
      <c r="U150">
        <f>sumifs(u:u,A:A,"总成",B:B,"852-248000-100")*INDIRECT(ADDRESS(150,5))</f>
        <v>0</v>
      </c>
      <c r="V150">
        <f>sumifs(v:v,A:A,"总成",B:B,"852-248000-100")*INDIRECT(ADDRESS(150,5))</f>
        <v>0</v>
      </c>
      <c r="W150">
        <f>sumifs(w:w,A:A,"总成",B:B,"852-248000-100")*INDIRECT(ADDRESS(150,5))</f>
        <v>0</v>
      </c>
      <c r="X150">
        <f>sumifs(x:x,A:A,"总成",B:B,"852-248000-100")*INDIRECT(ADDRESS(150,5))</f>
        <v>0</v>
      </c>
      <c r="Y150">
        <f>sumifs(y:y,A:A,"总成",B:B,"852-248000-100")*INDIRECT(ADDRESS(150,5))</f>
        <v>0</v>
      </c>
      <c r="Z150">
        <f>sumifs(z:z,A:A,"总成",B:B,"852-248000-100")*INDIRECT(ADDRESS(150,5))</f>
        <v>0</v>
      </c>
      <c r="AA150">
        <f>sumifs(aa:aa,A:A,"总成",B:B,"852-248000-100")*INDIRECT(ADDRESS(150,5))</f>
        <v>0</v>
      </c>
      <c r="AB150">
        <f>sumifs(ab:ab,A:A,"总成",B:B,"852-248000-100")*INDIRECT(ADDRESS(150,5))</f>
        <v>0</v>
      </c>
      <c r="AC150">
        <f>sumifs(ac:ac,A:A,"总成",B:B,"852-248000-100")*INDIRECT(ADDRESS(150,5))</f>
        <v>0</v>
      </c>
      <c r="AD150">
        <f>sumifs(ad:ad,A:A,"总成",B:B,"852-248000-100")*INDIRECT(ADDRESS(150,5))</f>
        <v>0</v>
      </c>
      <c r="AE150">
        <f>sumifs(ae:ae,A:A,"总成",B:B,"852-248000-100")*INDIRECT(ADDRESS(150,5))</f>
        <v>0</v>
      </c>
      <c r="AF150">
        <f>sumifs(af:af,A:A,"总成",B:B,"852-248000-100")*INDIRECT(ADDRESS(150,5))</f>
        <v>0</v>
      </c>
      <c r="AG150">
        <f>sumifs(ag:ag,A:A,"总成",B:B,"852-248000-100")*INDIRECT(ADDRESS(150,5))</f>
        <v>0</v>
      </c>
      <c r="AH150">
        <f>sumifs(ah:ah,A:A,"总成",B:B,"852-248000-100")*INDIRECT(ADDRESS(150,5))</f>
        <v>0</v>
      </c>
      <c r="AI150">
        <f>sumifs(ai:ai,A:A,"总成",B:B,"852-248000-100")*INDIRECT(ADDRESS(150,5))</f>
        <v>0</v>
      </c>
      <c r="AJ150">
        <f>sumifs(aj:aj,A:A,"总成",B:B,"852-248000-100")*INDIRECT(ADDRESS(150,5))</f>
        <v>0</v>
      </c>
      <c r="AK150">
        <f>sumifs(ak:ak,A:A,"总成",B:B,"852-248000-100")*INDIRECT(ADDRESS(150,5))</f>
        <v>0</v>
      </c>
      <c r="AL150">
        <f>sumifs(al:al,A:A,"总成",B:B,"852-248000-100")*INDIRECT(ADDRESS(150,5))</f>
        <v>0</v>
      </c>
      <c r="AM150">
        <f>sumifs(am:am,A:A,"总成",B:B,"852-248000-100")*INDIRECT(ADDRESS(150,5))</f>
        <v>0</v>
      </c>
      <c r="AN150">
        <f>sumifs(an:an,A:A,"总成",B:B,"852-248000-100")*INDIRECT(ADDRESS(150,5))</f>
        <v>0</v>
      </c>
      <c r="AO150">
        <f>sumifs(ao:ao,A:A,"总成",B:B,"852-248000-100")*INDIRECT(ADDRESS(150,5))</f>
        <v>0</v>
      </c>
      <c r="AP150">
        <f>sumifs(ap:ap,A:A,"总成",B:B,"852-248000-100")*INDIRECT(ADDRESS(150,5))</f>
        <v>0</v>
      </c>
      <c r="AQ150">
        <f>sumifs(aq:aq,A:A,"总成",B:B,"852-248000-100")*INDIRECT(ADDRESS(150,5))</f>
        <v>0</v>
      </c>
      <c r="AR150">
        <f>sumifs(ar:ar,A:A,"总成",B:B,"852-248000-100")*INDIRECT(ADDRESS(150,5))</f>
        <v>0</v>
      </c>
    </row>
    <row r="151" spans="1:44">
      <c r="A151" t="s">
        <v>31</v>
      </c>
      <c r="B151" t="s">
        <v>367</v>
      </c>
      <c r="C151" t="s">
        <v>368</v>
      </c>
      <c r="D151" t="s">
        <v>256</v>
      </c>
      <c r="E151">
        <v>2</v>
      </c>
      <c r="F151" t="s">
        <v>369</v>
      </c>
      <c r="K151" t="s">
        <v>308</v>
      </c>
      <c r="L151" t="s">
        <v>37</v>
      </c>
      <c r="M151">
        <f>sumifs(m:m,A:A,"总成",B:B,"852-248000-100")*INDIRECT(ADDRESS(151,5))</f>
        <v>0</v>
      </c>
      <c r="N151">
        <f>sumifs(n:n,A:A,"总成",B:B,"852-248000-100")*INDIRECT(ADDRESS(151,5))</f>
        <v>0</v>
      </c>
      <c r="O151">
        <f>sumifs(o:o,A:A,"总成",B:B,"852-248000-100")*INDIRECT(ADDRESS(151,5))</f>
        <v>0</v>
      </c>
      <c r="P151">
        <f>sumifs(p:p,A:A,"总成",B:B,"852-248000-100")*INDIRECT(ADDRESS(151,5))</f>
        <v>0</v>
      </c>
      <c r="Q151">
        <f>sumifs(q:q,A:A,"总成",B:B,"852-248000-100")*INDIRECT(ADDRESS(151,5))</f>
        <v>0</v>
      </c>
      <c r="R151">
        <f>sumifs(r:r,A:A,"总成",B:B,"852-248000-100")*INDIRECT(ADDRESS(151,5))</f>
        <v>0</v>
      </c>
      <c r="S151">
        <f>sumifs(s:s,A:A,"总成",B:B,"852-248000-100")*INDIRECT(ADDRESS(151,5))</f>
        <v>0</v>
      </c>
      <c r="T151">
        <f>sumifs(t:t,A:A,"总成",B:B,"852-248000-100")*INDIRECT(ADDRESS(151,5))</f>
        <v>0</v>
      </c>
      <c r="U151">
        <f>sumifs(u:u,A:A,"总成",B:B,"852-248000-100")*INDIRECT(ADDRESS(151,5))</f>
        <v>0</v>
      </c>
      <c r="V151">
        <f>sumifs(v:v,A:A,"总成",B:B,"852-248000-100")*INDIRECT(ADDRESS(151,5))</f>
        <v>0</v>
      </c>
      <c r="W151">
        <f>sumifs(w:w,A:A,"总成",B:B,"852-248000-100")*INDIRECT(ADDRESS(151,5))</f>
        <v>0</v>
      </c>
      <c r="X151">
        <f>sumifs(x:x,A:A,"总成",B:B,"852-248000-100")*INDIRECT(ADDRESS(151,5))</f>
        <v>0</v>
      </c>
      <c r="Y151">
        <f>sumifs(y:y,A:A,"总成",B:B,"852-248000-100")*INDIRECT(ADDRESS(151,5))</f>
        <v>0</v>
      </c>
      <c r="Z151">
        <f>sumifs(z:z,A:A,"总成",B:B,"852-248000-100")*INDIRECT(ADDRESS(151,5))</f>
        <v>0</v>
      </c>
      <c r="AA151">
        <f>sumifs(aa:aa,A:A,"总成",B:B,"852-248000-100")*INDIRECT(ADDRESS(151,5))</f>
        <v>0</v>
      </c>
      <c r="AB151">
        <f>sumifs(ab:ab,A:A,"总成",B:B,"852-248000-100")*INDIRECT(ADDRESS(151,5))</f>
        <v>0</v>
      </c>
      <c r="AC151">
        <f>sumifs(ac:ac,A:A,"总成",B:B,"852-248000-100")*INDIRECT(ADDRESS(151,5))</f>
        <v>0</v>
      </c>
      <c r="AD151">
        <f>sumifs(ad:ad,A:A,"总成",B:B,"852-248000-100")*INDIRECT(ADDRESS(151,5))</f>
        <v>0</v>
      </c>
      <c r="AE151">
        <f>sumifs(ae:ae,A:A,"总成",B:B,"852-248000-100")*INDIRECT(ADDRESS(151,5))</f>
        <v>0</v>
      </c>
      <c r="AF151">
        <f>sumifs(af:af,A:A,"总成",B:B,"852-248000-100")*INDIRECT(ADDRESS(151,5))</f>
        <v>0</v>
      </c>
      <c r="AG151">
        <f>sumifs(ag:ag,A:A,"总成",B:B,"852-248000-100")*INDIRECT(ADDRESS(151,5))</f>
        <v>0</v>
      </c>
      <c r="AH151">
        <f>sumifs(ah:ah,A:A,"总成",B:B,"852-248000-100")*INDIRECT(ADDRESS(151,5))</f>
        <v>0</v>
      </c>
      <c r="AI151">
        <f>sumifs(ai:ai,A:A,"总成",B:B,"852-248000-100")*INDIRECT(ADDRESS(151,5))</f>
        <v>0</v>
      </c>
      <c r="AJ151">
        <f>sumifs(aj:aj,A:A,"总成",B:B,"852-248000-100")*INDIRECT(ADDRESS(151,5))</f>
        <v>0</v>
      </c>
      <c r="AK151">
        <f>sumifs(ak:ak,A:A,"总成",B:B,"852-248000-100")*INDIRECT(ADDRESS(151,5))</f>
        <v>0</v>
      </c>
      <c r="AL151">
        <f>sumifs(al:al,A:A,"总成",B:B,"852-248000-100")*INDIRECT(ADDRESS(151,5))</f>
        <v>0</v>
      </c>
      <c r="AM151">
        <f>sumifs(am:am,A:A,"总成",B:B,"852-248000-100")*INDIRECT(ADDRESS(151,5))</f>
        <v>0</v>
      </c>
      <c r="AN151">
        <f>sumifs(an:an,A:A,"总成",B:B,"852-248000-100")*INDIRECT(ADDRESS(151,5))</f>
        <v>0</v>
      </c>
      <c r="AO151">
        <f>sumifs(ao:ao,A:A,"总成",B:B,"852-248000-100")*INDIRECT(ADDRESS(151,5))</f>
        <v>0</v>
      </c>
      <c r="AP151">
        <f>sumifs(ap:ap,A:A,"总成",B:B,"852-248000-100")*INDIRECT(ADDRESS(151,5))</f>
        <v>0</v>
      </c>
      <c r="AQ151">
        <f>sumifs(aq:aq,A:A,"总成",B:B,"852-248000-100")*INDIRECT(ADDRESS(151,5))</f>
        <v>0</v>
      </c>
      <c r="AR151">
        <f>sumifs(ar:ar,A:A,"总成",B:B,"852-248000-100")*INDIRECT(ADDRESS(151,5))</f>
        <v>0</v>
      </c>
    </row>
    <row r="152" spans="1:44">
      <c r="A152" t="s">
        <v>31</v>
      </c>
      <c r="B152" t="s">
        <v>375</v>
      </c>
      <c r="C152" t="s">
        <v>376</v>
      </c>
      <c r="D152" t="s">
        <v>256</v>
      </c>
      <c r="E152">
        <v>1</v>
      </c>
      <c r="F152" t="s">
        <v>377</v>
      </c>
      <c r="K152" t="s">
        <v>308</v>
      </c>
      <c r="L152" t="s">
        <v>37</v>
      </c>
      <c r="M152">
        <f>sumifs(m:m,A:A,"总成",B:B,"852-248000-100")*INDIRECT(ADDRESS(152,5))</f>
        <v>0</v>
      </c>
      <c r="N152">
        <f>sumifs(n:n,A:A,"总成",B:B,"852-248000-100")*INDIRECT(ADDRESS(152,5))</f>
        <v>0</v>
      </c>
      <c r="O152">
        <f>sumifs(o:o,A:A,"总成",B:B,"852-248000-100")*INDIRECT(ADDRESS(152,5))</f>
        <v>0</v>
      </c>
      <c r="P152">
        <f>sumifs(p:p,A:A,"总成",B:B,"852-248000-100")*INDIRECT(ADDRESS(152,5))</f>
        <v>0</v>
      </c>
      <c r="Q152">
        <f>sumifs(q:q,A:A,"总成",B:B,"852-248000-100")*INDIRECT(ADDRESS(152,5))</f>
        <v>0</v>
      </c>
      <c r="R152">
        <f>sumifs(r:r,A:A,"总成",B:B,"852-248000-100")*INDIRECT(ADDRESS(152,5))</f>
        <v>0</v>
      </c>
      <c r="S152">
        <f>sumifs(s:s,A:A,"总成",B:B,"852-248000-100")*INDIRECT(ADDRESS(152,5))</f>
        <v>0</v>
      </c>
      <c r="T152">
        <f>sumifs(t:t,A:A,"总成",B:B,"852-248000-100")*INDIRECT(ADDRESS(152,5))</f>
        <v>0</v>
      </c>
      <c r="U152">
        <f>sumifs(u:u,A:A,"总成",B:B,"852-248000-100")*INDIRECT(ADDRESS(152,5))</f>
        <v>0</v>
      </c>
      <c r="V152">
        <f>sumifs(v:v,A:A,"总成",B:B,"852-248000-100")*INDIRECT(ADDRESS(152,5))</f>
        <v>0</v>
      </c>
      <c r="W152">
        <f>sumifs(w:w,A:A,"总成",B:B,"852-248000-100")*INDIRECT(ADDRESS(152,5))</f>
        <v>0</v>
      </c>
      <c r="X152">
        <f>sumifs(x:x,A:A,"总成",B:B,"852-248000-100")*INDIRECT(ADDRESS(152,5))</f>
        <v>0</v>
      </c>
      <c r="Y152">
        <f>sumifs(y:y,A:A,"总成",B:B,"852-248000-100")*INDIRECT(ADDRESS(152,5))</f>
        <v>0</v>
      </c>
      <c r="Z152">
        <f>sumifs(z:z,A:A,"总成",B:B,"852-248000-100")*INDIRECT(ADDRESS(152,5))</f>
        <v>0</v>
      </c>
      <c r="AA152">
        <f>sumifs(aa:aa,A:A,"总成",B:B,"852-248000-100")*INDIRECT(ADDRESS(152,5))</f>
        <v>0</v>
      </c>
      <c r="AB152">
        <f>sumifs(ab:ab,A:A,"总成",B:B,"852-248000-100")*INDIRECT(ADDRESS(152,5))</f>
        <v>0</v>
      </c>
      <c r="AC152">
        <f>sumifs(ac:ac,A:A,"总成",B:B,"852-248000-100")*INDIRECT(ADDRESS(152,5))</f>
        <v>0</v>
      </c>
      <c r="AD152">
        <f>sumifs(ad:ad,A:A,"总成",B:B,"852-248000-100")*INDIRECT(ADDRESS(152,5))</f>
        <v>0</v>
      </c>
      <c r="AE152">
        <f>sumifs(ae:ae,A:A,"总成",B:B,"852-248000-100")*INDIRECT(ADDRESS(152,5))</f>
        <v>0</v>
      </c>
      <c r="AF152">
        <f>sumifs(af:af,A:A,"总成",B:B,"852-248000-100")*INDIRECT(ADDRESS(152,5))</f>
        <v>0</v>
      </c>
      <c r="AG152">
        <f>sumifs(ag:ag,A:A,"总成",B:B,"852-248000-100")*INDIRECT(ADDRESS(152,5))</f>
        <v>0</v>
      </c>
      <c r="AH152">
        <f>sumifs(ah:ah,A:A,"总成",B:B,"852-248000-100")*INDIRECT(ADDRESS(152,5))</f>
        <v>0</v>
      </c>
      <c r="AI152">
        <f>sumifs(ai:ai,A:A,"总成",B:B,"852-248000-100")*INDIRECT(ADDRESS(152,5))</f>
        <v>0</v>
      </c>
      <c r="AJ152">
        <f>sumifs(aj:aj,A:A,"总成",B:B,"852-248000-100")*INDIRECT(ADDRESS(152,5))</f>
        <v>0</v>
      </c>
      <c r="AK152">
        <f>sumifs(ak:ak,A:A,"总成",B:B,"852-248000-100")*INDIRECT(ADDRESS(152,5))</f>
        <v>0</v>
      </c>
      <c r="AL152">
        <f>sumifs(al:al,A:A,"总成",B:B,"852-248000-100")*INDIRECT(ADDRESS(152,5))</f>
        <v>0</v>
      </c>
      <c r="AM152">
        <f>sumifs(am:am,A:A,"总成",B:B,"852-248000-100")*INDIRECT(ADDRESS(152,5))</f>
        <v>0</v>
      </c>
      <c r="AN152">
        <f>sumifs(an:an,A:A,"总成",B:B,"852-248000-100")*INDIRECT(ADDRESS(152,5))</f>
        <v>0</v>
      </c>
      <c r="AO152">
        <f>sumifs(ao:ao,A:A,"总成",B:B,"852-248000-100")*INDIRECT(ADDRESS(152,5))</f>
        <v>0</v>
      </c>
      <c r="AP152">
        <f>sumifs(ap:ap,A:A,"总成",B:B,"852-248000-100")*INDIRECT(ADDRESS(152,5))</f>
        <v>0</v>
      </c>
      <c r="AQ152">
        <f>sumifs(aq:aq,A:A,"总成",B:B,"852-248000-100")*INDIRECT(ADDRESS(152,5))</f>
        <v>0</v>
      </c>
      <c r="AR152">
        <f>sumifs(ar:ar,A:A,"总成",B:B,"852-248000-100")*INDIRECT(ADDRESS(152,5))</f>
        <v>0</v>
      </c>
    </row>
    <row r="153" spans="1:44">
      <c r="A153" t="s">
        <v>31</v>
      </c>
      <c r="B153" t="s">
        <v>387</v>
      </c>
      <c r="C153" t="s">
        <v>388</v>
      </c>
      <c r="D153" t="s">
        <v>17</v>
      </c>
      <c r="E153">
        <v>1</v>
      </c>
      <c r="F153" t="s">
        <v>389</v>
      </c>
      <c r="K153" t="s">
        <v>308</v>
      </c>
      <c r="L153" t="s">
        <v>37</v>
      </c>
      <c r="M153">
        <f>sumifs(m:m,A:A,"总成",B:B,"852-248000-100")*INDIRECT(ADDRESS(153,5))</f>
        <v>0</v>
      </c>
      <c r="N153">
        <f>sumifs(n:n,A:A,"总成",B:B,"852-248000-100")*INDIRECT(ADDRESS(153,5))</f>
        <v>0</v>
      </c>
      <c r="O153">
        <f>sumifs(o:o,A:A,"总成",B:B,"852-248000-100")*INDIRECT(ADDRESS(153,5))</f>
        <v>0</v>
      </c>
      <c r="P153">
        <f>sumifs(p:p,A:A,"总成",B:B,"852-248000-100")*INDIRECT(ADDRESS(153,5))</f>
        <v>0</v>
      </c>
      <c r="Q153">
        <f>sumifs(q:q,A:A,"总成",B:B,"852-248000-100")*INDIRECT(ADDRESS(153,5))</f>
        <v>0</v>
      </c>
      <c r="R153">
        <f>sumifs(r:r,A:A,"总成",B:B,"852-248000-100")*INDIRECT(ADDRESS(153,5))</f>
        <v>0</v>
      </c>
      <c r="S153">
        <f>sumifs(s:s,A:A,"总成",B:B,"852-248000-100")*INDIRECT(ADDRESS(153,5))</f>
        <v>0</v>
      </c>
      <c r="T153">
        <f>sumifs(t:t,A:A,"总成",B:B,"852-248000-100")*INDIRECT(ADDRESS(153,5))</f>
        <v>0</v>
      </c>
      <c r="U153">
        <f>sumifs(u:u,A:A,"总成",B:B,"852-248000-100")*INDIRECT(ADDRESS(153,5))</f>
        <v>0</v>
      </c>
      <c r="V153">
        <f>sumifs(v:v,A:A,"总成",B:B,"852-248000-100")*INDIRECT(ADDRESS(153,5))</f>
        <v>0</v>
      </c>
      <c r="W153">
        <f>sumifs(w:w,A:A,"总成",B:B,"852-248000-100")*INDIRECT(ADDRESS(153,5))</f>
        <v>0</v>
      </c>
      <c r="X153">
        <f>sumifs(x:x,A:A,"总成",B:B,"852-248000-100")*INDIRECT(ADDRESS(153,5))</f>
        <v>0</v>
      </c>
      <c r="Y153">
        <f>sumifs(y:y,A:A,"总成",B:B,"852-248000-100")*INDIRECT(ADDRESS(153,5))</f>
        <v>0</v>
      </c>
      <c r="Z153">
        <f>sumifs(z:z,A:A,"总成",B:B,"852-248000-100")*INDIRECT(ADDRESS(153,5))</f>
        <v>0</v>
      </c>
      <c r="AA153">
        <f>sumifs(aa:aa,A:A,"总成",B:B,"852-248000-100")*INDIRECT(ADDRESS(153,5))</f>
        <v>0</v>
      </c>
      <c r="AB153">
        <f>sumifs(ab:ab,A:A,"总成",B:B,"852-248000-100")*INDIRECT(ADDRESS(153,5))</f>
        <v>0</v>
      </c>
      <c r="AC153">
        <f>sumifs(ac:ac,A:A,"总成",B:B,"852-248000-100")*INDIRECT(ADDRESS(153,5))</f>
        <v>0</v>
      </c>
      <c r="AD153">
        <f>sumifs(ad:ad,A:A,"总成",B:B,"852-248000-100")*INDIRECT(ADDRESS(153,5))</f>
        <v>0</v>
      </c>
      <c r="AE153">
        <f>sumifs(ae:ae,A:A,"总成",B:B,"852-248000-100")*INDIRECT(ADDRESS(153,5))</f>
        <v>0</v>
      </c>
      <c r="AF153">
        <f>sumifs(af:af,A:A,"总成",B:B,"852-248000-100")*INDIRECT(ADDRESS(153,5))</f>
        <v>0</v>
      </c>
      <c r="AG153">
        <f>sumifs(ag:ag,A:A,"总成",B:B,"852-248000-100")*INDIRECT(ADDRESS(153,5))</f>
        <v>0</v>
      </c>
      <c r="AH153">
        <f>sumifs(ah:ah,A:A,"总成",B:B,"852-248000-100")*INDIRECT(ADDRESS(153,5))</f>
        <v>0</v>
      </c>
      <c r="AI153">
        <f>sumifs(ai:ai,A:A,"总成",B:B,"852-248000-100")*INDIRECT(ADDRESS(153,5))</f>
        <v>0</v>
      </c>
      <c r="AJ153">
        <f>sumifs(aj:aj,A:A,"总成",B:B,"852-248000-100")*INDIRECT(ADDRESS(153,5))</f>
        <v>0</v>
      </c>
      <c r="AK153">
        <f>sumifs(ak:ak,A:A,"总成",B:B,"852-248000-100")*INDIRECT(ADDRESS(153,5))</f>
        <v>0</v>
      </c>
      <c r="AL153">
        <f>sumifs(al:al,A:A,"总成",B:B,"852-248000-100")*INDIRECT(ADDRESS(153,5))</f>
        <v>0</v>
      </c>
      <c r="AM153">
        <f>sumifs(am:am,A:A,"总成",B:B,"852-248000-100")*INDIRECT(ADDRESS(153,5))</f>
        <v>0</v>
      </c>
      <c r="AN153">
        <f>sumifs(an:an,A:A,"总成",B:B,"852-248000-100")*INDIRECT(ADDRESS(153,5))</f>
        <v>0</v>
      </c>
      <c r="AO153">
        <f>sumifs(ao:ao,A:A,"总成",B:B,"852-248000-100")*INDIRECT(ADDRESS(153,5))</f>
        <v>0</v>
      </c>
      <c r="AP153">
        <f>sumifs(ap:ap,A:A,"总成",B:B,"852-248000-100")*INDIRECT(ADDRESS(153,5))</f>
        <v>0</v>
      </c>
      <c r="AQ153">
        <f>sumifs(aq:aq,A:A,"总成",B:B,"852-248000-100")*INDIRECT(ADDRESS(153,5))</f>
        <v>0</v>
      </c>
      <c r="AR153">
        <f>sumifs(ar:ar,A:A,"总成",B:B,"852-248000-100")*INDIRECT(ADDRESS(153,5))</f>
        <v>0</v>
      </c>
    </row>
    <row r="154" spans="1:44">
      <c r="A154" t="s">
        <v>14</v>
      </c>
      <c r="B154" t="s">
        <v>154</v>
      </c>
      <c r="C154" t="s">
        <v>155</v>
      </c>
      <c r="D154" t="s">
        <v>256</v>
      </c>
      <c r="E154">
        <v>1</v>
      </c>
      <c r="F154" t="s">
        <v>156</v>
      </c>
      <c r="K154" t="s">
        <v>305</v>
      </c>
      <c r="L154" t="s">
        <v>21</v>
      </c>
      <c r="M154">
        <f>vlookup("852-248000-200",生产发行表!B:AZ,column(l1),0)</f>
        <v>0</v>
      </c>
      <c r="N154">
        <f>vlookup("852-248000-200",生产发行表!B:AZ,column(m1),0)</f>
        <v>0</v>
      </c>
      <c r="O154">
        <f>vlookup("852-248000-200",生产发行表!B:AZ,column(n1),0)</f>
        <v>0</v>
      </c>
      <c r="P154">
        <f>vlookup("852-248000-200",生产发行表!B:AZ,column(o1),0)</f>
        <v>0</v>
      </c>
      <c r="Q154">
        <f>vlookup("852-248000-200",生产发行表!B:AZ,column(p1),0)</f>
        <v>0</v>
      </c>
      <c r="R154">
        <f>vlookup("852-248000-200",生产发行表!B:AZ,column(q1),0)</f>
        <v>0</v>
      </c>
      <c r="S154">
        <f>vlookup("852-248000-200",生产发行表!B:AZ,column(r1),0)</f>
        <v>0</v>
      </c>
      <c r="T154">
        <f>vlookup("852-248000-200",生产发行表!B:AZ,column(s1),0)</f>
        <v>0</v>
      </c>
      <c r="U154">
        <f>vlookup("852-248000-200",生产发行表!B:AZ,column(t1),0)</f>
        <v>0</v>
      </c>
      <c r="V154">
        <f>vlookup("852-248000-200",生产发行表!B:AZ,column(u1),0)</f>
        <v>0</v>
      </c>
      <c r="W154">
        <f>vlookup("852-248000-200",生产发行表!B:AZ,column(v1),0)</f>
        <v>0</v>
      </c>
      <c r="X154">
        <f>vlookup("852-248000-200",生产发行表!B:AZ,column(w1),0)</f>
        <v>0</v>
      </c>
      <c r="Y154">
        <f>vlookup("852-248000-200",生产发行表!B:AZ,column(x1),0)</f>
        <v>0</v>
      </c>
      <c r="Z154">
        <f>vlookup("852-248000-200",生产发行表!B:AZ,column(y1),0)</f>
        <v>0</v>
      </c>
      <c r="AA154">
        <f>vlookup("852-248000-200",生产发行表!B:AZ,column(z1),0)</f>
        <v>0</v>
      </c>
      <c r="AB154">
        <f>vlookup("852-248000-200",生产发行表!B:AZ,column(aa1),0)</f>
        <v>0</v>
      </c>
      <c r="AC154">
        <f>vlookup("852-248000-200",生产发行表!B:AZ,column(ab1),0)</f>
        <v>0</v>
      </c>
      <c r="AD154">
        <f>vlookup("852-248000-200",生产发行表!B:AZ,column(ac1),0)</f>
        <v>0</v>
      </c>
      <c r="AE154">
        <f>vlookup("852-248000-200",生产发行表!B:AZ,column(ad1),0)</f>
        <v>0</v>
      </c>
      <c r="AF154">
        <f>vlookup("852-248000-200",生产发行表!B:AZ,column(ae1),0)</f>
        <v>0</v>
      </c>
      <c r="AG154">
        <f>vlookup("852-248000-200",生产发行表!B:AZ,column(af1),0)</f>
        <v>0</v>
      </c>
      <c r="AH154">
        <f>vlookup("852-248000-200",生产发行表!B:AZ,column(ag1),0)</f>
        <v>0</v>
      </c>
      <c r="AI154">
        <f>vlookup("852-248000-200",生产发行表!B:AZ,column(ah1),0)</f>
        <v>0</v>
      </c>
      <c r="AJ154">
        <f>vlookup("852-248000-200",生产发行表!B:AZ,column(ai1),0)</f>
        <v>0</v>
      </c>
      <c r="AK154">
        <f>vlookup("852-248000-200",生产发行表!B:AZ,column(aj1),0)</f>
        <v>0</v>
      </c>
      <c r="AL154">
        <f>vlookup("852-248000-200",生产发行表!B:AZ,column(ak1),0)</f>
        <v>0</v>
      </c>
      <c r="AM154">
        <f>vlookup("852-248000-200",生产发行表!B:AZ,column(al1),0)</f>
        <v>0</v>
      </c>
      <c r="AN154">
        <f>vlookup("852-248000-200",生产发行表!B:AZ,column(am1),0)</f>
        <v>0</v>
      </c>
      <c r="AO154">
        <f>vlookup("852-248000-200",生产发行表!B:AZ,column(an1),0)</f>
        <v>0</v>
      </c>
      <c r="AP154">
        <f>vlookup("852-248000-200",生产发行表!B:AZ,column(ao1),0)</f>
        <v>0</v>
      </c>
      <c r="AQ154">
        <f>vlookup("852-248000-200",生产发行表!B:AZ,column(ap1),0)</f>
        <v>0</v>
      </c>
      <c r="AR154">
        <f>vlookup("852-248000-200",生产发行表!B:AZ,column(aq1),0)</f>
        <v>0</v>
      </c>
    </row>
    <row r="155" spans="1:44">
      <c r="A155" t="s">
        <v>31</v>
      </c>
      <c r="B155" t="s">
        <v>364</v>
      </c>
      <c r="C155" t="s">
        <v>365</v>
      </c>
      <c r="D155" t="s">
        <v>256</v>
      </c>
      <c r="E155">
        <v>5</v>
      </c>
      <c r="F155" t="s">
        <v>386</v>
      </c>
      <c r="K155" t="s">
        <v>308</v>
      </c>
      <c r="L155" t="s">
        <v>37</v>
      </c>
      <c r="M155">
        <f>sumifs(m:m,A:A,"总成",B:B,"852-248000-200")*INDIRECT(ADDRESS(155,5))</f>
        <v>0</v>
      </c>
      <c r="N155">
        <f>sumifs(n:n,A:A,"总成",B:B,"852-248000-200")*INDIRECT(ADDRESS(155,5))</f>
        <v>0</v>
      </c>
      <c r="O155">
        <f>sumifs(o:o,A:A,"总成",B:B,"852-248000-200")*INDIRECT(ADDRESS(155,5))</f>
        <v>0</v>
      </c>
      <c r="P155">
        <f>sumifs(p:p,A:A,"总成",B:B,"852-248000-200")*INDIRECT(ADDRESS(155,5))</f>
        <v>0</v>
      </c>
      <c r="Q155">
        <f>sumifs(q:q,A:A,"总成",B:B,"852-248000-200")*INDIRECT(ADDRESS(155,5))</f>
        <v>0</v>
      </c>
      <c r="R155">
        <f>sumifs(r:r,A:A,"总成",B:B,"852-248000-200")*INDIRECT(ADDRESS(155,5))</f>
        <v>0</v>
      </c>
      <c r="S155">
        <f>sumifs(s:s,A:A,"总成",B:B,"852-248000-200")*INDIRECT(ADDRESS(155,5))</f>
        <v>0</v>
      </c>
      <c r="T155">
        <f>sumifs(t:t,A:A,"总成",B:B,"852-248000-200")*INDIRECT(ADDRESS(155,5))</f>
        <v>0</v>
      </c>
      <c r="U155">
        <f>sumifs(u:u,A:A,"总成",B:B,"852-248000-200")*INDIRECT(ADDRESS(155,5))</f>
        <v>0</v>
      </c>
      <c r="V155">
        <f>sumifs(v:v,A:A,"总成",B:B,"852-248000-200")*INDIRECT(ADDRESS(155,5))</f>
        <v>0</v>
      </c>
      <c r="W155">
        <f>sumifs(w:w,A:A,"总成",B:B,"852-248000-200")*INDIRECT(ADDRESS(155,5))</f>
        <v>0</v>
      </c>
      <c r="X155">
        <f>sumifs(x:x,A:A,"总成",B:B,"852-248000-200")*INDIRECT(ADDRESS(155,5))</f>
        <v>0</v>
      </c>
      <c r="Y155">
        <f>sumifs(y:y,A:A,"总成",B:B,"852-248000-200")*INDIRECT(ADDRESS(155,5))</f>
        <v>0</v>
      </c>
      <c r="Z155">
        <f>sumifs(z:z,A:A,"总成",B:B,"852-248000-200")*INDIRECT(ADDRESS(155,5))</f>
        <v>0</v>
      </c>
      <c r="AA155">
        <f>sumifs(aa:aa,A:A,"总成",B:B,"852-248000-200")*INDIRECT(ADDRESS(155,5))</f>
        <v>0</v>
      </c>
      <c r="AB155">
        <f>sumifs(ab:ab,A:A,"总成",B:B,"852-248000-200")*INDIRECT(ADDRESS(155,5))</f>
        <v>0</v>
      </c>
      <c r="AC155">
        <f>sumifs(ac:ac,A:A,"总成",B:B,"852-248000-200")*INDIRECT(ADDRESS(155,5))</f>
        <v>0</v>
      </c>
      <c r="AD155">
        <f>sumifs(ad:ad,A:A,"总成",B:B,"852-248000-200")*INDIRECT(ADDRESS(155,5))</f>
        <v>0</v>
      </c>
      <c r="AE155">
        <f>sumifs(ae:ae,A:A,"总成",B:B,"852-248000-200")*INDIRECT(ADDRESS(155,5))</f>
        <v>0</v>
      </c>
      <c r="AF155">
        <f>sumifs(af:af,A:A,"总成",B:B,"852-248000-200")*INDIRECT(ADDRESS(155,5))</f>
        <v>0</v>
      </c>
      <c r="AG155">
        <f>sumifs(ag:ag,A:A,"总成",B:B,"852-248000-200")*INDIRECT(ADDRESS(155,5))</f>
        <v>0</v>
      </c>
      <c r="AH155">
        <f>sumifs(ah:ah,A:A,"总成",B:B,"852-248000-200")*INDIRECT(ADDRESS(155,5))</f>
        <v>0</v>
      </c>
      <c r="AI155">
        <f>sumifs(ai:ai,A:A,"总成",B:B,"852-248000-200")*INDIRECT(ADDRESS(155,5))</f>
        <v>0</v>
      </c>
      <c r="AJ155">
        <f>sumifs(aj:aj,A:A,"总成",B:B,"852-248000-200")*INDIRECT(ADDRESS(155,5))</f>
        <v>0</v>
      </c>
      <c r="AK155">
        <f>sumifs(ak:ak,A:A,"总成",B:B,"852-248000-200")*INDIRECT(ADDRESS(155,5))</f>
        <v>0</v>
      </c>
      <c r="AL155">
        <f>sumifs(al:al,A:A,"总成",B:B,"852-248000-200")*INDIRECT(ADDRESS(155,5))</f>
        <v>0</v>
      </c>
      <c r="AM155">
        <f>sumifs(am:am,A:A,"总成",B:B,"852-248000-200")*INDIRECT(ADDRESS(155,5))</f>
        <v>0</v>
      </c>
      <c r="AN155">
        <f>sumifs(an:an,A:A,"总成",B:B,"852-248000-200")*INDIRECT(ADDRESS(155,5))</f>
        <v>0</v>
      </c>
      <c r="AO155">
        <f>sumifs(ao:ao,A:A,"总成",B:B,"852-248000-200")*INDIRECT(ADDRESS(155,5))</f>
        <v>0</v>
      </c>
      <c r="AP155">
        <f>sumifs(ap:ap,A:A,"总成",B:B,"852-248000-200")*INDIRECT(ADDRESS(155,5))</f>
        <v>0</v>
      </c>
      <c r="AQ155">
        <f>sumifs(aq:aq,A:A,"总成",B:B,"852-248000-200")*INDIRECT(ADDRESS(155,5))</f>
        <v>0</v>
      </c>
      <c r="AR155">
        <f>sumifs(ar:ar,A:A,"总成",B:B,"852-248000-200")*INDIRECT(ADDRESS(155,5))</f>
        <v>0</v>
      </c>
    </row>
    <row r="156" spans="1:44">
      <c r="A156" t="s">
        <v>31</v>
      </c>
      <c r="B156" t="s">
        <v>367</v>
      </c>
      <c r="C156" t="s">
        <v>368</v>
      </c>
      <c r="D156" t="s">
        <v>256</v>
      </c>
      <c r="E156">
        <v>2</v>
      </c>
      <c r="F156" t="s">
        <v>369</v>
      </c>
      <c r="K156" t="s">
        <v>308</v>
      </c>
      <c r="L156" t="s">
        <v>37</v>
      </c>
      <c r="M156">
        <f>sumifs(m:m,A:A,"总成",B:B,"852-248000-200")*INDIRECT(ADDRESS(156,5))</f>
        <v>0</v>
      </c>
      <c r="N156">
        <f>sumifs(n:n,A:A,"总成",B:B,"852-248000-200")*INDIRECT(ADDRESS(156,5))</f>
        <v>0</v>
      </c>
      <c r="O156">
        <f>sumifs(o:o,A:A,"总成",B:B,"852-248000-200")*INDIRECT(ADDRESS(156,5))</f>
        <v>0</v>
      </c>
      <c r="P156">
        <f>sumifs(p:p,A:A,"总成",B:B,"852-248000-200")*INDIRECT(ADDRESS(156,5))</f>
        <v>0</v>
      </c>
      <c r="Q156">
        <f>sumifs(q:q,A:A,"总成",B:B,"852-248000-200")*INDIRECT(ADDRESS(156,5))</f>
        <v>0</v>
      </c>
      <c r="R156">
        <f>sumifs(r:r,A:A,"总成",B:B,"852-248000-200")*INDIRECT(ADDRESS(156,5))</f>
        <v>0</v>
      </c>
      <c r="S156">
        <f>sumifs(s:s,A:A,"总成",B:B,"852-248000-200")*INDIRECT(ADDRESS(156,5))</f>
        <v>0</v>
      </c>
      <c r="T156">
        <f>sumifs(t:t,A:A,"总成",B:B,"852-248000-200")*INDIRECT(ADDRESS(156,5))</f>
        <v>0</v>
      </c>
      <c r="U156">
        <f>sumifs(u:u,A:A,"总成",B:B,"852-248000-200")*INDIRECT(ADDRESS(156,5))</f>
        <v>0</v>
      </c>
      <c r="V156">
        <f>sumifs(v:v,A:A,"总成",B:B,"852-248000-200")*INDIRECT(ADDRESS(156,5))</f>
        <v>0</v>
      </c>
      <c r="W156">
        <f>sumifs(w:w,A:A,"总成",B:B,"852-248000-200")*INDIRECT(ADDRESS(156,5))</f>
        <v>0</v>
      </c>
      <c r="X156">
        <f>sumifs(x:x,A:A,"总成",B:B,"852-248000-200")*INDIRECT(ADDRESS(156,5))</f>
        <v>0</v>
      </c>
      <c r="Y156">
        <f>sumifs(y:y,A:A,"总成",B:B,"852-248000-200")*INDIRECT(ADDRESS(156,5))</f>
        <v>0</v>
      </c>
      <c r="Z156">
        <f>sumifs(z:z,A:A,"总成",B:B,"852-248000-200")*INDIRECT(ADDRESS(156,5))</f>
        <v>0</v>
      </c>
      <c r="AA156">
        <f>sumifs(aa:aa,A:A,"总成",B:B,"852-248000-200")*INDIRECT(ADDRESS(156,5))</f>
        <v>0</v>
      </c>
      <c r="AB156">
        <f>sumifs(ab:ab,A:A,"总成",B:B,"852-248000-200")*INDIRECT(ADDRESS(156,5))</f>
        <v>0</v>
      </c>
      <c r="AC156">
        <f>sumifs(ac:ac,A:A,"总成",B:B,"852-248000-200")*INDIRECT(ADDRESS(156,5))</f>
        <v>0</v>
      </c>
      <c r="AD156">
        <f>sumifs(ad:ad,A:A,"总成",B:B,"852-248000-200")*INDIRECT(ADDRESS(156,5))</f>
        <v>0</v>
      </c>
      <c r="AE156">
        <f>sumifs(ae:ae,A:A,"总成",B:B,"852-248000-200")*INDIRECT(ADDRESS(156,5))</f>
        <v>0</v>
      </c>
      <c r="AF156">
        <f>sumifs(af:af,A:A,"总成",B:B,"852-248000-200")*INDIRECT(ADDRESS(156,5))</f>
        <v>0</v>
      </c>
      <c r="AG156">
        <f>sumifs(ag:ag,A:A,"总成",B:B,"852-248000-200")*INDIRECT(ADDRESS(156,5))</f>
        <v>0</v>
      </c>
      <c r="AH156">
        <f>sumifs(ah:ah,A:A,"总成",B:B,"852-248000-200")*INDIRECT(ADDRESS(156,5))</f>
        <v>0</v>
      </c>
      <c r="AI156">
        <f>sumifs(ai:ai,A:A,"总成",B:B,"852-248000-200")*INDIRECT(ADDRESS(156,5))</f>
        <v>0</v>
      </c>
      <c r="AJ156">
        <f>sumifs(aj:aj,A:A,"总成",B:B,"852-248000-200")*INDIRECT(ADDRESS(156,5))</f>
        <v>0</v>
      </c>
      <c r="AK156">
        <f>sumifs(ak:ak,A:A,"总成",B:B,"852-248000-200")*INDIRECT(ADDRESS(156,5))</f>
        <v>0</v>
      </c>
      <c r="AL156">
        <f>sumifs(al:al,A:A,"总成",B:B,"852-248000-200")*INDIRECT(ADDRESS(156,5))</f>
        <v>0</v>
      </c>
      <c r="AM156">
        <f>sumifs(am:am,A:A,"总成",B:B,"852-248000-200")*INDIRECT(ADDRESS(156,5))</f>
        <v>0</v>
      </c>
      <c r="AN156">
        <f>sumifs(an:an,A:A,"总成",B:B,"852-248000-200")*INDIRECT(ADDRESS(156,5))</f>
        <v>0</v>
      </c>
      <c r="AO156">
        <f>sumifs(ao:ao,A:A,"总成",B:B,"852-248000-200")*INDIRECT(ADDRESS(156,5))</f>
        <v>0</v>
      </c>
      <c r="AP156">
        <f>sumifs(ap:ap,A:A,"总成",B:B,"852-248000-200")*INDIRECT(ADDRESS(156,5))</f>
        <v>0</v>
      </c>
      <c r="AQ156">
        <f>sumifs(aq:aq,A:A,"总成",B:B,"852-248000-200")*INDIRECT(ADDRESS(156,5))</f>
        <v>0</v>
      </c>
      <c r="AR156">
        <f>sumifs(ar:ar,A:A,"总成",B:B,"852-248000-200")*INDIRECT(ADDRESS(156,5))</f>
        <v>0</v>
      </c>
    </row>
    <row r="157" spans="1:44">
      <c r="A157" t="s">
        <v>31</v>
      </c>
      <c r="B157" t="s">
        <v>375</v>
      </c>
      <c r="C157" t="s">
        <v>376</v>
      </c>
      <c r="D157" t="s">
        <v>256</v>
      </c>
      <c r="E157">
        <v>1</v>
      </c>
      <c r="F157" t="s">
        <v>377</v>
      </c>
      <c r="K157" t="s">
        <v>308</v>
      </c>
      <c r="L157" t="s">
        <v>37</v>
      </c>
      <c r="M157">
        <f>sumifs(m:m,A:A,"总成",B:B,"852-248000-200")*INDIRECT(ADDRESS(157,5))</f>
        <v>0</v>
      </c>
      <c r="N157">
        <f>sumifs(n:n,A:A,"总成",B:B,"852-248000-200")*INDIRECT(ADDRESS(157,5))</f>
        <v>0</v>
      </c>
      <c r="O157">
        <f>sumifs(o:o,A:A,"总成",B:B,"852-248000-200")*INDIRECT(ADDRESS(157,5))</f>
        <v>0</v>
      </c>
      <c r="P157">
        <f>sumifs(p:p,A:A,"总成",B:B,"852-248000-200")*INDIRECT(ADDRESS(157,5))</f>
        <v>0</v>
      </c>
      <c r="Q157">
        <f>sumifs(q:q,A:A,"总成",B:B,"852-248000-200")*INDIRECT(ADDRESS(157,5))</f>
        <v>0</v>
      </c>
      <c r="R157">
        <f>sumifs(r:r,A:A,"总成",B:B,"852-248000-200")*INDIRECT(ADDRESS(157,5))</f>
        <v>0</v>
      </c>
      <c r="S157">
        <f>sumifs(s:s,A:A,"总成",B:B,"852-248000-200")*INDIRECT(ADDRESS(157,5))</f>
        <v>0</v>
      </c>
      <c r="T157">
        <f>sumifs(t:t,A:A,"总成",B:B,"852-248000-200")*INDIRECT(ADDRESS(157,5))</f>
        <v>0</v>
      </c>
      <c r="U157">
        <f>sumifs(u:u,A:A,"总成",B:B,"852-248000-200")*INDIRECT(ADDRESS(157,5))</f>
        <v>0</v>
      </c>
      <c r="V157">
        <f>sumifs(v:v,A:A,"总成",B:B,"852-248000-200")*INDIRECT(ADDRESS(157,5))</f>
        <v>0</v>
      </c>
      <c r="W157">
        <f>sumifs(w:w,A:A,"总成",B:B,"852-248000-200")*INDIRECT(ADDRESS(157,5))</f>
        <v>0</v>
      </c>
      <c r="X157">
        <f>sumifs(x:x,A:A,"总成",B:B,"852-248000-200")*INDIRECT(ADDRESS(157,5))</f>
        <v>0</v>
      </c>
      <c r="Y157">
        <f>sumifs(y:y,A:A,"总成",B:B,"852-248000-200")*INDIRECT(ADDRESS(157,5))</f>
        <v>0</v>
      </c>
      <c r="Z157">
        <f>sumifs(z:z,A:A,"总成",B:B,"852-248000-200")*INDIRECT(ADDRESS(157,5))</f>
        <v>0</v>
      </c>
      <c r="AA157">
        <f>sumifs(aa:aa,A:A,"总成",B:B,"852-248000-200")*INDIRECT(ADDRESS(157,5))</f>
        <v>0</v>
      </c>
      <c r="AB157">
        <f>sumifs(ab:ab,A:A,"总成",B:B,"852-248000-200")*INDIRECT(ADDRESS(157,5))</f>
        <v>0</v>
      </c>
      <c r="AC157">
        <f>sumifs(ac:ac,A:A,"总成",B:B,"852-248000-200")*INDIRECT(ADDRESS(157,5))</f>
        <v>0</v>
      </c>
      <c r="AD157">
        <f>sumifs(ad:ad,A:A,"总成",B:B,"852-248000-200")*INDIRECT(ADDRESS(157,5))</f>
        <v>0</v>
      </c>
      <c r="AE157">
        <f>sumifs(ae:ae,A:A,"总成",B:B,"852-248000-200")*INDIRECT(ADDRESS(157,5))</f>
        <v>0</v>
      </c>
      <c r="AF157">
        <f>sumifs(af:af,A:A,"总成",B:B,"852-248000-200")*INDIRECT(ADDRESS(157,5))</f>
        <v>0</v>
      </c>
      <c r="AG157">
        <f>sumifs(ag:ag,A:A,"总成",B:B,"852-248000-200")*INDIRECT(ADDRESS(157,5))</f>
        <v>0</v>
      </c>
      <c r="AH157">
        <f>sumifs(ah:ah,A:A,"总成",B:B,"852-248000-200")*INDIRECT(ADDRESS(157,5))</f>
        <v>0</v>
      </c>
      <c r="AI157">
        <f>sumifs(ai:ai,A:A,"总成",B:B,"852-248000-200")*INDIRECT(ADDRESS(157,5))</f>
        <v>0</v>
      </c>
      <c r="AJ157">
        <f>sumifs(aj:aj,A:A,"总成",B:B,"852-248000-200")*INDIRECT(ADDRESS(157,5))</f>
        <v>0</v>
      </c>
      <c r="AK157">
        <f>sumifs(ak:ak,A:A,"总成",B:B,"852-248000-200")*INDIRECT(ADDRESS(157,5))</f>
        <v>0</v>
      </c>
      <c r="AL157">
        <f>sumifs(al:al,A:A,"总成",B:B,"852-248000-200")*INDIRECT(ADDRESS(157,5))</f>
        <v>0</v>
      </c>
      <c r="AM157">
        <f>sumifs(am:am,A:A,"总成",B:B,"852-248000-200")*INDIRECT(ADDRESS(157,5))</f>
        <v>0</v>
      </c>
      <c r="AN157">
        <f>sumifs(an:an,A:A,"总成",B:B,"852-248000-200")*INDIRECT(ADDRESS(157,5))</f>
        <v>0</v>
      </c>
      <c r="AO157">
        <f>sumifs(ao:ao,A:A,"总成",B:B,"852-248000-200")*INDIRECT(ADDRESS(157,5))</f>
        <v>0</v>
      </c>
      <c r="AP157">
        <f>sumifs(ap:ap,A:A,"总成",B:B,"852-248000-200")*INDIRECT(ADDRESS(157,5))</f>
        <v>0</v>
      </c>
      <c r="AQ157">
        <f>sumifs(aq:aq,A:A,"总成",B:B,"852-248000-200")*INDIRECT(ADDRESS(157,5))</f>
        <v>0</v>
      </c>
      <c r="AR157">
        <f>sumifs(ar:ar,A:A,"总成",B:B,"852-248000-200")*INDIRECT(ADDRESS(157,5))</f>
        <v>0</v>
      </c>
    </row>
    <row r="158" spans="1:44">
      <c r="A158" t="s">
        <v>31</v>
      </c>
      <c r="B158" t="s">
        <v>387</v>
      </c>
      <c r="C158" t="s">
        <v>388</v>
      </c>
      <c r="D158" t="s">
        <v>17</v>
      </c>
      <c r="E158">
        <v>1</v>
      </c>
      <c r="F158" t="s">
        <v>389</v>
      </c>
      <c r="K158" t="s">
        <v>308</v>
      </c>
      <c r="L158" t="s">
        <v>37</v>
      </c>
      <c r="M158">
        <f>sumifs(m:m,A:A,"总成",B:B,"852-248000-200")*INDIRECT(ADDRESS(158,5))</f>
        <v>0</v>
      </c>
      <c r="N158">
        <f>sumifs(n:n,A:A,"总成",B:B,"852-248000-200")*INDIRECT(ADDRESS(158,5))</f>
        <v>0</v>
      </c>
      <c r="O158">
        <f>sumifs(o:o,A:A,"总成",B:B,"852-248000-200")*INDIRECT(ADDRESS(158,5))</f>
        <v>0</v>
      </c>
      <c r="P158">
        <f>sumifs(p:p,A:A,"总成",B:B,"852-248000-200")*INDIRECT(ADDRESS(158,5))</f>
        <v>0</v>
      </c>
      <c r="Q158">
        <f>sumifs(q:q,A:A,"总成",B:B,"852-248000-200")*INDIRECT(ADDRESS(158,5))</f>
        <v>0</v>
      </c>
      <c r="R158">
        <f>sumifs(r:r,A:A,"总成",B:B,"852-248000-200")*INDIRECT(ADDRESS(158,5))</f>
        <v>0</v>
      </c>
      <c r="S158">
        <f>sumifs(s:s,A:A,"总成",B:B,"852-248000-200")*INDIRECT(ADDRESS(158,5))</f>
        <v>0</v>
      </c>
      <c r="T158">
        <f>sumifs(t:t,A:A,"总成",B:B,"852-248000-200")*INDIRECT(ADDRESS(158,5))</f>
        <v>0</v>
      </c>
      <c r="U158">
        <f>sumifs(u:u,A:A,"总成",B:B,"852-248000-200")*INDIRECT(ADDRESS(158,5))</f>
        <v>0</v>
      </c>
      <c r="V158">
        <f>sumifs(v:v,A:A,"总成",B:B,"852-248000-200")*INDIRECT(ADDRESS(158,5))</f>
        <v>0</v>
      </c>
      <c r="W158">
        <f>sumifs(w:w,A:A,"总成",B:B,"852-248000-200")*INDIRECT(ADDRESS(158,5))</f>
        <v>0</v>
      </c>
      <c r="X158">
        <f>sumifs(x:x,A:A,"总成",B:B,"852-248000-200")*INDIRECT(ADDRESS(158,5))</f>
        <v>0</v>
      </c>
      <c r="Y158">
        <f>sumifs(y:y,A:A,"总成",B:B,"852-248000-200")*INDIRECT(ADDRESS(158,5))</f>
        <v>0</v>
      </c>
      <c r="Z158">
        <f>sumifs(z:z,A:A,"总成",B:B,"852-248000-200")*INDIRECT(ADDRESS(158,5))</f>
        <v>0</v>
      </c>
      <c r="AA158">
        <f>sumifs(aa:aa,A:A,"总成",B:B,"852-248000-200")*INDIRECT(ADDRESS(158,5))</f>
        <v>0</v>
      </c>
      <c r="AB158">
        <f>sumifs(ab:ab,A:A,"总成",B:B,"852-248000-200")*INDIRECT(ADDRESS(158,5))</f>
        <v>0</v>
      </c>
      <c r="AC158">
        <f>sumifs(ac:ac,A:A,"总成",B:B,"852-248000-200")*INDIRECT(ADDRESS(158,5))</f>
        <v>0</v>
      </c>
      <c r="AD158">
        <f>sumifs(ad:ad,A:A,"总成",B:B,"852-248000-200")*INDIRECT(ADDRESS(158,5))</f>
        <v>0</v>
      </c>
      <c r="AE158">
        <f>sumifs(ae:ae,A:A,"总成",B:B,"852-248000-200")*INDIRECT(ADDRESS(158,5))</f>
        <v>0</v>
      </c>
      <c r="AF158">
        <f>sumifs(af:af,A:A,"总成",B:B,"852-248000-200")*INDIRECT(ADDRESS(158,5))</f>
        <v>0</v>
      </c>
      <c r="AG158">
        <f>sumifs(ag:ag,A:A,"总成",B:B,"852-248000-200")*INDIRECT(ADDRESS(158,5))</f>
        <v>0</v>
      </c>
      <c r="AH158">
        <f>sumifs(ah:ah,A:A,"总成",B:B,"852-248000-200")*INDIRECT(ADDRESS(158,5))</f>
        <v>0</v>
      </c>
      <c r="AI158">
        <f>sumifs(ai:ai,A:A,"总成",B:B,"852-248000-200")*INDIRECT(ADDRESS(158,5))</f>
        <v>0</v>
      </c>
      <c r="AJ158">
        <f>sumifs(aj:aj,A:A,"总成",B:B,"852-248000-200")*INDIRECT(ADDRESS(158,5))</f>
        <v>0</v>
      </c>
      <c r="AK158">
        <f>sumifs(ak:ak,A:A,"总成",B:B,"852-248000-200")*INDIRECT(ADDRESS(158,5))</f>
        <v>0</v>
      </c>
      <c r="AL158">
        <f>sumifs(al:al,A:A,"总成",B:B,"852-248000-200")*INDIRECT(ADDRESS(158,5))</f>
        <v>0</v>
      </c>
      <c r="AM158">
        <f>sumifs(am:am,A:A,"总成",B:B,"852-248000-200")*INDIRECT(ADDRESS(158,5))</f>
        <v>0</v>
      </c>
      <c r="AN158">
        <f>sumifs(an:an,A:A,"总成",B:B,"852-248000-200")*INDIRECT(ADDRESS(158,5))</f>
        <v>0</v>
      </c>
      <c r="AO158">
        <f>sumifs(ao:ao,A:A,"总成",B:B,"852-248000-200")*INDIRECT(ADDRESS(158,5))</f>
        <v>0</v>
      </c>
      <c r="AP158">
        <f>sumifs(ap:ap,A:A,"总成",B:B,"852-248000-200")*INDIRECT(ADDRESS(158,5))</f>
        <v>0</v>
      </c>
      <c r="AQ158">
        <f>sumifs(aq:aq,A:A,"总成",B:B,"852-248000-200")*INDIRECT(ADDRESS(158,5))</f>
        <v>0</v>
      </c>
      <c r="AR158">
        <f>sumifs(ar:ar,A:A,"总成",B:B,"852-248000-200")*INDIRECT(ADDRESS(158,5))</f>
        <v>0</v>
      </c>
    </row>
    <row r="159" spans="1:44">
      <c r="A159" t="s">
        <v>14</v>
      </c>
      <c r="B159" t="s">
        <v>167</v>
      </c>
      <c r="C159" t="s">
        <v>168</v>
      </c>
      <c r="D159" t="s">
        <v>256</v>
      </c>
      <c r="E159">
        <v>1</v>
      </c>
      <c r="F159" t="s">
        <v>169</v>
      </c>
      <c r="K159" t="s">
        <v>305</v>
      </c>
      <c r="L159" t="s">
        <v>21</v>
      </c>
      <c r="M159">
        <f>vlookup("852-241000-100",生产发行表!B:AZ,column(l1),0)</f>
        <v>0</v>
      </c>
      <c r="N159">
        <f>vlookup("852-241000-100",生产发行表!B:AZ,column(m1),0)</f>
        <v>0</v>
      </c>
      <c r="O159">
        <f>vlookup("852-241000-100",生产发行表!B:AZ,column(n1),0)</f>
        <v>0</v>
      </c>
      <c r="P159">
        <f>vlookup("852-241000-100",生产发行表!B:AZ,column(o1),0)</f>
        <v>0</v>
      </c>
      <c r="Q159">
        <f>vlookup("852-241000-100",生产发行表!B:AZ,column(p1),0)</f>
        <v>0</v>
      </c>
      <c r="R159">
        <f>vlookup("852-241000-100",生产发行表!B:AZ,column(q1),0)</f>
        <v>0</v>
      </c>
      <c r="S159">
        <f>vlookup("852-241000-100",生产发行表!B:AZ,column(r1),0)</f>
        <v>0</v>
      </c>
      <c r="T159">
        <f>vlookup("852-241000-100",生产发行表!B:AZ,column(s1),0)</f>
        <v>0</v>
      </c>
      <c r="U159">
        <f>vlookup("852-241000-100",生产发行表!B:AZ,column(t1),0)</f>
        <v>0</v>
      </c>
      <c r="V159">
        <f>vlookup("852-241000-100",生产发行表!B:AZ,column(u1),0)</f>
        <v>0</v>
      </c>
      <c r="W159">
        <f>vlookup("852-241000-100",生产发行表!B:AZ,column(v1),0)</f>
        <v>0</v>
      </c>
      <c r="X159">
        <f>vlookup("852-241000-100",生产发行表!B:AZ,column(w1),0)</f>
        <v>0</v>
      </c>
      <c r="Y159">
        <f>vlookup("852-241000-100",生产发行表!B:AZ,column(x1),0)</f>
        <v>0</v>
      </c>
      <c r="Z159">
        <f>vlookup("852-241000-100",生产发行表!B:AZ,column(y1),0)</f>
        <v>0</v>
      </c>
      <c r="AA159">
        <f>vlookup("852-241000-100",生产发行表!B:AZ,column(z1),0)</f>
        <v>0</v>
      </c>
      <c r="AB159">
        <f>vlookup("852-241000-100",生产发行表!B:AZ,column(aa1),0)</f>
        <v>0</v>
      </c>
      <c r="AC159">
        <f>vlookup("852-241000-100",生产发行表!B:AZ,column(ab1),0)</f>
        <v>0</v>
      </c>
      <c r="AD159">
        <f>vlookup("852-241000-100",生产发行表!B:AZ,column(ac1),0)</f>
        <v>0</v>
      </c>
      <c r="AE159">
        <f>vlookup("852-241000-100",生产发行表!B:AZ,column(ad1),0)</f>
        <v>0</v>
      </c>
      <c r="AF159">
        <f>vlookup("852-241000-100",生产发行表!B:AZ,column(ae1),0)</f>
        <v>0</v>
      </c>
      <c r="AG159">
        <f>vlookup("852-241000-100",生产发行表!B:AZ,column(af1),0)</f>
        <v>0</v>
      </c>
      <c r="AH159">
        <f>vlookup("852-241000-100",生产发行表!B:AZ,column(ag1),0)</f>
        <v>0</v>
      </c>
      <c r="AI159">
        <f>vlookup("852-241000-100",生产发行表!B:AZ,column(ah1),0)</f>
        <v>0</v>
      </c>
      <c r="AJ159">
        <f>vlookup("852-241000-100",生产发行表!B:AZ,column(ai1),0)</f>
        <v>0</v>
      </c>
      <c r="AK159">
        <f>vlookup("852-241000-100",生产发行表!B:AZ,column(aj1),0)</f>
        <v>0</v>
      </c>
      <c r="AL159">
        <f>vlookup("852-241000-100",生产发行表!B:AZ,column(ak1),0)</f>
        <v>0</v>
      </c>
      <c r="AM159">
        <f>vlookup("852-241000-100",生产发行表!B:AZ,column(al1),0)</f>
        <v>0</v>
      </c>
      <c r="AN159">
        <f>vlookup("852-241000-100",生产发行表!B:AZ,column(am1),0)</f>
        <v>0</v>
      </c>
      <c r="AO159">
        <f>vlookup("852-241000-100",生产发行表!B:AZ,column(an1),0)</f>
        <v>0</v>
      </c>
      <c r="AP159">
        <f>vlookup("852-241000-100",生产发行表!B:AZ,column(ao1),0)</f>
        <v>0</v>
      </c>
      <c r="AQ159">
        <f>vlookup("852-241000-100",生产发行表!B:AZ,column(ap1),0)</f>
        <v>0</v>
      </c>
      <c r="AR159">
        <f>vlookup("852-241000-100",生产发行表!B:AZ,column(aq1),0)</f>
        <v>0</v>
      </c>
    </row>
    <row r="160" spans="1:44">
      <c r="A160" t="s">
        <v>31</v>
      </c>
      <c r="B160" t="s">
        <v>390</v>
      </c>
      <c r="C160" t="s">
        <v>391</v>
      </c>
      <c r="D160" t="s">
        <v>256</v>
      </c>
      <c r="E160">
        <v>1</v>
      </c>
      <c r="F160" t="s">
        <v>392</v>
      </c>
      <c r="K160" t="s">
        <v>308</v>
      </c>
      <c r="L160" t="s">
        <v>37</v>
      </c>
      <c r="M160">
        <f>sumifs(m:m,A:A,"总成",B:B,"852-241000-100")*INDIRECT(ADDRESS(160,5))</f>
        <v>0</v>
      </c>
      <c r="N160">
        <f>sumifs(n:n,A:A,"总成",B:B,"852-241000-100")*INDIRECT(ADDRESS(160,5))</f>
        <v>0</v>
      </c>
      <c r="O160">
        <f>sumifs(o:o,A:A,"总成",B:B,"852-241000-100")*INDIRECT(ADDRESS(160,5))</f>
        <v>0</v>
      </c>
      <c r="P160">
        <f>sumifs(p:p,A:A,"总成",B:B,"852-241000-100")*INDIRECT(ADDRESS(160,5))</f>
        <v>0</v>
      </c>
      <c r="Q160">
        <f>sumifs(q:q,A:A,"总成",B:B,"852-241000-100")*INDIRECT(ADDRESS(160,5))</f>
        <v>0</v>
      </c>
      <c r="R160">
        <f>sumifs(r:r,A:A,"总成",B:B,"852-241000-100")*INDIRECT(ADDRESS(160,5))</f>
        <v>0</v>
      </c>
      <c r="S160">
        <f>sumifs(s:s,A:A,"总成",B:B,"852-241000-100")*INDIRECT(ADDRESS(160,5))</f>
        <v>0</v>
      </c>
      <c r="T160">
        <f>sumifs(t:t,A:A,"总成",B:B,"852-241000-100")*INDIRECT(ADDRESS(160,5))</f>
        <v>0</v>
      </c>
      <c r="U160">
        <f>sumifs(u:u,A:A,"总成",B:B,"852-241000-100")*INDIRECT(ADDRESS(160,5))</f>
        <v>0</v>
      </c>
      <c r="V160">
        <f>sumifs(v:v,A:A,"总成",B:B,"852-241000-100")*INDIRECT(ADDRESS(160,5))</f>
        <v>0</v>
      </c>
      <c r="W160">
        <f>sumifs(w:w,A:A,"总成",B:B,"852-241000-100")*INDIRECT(ADDRESS(160,5))</f>
        <v>0</v>
      </c>
      <c r="X160">
        <f>sumifs(x:x,A:A,"总成",B:B,"852-241000-100")*INDIRECT(ADDRESS(160,5))</f>
        <v>0</v>
      </c>
      <c r="Y160">
        <f>sumifs(y:y,A:A,"总成",B:B,"852-241000-100")*INDIRECT(ADDRESS(160,5))</f>
        <v>0</v>
      </c>
      <c r="Z160">
        <f>sumifs(z:z,A:A,"总成",B:B,"852-241000-100")*INDIRECT(ADDRESS(160,5))</f>
        <v>0</v>
      </c>
      <c r="AA160">
        <f>sumifs(aa:aa,A:A,"总成",B:B,"852-241000-100")*INDIRECT(ADDRESS(160,5))</f>
        <v>0</v>
      </c>
      <c r="AB160">
        <f>sumifs(ab:ab,A:A,"总成",B:B,"852-241000-100")*INDIRECT(ADDRESS(160,5))</f>
        <v>0</v>
      </c>
      <c r="AC160">
        <f>sumifs(ac:ac,A:A,"总成",B:B,"852-241000-100")*INDIRECT(ADDRESS(160,5))</f>
        <v>0</v>
      </c>
      <c r="AD160">
        <f>sumifs(ad:ad,A:A,"总成",B:B,"852-241000-100")*INDIRECT(ADDRESS(160,5))</f>
        <v>0</v>
      </c>
      <c r="AE160">
        <f>sumifs(ae:ae,A:A,"总成",B:B,"852-241000-100")*INDIRECT(ADDRESS(160,5))</f>
        <v>0</v>
      </c>
      <c r="AF160">
        <f>sumifs(af:af,A:A,"总成",B:B,"852-241000-100")*INDIRECT(ADDRESS(160,5))</f>
        <v>0</v>
      </c>
      <c r="AG160">
        <f>sumifs(ag:ag,A:A,"总成",B:B,"852-241000-100")*INDIRECT(ADDRESS(160,5))</f>
        <v>0</v>
      </c>
      <c r="AH160">
        <f>sumifs(ah:ah,A:A,"总成",B:B,"852-241000-100")*INDIRECT(ADDRESS(160,5))</f>
        <v>0</v>
      </c>
      <c r="AI160">
        <f>sumifs(ai:ai,A:A,"总成",B:B,"852-241000-100")*INDIRECT(ADDRESS(160,5))</f>
        <v>0</v>
      </c>
      <c r="AJ160">
        <f>sumifs(aj:aj,A:A,"总成",B:B,"852-241000-100")*INDIRECT(ADDRESS(160,5))</f>
        <v>0</v>
      </c>
      <c r="AK160">
        <f>sumifs(ak:ak,A:A,"总成",B:B,"852-241000-100")*INDIRECT(ADDRESS(160,5))</f>
        <v>0</v>
      </c>
      <c r="AL160">
        <f>sumifs(al:al,A:A,"总成",B:B,"852-241000-100")*INDIRECT(ADDRESS(160,5))</f>
        <v>0</v>
      </c>
      <c r="AM160">
        <f>sumifs(am:am,A:A,"总成",B:B,"852-241000-100")*INDIRECT(ADDRESS(160,5))</f>
        <v>0</v>
      </c>
      <c r="AN160">
        <f>sumifs(an:an,A:A,"总成",B:B,"852-241000-100")*INDIRECT(ADDRESS(160,5))</f>
        <v>0</v>
      </c>
      <c r="AO160">
        <f>sumifs(ao:ao,A:A,"总成",B:B,"852-241000-100")*INDIRECT(ADDRESS(160,5))</f>
        <v>0</v>
      </c>
      <c r="AP160">
        <f>sumifs(ap:ap,A:A,"总成",B:B,"852-241000-100")*INDIRECT(ADDRESS(160,5))</f>
        <v>0</v>
      </c>
      <c r="AQ160">
        <f>sumifs(aq:aq,A:A,"总成",B:B,"852-241000-100")*INDIRECT(ADDRESS(160,5))</f>
        <v>0</v>
      </c>
      <c r="AR160">
        <f>sumifs(ar:ar,A:A,"总成",B:B,"852-241000-100")*INDIRECT(ADDRESS(160,5))</f>
        <v>0</v>
      </c>
    </row>
    <row r="161" spans="1:44">
      <c r="A161" t="s">
        <v>31</v>
      </c>
      <c r="B161" t="s">
        <v>393</v>
      </c>
      <c r="C161" t="s">
        <v>394</v>
      </c>
      <c r="D161" t="s">
        <v>17</v>
      </c>
      <c r="E161">
        <v>1</v>
      </c>
      <c r="F161" t="s">
        <v>395</v>
      </c>
      <c r="K161" t="s">
        <v>308</v>
      </c>
      <c r="L161" t="s">
        <v>37</v>
      </c>
      <c r="M161">
        <f>sumifs(m:m,A:A,"总成",B:B,"852-241000-100")*INDIRECT(ADDRESS(161,5))</f>
        <v>0</v>
      </c>
      <c r="N161">
        <f>sumifs(n:n,A:A,"总成",B:B,"852-241000-100")*INDIRECT(ADDRESS(161,5))</f>
        <v>0</v>
      </c>
      <c r="O161">
        <f>sumifs(o:o,A:A,"总成",B:B,"852-241000-100")*INDIRECT(ADDRESS(161,5))</f>
        <v>0</v>
      </c>
      <c r="P161">
        <f>sumifs(p:p,A:A,"总成",B:B,"852-241000-100")*INDIRECT(ADDRESS(161,5))</f>
        <v>0</v>
      </c>
      <c r="Q161">
        <f>sumifs(q:q,A:A,"总成",B:B,"852-241000-100")*INDIRECT(ADDRESS(161,5))</f>
        <v>0</v>
      </c>
      <c r="R161">
        <f>sumifs(r:r,A:A,"总成",B:B,"852-241000-100")*INDIRECT(ADDRESS(161,5))</f>
        <v>0</v>
      </c>
      <c r="S161">
        <f>sumifs(s:s,A:A,"总成",B:B,"852-241000-100")*INDIRECT(ADDRESS(161,5))</f>
        <v>0</v>
      </c>
      <c r="T161">
        <f>sumifs(t:t,A:A,"总成",B:B,"852-241000-100")*INDIRECT(ADDRESS(161,5))</f>
        <v>0</v>
      </c>
      <c r="U161">
        <f>sumifs(u:u,A:A,"总成",B:B,"852-241000-100")*INDIRECT(ADDRESS(161,5))</f>
        <v>0</v>
      </c>
      <c r="V161">
        <f>sumifs(v:v,A:A,"总成",B:B,"852-241000-100")*INDIRECT(ADDRESS(161,5))</f>
        <v>0</v>
      </c>
      <c r="W161">
        <f>sumifs(w:w,A:A,"总成",B:B,"852-241000-100")*INDIRECT(ADDRESS(161,5))</f>
        <v>0</v>
      </c>
      <c r="X161">
        <f>sumifs(x:x,A:A,"总成",B:B,"852-241000-100")*INDIRECT(ADDRESS(161,5))</f>
        <v>0</v>
      </c>
      <c r="Y161">
        <f>sumifs(y:y,A:A,"总成",B:B,"852-241000-100")*INDIRECT(ADDRESS(161,5))</f>
        <v>0</v>
      </c>
      <c r="Z161">
        <f>sumifs(z:z,A:A,"总成",B:B,"852-241000-100")*INDIRECT(ADDRESS(161,5))</f>
        <v>0</v>
      </c>
      <c r="AA161">
        <f>sumifs(aa:aa,A:A,"总成",B:B,"852-241000-100")*INDIRECT(ADDRESS(161,5))</f>
        <v>0</v>
      </c>
      <c r="AB161">
        <f>sumifs(ab:ab,A:A,"总成",B:B,"852-241000-100")*INDIRECT(ADDRESS(161,5))</f>
        <v>0</v>
      </c>
      <c r="AC161">
        <f>sumifs(ac:ac,A:A,"总成",B:B,"852-241000-100")*INDIRECT(ADDRESS(161,5))</f>
        <v>0</v>
      </c>
      <c r="AD161">
        <f>sumifs(ad:ad,A:A,"总成",B:B,"852-241000-100")*INDIRECT(ADDRESS(161,5))</f>
        <v>0</v>
      </c>
      <c r="AE161">
        <f>sumifs(ae:ae,A:A,"总成",B:B,"852-241000-100")*INDIRECT(ADDRESS(161,5))</f>
        <v>0</v>
      </c>
      <c r="AF161">
        <f>sumifs(af:af,A:A,"总成",B:B,"852-241000-100")*INDIRECT(ADDRESS(161,5))</f>
        <v>0</v>
      </c>
      <c r="AG161">
        <f>sumifs(ag:ag,A:A,"总成",B:B,"852-241000-100")*INDIRECT(ADDRESS(161,5))</f>
        <v>0</v>
      </c>
      <c r="AH161">
        <f>sumifs(ah:ah,A:A,"总成",B:B,"852-241000-100")*INDIRECT(ADDRESS(161,5))</f>
        <v>0</v>
      </c>
      <c r="AI161">
        <f>sumifs(ai:ai,A:A,"总成",B:B,"852-241000-100")*INDIRECT(ADDRESS(161,5))</f>
        <v>0</v>
      </c>
      <c r="AJ161">
        <f>sumifs(aj:aj,A:A,"总成",B:B,"852-241000-100")*INDIRECT(ADDRESS(161,5))</f>
        <v>0</v>
      </c>
      <c r="AK161">
        <f>sumifs(ak:ak,A:A,"总成",B:B,"852-241000-100")*INDIRECT(ADDRESS(161,5))</f>
        <v>0</v>
      </c>
      <c r="AL161">
        <f>sumifs(al:al,A:A,"总成",B:B,"852-241000-100")*INDIRECT(ADDRESS(161,5))</f>
        <v>0</v>
      </c>
      <c r="AM161">
        <f>sumifs(am:am,A:A,"总成",B:B,"852-241000-100")*INDIRECT(ADDRESS(161,5))</f>
        <v>0</v>
      </c>
      <c r="AN161">
        <f>sumifs(an:an,A:A,"总成",B:B,"852-241000-100")*INDIRECT(ADDRESS(161,5))</f>
        <v>0</v>
      </c>
      <c r="AO161">
        <f>sumifs(ao:ao,A:A,"总成",B:B,"852-241000-100")*INDIRECT(ADDRESS(161,5))</f>
        <v>0</v>
      </c>
      <c r="AP161">
        <f>sumifs(ap:ap,A:A,"总成",B:B,"852-241000-100")*INDIRECT(ADDRESS(161,5))</f>
        <v>0</v>
      </c>
      <c r="AQ161">
        <f>sumifs(aq:aq,A:A,"总成",B:B,"852-241000-100")*INDIRECT(ADDRESS(161,5))</f>
        <v>0</v>
      </c>
      <c r="AR161">
        <f>sumifs(ar:ar,A:A,"总成",B:B,"852-241000-100")*INDIRECT(ADDRESS(161,5))</f>
        <v>0</v>
      </c>
    </row>
    <row r="162" spans="1:44">
      <c r="A162" t="s">
        <v>14</v>
      </c>
      <c r="B162" t="s">
        <v>173</v>
      </c>
      <c r="C162" t="s">
        <v>174</v>
      </c>
      <c r="D162" t="s">
        <v>256</v>
      </c>
      <c r="E162">
        <v>1</v>
      </c>
      <c r="F162" t="s">
        <v>175</v>
      </c>
      <c r="K162" t="s">
        <v>305</v>
      </c>
      <c r="L162" t="s">
        <v>21</v>
      </c>
      <c r="M162">
        <f>vlookup("852-241000-200",生产发行表!B:AZ,column(l1),0)</f>
        <v>0</v>
      </c>
      <c r="N162">
        <f>vlookup("852-241000-200",生产发行表!B:AZ,column(m1),0)</f>
        <v>0</v>
      </c>
      <c r="O162">
        <f>vlookup("852-241000-200",生产发行表!B:AZ,column(n1),0)</f>
        <v>0</v>
      </c>
      <c r="P162">
        <f>vlookup("852-241000-200",生产发行表!B:AZ,column(o1),0)</f>
        <v>0</v>
      </c>
      <c r="Q162">
        <f>vlookup("852-241000-200",生产发行表!B:AZ,column(p1),0)</f>
        <v>0</v>
      </c>
      <c r="R162">
        <f>vlookup("852-241000-200",生产发行表!B:AZ,column(q1),0)</f>
        <v>0</v>
      </c>
      <c r="S162">
        <f>vlookup("852-241000-200",生产发行表!B:AZ,column(r1),0)</f>
        <v>0</v>
      </c>
      <c r="T162">
        <f>vlookup("852-241000-200",生产发行表!B:AZ,column(s1),0)</f>
        <v>0</v>
      </c>
      <c r="U162">
        <f>vlookup("852-241000-200",生产发行表!B:AZ,column(t1),0)</f>
        <v>0</v>
      </c>
      <c r="V162">
        <f>vlookup("852-241000-200",生产发行表!B:AZ,column(u1),0)</f>
        <v>0</v>
      </c>
      <c r="W162">
        <f>vlookup("852-241000-200",生产发行表!B:AZ,column(v1),0)</f>
        <v>0</v>
      </c>
      <c r="X162">
        <f>vlookup("852-241000-200",生产发行表!B:AZ,column(w1),0)</f>
        <v>0</v>
      </c>
      <c r="Y162">
        <f>vlookup("852-241000-200",生产发行表!B:AZ,column(x1),0)</f>
        <v>0</v>
      </c>
      <c r="Z162">
        <f>vlookup("852-241000-200",生产发行表!B:AZ,column(y1),0)</f>
        <v>0</v>
      </c>
      <c r="AA162">
        <f>vlookup("852-241000-200",生产发行表!B:AZ,column(z1),0)</f>
        <v>0</v>
      </c>
      <c r="AB162">
        <f>vlookup("852-241000-200",生产发行表!B:AZ,column(aa1),0)</f>
        <v>0</v>
      </c>
      <c r="AC162">
        <f>vlookup("852-241000-200",生产发行表!B:AZ,column(ab1),0)</f>
        <v>0</v>
      </c>
      <c r="AD162">
        <f>vlookup("852-241000-200",生产发行表!B:AZ,column(ac1),0)</f>
        <v>0</v>
      </c>
      <c r="AE162">
        <f>vlookup("852-241000-200",生产发行表!B:AZ,column(ad1),0)</f>
        <v>0</v>
      </c>
      <c r="AF162">
        <f>vlookup("852-241000-200",生产发行表!B:AZ,column(ae1),0)</f>
        <v>0</v>
      </c>
      <c r="AG162">
        <f>vlookup("852-241000-200",生产发行表!B:AZ,column(af1),0)</f>
        <v>0</v>
      </c>
      <c r="AH162">
        <f>vlookup("852-241000-200",生产发行表!B:AZ,column(ag1),0)</f>
        <v>0</v>
      </c>
      <c r="AI162">
        <f>vlookup("852-241000-200",生产发行表!B:AZ,column(ah1),0)</f>
        <v>0</v>
      </c>
      <c r="AJ162">
        <f>vlookup("852-241000-200",生产发行表!B:AZ,column(ai1),0)</f>
        <v>0</v>
      </c>
      <c r="AK162">
        <f>vlookup("852-241000-200",生产发行表!B:AZ,column(aj1),0)</f>
        <v>0</v>
      </c>
      <c r="AL162">
        <f>vlookup("852-241000-200",生产发行表!B:AZ,column(ak1),0)</f>
        <v>0</v>
      </c>
      <c r="AM162">
        <f>vlookup("852-241000-200",生产发行表!B:AZ,column(al1),0)</f>
        <v>0</v>
      </c>
      <c r="AN162">
        <f>vlookup("852-241000-200",生产发行表!B:AZ,column(am1),0)</f>
        <v>0</v>
      </c>
      <c r="AO162">
        <f>vlookup("852-241000-200",生产发行表!B:AZ,column(an1),0)</f>
        <v>0</v>
      </c>
      <c r="AP162">
        <f>vlookup("852-241000-200",生产发行表!B:AZ,column(ao1),0)</f>
        <v>0</v>
      </c>
      <c r="AQ162">
        <f>vlookup("852-241000-200",生产发行表!B:AZ,column(ap1),0)</f>
        <v>0</v>
      </c>
      <c r="AR162">
        <f>vlookup("852-241000-200",生产发行表!B:AZ,column(aq1),0)</f>
        <v>0</v>
      </c>
    </row>
    <row r="163" spans="1:44">
      <c r="A163" t="s">
        <v>31</v>
      </c>
      <c r="B163" t="s">
        <v>390</v>
      </c>
      <c r="C163" t="s">
        <v>391</v>
      </c>
      <c r="D163" t="s">
        <v>256</v>
      </c>
      <c r="E163">
        <v>1</v>
      </c>
      <c r="F163" t="s">
        <v>392</v>
      </c>
      <c r="K163" t="s">
        <v>308</v>
      </c>
      <c r="L163" t="s">
        <v>37</v>
      </c>
      <c r="M163">
        <f>sumifs(m:m,A:A,"总成",B:B,"852-241000-200")*INDIRECT(ADDRESS(163,5))</f>
        <v>0</v>
      </c>
      <c r="N163">
        <f>sumifs(n:n,A:A,"总成",B:B,"852-241000-200")*INDIRECT(ADDRESS(163,5))</f>
        <v>0</v>
      </c>
      <c r="O163">
        <f>sumifs(o:o,A:A,"总成",B:B,"852-241000-200")*INDIRECT(ADDRESS(163,5))</f>
        <v>0</v>
      </c>
      <c r="P163">
        <f>sumifs(p:p,A:A,"总成",B:B,"852-241000-200")*INDIRECT(ADDRESS(163,5))</f>
        <v>0</v>
      </c>
      <c r="Q163">
        <f>sumifs(q:q,A:A,"总成",B:B,"852-241000-200")*INDIRECT(ADDRESS(163,5))</f>
        <v>0</v>
      </c>
      <c r="R163">
        <f>sumifs(r:r,A:A,"总成",B:B,"852-241000-200")*INDIRECT(ADDRESS(163,5))</f>
        <v>0</v>
      </c>
      <c r="S163">
        <f>sumifs(s:s,A:A,"总成",B:B,"852-241000-200")*INDIRECT(ADDRESS(163,5))</f>
        <v>0</v>
      </c>
      <c r="T163">
        <f>sumifs(t:t,A:A,"总成",B:B,"852-241000-200")*INDIRECT(ADDRESS(163,5))</f>
        <v>0</v>
      </c>
      <c r="U163">
        <f>sumifs(u:u,A:A,"总成",B:B,"852-241000-200")*INDIRECT(ADDRESS(163,5))</f>
        <v>0</v>
      </c>
      <c r="V163">
        <f>sumifs(v:v,A:A,"总成",B:B,"852-241000-200")*INDIRECT(ADDRESS(163,5))</f>
        <v>0</v>
      </c>
      <c r="W163">
        <f>sumifs(w:w,A:A,"总成",B:B,"852-241000-200")*INDIRECT(ADDRESS(163,5))</f>
        <v>0</v>
      </c>
      <c r="X163">
        <f>sumifs(x:x,A:A,"总成",B:B,"852-241000-200")*INDIRECT(ADDRESS(163,5))</f>
        <v>0</v>
      </c>
      <c r="Y163">
        <f>sumifs(y:y,A:A,"总成",B:B,"852-241000-200")*INDIRECT(ADDRESS(163,5))</f>
        <v>0</v>
      </c>
      <c r="Z163">
        <f>sumifs(z:z,A:A,"总成",B:B,"852-241000-200")*INDIRECT(ADDRESS(163,5))</f>
        <v>0</v>
      </c>
      <c r="AA163">
        <f>sumifs(aa:aa,A:A,"总成",B:B,"852-241000-200")*INDIRECT(ADDRESS(163,5))</f>
        <v>0</v>
      </c>
      <c r="AB163">
        <f>sumifs(ab:ab,A:A,"总成",B:B,"852-241000-200")*INDIRECT(ADDRESS(163,5))</f>
        <v>0</v>
      </c>
      <c r="AC163">
        <f>sumifs(ac:ac,A:A,"总成",B:B,"852-241000-200")*INDIRECT(ADDRESS(163,5))</f>
        <v>0</v>
      </c>
      <c r="AD163">
        <f>sumifs(ad:ad,A:A,"总成",B:B,"852-241000-200")*INDIRECT(ADDRESS(163,5))</f>
        <v>0</v>
      </c>
      <c r="AE163">
        <f>sumifs(ae:ae,A:A,"总成",B:B,"852-241000-200")*INDIRECT(ADDRESS(163,5))</f>
        <v>0</v>
      </c>
      <c r="AF163">
        <f>sumifs(af:af,A:A,"总成",B:B,"852-241000-200")*INDIRECT(ADDRESS(163,5))</f>
        <v>0</v>
      </c>
      <c r="AG163">
        <f>sumifs(ag:ag,A:A,"总成",B:B,"852-241000-200")*INDIRECT(ADDRESS(163,5))</f>
        <v>0</v>
      </c>
      <c r="AH163">
        <f>sumifs(ah:ah,A:A,"总成",B:B,"852-241000-200")*INDIRECT(ADDRESS(163,5))</f>
        <v>0</v>
      </c>
      <c r="AI163">
        <f>sumifs(ai:ai,A:A,"总成",B:B,"852-241000-200")*INDIRECT(ADDRESS(163,5))</f>
        <v>0</v>
      </c>
      <c r="AJ163">
        <f>sumifs(aj:aj,A:A,"总成",B:B,"852-241000-200")*INDIRECT(ADDRESS(163,5))</f>
        <v>0</v>
      </c>
      <c r="AK163">
        <f>sumifs(ak:ak,A:A,"总成",B:B,"852-241000-200")*INDIRECT(ADDRESS(163,5))</f>
        <v>0</v>
      </c>
      <c r="AL163">
        <f>sumifs(al:al,A:A,"总成",B:B,"852-241000-200")*INDIRECT(ADDRESS(163,5))</f>
        <v>0</v>
      </c>
      <c r="AM163">
        <f>sumifs(am:am,A:A,"总成",B:B,"852-241000-200")*INDIRECT(ADDRESS(163,5))</f>
        <v>0</v>
      </c>
      <c r="AN163">
        <f>sumifs(an:an,A:A,"总成",B:B,"852-241000-200")*INDIRECT(ADDRESS(163,5))</f>
        <v>0</v>
      </c>
      <c r="AO163">
        <f>sumifs(ao:ao,A:A,"总成",B:B,"852-241000-200")*INDIRECT(ADDRESS(163,5))</f>
        <v>0</v>
      </c>
      <c r="AP163">
        <f>sumifs(ap:ap,A:A,"总成",B:B,"852-241000-200")*INDIRECT(ADDRESS(163,5))</f>
        <v>0</v>
      </c>
      <c r="AQ163">
        <f>sumifs(aq:aq,A:A,"总成",B:B,"852-241000-200")*INDIRECT(ADDRESS(163,5))</f>
        <v>0</v>
      </c>
      <c r="AR163">
        <f>sumifs(ar:ar,A:A,"总成",B:B,"852-241000-200")*INDIRECT(ADDRESS(163,5))</f>
        <v>0</v>
      </c>
    </row>
    <row r="164" spans="1:44">
      <c r="A164" t="s">
        <v>31</v>
      </c>
      <c r="B164" t="s">
        <v>393</v>
      </c>
      <c r="C164" t="s">
        <v>394</v>
      </c>
      <c r="D164" t="s">
        <v>17</v>
      </c>
      <c r="E164">
        <v>1</v>
      </c>
      <c r="F164" t="s">
        <v>395</v>
      </c>
      <c r="K164" t="s">
        <v>308</v>
      </c>
      <c r="L164" t="s">
        <v>37</v>
      </c>
      <c r="M164">
        <f>sumifs(m:m,A:A,"总成",B:B,"852-241000-200")*INDIRECT(ADDRESS(164,5))</f>
        <v>0</v>
      </c>
      <c r="N164">
        <f>sumifs(n:n,A:A,"总成",B:B,"852-241000-200")*INDIRECT(ADDRESS(164,5))</f>
        <v>0</v>
      </c>
      <c r="O164">
        <f>sumifs(o:o,A:A,"总成",B:B,"852-241000-200")*INDIRECT(ADDRESS(164,5))</f>
        <v>0</v>
      </c>
      <c r="P164">
        <f>sumifs(p:p,A:A,"总成",B:B,"852-241000-200")*INDIRECT(ADDRESS(164,5))</f>
        <v>0</v>
      </c>
      <c r="Q164">
        <f>sumifs(q:q,A:A,"总成",B:B,"852-241000-200")*INDIRECT(ADDRESS(164,5))</f>
        <v>0</v>
      </c>
      <c r="R164">
        <f>sumifs(r:r,A:A,"总成",B:B,"852-241000-200")*INDIRECT(ADDRESS(164,5))</f>
        <v>0</v>
      </c>
      <c r="S164">
        <f>sumifs(s:s,A:A,"总成",B:B,"852-241000-200")*INDIRECT(ADDRESS(164,5))</f>
        <v>0</v>
      </c>
      <c r="T164">
        <f>sumifs(t:t,A:A,"总成",B:B,"852-241000-200")*INDIRECT(ADDRESS(164,5))</f>
        <v>0</v>
      </c>
      <c r="U164">
        <f>sumifs(u:u,A:A,"总成",B:B,"852-241000-200")*INDIRECT(ADDRESS(164,5))</f>
        <v>0</v>
      </c>
      <c r="V164">
        <f>sumifs(v:v,A:A,"总成",B:B,"852-241000-200")*INDIRECT(ADDRESS(164,5))</f>
        <v>0</v>
      </c>
      <c r="W164">
        <f>sumifs(w:w,A:A,"总成",B:B,"852-241000-200")*INDIRECT(ADDRESS(164,5))</f>
        <v>0</v>
      </c>
      <c r="X164">
        <f>sumifs(x:x,A:A,"总成",B:B,"852-241000-200")*INDIRECT(ADDRESS(164,5))</f>
        <v>0</v>
      </c>
      <c r="Y164">
        <f>sumifs(y:y,A:A,"总成",B:B,"852-241000-200")*INDIRECT(ADDRESS(164,5))</f>
        <v>0</v>
      </c>
      <c r="Z164">
        <f>sumifs(z:z,A:A,"总成",B:B,"852-241000-200")*INDIRECT(ADDRESS(164,5))</f>
        <v>0</v>
      </c>
      <c r="AA164">
        <f>sumifs(aa:aa,A:A,"总成",B:B,"852-241000-200")*INDIRECT(ADDRESS(164,5))</f>
        <v>0</v>
      </c>
      <c r="AB164">
        <f>sumifs(ab:ab,A:A,"总成",B:B,"852-241000-200")*INDIRECT(ADDRESS(164,5))</f>
        <v>0</v>
      </c>
      <c r="AC164">
        <f>sumifs(ac:ac,A:A,"总成",B:B,"852-241000-200")*INDIRECT(ADDRESS(164,5))</f>
        <v>0</v>
      </c>
      <c r="AD164">
        <f>sumifs(ad:ad,A:A,"总成",B:B,"852-241000-200")*INDIRECT(ADDRESS(164,5))</f>
        <v>0</v>
      </c>
      <c r="AE164">
        <f>sumifs(ae:ae,A:A,"总成",B:B,"852-241000-200")*INDIRECT(ADDRESS(164,5))</f>
        <v>0</v>
      </c>
      <c r="AF164">
        <f>sumifs(af:af,A:A,"总成",B:B,"852-241000-200")*INDIRECT(ADDRESS(164,5))</f>
        <v>0</v>
      </c>
      <c r="AG164">
        <f>sumifs(ag:ag,A:A,"总成",B:B,"852-241000-200")*INDIRECT(ADDRESS(164,5))</f>
        <v>0</v>
      </c>
      <c r="AH164">
        <f>sumifs(ah:ah,A:A,"总成",B:B,"852-241000-200")*INDIRECT(ADDRESS(164,5))</f>
        <v>0</v>
      </c>
      <c r="AI164">
        <f>sumifs(ai:ai,A:A,"总成",B:B,"852-241000-200")*INDIRECT(ADDRESS(164,5))</f>
        <v>0</v>
      </c>
      <c r="AJ164">
        <f>sumifs(aj:aj,A:A,"总成",B:B,"852-241000-200")*INDIRECT(ADDRESS(164,5))</f>
        <v>0</v>
      </c>
      <c r="AK164">
        <f>sumifs(ak:ak,A:A,"总成",B:B,"852-241000-200")*INDIRECT(ADDRESS(164,5))</f>
        <v>0</v>
      </c>
      <c r="AL164">
        <f>sumifs(al:al,A:A,"总成",B:B,"852-241000-200")*INDIRECT(ADDRESS(164,5))</f>
        <v>0</v>
      </c>
      <c r="AM164">
        <f>sumifs(am:am,A:A,"总成",B:B,"852-241000-200")*INDIRECT(ADDRESS(164,5))</f>
        <v>0</v>
      </c>
      <c r="AN164">
        <f>sumifs(an:an,A:A,"总成",B:B,"852-241000-200")*INDIRECT(ADDRESS(164,5))</f>
        <v>0</v>
      </c>
      <c r="AO164">
        <f>sumifs(ao:ao,A:A,"总成",B:B,"852-241000-200")*INDIRECT(ADDRESS(164,5))</f>
        <v>0</v>
      </c>
      <c r="AP164">
        <f>sumifs(ap:ap,A:A,"总成",B:B,"852-241000-200")*INDIRECT(ADDRESS(164,5))</f>
        <v>0</v>
      </c>
      <c r="AQ164">
        <f>sumifs(aq:aq,A:A,"总成",B:B,"852-241000-200")*INDIRECT(ADDRESS(164,5))</f>
        <v>0</v>
      </c>
      <c r="AR164">
        <f>sumifs(ar:ar,A:A,"总成",B:B,"852-241000-200")*INDIRECT(ADDRESS(164,5))</f>
        <v>0</v>
      </c>
    </row>
    <row r="165" spans="1:44">
      <c r="A165" t="s">
        <v>14</v>
      </c>
      <c r="B165" t="s">
        <v>179</v>
      </c>
      <c r="C165" t="s">
        <v>180</v>
      </c>
      <c r="D165" t="s">
        <v>256</v>
      </c>
      <c r="E165">
        <v>1</v>
      </c>
      <c r="F165" t="s">
        <v>181</v>
      </c>
      <c r="K165" t="s">
        <v>305</v>
      </c>
      <c r="L165" t="s">
        <v>21</v>
      </c>
      <c r="M165">
        <f>vlookup("852-242000-100",生产发行表!B:AZ,column(l1),0)</f>
        <v>0</v>
      </c>
      <c r="N165">
        <f>vlookup("852-242000-100",生产发行表!B:AZ,column(m1),0)</f>
        <v>0</v>
      </c>
      <c r="O165">
        <f>vlookup("852-242000-100",生产发行表!B:AZ,column(n1),0)</f>
        <v>0</v>
      </c>
      <c r="P165">
        <f>vlookup("852-242000-100",生产发行表!B:AZ,column(o1),0)</f>
        <v>0</v>
      </c>
      <c r="Q165">
        <f>vlookup("852-242000-100",生产发行表!B:AZ,column(p1),0)</f>
        <v>0</v>
      </c>
      <c r="R165">
        <f>vlookup("852-242000-100",生产发行表!B:AZ,column(q1),0)</f>
        <v>0</v>
      </c>
      <c r="S165">
        <f>vlookup("852-242000-100",生产发行表!B:AZ,column(r1),0)</f>
        <v>0</v>
      </c>
      <c r="T165">
        <f>vlookup("852-242000-100",生产发行表!B:AZ,column(s1),0)</f>
        <v>0</v>
      </c>
      <c r="U165">
        <f>vlookup("852-242000-100",生产发行表!B:AZ,column(t1),0)</f>
        <v>0</v>
      </c>
      <c r="V165">
        <f>vlookup("852-242000-100",生产发行表!B:AZ,column(u1),0)</f>
        <v>0</v>
      </c>
      <c r="W165">
        <f>vlookup("852-242000-100",生产发行表!B:AZ,column(v1),0)</f>
        <v>0</v>
      </c>
      <c r="X165">
        <f>vlookup("852-242000-100",生产发行表!B:AZ,column(w1),0)</f>
        <v>0</v>
      </c>
      <c r="Y165">
        <f>vlookup("852-242000-100",生产发行表!B:AZ,column(x1),0)</f>
        <v>0</v>
      </c>
      <c r="Z165">
        <f>vlookup("852-242000-100",生产发行表!B:AZ,column(y1),0)</f>
        <v>0</v>
      </c>
      <c r="AA165">
        <f>vlookup("852-242000-100",生产发行表!B:AZ,column(z1),0)</f>
        <v>0</v>
      </c>
      <c r="AB165">
        <f>vlookup("852-242000-100",生产发行表!B:AZ,column(aa1),0)</f>
        <v>0</v>
      </c>
      <c r="AC165">
        <f>vlookup("852-242000-100",生产发行表!B:AZ,column(ab1),0)</f>
        <v>0</v>
      </c>
      <c r="AD165">
        <f>vlookup("852-242000-100",生产发行表!B:AZ,column(ac1),0)</f>
        <v>0</v>
      </c>
      <c r="AE165">
        <f>vlookup("852-242000-100",生产发行表!B:AZ,column(ad1),0)</f>
        <v>0</v>
      </c>
      <c r="AF165">
        <f>vlookup("852-242000-100",生产发行表!B:AZ,column(ae1),0)</f>
        <v>0</v>
      </c>
      <c r="AG165">
        <f>vlookup("852-242000-100",生产发行表!B:AZ,column(af1),0)</f>
        <v>0</v>
      </c>
      <c r="AH165">
        <f>vlookup("852-242000-100",生产发行表!B:AZ,column(ag1),0)</f>
        <v>0</v>
      </c>
      <c r="AI165">
        <f>vlookup("852-242000-100",生产发行表!B:AZ,column(ah1),0)</f>
        <v>0</v>
      </c>
      <c r="AJ165">
        <f>vlookup("852-242000-100",生产发行表!B:AZ,column(ai1),0)</f>
        <v>0</v>
      </c>
      <c r="AK165">
        <f>vlookup("852-242000-100",生产发行表!B:AZ,column(aj1),0)</f>
        <v>0</v>
      </c>
      <c r="AL165">
        <f>vlookup("852-242000-100",生产发行表!B:AZ,column(ak1),0)</f>
        <v>0</v>
      </c>
      <c r="AM165">
        <f>vlookup("852-242000-100",生产发行表!B:AZ,column(al1),0)</f>
        <v>0</v>
      </c>
      <c r="AN165">
        <f>vlookup("852-242000-100",生产发行表!B:AZ,column(am1),0)</f>
        <v>0</v>
      </c>
      <c r="AO165">
        <f>vlookup("852-242000-100",生产发行表!B:AZ,column(an1),0)</f>
        <v>0</v>
      </c>
      <c r="AP165">
        <f>vlookup("852-242000-100",生产发行表!B:AZ,column(ao1),0)</f>
        <v>0</v>
      </c>
      <c r="AQ165">
        <f>vlookup("852-242000-100",生产发行表!B:AZ,column(ap1),0)</f>
        <v>0</v>
      </c>
      <c r="AR165">
        <f>vlookup("852-242000-100",生产发行表!B:AZ,column(aq1),0)</f>
        <v>0</v>
      </c>
    </row>
    <row r="166" spans="1:44">
      <c r="A166" t="s">
        <v>31</v>
      </c>
      <c r="B166" t="s">
        <v>390</v>
      </c>
      <c r="C166" t="s">
        <v>391</v>
      </c>
      <c r="D166" t="s">
        <v>256</v>
      </c>
      <c r="E166">
        <v>1</v>
      </c>
      <c r="F166" t="s">
        <v>392</v>
      </c>
      <c r="K166" t="s">
        <v>308</v>
      </c>
      <c r="L166" t="s">
        <v>37</v>
      </c>
      <c r="M166">
        <f>sumifs(m:m,A:A,"总成",B:B,"852-242000-100")*INDIRECT(ADDRESS(166,5))</f>
        <v>0</v>
      </c>
      <c r="N166">
        <f>sumifs(n:n,A:A,"总成",B:B,"852-242000-100")*INDIRECT(ADDRESS(166,5))</f>
        <v>0</v>
      </c>
      <c r="O166">
        <f>sumifs(o:o,A:A,"总成",B:B,"852-242000-100")*INDIRECT(ADDRESS(166,5))</f>
        <v>0</v>
      </c>
      <c r="P166">
        <f>sumifs(p:p,A:A,"总成",B:B,"852-242000-100")*INDIRECT(ADDRESS(166,5))</f>
        <v>0</v>
      </c>
      <c r="Q166">
        <f>sumifs(q:q,A:A,"总成",B:B,"852-242000-100")*INDIRECT(ADDRESS(166,5))</f>
        <v>0</v>
      </c>
      <c r="R166">
        <f>sumifs(r:r,A:A,"总成",B:B,"852-242000-100")*INDIRECT(ADDRESS(166,5))</f>
        <v>0</v>
      </c>
      <c r="S166">
        <f>sumifs(s:s,A:A,"总成",B:B,"852-242000-100")*INDIRECT(ADDRESS(166,5))</f>
        <v>0</v>
      </c>
      <c r="T166">
        <f>sumifs(t:t,A:A,"总成",B:B,"852-242000-100")*INDIRECT(ADDRESS(166,5))</f>
        <v>0</v>
      </c>
      <c r="U166">
        <f>sumifs(u:u,A:A,"总成",B:B,"852-242000-100")*INDIRECT(ADDRESS(166,5))</f>
        <v>0</v>
      </c>
      <c r="V166">
        <f>sumifs(v:v,A:A,"总成",B:B,"852-242000-100")*INDIRECT(ADDRESS(166,5))</f>
        <v>0</v>
      </c>
      <c r="W166">
        <f>sumifs(w:w,A:A,"总成",B:B,"852-242000-100")*INDIRECT(ADDRESS(166,5))</f>
        <v>0</v>
      </c>
      <c r="X166">
        <f>sumifs(x:x,A:A,"总成",B:B,"852-242000-100")*INDIRECT(ADDRESS(166,5))</f>
        <v>0</v>
      </c>
      <c r="Y166">
        <f>sumifs(y:y,A:A,"总成",B:B,"852-242000-100")*INDIRECT(ADDRESS(166,5))</f>
        <v>0</v>
      </c>
      <c r="Z166">
        <f>sumifs(z:z,A:A,"总成",B:B,"852-242000-100")*INDIRECT(ADDRESS(166,5))</f>
        <v>0</v>
      </c>
      <c r="AA166">
        <f>sumifs(aa:aa,A:A,"总成",B:B,"852-242000-100")*INDIRECT(ADDRESS(166,5))</f>
        <v>0</v>
      </c>
      <c r="AB166">
        <f>sumifs(ab:ab,A:A,"总成",B:B,"852-242000-100")*INDIRECT(ADDRESS(166,5))</f>
        <v>0</v>
      </c>
      <c r="AC166">
        <f>sumifs(ac:ac,A:A,"总成",B:B,"852-242000-100")*INDIRECT(ADDRESS(166,5))</f>
        <v>0</v>
      </c>
      <c r="AD166">
        <f>sumifs(ad:ad,A:A,"总成",B:B,"852-242000-100")*INDIRECT(ADDRESS(166,5))</f>
        <v>0</v>
      </c>
      <c r="AE166">
        <f>sumifs(ae:ae,A:A,"总成",B:B,"852-242000-100")*INDIRECT(ADDRESS(166,5))</f>
        <v>0</v>
      </c>
      <c r="AF166">
        <f>sumifs(af:af,A:A,"总成",B:B,"852-242000-100")*INDIRECT(ADDRESS(166,5))</f>
        <v>0</v>
      </c>
      <c r="AG166">
        <f>sumifs(ag:ag,A:A,"总成",B:B,"852-242000-100")*INDIRECT(ADDRESS(166,5))</f>
        <v>0</v>
      </c>
      <c r="AH166">
        <f>sumifs(ah:ah,A:A,"总成",B:B,"852-242000-100")*INDIRECT(ADDRESS(166,5))</f>
        <v>0</v>
      </c>
      <c r="AI166">
        <f>sumifs(ai:ai,A:A,"总成",B:B,"852-242000-100")*INDIRECT(ADDRESS(166,5))</f>
        <v>0</v>
      </c>
      <c r="AJ166">
        <f>sumifs(aj:aj,A:A,"总成",B:B,"852-242000-100")*INDIRECT(ADDRESS(166,5))</f>
        <v>0</v>
      </c>
      <c r="AK166">
        <f>sumifs(ak:ak,A:A,"总成",B:B,"852-242000-100")*INDIRECT(ADDRESS(166,5))</f>
        <v>0</v>
      </c>
      <c r="AL166">
        <f>sumifs(al:al,A:A,"总成",B:B,"852-242000-100")*INDIRECT(ADDRESS(166,5))</f>
        <v>0</v>
      </c>
      <c r="AM166">
        <f>sumifs(am:am,A:A,"总成",B:B,"852-242000-100")*INDIRECT(ADDRESS(166,5))</f>
        <v>0</v>
      </c>
      <c r="AN166">
        <f>sumifs(an:an,A:A,"总成",B:B,"852-242000-100")*INDIRECT(ADDRESS(166,5))</f>
        <v>0</v>
      </c>
      <c r="AO166">
        <f>sumifs(ao:ao,A:A,"总成",B:B,"852-242000-100")*INDIRECT(ADDRESS(166,5))</f>
        <v>0</v>
      </c>
      <c r="AP166">
        <f>sumifs(ap:ap,A:A,"总成",B:B,"852-242000-100")*INDIRECT(ADDRESS(166,5))</f>
        <v>0</v>
      </c>
      <c r="AQ166">
        <f>sumifs(aq:aq,A:A,"总成",B:B,"852-242000-100")*INDIRECT(ADDRESS(166,5))</f>
        <v>0</v>
      </c>
      <c r="AR166">
        <f>sumifs(ar:ar,A:A,"总成",B:B,"852-242000-100")*INDIRECT(ADDRESS(166,5))</f>
        <v>0</v>
      </c>
    </row>
    <row r="167" spans="1:44">
      <c r="A167" t="s">
        <v>31</v>
      </c>
      <c r="B167" t="s">
        <v>393</v>
      </c>
      <c r="C167" t="s">
        <v>394</v>
      </c>
      <c r="D167" t="s">
        <v>17</v>
      </c>
      <c r="E167">
        <v>1</v>
      </c>
      <c r="F167" t="s">
        <v>395</v>
      </c>
      <c r="K167" t="s">
        <v>308</v>
      </c>
      <c r="L167" t="s">
        <v>37</v>
      </c>
      <c r="M167">
        <f>sumifs(m:m,A:A,"总成",B:B,"852-242000-100")*INDIRECT(ADDRESS(167,5))</f>
        <v>0</v>
      </c>
      <c r="N167">
        <f>sumifs(n:n,A:A,"总成",B:B,"852-242000-100")*INDIRECT(ADDRESS(167,5))</f>
        <v>0</v>
      </c>
      <c r="O167">
        <f>sumifs(o:o,A:A,"总成",B:B,"852-242000-100")*INDIRECT(ADDRESS(167,5))</f>
        <v>0</v>
      </c>
      <c r="P167">
        <f>sumifs(p:p,A:A,"总成",B:B,"852-242000-100")*INDIRECT(ADDRESS(167,5))</f>
        <v>0</v>
      </c>
      <c r="Q167">
        <f>sumifs(q:q,A:A,"总成",B:B,"852-242000-100")*INDIRECT(ADDRESS(167,5))</f>
        <v>0</v>
      </c>
      <c r="R167">
        <f>sumifs(r:r,A:A,"总成",B:B,"852-242000-100")*INDIRECT(ADDRESS(167,5))</f>
        <v>0</v>
      </c>
      <c r="S167">
        <f>sumifs(s:s,A:A,"总成",B:B,"852-242000-100")*INDIRECT(ADDRESS(167,5))</f>
        <v>0</v>
      </c>
      <c r="T167">
        <f>sumifs(t:t,A:A,"总成",B:B,"852-242000-100")*INDIRECT(ADDRESS(167,5))</f>
        <v>0</v>
      </c>
      <c r="U167">
        <f>sumifs(u:u,A:A,"总成",B:B,"852-242000-100")*INDIRECT(ADDRESS(167,5))</f>
        <v>0</v>
      </c>
      <c r="V167">
        <f>sumifs(v:v,A:A,"总成",B:B,"852-242000-100")*INDIRECT(ADDRESS(167,5))</f>
        <v>0</v>
      </c>
      <c r="W167">
        <f>sumifs(w:w,A:A,"总成",B:B,"852-242000-100")*INDIRECT(ADDRESS(167,5))</f>
        <v>0</v>
      </c>
      <c r="X167">
        <f>sumifs(x:x,A:A,"总成",B:B,"852-242000-100")*INDIRECT(ADDRESS(167,5))</f>
        <v>0</v>
      </c>
      <c r="Y167">
        <f>sumifs(y:y,A:A,"总成",B:B,"852-242000-100")*INDIRECT(ADDRESS(167,5))</f>
        <v>0</v>
      </c>
      <c r="Z167">
        <f>sumifs(z:z,A:A,"总成",B:B,"852-242000-100")*INDIRECT(ADDRESS(167,5))</f>
        <v>0</v>
      </c>
      <c r="AA167">
        <f>sumifs(aa:aa,A:A,"总成",B:B,"852-242000-100")*INDIRECT(ADDRESS(167,5))</f>
        <v>0</v>
      </c>
      <c r="AB167">
        <f>sumifs(ab:ab,A:A,"总成",B:B,"852-242000-100")*INDIRECT(ADDRESS(167,5))</f>
        <v>0</v>
      </c>
      <c r="AC167">
        <f>sumifs(ac:ac,A:A,"总成",B:B,"852-242000-100")*INDIRECT(ADDRESS(167,5))</f>
        <v>0</v>
      </c>
      <c r="AD167">
        <f>sumifs(ad:ad,A:A,"总成",B:B,"852-242000-100")*INDIRECT(ADDRESS(167,5))</f>
        <v>0</v>
      </c>
      <c r="AE167">
        <f>sumifs(ae:ae,A:A,"总成",B:B,"852-242000-100")*INDIRECT(ADDRESS(167,5))</f>
        <v>0</v>
      </c>
      <c r="AF167">
        <f>sumifs(af:af,A:A,"总成",B:B,"852-242000-100")*INDIRECT(ADDRESS(167,5))</f>
        <v>0</v>
      </c>
      <c r="AG167">
        <f>sumifs(ag:ag,A:A,"总成",B:B,"852-242000-100")*INDIRECT(ADDRESS(167,5))</f>
        <v>0</v>
      </c>
      <c r="AH167">
        <f>sumifs(ah:ah,A:A,"总成",B:B,"852-242000-100")*INDIRECT(ADDRESS(167,5))</f>
        <v>0</v>
      </c>
      <c r="AI167">
        <f>sumifs(ai:ai,A:A,"总成",B:B,"852-242000-100")*INDIRECT(ADDRESS(167,5))</f>
        <v>0</v>
      </c>
      <c r="AJ167">
        <f>sumifs(aj:aj,A:A,"总成",B:B,"852-242000-100")*INDIRECT(ADDRESS(167,5))</f>
        <v>0</v>
      </c>
      <c r="AK167">
        <f>sumifs(ak:ak,A:A,"总成",B:B,"852-242000-100")*INDIRECT(ADDRESS(167,5))</f>
        <v>0</v>
      </c>
      <c r="AL167">
        <f>sumifs(al:al,A:A,"总成",B:B,"852-242000-100")*INDIRECT(ADDRESS(167,5))</f>
        <v>0</v>
      </c>
      <c r="AM167">
        <f>sumifs(am:am,A:A,"总成",B:B,"852-242000-100")*INDIRECT(ADDRESS(167,5))</f>
        <v>0</v>
      </c>
      <c r="AN167">
        <f>sumifs(an:an,A:A,"总成",B:B,"852-242000-100")*INDIRECT(ADDRESS(167,5))</f>
        <v>0</v>
      </c>
      <c r="AO167">
        <f>sumifs(ao:ao,A:A,"总成",B:B,"852-242000-100")*INDIRECT(ADDRESS(167,5))</f>
        <v>0</v>
      </c>
      <c r="AP167">
        <f>sumifs(ap:ap,A:A,"总成",B:B,"852-242000-100")*INDIRECT(ADDRESS(167,5))</f>
        <v>0</v>
      </c>
      <c r="AQ167">
        <f>sumifs(aq:aq,A:A,"总成",B:B,"852-242000-100")*INDIRECT(ADDRESS(167,5))</f>
        <v>0</v>
      </c>
      <c r="AR167">
        <f>sumifs(ar:ar,A:A,"总成",B:B,"852-242000-100")*INDIRECT(ADDRESS(167,5))</f>
        <v>0</v>
      </c>
    </row>
    <row r="168" spans="1:44">
      <c r="A168" t="s">
        <v>14</v>
      </c>
      <c r="B168" t="s">
        <v>185</v>
      </c>
      <c r="C168" t="s">
        <v>186</v>
      </c>
      <c r="D168" t="s">
        <v>256</v>
      </c>
      <c r="E168">
        <v>1</v>
      </c>
      <c r="F168" t="s">
        <v>187</v>
      </c>
      <c r="K168" t="s">
        <v>305</v>
      </c>
      <c r="L168" t="s">
        <v>21</v>
      </c>
      <c r="M168">
        <f>vlookup("852-242000-200",生产发行表!B:AZ,column(l1),0)</f>
        <v>0</v>
      </c>
      <c r="N168">
        <f>vlookup("852-242000-200",生产发行表!B:AZ,column(m1),0)</f>
        <v>0</v>
      </c>
      <c r="O168">
        <f>vlookup("852-242000-200",生产发行表!B:AZ,column(n1),0)</f>
        <v>0</v>
      </c>
      <c r="P168">
        <f>vlookup("852-242000-200",生产发行表!B:AZ,column(o1),0)</f>
        <v>0</v>
      </c>
      <c r="Q168">
        <f>vlookup("852-242000-200",生产发行表!B:AZ,column(p1),0)</f>
        <v>0</v>
      </c>
      <c r="R168">
        <f>vlookup("852-242000-200",生产发行表!B:AZ,column(q1),0)</f>
        <v>0</v>
      </c>
      <c r="S168">
        <f>vlookup("852-242000-200",生产发行表!B:AZ,column(r1),0)</f>
        <v>0</v>
      </c>
      <c r="T168">
        <f>vlookup("852-242000-200",生产发行表!B:AZ,column(s1),0)</f>
        <v>0</v>
      </c>
      <c r="U168">
        <f>vlookup("852-242000-200",生产发行表!B:AZ,column(t1),0)</f>
        <v>0</v>
      </c>
      <c r="V168">
        <f>vlookup("852-242000-200",生产发行表!B:AZ,column(u1),0)</f>
        <v>0</v>
      </c>
      <c r="W168">
        <f>vlookup("852-242000-200",生产发行表!B:AZ,column(v1),0)</f>
        <v>0</v>
      </c>
      <c r="X168">
        <f>vlookup("852-242000-200",生产发行表!B:AZ,column(w1),0)</f>
        <v>0</v>
      </c>
      <c r="Y168">
        <f>vlookup("852-242000-200",生产发行表!B:AZ,column(x1),0)</f>
        <v>0</v>
      </c>
      <c r="Z168">
        <f>vlookup("852-242000-200",生产发行表!B:AZ,column(y1),0)</f>
        <v>0</v>
      </c>
      <c r="AA168">
        <f>vlookup("852-242000-200",生产发行表!B:AZ,column(z1),0)</f>
        <v>0</v>
      </c>
      <c r="AB168">
        <f>vlookup("852-242000-200",生产发行表!B:AZ,column(aa1),0)</f>
        <v>0</v>
      </c>
      <c r="AC168">
        <f>vlookup("852-242000-200",生产发行表!B:AZ,column(ab1),0)</f>
        <v>0</v>
      </c>
      <c r="AD168">
        <f>vlookup("852-242000-200",生产发行表!B:AZ,column(ac1),0)</f>
        <v>0</v>
      </c>
      <c r="AE168">
        <f>vlookup("852-242000-200",生产发行表!B:AZ,column(ad1),0)</f>
        <v>0</v>
      </c>
      <c r="AF168">
        <f>vlookup("852-242000-200",生产发行表!B:AZ,column(ae1),0)</f>
        <v>0</v>
      </c>
      <c r="AG168">
        <f>vlookup("852-242000-200",生产发行表!B:AZ,column(af1),0)</f>
        <v>0</v>
      </c>
      <c r="AH168">
        <f>vlookup("852-242000-200",生产发行表!B:AZ,column(ag1),0)</f>
        <v>0</v>
      </c>
      <c r="AI168">
        <f>vlookup("852-242000-200",生产发行表!B:AZ,column(ah1),0)</f>
        <v>0</v>
      </c>
      <c r="AJ168">
        <f>vlookup("852-242000-200",生产发行表!B:AZ,column(ai1),0)</f>
        <v>0</v>
      </c>
      <c r="AK168">
        <f>vlookup("852-242000-200",生产发行表!B:AZ,column(aj1),0)</f>
        <v>0</v>
      </c>
      <c r="AL168">
        <f>vlookup("852-242000-200",生产发行表!B:AZ,column(ak1),0)</f>
        <v>0</v>
      </c>
      <c r="AM168">
        <f>vlookup("852-242000-200",生产发行表!B:AZ,column(al1),0)</f>
        <v>0</v>
      </c>
      <c r="AN168">
        <f>vlookup("852-242000-200",生产发行表!B:AZ,column(am1),0)</f>
        <v>0</v>
      </c>
      <c r="AO168">
        <f>vlookup("852-242000-200",生产发行表!B:AZ,column(an1),0)</f>
        <v>0</v>
      </c>
      <c r="AP168">
        <f>vlookup("852-242000-200",生产发行表!B:AZ,column(ao1),0)</f>
        <v>0</v>
      </c>
      <c r="AQ168">
        <f>vlookup("852-242000-200",生产发行表!B:AZ,column(ap1),0)</f>
        <v>0</v>
      </c>
      <c r="AR168">
        <f>vlookup("852-242000-200",生产发行表!B:AZ,column(aq1),0)</f>
        <v>0</v>
      </c>
    </row>
    <row r="169" spans="1:44">
      <c r="A169" t="s">
        <v>31</v>
      </c>
      <c r="B169" t="s">
        <v>390</v>
      </c>
      <c r="C169" t="s">
        <v>391</v>
      </c>
      <c r="D169" t="s">
        <v>256</v>
      </c>
      <c r="E169">
        <v>1</v>
      </c>
      <c r="F169" t="s">
        <v>392</v>
      </c>
      <c r="K169" t="s">
        <v>308</v>
      </c>
      <c r="L169" t="s">
        <v>37</v>
      </c>
      <c r="M169">
        <f>sumifs(m:m,A:A,"总成",B:B,"852-242000-200")*INDIRECT(ADDRESS(169,5))</f>
        <v>0</v>
      </c>
      <c r="N169">
        <f>sumifs(n:n,A:A,"总成",B:B,"852-242000-200")*INDIRECT(ADDRESS(169,5))</f>
        <v>0</v>
      </c>
      <c r="O169">
        <f>sumifs(o:o,A:A,"总成",B:B,"852-242000-200")*INDIRECT(ADDRESS(169,5))</f>
        <v>0</v>
      </c>
      <c r="P169">
        <f>sumifs(p:p,A:A,"总成",B:B,"852-242000-200")*INDIRECT(ADDRESS(169,5))</f>
        <v>0</v>
      </c>
      <c r="Q169">
        <f>sumifs(q:q,A:A,"总成",B:B,"852-242000-200")*INDIRECT(ADDRESS(169,5))</f>
        <v>0</v>
      </c>
      <c r="R169">
        <f>sumifs(r:r,A:A,"总成",B:B,"852-242000-200")*INDIRECT(ADDRESS(169,5))</f>
        <v>0</v>
      </c>
      <c r="S169">
        <f>sumifs(s:s,A:A,"总成",B:B,"852-242000-200")*INDIRECT(ADDRESS(169,5))</f>
        <v>0</v>
      </c>
      <c r="T169">
        <f>sumifs(t:t,A:A,"总成",B:B,"852-242000-200")*INDIRECT(ADDRESS(169,5))</f>
        <v>0</v>
      </c>
      <c r="U169">
        <f>sumifs(u:u,A:A,"总成",B:B,"852-242000-200")*INDIRECT(ADDRESS(169,5))</f>
        <v>0</v>
      </c>
      <c r="V169">
        <f>sumifs(v:v,A:A,"总成",B:B,"852-242000-200")*INDIRECT(ADDRESS(169,5))</f>
        <v>0</v>
      </c>
      <c r="W169">
        <f>sumifs(w:w,A:A,"总成",B:B,"852-242000-200")*INDIRECT(ADDRESS(169,5))</f>
        <v>0</v>
      </c>
      <c r="X169">
        <f>sumifs(x:x,A:A,"总成",B:B,"852-242000-200")*INDIRECT(ADDRESS(169,5))</f>
        <v>0</v>
      </c>
      <c r="Y169">
        <f>sumifs(y:y,A:A,"总成",B:B,"852-242000-200")*INDIRECT(ADDRESS(169,5))</f>
        <v>0</v>
      </c>
      <c r="Z169">
        <f>sumifs(z:z,A:A,"总成",B:B,"852-242000-200")*INDIRECT(ADDRESS(169,5))</f>
        <v>0</v>
      </c>
      <c r="AA169">
        <f>sumifs(aa:aa,A:A,"总成",B:B,"852-242000-200")*INDIRECT(ADDRESS(169,5))</f>
        <v>0</v>
      </c>
      <c r="AB169">
        <f>sumifs(ab:ab,A:A,"总成",B:B,"852-242000-200")*INDIRECT(ADDRESS(169,5))</f>
        <v>0</v>
      </c>
      <c r="AC169">
        <f>sumifs(ac:ac,A:A,"总成",B:B,"852-242000-200")*INDIRECT(ADDRESS(169,5))</f>
        <v>0</v>
      </c>
      <c r="AD169">
        <f>sumifs(ad:ad,A:A,"总成",B:B,"852-242000-200")*INDIRECT(ADDRESS(169,5))</f>
        <v>0</v>
      </c>
      <c r="AE169">
        <f>sumifs(ae:ae,A:A,"总成",B:B,"852-242000-200")*INDIRECT(ADDRESS(169,5))</f>
        <v>0</v>
      </c>
      <c r="AF169">
        <f>sumifs(af:af,A:A,"总成",B:B,"852-242000-200")*INDIRECT(ADDRESS(169,5))</f>
        <v>0</v>
      </c>
      <c r="AG169">
        <f>sumifs(ag:ag,A:A,"总成",B:B,"852-242000-200")*INDIRECT(ADDRESS(169,5))</f>
        <v>0</v>
      </c>
      <c r="AH169">
        <f>sumifs(ah:ah,A:A,"总成",B:B,"852-242000-200")*INDIRECT(ADDRESS(169,5))</f>
        <v>0</v>
      </c>
      <c r="AI169">
        <f>sumifs(ai:ai,A:A,"总成",B:B,"852-242000-200")*INDIRECT(ADDRESS(169,5))</f>
        <v>0</v>
      </c>
      <c r="AJ169">
        <f>sumifs(aj:aj,A:A,"总成",B:B,"852-242000-200")*INDIRECT(ADDRESS(169,5))</f>
        <v>0</v>
      </c>
      <c r="AK169">
        <f>sumifs(ak:ak,A:A,"总成",B:B,"852-242000-200")*INDIRECT(ADDRESS(169,5))</f>
        <v>0</v>
      </c>
      <c r="AL169">
        <f>sumifs(al:al,A:A,"总成",B:B,"852-242000-200")*INDIRECT(ADDRESS(169,5))</f>
        <v>0</v>
      </c>
      <c r="AM169">
        <f>sumifs(am:am,A:A,"总成",B:B,"852-242000-200")*INDIRECT(ADDRESS(169,5))</f>
        <v>0</v>
      </c>
      <c r="AN169">
        <f>sumifs(an:an,A:A,"总成",B:B,"852-242000-200")*INDIRECT(ADDRESS(169,5))</f>
        <v>0</v>
      </c>
      <c r="AO169">
        <f>sumifs(ao:ao,A:A,"总成",B:B,"852-242000-200")*INDIRECT(ADDRESS(169,5))</f>
        <v>0</v>
      </c>
      <c r="AP169">
        <f>sumifs(ap:ap,A:A,"总成",B:B,"852-242000-200")*INDIRECT(ADDRESS(169,5))</f>
        <v>0</v>
      </c>
      <c r="AQ169">
        <f>sumifs(aq:aq,A:A,"总成",B:B,"852-242000-200")*INDIRECT(ADDRESS(169,5))</f>
        <v>0</v>
      </c>
      <c r="AR169">
        <f>sumifs(ar:ar,A:A,"总成",B:B,"852-242000-200")*INDIRECT(ADDRESS(169,5))</f>
        <v>0</v>
      </c>
    </row>
    <row r="170" spans="1:44">
      <c r="A170" t="s">
        <v>31</v>
      </c>
      <c r="B170" t="s">
        <v>393</v>
      </c>
      <c r="C170" t="s">
        <v>394</v>
      </c>
      <c r="D170" t="s">
        <v>17</v>
      </c>
      <c r="E170" t="s">
        <v>36</v>
      </c>
      <c r="F170" t="s">
        <v>395</v>
      </c>
      <c r="K170" t="s">
        <v>308</v>
      </c>
      <c r="L170" t="s">
        <v>37</v>
      </c>
      <c r="M170">
        <f>sumifs(m:m,A:A,"总成",B:B,"852-242000-200")*INDIRECT(ADDRESS(170,5))</f>
        <v>0</v>
      </c>
      <c r="N170">
        <f>sumifs(n:n,A:A,"总成",B:B,"852-242000-200")*INDIRECT(ADDRESS(170,5))</f>
        <v>0</v>
      </c>
      <c r="O170">
        <f>sumifs(o:o,A:A,"总成",B:B,"852-242000-200")*INDIRECT(ADDRESS(170,5))</f>
        <v>0</v>
      </c>
      <c r="P170">
        <f>sumifs(p:p,A:A,"总成",B:B,"852-242000-200")*INDIRECT(ADDRESS(170,5))</f>
        <v>0</v>
      </c>
      <c r="Q170">
        <f>sumifs(q:q,A:A,"总成",B:B,"852-242000-200")*INDIRECT(ADDRESS(170,5))</f>
        <v>0</v>
      </c>
      <c r="R170">
        <f>sumifs(r:r,A:A,"总成",B:B,"852-242000-200")*INDIRECT(ADDRESS(170,5))</f>
        <v>0</v>
      </c>
      <c r="S170">
        <f>sumifs(s:s,A:A,"总成",B:B,"852-242000-200")*INDIRECT(ADDRESS(170,5))</f>
        <v>0</v>
      </c>
      <c r="T170">
        <f>sumifs(t:t,A:A,"总成",B:B,"852-242000-200")*INDIRECT(ADDRESS(170,5))</f>
        <v>0</v>
      </c>
      <c r="U170">
        <f>sumifs(u:u,A:A,"总成",B:B,"852-242000-200")*INDIRECT(ADDRESS(170,5))</f>
        <v>0</v>
      </c>
      <c r="V170">
        <f>sumifs(v:v,A:A,"总成",B:B,"852-242000-200")*INDIRECT(ADDRESS(170,5))</f>
        <v>0</v>
      </c>
      <c r="W170">
        <f>sumifs(w:w,A:A,"总成",B:B,"852-242000-200")*INDIRECT(ADDRESS(170,5))</f>
        <v>0</v>
      </c>
      <c r="X170">
        <f>sumifs(x:x,A:A,"总成",B:B,"852-242000-200")*INDIRECT(ADDRESS(170,5))</f>
        <v>0</v>
      </c>
      <c r="Y170">
        <f>sumifs(y:y,A:A,"总成",B:B,"852-242000-200")*INDIRECT(ADDRESS(170,5))</f>
        <v>0</v>
      </c>
      <c r="Z170">
        <f>sumifs(z:z,A:A,"总成",B:B,"852-242000-200")*INDIRECT(ADDRESS(170,5))</f>
        <v>0</v>
      </c>
      <c r="AA170">
        <f>sumifs(aa:aa,A:A,"总成",B:B,"852-242000-200")*INDIRECT(ADDRESS(170,5))</f>
        <v>0</v>
      </c>
      <c r="AB170">
        <f>sumifs(ab:ab,A:A,"总成",B:B,"852-242000-200")*INDIRECT(ADDRESS(170,5))</f>
        <v>0</v>
      </c>
      <c r="AC170">
        <f>sumifs(ac:ac,A:A,"总成",B:B,"852-242000-200")*INDIRECT(ADDRESS(170,5))</f>
        <v>0</v>
      </c>
      <c r="AD170">
        <f>sumifs(ad:ad,A:A,"总成",B:B,"852-242000-200")*INDIRECT(ADDRESS(170,5))</f>
        <v>0</v>
      </c>
      <c r="AE170">
        <f>sumifs(ae:ae,A:A,"总成",B:B,"852-242000-200")*INDIRECT(ADDRESS(170,5))</f>
        <v>0</v>
      </c>
      <c r="AF170">
        <f>sumifs(af:af,A:A,"总成",B:B,"852-242000-200")*INDIRECT(ADDRESS(170,5))</f>
        <v>0</v>
      </c>
      <c r="AG170">
        <f>sumifs(ag:ag,A:A,"总成",B:B,"852-242000-200")*INDIRECT(ADDRESS(170,5))</f>
        <v>0</v>
      </c>
      <c r="AH170">
        <f>sumifs(ah:ah,A:A,"总成",B:B,"852-242000-200")*INDIRECT(ADDRESS(170,5))</f>
        <v>0</v>
      </c>
      <c r="AI170">
        <f>sumifs(ai:ai,A:A,"总成",B:B,"852-242000-200")*INDIRECT(ADDRESS(170,5))</f>
        <v>0</v>
      </c>
      <c r="AJ170">
        <f>sumifs(aj:aj,A:A,"总成",B:B,"852-242000-200")*INDIRECT(ADDRESS(170,5))</f>
        <v>0</v>
      </c>
      <c r="AK170">
        <f>sumifs(ak:ak,A:A,"总成",B:B,"852-242000-200")*INDIRECT(ADDRESS(170,5))</f>
        <v>0</v>
      </c>
      <c r="AL170">
        <f>sumifs(al:al,A:A,"总成",B:B,"852-242000-200")*INDIRECT(ADDRESS(170,5))</f>
        <v>0</v>
      </c>
      <c r="AM170">
        <f>sumifs(am:am,A:A,"总成",B:B,"852-242000-200")*INDIRECT(ADDRESS(170,5))</f>
        <v>0</v>
      </c>
      <c r="AN170">
        <f>sumifs(an:an,A:A,"总成",B:B,"852-242000-200")*INDIRECT(ADDRESS(170,5))</f>
        <v>0</v>
      </c>
      <c r="AO170">
        <f>sumifs(ao:ao,A:A,"总成",B:B,"852-242000-200")*INDIRECT(ADDRESS(170,5))</f>
        <v>0</v>
      </c>
      <c r="AP170">
        <f>sumifs(ap:ap,A:A,"总成",B:B,"852-242000-200")*INDIRECT(ADDRESS(170,5))</f>
        <v>0</v>
      </c>
      <c r="AQ170">
        <f>sumifs(aq:aq,A:A,"总成",B:B,"852-242000-200")*INDIRECT(ADDRESS(170,5))</f>
        <v>0</v>
      </c>
      <c r="AR170">
        <f>sumifs(ar:ar,A:A,"总成",B:B,"852-242000-200")*INDIRECT(ADDRESS(170,5))</f>
        <v>0</v>
      </c>
    </row>
    <row r="171" spans="1:44">
      <c r="A171" t="s">
        <v>14</v>
      </c>
      <c r="B171" t="s">
        <v>192</v>
      </c>
      <c r="C171" t="s">
        <v>193</v>
      </c>
      <c r="D171" t="s">
        <v>17</v>
      </c>
      <c r="E171">
        <v>1</v>
      </c>
      <c r="F171" t="s">
        <v>194</v>
      </c>
      <c r="K171" t="s">
        <v>305</v>
      </c>
      <c r="L171" t="s">
        <v>21</v>
      </c>
      <c r="M171">
        <f>vlookup("852-234000-100",生产发行表!B:AZ,column(l1),0)</f>
        <v>0</v>
      </c>
      <c r="N171">
        <f>vlookup("852-234000-100",生产发行表!B:AZ,column(m1),0)</f>
        <v>0</v>
      </c>
      <c r="O171">
        <f>vlookup("852-234000-100",生产发行表!B:AZ,column(n1),0)</f>
        <v>0</v>
      </c>
      <c r="P171">
        <f>vlookup("852-234000-100",生产发行表!B:AZ,column(o1),0)</f>
        <v>0</v>
      </c>
      <c r="Q171">
        <f>vlookup("852-234000-100",生产发行表!B:AZ,column(p1),0)</f>
        <v>0</v>
      </c>
      <c r="R171">
        <f>vlookup("852-234000-100",生产发行表!B:AZ,column(q1),0)</f>
        <v>0</v>
      </c>
      <c r="S171">
        <f>vlookup("852-234000-100",生产发行表!B:AZ,column(r1),0)</f>
        <v>0</v>
      </c>
      <c r="T171">
        <f>vlookup("852-234000-100",生产发行表!B:AZ,column(s1),0)</f>
        <v>0</v>
      </c>
      <c r="U171">
        <f>vlookup("852-234000-100",生产发行表!B:AZ,column(t1),0)</f>
        <v>0</v>
      </c>
      <c r="V171">
        <f>vlookup("852-234000-100",生产发行表!B:AZ,column(u1),0)</f>
        <v>0</v>
      </c>
      <c r="W171">
        <f>vlookup("852-234000-100",生产发行表!B:AZ,column(v1),0)</f>
        <v>0</v>
      </c>
      <c r="X171">
        <f>vlookup("852-234000-100",生产发行表!B:AZ,column(w1),0)</f>
        <v>0</v>
      </c>
      <c r="Y171">
        <f>vlookup("852-234000-100",生产发行表!B:AZ,column(x1),0)</f>
        <v>0</v>
      </c>
      <c r="Z171">
        <f>vlookup("852-234000-100",生产发行表!B:AZ,column(y1),0)</f>
        <v>0</v>
      </c>
      <c r="AA171">
        <f>vlookup("852-234000-100",生产发行表!B:AZ,column(z1),0)</f>
        <v>0</v>
      </c>
      <c r="AB171">
        <f>vlookup("852-234000-100",生产发行表!B:AZ,column(aa1),0)</f>
        <v>0</v>
      </c>
      <c r="AC171">
        <f>vlookup("852-234000-100",生产发行表!B:AZ,column(ab1),0)</f>
        <v>0</v>
      </c>
      <c r="AD171">
        <f>vlookup("852-234000-100",生产发行表!B:AZ,column(ac1),0)</f>
        <v>0</v>
      </c>
      <c r="AE171">
        <f>vlookup("852-234000-100",生产发行表!B:AZ,column(ad1),0)</f>
        <v>0</v>
      </c>
      <c r="AF171">
        <f>vlookup("852-234000-100",生产发行表!B:AZ,column(ae1),0)</f>
        <v>0</v>
      </c>
      <c r="AG171">
        <f>vlookup("852-234000-100",生产发行表!B:AZ,column(af1),0)</f>
        <v>0</v>
      </c>
      <c r="AH171">
        <f>vlookup("852-234000-100",生产发行表!B:AZ,column(ag1),0)</f>
        <v>0</v>
      </c>
      <c r="AI171">
        <f>vlookup("852-234000-100",生产发行表!B:AZ,column(ah1),0)</f>
        <v>0</v>
      </c>
      <c r="AJ171">
        <f>vlookup("852-234000-100",生产发行表!B:AZ,column(ai1),0)</f>
        <v>0</v>
      </c>
      <c r="AK171">
        <f>vlookup("852-234000-100",生产发行表!B:AZ,column(aj1),0)</f>
        <v>0</v>
      </c>
      <c r="AL171">
        <f>vlookup("852-234000-100",生产发行表!B:AZ,column(ak1),0)</f>
        <v>0</v>
      </c>
      <c r="AM171">
        <f>vlookup("852-234000-100",生产发行表!B:AZ,column(al1),0)</f>
        <v>0</v>
      </c>
      <c r="AN171">
        <f>vlookup("852-234000-100",生产发行表!B:AZ,column(am1),0)</f>
        <v>0</v>
      </c>
      <c r="AO171">
        <f>vlookup("852-234000-100",生产发行表!B:AZ,column(an1),0)</f>
        <v>0</v>
      </c>
      <c r="AP171">
        <f>vlookup("852-234000-100",生产发行表!B:AZ,column(ao1),0)</f>
        <v>0</v>
      </c>
      <c r="AQ171">
        <f>vlookup("852-234000-100",生产发行表!B:AZ,column(ap1),0)</f>
        <v>0</v>
      </c>
      <c r="AR171">
        <f>vlookup("852-234000-100",生产发行表!B:AZ,column(aq1),0)</f>
        <v>0</v>
      </c>
    </row>
    <row r="172" spans="1:44">
      <c r="A172" t="s">
        <v>14</v>
      </c>
      <c r="B172" t="s">
        <v>195</v>
      </c>
      <c r="C172" t="s">
        <v>196</v>
      </c>
      <c r="D172" t="s">
        <v>17</v>
      </c>
      <c r="E172">
        <v>1</v>
      </c>
      <c r="F172" t="s">
        <v>197</v>
      </c>
      <c r="K172" t="s">
        <v>305</v>
      </c>
      <c r="L172" t="s">
        <v>21</v>
      </c>
      <c r="M172">
        <f>vlookup("852-235000-100",生产发行表!B:AZ,column(l1),0)</f>
        <v>0</v>
      </c>
      <c r="N172">
        <f>vlookup("852-235000-100",生产发行表!B:AZ,column(m1),0)</f>
        <v>0</v>
      </c>
      <c r="O172">
        <f>vlookup("852-235000-100",生产发行表!B:AZ,column(n1),0)</f>
        <v>0</v>
      </c>
      <c r="P172">
        <f>vlookup("852-235000-100",生产发行表!B:AZ,column(o1),0)</f>
        <v>0</v>
      </c>
      <c r="Q172">
        <f>vlookup("852-235000-100",生产发行表!B:AZ,column(p1),0)</f>
        <v>0</v>
      </c>
      <c r="R172">
        <f>vlookup("852-235000-100",生产发行表!B:AZ,column(q1),0)</f>
        <v>0</v>
      </c>
      <c r="S172">
        <f>vlookup("852-235000-100",生产发行表!B:AZ,column(r1),0)</f>
        <v>0</v>
      </c>
      <c r="T172">
        <f>vlookup("852-235000-100",生产发行表!B:AZ,column(s1),0)</f>
        <v>0</v>
      </c>
      <c r="U172">
        <f>vlookup("852-235000-100",生产发行表!B:AZ,column(t1),0)</f>
        <v>0</v>
      </c>
      <c r="V172">
        <f>vlookup("852-235000-100",生产发行表!B:AZ,column(u1),0)</f>
        <v>0</v>
      </c>
      <c r="W172">
        <f>vlookup("852-235000-100",生产发行表!B:AZ,column(v1),0)</f>
        <v>0</v>
      </c>
      <c r="X172">
        <f>vlookup("852-235000-100",生产发行表!B:AZ,column(w1),0)</f>
        <v>0</v>
      </c>
      <c r="Y172">
        <f>vlookup("852-235000-100",生产发行表!B:AZ,column(x1),0)</f>
        <v>0</v>
      </c>
      <c r="Z172">
        <f>vlookup("852-235000-100",生产发行表!B:AZ,column(y1),0)</f>
        <v>0</v>
      </c>
      <c r="AA172">
        <f>vlookup("852-235000-100",生产发行表!B:AZ,column(z1),0)</f>
        <v>0</v>
      </c>
      <c r="AB172">
        <f>vlookup("852-235000-100",生产发行表!B:AZ,column(aa1),0)</f>
        <v>0</v>
      </c>
      <c r="AC172">
        <f>vlookup("852-235000-100",生产发行表!B:AZ,column(ab1),0)</f>
        <v>0</v>
      </c>
      <c r="AD172">
        <f>vlookup("852-235000-100",生产发行表!B:AZ,column(ac1),0)</f>
        <v>0</v>
      </c>
      <c r="AE172">
        <f>vlookup("852-235000-100",生产发行表!B:AZ,column(ad1),0)</f>
        <v>0</v>
      </c>
      <c r="AF172">
        <f>vlookup("852-235000-100",生产发行表!B:AZ,column(ae1),0)</f>
        <v>0</v>
      </c>
      <c r="AG172">
        <f>vlookup("852-235000-100",生产发行表!B:AZ,column(af1),0)</f>
        <v>0</v>
      </c>
      <c r="AH172">
        <f>vlookup("852-235000-100",生产发行表!B:AZ,column(ag1),0)</f>
        <v>0</v>
      </c>
      <c r="AI172">
        <f>vlookup("852-235000-100",生产发行表!B:AZ,column(ah1),0)</f>
        <v>0</v>
      </c>
      <c r="AJ172">
        <f>vlookup("852-235000-100",生产发行表!B:AZ,column(ai1),0)</f>
        <v>0</v>
      </c>
      <c r="AK172">
        <f>vlookup("852-235000-100",生产发行表!B:AZ,column(aj1),0)</f>
        <v>0</v>
      </c>
      <c r="AL172">
        <f>vlookup("852-235000-100",生产发行表!B:AZ,column(ak1),0)</f>
        <v>0</v>
      </c>
      <c r="AM172">
        <f>vlookup("852-235000-100",生产发行表!B:AZ,column(al1),0)</f>
        <v>0</v>
      </c>
      <c r="AN172">
        <f>vlookup("852-235000-100",生产发行表!B:AZ,column(am1),0)</f>
        <v>0</v>
      </c>
      <c r="AO172">
        <f>vlookup("852-235000-100",生产发行表!B:AZ,column(an1),0)</f>
        <v>0</v>
      </c>
      <c r="AP172">
        <f>vlookup("852-235000-100",生产发行表!B:AZ,column(ao1),0)</f>
        <v>0</v>
      </c>
      <c r="AQ172">
        <f>vlookup("852-235000-100",生产发行表!B:AZ,column(ap1),0)</f>
        <v>0</v>
      </c>
      <c r="AR172">
        <f>vlookup("852-235000-100",生产发行表!B:AZ,column(aq1),0)</f>
        <v>0</v>
      </c>
    </row>
    <row r="173" spans="1:44">
      <c r="A173" t="s">
        <v>14</v>
      </c>
      <c r="B173" t="s">
        <v>198</v>
      </c>
      <c r="C173" t="s">
        <v>199</v>
      </c>
      <c r="D173" t="s">
        <v>17</v>
      </c>
      <c r="E173">
        <v>1</v>
      </c>
      <c r="F173" t="s">
        <v>200</v>
      </c>
      <c r="K173" t="s">
        <v>305</v>
      </c>
      <c r="L173" t="s">
        <v>21</v>
      </c>
      <c r="M173">
        <f>vlookup("852-252000-100",生产发行表!B:AZ,column(l1),0)</f>
        <v>0</v>
      </c>
      <c r="N173">
        <f>vlookup("852-252000-100",生产发行表!B:AZ,column(m1),0)</f>
        <v>0</v>
      </c>
      <c r="O173">
        <f>vlookup("852-252000-100",生产发行表!B:AZ,column(n1),0)</f>
        <v>0</v>
      </c>
      <c r="P173">
        <f>vlookup("852-252000-100",生产发行表!B:AZ,column(o1),0)</f>
        <v>0</v>
      </c>
      <c r="Q173">
        <f>vlookup("852-252000-100",生产发行表!B:AZ,column(p1),0)</f>
        <v>0</v>
      </c>
      <c r="R173">
        <f>vlookup("852-252000-100",生产发行表!B:AZ,column(q1),0)</f>
        <v>0</v>
      </c>
      <c r="S173">
        <f>vlookup("852-252000-100",生产发行表!B:AZ,column(r1),0)</f>
        <v>0</v>
      </c>
      <c r="T173">
        <f>vlookup("852-252000-100",生产发行表!B:AZ,column(s1),0)</f>
        <v>0</v>
      </c>
      <c r="U173">
        <f>vlookup("852-252000-100",生产发行表!B:AZ,column(t1),0)</f>
        <v>0</v>
      </c>
      <c r="V173">
        <f>vlookup("852-252000-100",生产发行表!B:AZ,column(u1),0)</f>
        <v>0</v>
      </c>
      <c r="W173">
        <f>vlookup("852-252000-100",生产发行表!B:AZ,column(v1),0)</f>
        <v>0</v>
      </c>
      <c r="X173">
        <f>vlookup("852-252000-100",生产发行表!B:AZ,column(w1),0)</f>
        <v>0</v>
      </c>
      <c r="Y173">
        <f>vlookup("852-252000-100",生产发行表!B:AZ,column(x1),0)</f>
        <v>0</v>
      </c>
      <c r="Z173">
        <f>vlookup("852-252000-100",生产发行表!B:AZ,column(y1),0)</f>
        <v>0</v>
      </c>
      <c r="AA173">
        <f>vlookup("852-252000-100",生产发行表!B:AZ,column(z1),0)</f>
        <v>0</v>
      </c>
      <c r="AB173">
        <f>vlookup("852-252000-100",生产发行表!B:AZ,column(aa1),0)</f>
        <v>0</v>
      </c>
      <c r="AC173">
        <f>vlookup("852-252000-100",生产发行表!B:AZ,column(ab1),0)</f>
        <v>0</v>
      </c>
      <c r="AD173">
        <f>vlookup("852-252000-100",生产发行表!B:AZ,column(ac1),0)</f>
        <v>0</v>
      </c>
      <c r="AE173">
        <f>vlookup("852-252000-100",生产发行表!B:AZ,column(ad1),0)</f>
        <v>0</v>
      </c>
      <c r="AF173">
        <f>vlookup("852-252000-100",生产发行表!B:AZ,column(ae1),0)</f>
        <v>0</v>
      </c>
      <c r="AG173">
        <f>vlookup("852-252000-100",生产发行表!B:AZ,column(af1),0)</f>
        <v>0</v>
      </c>
      <c r="AH173">
        <f>vlookup("852-252000-100",生产发行表!B:AZ,column(ag1),0)</f>
        <v>0</v>
      </c>
      <c r="AI173">
        <f>vlookup("852-252000-100",生产发行表!B:AZ,column(ah1),0)</f>
        <v>0</v>
      </c>
      <c r="AJ173">
        <f>vlookup("852-252000-100",生产发行表!B:AZ,column(ai1),0)</f>
        <v>0</v>
      </c>
      <c r="AK173">
        <f>vlookup("852-252000-100",生产发行表!B:AZ,column(aj1),0)</f>
        <v>0</v>
      </c>
      <c r="AL173">
        <f>vlookup("852-252000-100",生产发行表!B:AZ,column(ak1),0)</f>
        <v>0</v>
      </c>
      <c r="AM173">
        <f>vlookup("852-252000-100",生产发行表!B:AZ,column(al1),0)</f>
        <v>0</v>
      </c>
      <c r="AN173">
        <f>vlookup("852-252000-100",生产发行表!B:AZ,column(am1),0)</f>
        <v>0</v>
      </c>
      <c r="AO173">
        <f>vlookup("852-252000-100",生产发行表!B:AZ,column(an1),0)</f>
        <v>0</v>
      </c>
      <c r="AP173">
        <f>vlookup("852-252000-100",生产发行表!B:AZ,column(ao1),0)</f>
        <v>0</v>
      </c>
      <c r="AQ173">
        <f>vlookup("852-252000-100",生产发行表!B:AZ,column(ap1),0)</f>
        <v>0</v>
      </c>
      <c r="AR173">
        <f>vlookup("852-252000-100",生产发行表!B:AZ,column(aq1),0)</f>
        <v>0</v>
      </c>
    </row>
    <row r="174" spans="1:44">
      <c r="A174" t="s">
        <v>14</v>
      </c>
      <c r="B174" t="s">
        <v>209</v>
      </c>
      <c r="C174" t="s">
        <v>210</v>
      </c>
      <c r="D174" t="s">
        <v>256</v>
      </c>
      <c r="E174">
        <v>1</v>
      </c>
      <c r="F174" t="s">
        <v>211</v>
      </c>
      <c r="K174" t="s">
        <v>305</v>
      </c>
      <c r="L174" t="s">
        <v>21</v>
      </c>
      <c r="M174">
        <f>vlookup("852-237000-100",生产发行表!B:AZ,column(l1),0)</f>
        <v>0</v>
      </c>
      <c r="N174">
        <f>vlookup("852-237000-100",生产发行表!B:AZ,column(m1),0)</f>
        <v>0</v>
      </c>
      <c r="O174">
        <f>vlookup("852-237000-100",生产发行表!B:AZ,column(n1),0)</f>
        <v>0</v>
      </c>
      <c r="P174">
        <f>vlookup("852-237000-100",生产发行表!B:AZ,column(o1),0)</f>
        <v>0</v>
      </c>
      <c r="Q174">
        <f>vlookup("852-237000-100",生产发行表!B:AZ,column(p1),0)</f>
        <v>0</v>
      </c>
      <c r="R174">
        <f>vlookup("852-237000-100",生产发行表!B:AZ,column(q1),0)</f>
        <v>0</v>
      </c>
      <c r="S174">
        <f>vlookup("852-237000-100",生产发行表!B:AZ,column(r1),0)</f>
        <v>0</v>
      </c>
      <c r="T174">
        <f>vlookup("852-237000-100",生产发行表!B:AZ,column(s1),0)</f>
        <v>0</v>
      </c>
      <c r="U174">
        <f>vlookup("852-237000-100",生产发行表!B:AZ,column(t1),0)</f>
        <v>0</v>
      </c>
      <c r="V174">
        <f>vlookup("852-237000-100",生产发行表!B:AZ,column(u1),0)</f>
        <v>0</v>
      </c>
      <c r="W174">
        <f>vlookup("852-237000-100",生产发行表!B:AZ,column(v1),0)</f>
        <v>0</v>
      </c>
      <c r="X174">
        <f>vlookup("852-237000-100",生产发行表!B:AZ,column(w1),0)</f>
        <v>0</v>
      </c>
      <c r="Y174">
        <f>vlookup("852-237000-100",生产发行表!B:AZ,column(x1),0)</f>
        <v>0</v>
      </c>
      <c r="Z174">
        <f>vlookup("852-237000-100",生产发行表!B:AZ,column(y1),0)</f>
        <v>0</v>
      </c>
      <c r="AA174">
        <f>vlookup("852-237000-100",生产发行表!B:AZ,column(z1),0)</f>
        <v>0</v>
      </c>
      <c r="AB174">
        <f>vlookup("852-237000-100",生产发行表!B:AZ,column(aa1),0)</f>
        <v>0</v>
      </c>
      <c r="AC174">
        <f>vlookup("852-237000-100",生产发行表!B:AZ,column(ab1),0)</f>
        <v>0</v>
      </c>
      <c r="AD174">
        <f>vlookup("852-237000-100",生产发行表!B:AZ,column(ac1),0)</f>
        <v>0</v>
      </c>
      <c r="AE174">
        <f>vlookup("852-237000-100",生产发行表!B:AZ,column(ad1),0)</f>
        <v>0</v>
      </c>
      <c r="AF174">
        <f>vlookup("852-237000-100",生产发行表!B:AZ,column(ae1),0)</f>
        <v>0</v>
      </c>
      <c r="AG174">
        <f>vlookup("852-237000-100",生产发行表!B:AZ,column(af1),0)</f>
        <v>0</v>
      </c>
      <c r="AH174">
        <f>vlookup("852-237000-100",生产发行表!B:AZ,column(ag1),0)</f>
        <v>0</v>
      </c>
      <c r="AI174">
        <f>vlookup("852-237000-100",生产发行表!B:AZ,column(ah1),0)</f>
        <v>0</v>
      </c>
      <c r="AJ174">
        <f>vlookup("852-237000-100",生产发行表!B:AZ,column(ai1),0)</f>
        <v>0</v>
      </c>
      <c r="AK174">
        <f>vlookup("852-237000-100",生产发行表!B:AZ,column(aj1),0)</f>
        <v>0</v>
      </c>
      <c r="AL174">
        <f>vlookup("852-237000-100",生产发行表!B:AZ,column(ak1),0)</f>
        <v>0</v>
      </c>
      <c r="AM174">
        <f>vlookup("852-237000-100",生产发行表!B:AZ,column(al1),0)</f>
        <v>0</v>
      </c>
      <c r="AN174">
        <f>vlookup("852-237000-100",生产发行表!B:AZ,column(am1),0)</f>
        <v>0</v>
      </c>
      <c r="AO174">
        <f>vlookup("852-237000-100",生产发行表!B:AZ,column(an1),0)</f>
        <v>0</v>
      </c>
      <c r="AP174">
        <f>vlookup("852-237000-100",生产发行表!B:AZ,column(ao1),0)</f>
        <v>0</v>
      </c>
      <c r="AQ174">
        <f>vlookup("852-237000-100",生产发行表!B:AZ,column(ap1),0)</f>
        <v>0</v>
      </c>
      <c r="AR174">
        <f>vlookup("852-237000-100",生产发行表!B:AZ,column(aq1),0)</f>
        <v>0</v>
      </c>
    </row>
    <row r="175" spans="1:44">
      <c r="A175" t="s">
        <v>31</v>
      </c>
      <c r="B175" t="s">
        <v>396</v>
      </c>
      <c r="C175" t="s">
        <v>397</v>
      </c>
      <c r="D175" t="s">
        <v>256</v>
      </c>
      <c r="E175">
        <v>1</v>
      </c>
      <c r="F175" t="s">
        <v>398</v>
      </c>
      <c r="K175" t="s">
        <v>308</v>
      </c>
      <c r="L175" t="s">
        <v>37</v>
      </c>
      <c r="M175">
        <f>sumifs(m:m,A:A,"总成",B:B,"852-237000-100")*INDIRECT(ADDRESS(175,5))</f>
        <v>0</v>
      </c>
      <c r="N175">
        <f>sumifs(n:n,A:A,"总成",B:B,"852-237000-100")*INDIRECT(ADDRESS(175,5))</f>
        <v>0</v>
      </c>
      <c r="O175">
        <f>sumifs(o:o,A:A,"总成",B:B,"852-237000-100")*INDIRECT(ADDRESS(175,5))</f>
        <v>0</v>
      </c>
      <c r="P175">
        <f>sumifs(p:p,A:A,"总成",B:B,"852-237000-100")*INDIRECT(ADDRESS(175,5))</f>
        <v>0</v>
      </c>
      <c r="Q175">
        <f>sumifs(q:q,A:A,"总成",B:B,"852-237000-100")*INDIRECT(ADDRESS(175,5))</f>
        <v>0</v>
      </c>
      <c r="R175">
        <f>sumifs(r:r,A:A,"总成",B:B,"852-237000-100")*INDIRECT(ADDRESS(175,5))</f>
        <v>0</v>
      </c>
      <c r="S175">
        <f>sumifs(s:s,A:A,"总成",B:B,"852-237000-100")*INDIRECT(ADDRESS(175,5))</f>
        <v>0</v>
      </c>
      <c r="T175">
        <f>sumifs(t:t,A:A,"总成",B:B,"852-237000-100")*INDIRECT(ADDRESS(175,5))</f>
        <v>0</v>
      </c>
      <c r="U175">
        <f>sumifs(u:u,A:A,"总成",B:B,"852-237000-100")*INDIRECT(ADDRESS(175,5))</f>
        <v>0</v>
      </c>
      <c r="V175">
        <f>sumifs(v:v,A:A,"总成",B:B,"852-237000-100")*INDIRECT(ADDRESS(175,5))</f>
        <v>0</v>
      </c>
      <c r="W175">
        <f>sumifs(w:w,A:A,"总成",B:B,"852-237000-100")*INDIRECT(ADDRESS(175,5))</f>
        <v>0</v>
      </c>
      <c r="X175">
        <f>sumifs(x:x,A:A,"总成",B:B,"852-237000-100")*INDIRECT(ADDRESS(175,5))</f>
        <v>0</v>
      </c>
      <c r="Y175">
        <f>sumifs(y:y,A:A,"总成",B:B,"852-237000-100")*INDIRECT(ADDRESS(175,5))</f>
        <v>0</v>
      </c>
      <c r="Z175">
        <f>sumifs(z:z,A:A,"总成",B:B,"852-237000-100")*INDIRECT(ADDRESS(175,5))</f>
        <v>0</v>
      </c>
      <c r="AA175">
        <f>sumifs(aa:aa,A:A,"总成",B:B,"852-237000-100")*INDIRECT(ADDRESS(175,5))</f>
        <v>0</v>
      </c>
      <c r="AB175">
        <f>sumifs(ab:ab,A:A,"总成",B:B,"852-237000-100")*INDIRECT(ADDRESS(175,5))</f>
        <v>0</v>
      </c>
      <c r="AC175">
        <f>sumifs(ac:ac,A:A,"总成",B:B,"852-237000-100")*INDIRECT(ADDRESS(175,5))</f>
        <v>0</v>
      </c>
      <c r="AD175">
        <f>sumifs(ad:ad,A:A,"总成",B:B,"852-237000-100")*INDIRECT(ADDRESS(175,5))</f>
        <v>0</v>
      </c>
      <c r="AE175">
        <f>sumifs(ae:ae,A:A,"总成",B:B,"852-237000-100")*INDIRECT(ADDRESS(175,5))</f>
        <v>0</v>
      </c>
      <c r="AF175">
        <f>sumifs(af:af,A:A,"总成",B:B,"852-237000-100")*INDIRECT(ADDRESS(175,5))</f>
        <v>0</v>
      </c>
      <c r="AG175">
        <f>sumifs(ag:ag,A:A,"总成",B:B,"852-237000-100")*INDIRECT(ADDRESS(175,5))</f>
        <v>0</v>
      </c>
      <c r="AH175">
        <f>sumifs(ah:ah,A:A,"总成",B:B,"852-237000-100")*INDIRECT(ADDRESS(175,5))</f>
        <v>0</v>
      </c>
      <c r="AI175">
        <f>sumifs(ai:ai,A:A,"总成",B:B,"852-237000-100")*INDIRECT(ADDRESS(175,5))</f>
        <v>0</v>
      </c>
      <c r="AJ175">
        <f>sumifs(aj:aj,A:A,"总成",B:B,"852-237000-100")*INDIRECT(ADDRESS(175,5))</f>
        <v>0</v>
      </c>
      <c r="AK175">
        <f>sumifs(ak:ak,A:A,"总成",B:B,"852-237000-100")*INDIRECT(ADDRESS(175,5))</f>
        <v>0</v>
      </c>
      <c r="AL175">
        <f>sumifs(al:al,A:A,"总成",B:B,"852-237000-100")*INDIRECT(ADDRESS(175,5))</f>
        <v>0</v>
      </c>
      <c r="AM175">
        <f>sumifs(am:am,A:A,"总成",B:B,"852-237000-100")*INDIRECT(ADDRESS(175,5))</f>
        <v>0</v>
      </c>
      <c r="AN175">
        <f>sumifs(an:an,A:A,"总成",B:B,"852-237000-100")*INDIRECT(ADDRESS(175,5))</f>
        <v>0</v>
      </c>
      <c r="AO175">
        <f>sumifs(ao:ao,A:A,"总成",B:B,"852-237000-100")*INDIRECT(ADDRESS(175,5))</f>
        <v>0</v>
      </c>
      <c r="AP175">
        <f>sumifs(ap:ap,A:A,"总成",B:B,"852-237000-100")*INDIRECT(ADDRESS(175,5))</f>
        <v>0</v>
      </c>
      <c r="AQ175">
        <f>sumifs(aq:aq,A:A,"总成",B:B,"852-237000-100")*INDIRECT(ADDRESS(175,5))</f>
        <v>0</v>
      </c>
      <c r="AR175">
        <f>sumifs(ar:ar,A:A,"总成",B:B,"852-237000-100")*INDIRECT(ADDRESS(175,5))</f>
        <v>0</v>
      </c>
    </row>
    <row r="176" spans="1:44">
      <c r="A176" t="s">
        <v>31</v>
      </c>
      <c r="B176" t="s">
        <v>399</v>
      </c>
      <c r="C176" t="s">
        <v>400</v>
      </c>
      <c r="D176" t="s">
        <v>17</v>
      </c>
      <c r="E176">
        <v>1</v>
      </c>
      <c r="F176" t="s">
        <v>401</v>
      </c>
      <c r="K176" t="s">
        <v>308</v>
      </c>
      <c r="L176" t="s">
        <v>37</v>
      </c>
      <c r="M176">
        <f>sumifs(m:m,A:A,"总成",B:B,"852-237000-100")*INDIRECT(ADDRESS(176,5))</f>
        <v>0</v>
      </c>
      <c r="N176">
        <f>sumifs(n:n,A:A,"总成",B:B,"852-237000-100")*INDIRECT(ADDRESS(176,5))</f>
        <v>0</v>
      </c>
      <c r="O176">
        <f>sumifs(o:o,A:A,"总成",B:B,"852-237000-100")*INDIRECT(ADDRESS(176,5))</f>
        <v>0</v>
      </c>
      <c r="P176">
        <f>sumifs(p:p,A:A,"总成",B:B,"852-237000-100")*INDIRECT(ADDRESS(176,5))</f>
        <v>0</v>
      </c>
      <c r="Q176">
        <f>sumifs(q:q,A:A,"总成",B:B,"852-237000-100")*INDIRECT(ADDRESS(176,5))</f>
        <v>0</v>
      </c>
      <c r="R176">
        <f>sumifs(r:r,A:A,"总成",B:B,"852-237000-100")*INDIRECT(ADDRESS(176,5))</f>
        <v>0</v>
      </c>
      <c r="S176">
        <f>sumifs(s:s,A:A,"总成",B:B,"852-237000-100")*INDIRECT(ADDRESS(176,5))</f>
        <v>0</v>
      </c>
      <c r="T176">
        <f>sumifs(t:t,A:A,"总成",B:B,"852-237000-100")*INDIRECT(ADDRESS(176,5))</f>
        <v>0</v>
      </c>
      <c r="U176">
        <f>sumifs(u:u,A:A,"总成",B:B,"852-237000-100")*INDIRECT(ADDRESS(176,5))</f>
        <v>0</v>
      </c>
      <c r="V176">
        <f>sumifs(v:v,A:A,"总成",B:B,"852-237000-100")*INDIRECT(ADDRESS(176,5))</f>
        <v>0</v>
      </c>
      <c r="W176">
        <f>sumifs(w:w,A:A,"总成",B:B,"852-237000-100")*INDIRECT(ADDRESS(176,5))</f>
        <v>0</v>
      </c>
      <c r="X176">
        <f>sumifs(x:x,A:A,"总成",B:B,"852-237000-100")*INDIRECT(ADDRESS(176,5))</f>
        <v>0</v>
      </c>
      <c r="Y176">
        <f>sumifs(y:y,A:A,"总成",B:B,"852-237000-100")*INDIRECT(ADDRESS(176,5))</f>
        <v>0</v>
      </c>
      <c r="Z176">
        <f>sumifs(z:z,A:A,"总成",B:B,"852-237000-100")*INDIRECT(ADDRESS(176,5))</f>
        <v>0</v>
      </c>
      <c r="AA176">
        <f>sumifs(aa:aa,A:A,"总成",B:B,"852-237000-100")*INDIRECT(ADDRESS(176,5))</f>
        <v>0</v>
      </c>
      <c r="AB176">
        <f>sumifs(ab:ab,A:A,"总成",B:B,"852-237000-100")*INDIRECT(ADDRESS(176,5))</f>
        <v>0</v>
      </c>
      <c r="AC176">
        <f>sumifs(ac:ac,A:A,"总成",B:B,"852-237000-100")*INDIRECT(ADDRESS(176,5))</f>
        <v>0</v>
      </c>
      <c r="AD176">
        <f>sumifs(ad:ad,A:A,"总成",B:B,"852-237000-100")*INDIRECT(ADDRESS(176,5))</f>
        <v>0</v>
      </c>
      <c r="AE176">
        <f>sumifs(ae:ae,A:A,"总成",B:B,"852-237000-100")*INDIRECT(ADDRESS(176,5))</f>
        <v>0</v>
      </c>
      <c r="AF176">
        <f>sumifs(af:af,A:A,"总成",B:B,"852-237000-100")*INDIRECT(ADDRESS(176,5))</f>
        <v>0</v>
      </c>
      <c r="AG176">
        <f>sumifs(ag:ag,A:A,"总成",B:B,"852-237000-100")*INDIRECT(ADDRESS(176,5))</f>
        <v>0</v>
      </c>
      <c r="AH176">
        <f>sumifs(ah:ah,A:A,"总成",B:B,"852-237000-100")*INDIRECT(ADDRESS(176,5))</f>
        <v>0</v>
      </c>
      <c r="AI176">
        <f>sumifs(ai:ai,A:A,"总成",B:B,"852-237000-100")*INDIRECT(ADDRESS(176,5))</f>
        <v>0</v>
      </c>
      <c r="AJ176">
        <f>sumifs(aj:aj,A:A,"总成",B:B,"852-237000-100")*INDIRECT(ADDRESS(176,5))</f>
        <v>0</v>
      </c>
      <c r="AK176">
        <f>sumifs(ak:ak,A:A,"总成",B:B,"852-237000-100")*INDIRECT(ADDRESS(176,5))</f>
        <v>0</v>
      </c>
      <c r="AL176">
        <f>sumifs(al:al,A:A,"总成",B:B,"852-237000-100")*INDIRECT(ADDRESS(176,5))</f>
        <v>0</v>
      </c>
      <c r="AM176">
        <f>sumifs(am:am,A:A,"总成",B:B,"852-237000-100")*INDIRECT(ADDRESS(176,5))</f>
        <v>0</v>
      </c>
      <c r="AN176">
        <f>sumifs(an:an,A:A,"总成",B:B,"852-237000-100")*INDIRECT(ADDRESS(176,5))</f>
        <v>0</v>
      </c>
      <c r="AO176">
        <f>sumifs(ao:ao,A:A,"总成",B:B,"852-237000-100")*INDIRECT(ADDRESS(176,5))</f>
        <v>0</v>
      </c>
      <c r="AP176">
        <f>sumifs(ap:ap,A:A,"总成",B:B,"852-237000-100")*INDIRECT(ADDRESS(176,5))</f>
        <v>0</v>
      </c>
      <c r="AQ176">
        <f>sumifs(aq:aq,A:A,"总成",B:B,"852-237000-100")*INDIRECT(ADDRESS(176,5))</f>
        <v>0</v>
      </c>
      <c r="AR176">
        <f>sumifs(ar:ar,A:A,"总成",B:B,"852-237000-100")*INDIRECT(ADDRESS(176,5))</f>
        <v>0</v>
      </c>
    </row>
    <row r="177" spans="1:44">
      <c r="A177" t="s">
        <v>14</v>
      </c>
      <c r="B177" t="s">
        <v>216</v>
      </c>
      <c r="C177" t="s">
        <v>217</v>
      </c>
      <c r="D177" t="s">
        <v>256</v>
      </c>
      <c r="E177">
        <v>1</v>
      </c>
      <c r="F177" t="s">
        <v>218</v>
      </c>
      <c r="K177" t="s">
        <v>305</v>
      </c>
      <c r="L177" t="s">
        <v>21</v>
      </c>
      <c r="M177">
        <f>vlookup("852-237000-200",生产发行表!B:AZ,column(l1),0)</f>
        <v>0</v>
      </c>
      <c r="N177">
        <f>vlookup("852-237000-200",生产发行表!B:AZ,column(m1),0)</f>
        <v>0</v>
      </c>
      <c r="O177">
        <f>vlookup("852-237000-200",生产发行表!B:AZ,column(n1),0)</f>
        <v>0</v>
      </c>
      <c r="P177">
        <f>vlookup("852-237000-200",生产发行表!B:AZ,column(o1),0)</f>
        <v>0</v>
      </c>
      <c r="Q177">
        <f>vlookup("852-237000-200",生产发行表!B:AZ,column(p1),0)</f>
        <v>0</v>
      </c>
      <c r="R177">
        <f>vlookup("852-237000-200",生产发行表!B:AZ,column(q1),0)</f>
        <v>0</v>
      </c>
      <c r="S177">
        <f>vlookup("852-237000-200",生产发行表!B:AZ,column(r1),0)</f>
        <v>0</v>
      </c>
      <c r="T177">
        <f>vlookup("852-237000-200",生产发行表!B:AZ,column(s1),0)</f>
        <v>0</v>
      </c>
      <c r="U177">
        <f>vlookup("852-237000-200",生产发行表!B:AZ,column(t1),0)</f>
        <v>0</v>
      </c>
      <c r="V177">
        <f>vlookup("852-237000-200",生产发行表!B:AZ,column(u1),0)</f>
        <v>0</v>
      </c>
      <c r="W177">
        <f>vlookup("852-237000-200",生产发行表!B:AZ,column(v1),0)</f>
        <v>0</v>
      </c>
      <c r="X177">
        <f>vlookup("852-237000-200",生产发行表!B:AZ,column(w1),0)</f>
        <v>0</v>
      </c>
      <c r="Y177">
        <f>vlookup("852-237000-200",生产发行表!B:AZ,column(x1),0)</f>
        <v>0</v>
      </c>
      <c r="Z177">
        <f>vlookup("852-237000-200",生产发行表!B:AZ,column(y1),0)</f>
        <v>0</v>
      </c>
      <c r="AA177">
        <f>vlookup("852-237000-200",生产发行表!B:AZ,column(z1),0)</f>
        <v>0</v>
      </c>
      <c r="AB177">
        <f>vlookup("852-237000-200",生产发行表!B:AZ,column(aa1),0)</f>
        <v>0</v>
      </c>
      <c r="AC177">
        <f>vlookup("852-237000-200",生产发行表!B:AZ,column(ab1),0)</f>
        <v>0</v>
      </c>
      <c r="AD177">
        <f>vlookup("852-237000-200",生产发行表!B:AZ,column(ac1),0)</f>
        <v>0</v>
      </c>
      <c r="AE177">
        <f>vlookup("852-237000-200",生产发行表!B:AZ,column(ad1),0)</f>
        <v>0</v>
      </c>
      <c r="AF177">
        <f>vlookup("852-237000-200",生产发行表!B:AZ,column(ae1),0)</f>
        <v>0</v>
      </c>
      <c r="AG177">
        <f>vlookup("852-237000-200",生产发行表!B:AZ,column(af1),0)</f>
        <v>0</v>
      </c>
      <c r="AH177">
        <f>vlookup("852-237000-200",生产发行表!B:AZ,column(ag1),0)</f>
        <v>0</v>
      </c>
      <c r="AI177">
        <f>vlookup("852-237000-200",生产发行表!B:AZ,column(ah1),0)</f>
        <v>0</v>
      </c>
      <c r="AJ177">
        <f>vlookup("852-237000-200",生产发行表!B:AZ,column(ai1),0)</f>
        <v>0</v>
      </c>
      <c r="AK177">
        <f>vlookup("852-237000-200",生产发行表!B:AZ,column(aj1),0)</f>
        <v>0</v>
      </c>
      <c r="AL177">
        <f>vlookup("852-237000-200",生产发行表!B:AZ,column(ak1),0)</f>
        <v>0</v>
      </c>
      <c r="AM177">
        <f>vlookup("852-237000-200",生产发行表!B:AZ,column(al1),0)</f>
        <v>0</v>
      </c>
      <c r="AN177">
        <f>vlookup("852-237000-200",生产发行表!B:AZ,column(am1),0)</f>
        <v>0</v>
      </c>
      <c r="AO177">
        <f>vlookup("852-237000-200",生产发行表!B:AZ,column(an1),0)</f>
        <v>0</v>
      </c>
      <c r="AP177">
        <f>vlookup("852-237000-200",生产发行表!B:AZ,column(ao1),0)</f>
        <v>0</v>
      </c>
      <c r="AQ177">
        <f>vlookup("852-237000-200",生产发行表!B:AZ,column(ap1),0)</f>
        <v>0</v>
      </c>
      <c r="AR177">
        <f>vlookup("852-237000-200",生产发行表!B:AZ,column(aq1),0)</f>
        <v>0</v>
      </c>
    </row>
    <row r="178" spans="1:44">
      <c r="A178" t="s">
        <v>31</v>
      </c>
      <c r="B178" t="s">
        <v>396</v>
      </c>
      <c r="C178" t="s">
        <v>397</v>
      </c>
      <c r="D178" t="s">
        <v>256</v>
      </c>
      <c r="E178">
        <v>1</v>
      </c>
      <c r="F178" t="s">
        <v>398</v>
      </c>
      <c r="K178" t="s">
        <v>308</v>
      </c>
      <c r="L178" t="s">
        <v>37</v>
      </c>
      <c r="M178">
        <f>sumifs(m:m,A:A,"总成",B:B,"852-237000-200")*INDIRECT(ADDRESS(178,5))</f>
        <v>0</v>
      </c>
      <c r="N178">
        <f>sumifs(n:n,A:A,"总成",B:B,"852-237000-200")*INDIRECT(ADDRESS(178,5))</f>
        <v>0</v>
      </c>
      <c r="O178">
        <f>sumifs(o:o,A:A,"总成",B:B,"852-237000-200")*INDIRECT(ADDRESS(178,5))</f>
        <v>0</v>
      </c>
      <c r="P178">
        <f>sumifs(p:p,A:A,"总成",B:B,"852-237000-200")*INDIRECT(ADDRESS(178,5))</f>
        <v>0</v>
      </c>
      <c r="Q178">
        <f>sumifs(q:q,A:A,"总成",B:B,"852-237000-200")*INDIRECT(ADDRESS(178,5))</f>
        <v>0</v>
      </c>
      <c r="R178">
        <f>sumifs(r:r,A:A,"总成",B:B,"852-237000-200")*INDIRECT(ADDRESS(178,5))</f>
        <v>0</v>
      </c>
      <c r="S178">
        <f>sumifs(s:s,A:A,"总成",B:B,"852-237000-200")*INDIRECT(ADDRESS(178,5))</f>
        <v>0</v>
      </c>
      <c r="T178">
        <f>sumifs(t:t,A:A,"总成",B:B,"852-237000-200")*INDIRECT(ADDRESS(178,5))</f>
        <v>0</v>
      </c>
      <c r="U178">
        <f>sumifs(u:u,A:A,"总成",B:B,"852-237000-200")*INDIRECT(ADDRESS(178,5))</f>
        <v>0</v>
      </c>
      <c r="V178">
        <f>sumifs(v:v,A:A,"总成",B:B,"852-237000-200")*INDIRECT(ADDRESS(178,5))</f>
        <v>0</v>
      </c>
      <c r="W178">
        <f>sumifs(w:w,A:A,"总成",B:B,"852-237000-200")*INDIRECT(ADDRESS(178,5))</f>
        <v>0</v>
      </c>
      <c r="X178">
        <f>sumifs(x:x,A:A,"总成",B:B,"852-237000-200")*INDIRECT(ADDRESS(178,5))</f>
        <v>0</v>
      </c>
      <c r="Y178">
        <f>sumifs(y:y,A:A,"总成",B:B,"852-237000-200")*INDIRECT(ADDRESS(178,5))</f>
        <v>0</v>
      </c>
      <c r="Z178">
        <f>sumifs(z:z,A:A,"总成",B:B,"852-237000-200")*INDIRECT(ADDRESS(178,5))</f>
        <v>0</v>
      </c>
      <c r="AA178">
        <f>sumifs(aa:aa,A:A,"总成",B:B,"852-237000-200")*INDIRECT(ADDRESS(178,5))</f>
        <v>0</v>
      </c>
      <c r="AB178">
        <f>sumifs(ab:ab,A:A,"总成",B:B,"852-237000-200")*INDIRECT(ADDRESS(178,5))</f>
        <v>0</v>
      </c>
      <c r="AC178">
        <f>sumifs(ac:ac,A:A,"总成",B:B,"852-237000-200")*INDIRECT(ADDRESS(178,5))</f>
        <v>0</v>
      </c>
      <c r="AD178">
        <f>sumifs(ad:ad,A:A,"总成",B:B,"852-237000-200")*INDIRECT(ADDRESS(178,5))</f>
        <v>0</v>
      </c>
      <c r="AE178">
        <f>sumifs(ae:ae,A:A,"总成",B:B,"852-237000-200")*INDIRECT(ADDRESS(178,5))</f>
        <v>0</v>
      </c>
      <c r="AF178">
        <f>sumifs(af:af,A:A,"总成",B:B,"852-237000-200")*INDIRECT(ADDRESS(178,5))</f>
        <v>0</v>
      </c>
      <c r="AG178">
        <f>sumifs(ag:ag,A:A,"总成",B:B,"852-237000-200")*INDIRECT(ADDRESS(178,5))</f>
        <v>0</v>
      </c>
      <c r="AH178">
        <f>sumifs(ah:ah,A:A,"总成",B:B,"852-237000-200")*INDIRECT(ADDRESS(178,5))</f>
        <v>0</v>
      </c>
      <c r="AI178">
        <f>sumifs(ai:ai,A:A,"总成",B:B,"852-237000-200")*INDIRECT(ADDRESS(178,5))</f>
        <v>0</v>
      </c>
      <c r="AJ178">
        <f>sumifs(aj:aj,A:A,"总成",B:B,"852-237000-200")*INDIRECT(ADDRESS(178,5))</f>
        <v>0</v>
      </c>
      <c r="AK178">
        <f>sumifs(ak:ak,A:A,"总成",B:B,"852-237000-200")*INDIRECT(ADDRESS(178,5))</f>
        <v>0</v>
      </c>
      <c r="AL178">
        <f>sumifs(al:al,A:A,"总成",B:B,"852-237000-200")*INDIRECT(ADDRESS(178,5))</f>
        <v>0</v>
      </c>
      <c r="AM178">
        <f>sumifs(am:am,A:A,"总成",B:B,"852-237000-200")*INDIRECT(ADDRESS(178,5))</f>
        <v>0</v>
      </c>
      <c r="AN178">
        <f>sumifs(an:an,A:A,"总成",B:B,"852-237000-200")*INDIRECT(ADDRESS(178,5))</f>
        <v>0</v>
      </c>
      <c r="AO178">
        <f>sumifs(ao:ao,A:A,"总成",B:B,"852-237000-200")*INDIRECT(ADDRESS(178,5))</f>
        <v>0</v>
      </c>
      <c r="AP178">
        <f>sumifs(ap:ap,A:A,"总成",B:B,"852-237000-200")*INDIRECT(ADDRESS(178,5))</f>
        <v>0</v>
      </c>
      <c r="AQ178">
        <f>sumifs(aq:aq,A:A,"总成",B:B,"852-237000-200")*INDIRECT(ADDRESS(178,5))</f>
        <v>0</v>
      </c>
      <c r="AR178">
        <f>sumifs(ar:ar,A:A,"总成",B:B,"852-237000-200")*INDIRECT(ADDRESS(178,5))</f>
        <v>0</v>
      </c>
    </row>
    <row r="179" spans="1:44">
      <c r="A179" t="s">
        <v>31</v>
      </c>
      <c r="B179" t="s">
        <v>399</v>
      </c>
      <c r="C179" t="s">
        <v>400</v>
      </c>
      <c r="D179" t="s">
        <v>17</v>
      </c>
      <c r="E179">
        <v>1</v>
      </c>
      <c r="F179" t="s">
        <v>401</v>
      </c>
      <c r="K179" t="s">
        <v>308</v>
      </c>
      <c r="L179" t="s">
        <v>37</v>
      </c>
      <c r="M179">
        <f>sumifs(m:m,A:A,"总成",B:B,"852-237000-200")*INDIRECT(ADDRESS(179,5))</f>
        <v>0</v>
      </c>
      <c r="N179">
        <f>sumifs(n:n,A:A,"总成",B:B,"852-237000-200")*INDIRECT(ADDRESS(179,5))</f>
        <v>0</v>
      </c>
      <c r="O179">
        <f>sumifs(o:o,A:A,"总成",B:B,"852-237000-200")*INDIRECT(ADDRESS(179,5))</f>
        <v>0</v>
      </c>
      <c r="P179">
        <f>sumifs(p:p,A:A,"总成",B:B,"852-237000-200")*INDIRECT(ADDRESS(179,5))</f>
        <v>0</v>
      </c>
      <c r="Q179">
        <f>sumifs(q:q,A:A,"总成",B:B,"852-237000-200")*INDIRECT(ADDRESS(179,5))</f>
        <v>0</v>
      </c>
      <c r="R179">
        <f>sumifs(r:r,A:A,"总成",B:B,"852-237000-200")*INDIRECT(ADDRESS(179,5))</f>
        <v>0</v>
      </c>
      <c r="S179">
        <f>sumifs(s:s,A:A,"总成",B:B,"852-237000-200")*INDIRECT(ADDRESS(179,5))</f>
        <v>0</v>
      </c>
      <c r="T179">
        <f>sumifs(t:t,A:A,"总成",B:B,"852-237000-200")*INDIRECT(ADDRESS(179,5))</f>
        <v>0</v>
      </c>
      <c r="U179">
        <f>sumifs(u:u,A:A,"总成",B:B,"852-237000-200")*INDIRECT(ADDRESS(179,5))</f>
        <v>0</v>
      </c>
      <c r="V179">
        <f>sumifs(v:v,A:A,"总成",B:B,"852-237000-200")*INDIRECT(ADDRESS(179,5))</f>
        <v>0</v>
      </c>
      <c r="W179">
        <f>sumifs(w:w,A:A,"总成",B:B,"852-237000-200")*INDIRECT(ADDRESS(179,5))</f>
        <v>0</v>
      </c>
      <c r="X179">
        <f>sumifs(x:x,A:A,"总成",B:B,"852-237000-200")*INDIRECT(ADDRESS(179,5))</f>
        <v>0</v>
      </c>
      <c r="Y179">
        <f>sumifs(y:y,A:A,"总成",B:B,"852-237000-200")*INDIRECT(ADDRESS(179,5))</f>
        <v>0</v>
      </c>
      <c r="Z179">
        <f>sumifs(z:z,A:A,"总成",B:B,"852-237000-200")*INDIRECT(ADDRESS(179,5))</f>
        <v>0</v>
      </c>
      <c r="AA179">
        <f>sumifs(aa:aa,A:A,"总成",B:B,"852-237000-200")*INDIRECT(ADDRESS(179,5))</f>
        <v>0</v>
      </c>
      <c r="AB179">
        <f>sumifs(ab:ab,A:A,"总成",B:B,"852-237000-200")*INDIRECT(ADDRESS(179,5))</f>
        <v>0</v>
      </c>
      <c r="AC179">
        <f>sumifs(ac:ac,A:A,"总成",B:B,"852-237000-200")*INDIRECT(ADDRESS(179,5))</f>
        <v>0</v>
      </c>
      <c r="AD179">
        <f>sumifs(ad:ad,A:A,"总成",B:B,"852-237000-200")*INDIRECT(ADDRESS(179,5))</f>
        <v>0</v>
      </c>
      <c r="AE179">
        <f>sumifs(ae:ae,A:A,"总成",B:B,"852-237000-200")*INDIRECT(ADDRESS(179,5))</f>
        <v>0</v>
      </c>
      <c r="AF179">
        <f>sumifs(af:af,A:A,"总成",B:B,"852-237000-200")*INDIRECT(ADDRESS(179,5))</f>
        <v>0</v>
      </c>
      <c r="AG179">
        <f>sumifs(ag:ag,A:A,"总成",B:B,"852-237000-200")*INDIRECT(ADDRESS(179,5))</f>
        <v>0</v>
      </c>
      <c r="AH179">
        <f>sumifs(ah:ah,A:A,"总成",B:B,"852-237000-200")*INDIRECT(ADDRESS(179,5))</f>
        <v>0</v>
      </c>
      <c r="AI179">
        <f>sumifs(ai:ai,A:A,"总成",B:B,"852-237000-200")*INDIRECT(ADDRESS(179,5))</f>
        <v>0</v>
      </c>
      <c r="AJ179">
        <f>sumifs(aj:aj,A:A,"总成",B:B,"852-237000-200")*INDIRECT(ADDRESS(179,5))</f>
        <v>0</v>
      </c>
      <c r="AK179">
        <f>sumifs(ak:ak,A:A,"总成",B:B,"852-237000-200")*INDIRECT(ADDRESS(179,5))</f>
        <v>0</v>
      </c>
      <c r="AL179">
        <f>sumifs(al:al,A:A,"总成",B:B,"852-237000-200")*INDIRECT(ADDRESS(179,5))</f>
        <v>0</v>
      </c>
      <c r="AM179">
        <f>sumifs(am:am,A:A,"总成",B:B,"852-237000-200")*INDIRECT(ADDRESS(179,5))</f>
        <v>0</v>
      </c>
      <c r="AN179">
        <f>sumifs(an:an,A:A,"总成",B:B,"852-237000-200")*INDIRECT(ADDRESS(179,5))</f>
        <v>0</v>
      </c>
      <c r="AO179">
        <f>sumifs(ao:ao,A:A,"总成",B:B,"852-237000-200")*INDIRECT(ADDRESS(179,5))</f>
        <v>0</v>
      </c>
      <c r="AP179">
        <f>sumifs(ap:ap,A:A,"总成",B:B,"852-237000-200")*INDIRECT(ADDRESS(179,5))</f>
        <v>0</v>
      </c>
      <c r="AQ179">
        <f>sumifs(aq:aq,A:A,"总成",B:B,"852-237000-200")*INDIRECT(ADDRESS(179,5))</f>
        <v>0</v>
      </c>
      <c r="AR179">
        <f>sumifs(ar:ar,A:A,"总成",B:B,"852-237000-200")*INDIRECT(ADDRESS(179,5))</f>
        <v>0</v>
      </c>
    </row>
    <row r="180" spans="1:44">
      <c r="A180" t="s">
        <v>14</v>
      </c>
      <c r="B180" t="s">
        <v>225</v>
      </c>
      <c r="C180" t="s">
        <v>226</v>
      </c>
      <c r="D180" t="s">
        <v>256</v>
      </c>
      <c r="E180">
        <v>1</v>
      </c>
      <c r="F180" t="s">
        <v>227</v>
      </c>
      <c r="K180" t="s">
        <v>305</v>
      </c>
      <c r="L180" t="s">
        <v>21</v>
      </c>
      <c r="M180">
        <f>vlookup("852-237000-300",生产发行表!B:AZ,column(l1),0)</f>
        <v>0</v>
      </c>
      <c r="N180">
        <f>vlookup("852-237000-300",生产发行表!B:AZ,column(m1),0)</f>
        <v>0</v>
      </c>
      <c r="O180">
        <f>vlookup("852-237000-300",生产发行表!B:AZ,column(n1),0)</f>
        <v>0</v>
      </c>
      <c r="P180">
        <f>vlookup("852-237000-300",生产发行表!B:AZ,column(o1),0)</f>
        <v>0</v>
      </c>
      <c r="Q180">
        <f>vlookup("852-237000-300",生产发行表!B:AZ,column(p1),0)</f>
        <v>0</v>
      </c>
      <c r="R180">
        <f>vlookup("852-237000-300",生产发行表!B:AZ,column(q1),0)</f>
        <v>0</v>
      </c>
      <c r="S180">
        <f>vlookup("852-237000-300",生产发行表!B:AZ,column(r1),0)</f>
        <v>0</v>
      </c>
      <c r="T180">
        <f>vlookup("852-237000-300",生产发行表!B:AZ,column(s1),0)</f>
        <v>0</v>
      </c>
      <c r="U180">
        <f>vlookup("852-237000-300",生产发行表!B:AZ,column(t1),0)</f>
        <v>0</v>
      </c>
      <c r="V180">
        <f>vlookup("852-237000-300",生产发行表!B:AZ,column(u1),0)</f>
        <v>0</v>
      </c>
      <c r="W180">
        <f>vlookup("852-237000-300",生产发行表!B:AZ,column(v1),0)</f>
        <v>0</v>
      </c>
      <c r="X180">
        <f>vlookup("852-237000-300",生产发行表!B:AZ,column(w1),0)</f>
        <v>0</v>
      </c>
      <c r="Y180">
        <f>vlookup("852-237000-300",生产发行表!B:AZ,column(x1),0)</f>
        <v>0</v>
      </c>
      <c r="Z180">
        <f>vlookup("852-237000-300",生产发行表!B:AZ,column(y1),0)</f>
        <v>0</v>
      </c>
      <c r="AA180">
        <f>vlookup("852-237000-300",生产发行表!B:AZ,column(z1),0)</f>
        <v>0</v>
      </c>
      <c r="AB180">
        <f>vlookup("852-237000-300",生产发行表!B:AZ,column(aa1),0)</f>
        <v>0</v>
      </c>
      <c r="AC180">
        <f>vlookup("852-237000-300",生产发行表!B:AZ,column(ab1),0)</f>
        <v>0</v>
      </c>
      <c r="AD180">
        <f>vlookup("852-237000-300",生产发行表!B:AZ,column(ac1),0)</f>
        <v>0</v>
      </c>
      <c r="AE180">
        <f>vlookup("852-237000-300",生产发行表!B:AZ,column(ad1),0)</f>
        <v>0</v>
      </c>
      <c r="AF180">
        <f>vlookup("852-237000-300",生产发行表!B:AZ,column(ae1),0)</f>
        <v>0</v>
      </c>
      <c r="AG180">
        <f>vlookup("852-237000-300",生产发行表!B:AZ,column(af1),0)</f>
        <v>0</v>
      </c>
      <c r="AH180">
        <f>vlookup("852-237000-300",生产发行表!B:AZ,column(ag1),0)</f>
        <v>0</v>
      </c>
      <c r="AI180">
        <f>vlookup("852-237000-300",生产发行表!B:AZ,column(ah1),0)</f>
        <v>0</v>
      </c>
      <c r="AJ180">
        <f>vlookup("852-237000-300",生产发行表!B:AZ,column(ai1),0)</f>
        <v>0</v>
      </c>
      <c r="AK180">
        <f>vlookup("852-237000-300",生产发行表!B:AZ,column(aj1),0)</f>
        <v>0</v>
      </c>
      <c r="AL180">
        <f>vlookup("852-237000-300",生产发行表!B:AZ,column(ak1),0)</f>
        <v>0</v>
      </c>
      <c r="AM180">
        <f>vlookup("852-237000-300",生产发行表!B:AZ,column(al1),0)</f>
        <v>0</v>
      </c>
      <c r="AN180">
        <f>vlookup("852-237000-300",生产发行表!B:AZ,column(am1),0)</f>
        <v>0</v>
      </c>
      <c r="AO180">
        <f>vlookup("852-237000-300",生产发行表!B:AZ,column(an1),0)</f>
        <v>0</v>
      </c>
      <c r="AP180">
        <f>vlookup("852-237000-300",生产发行表!B:AZ,column(ao1),0)</f>
        <v>0</v>
      </c>
      <c r="AQ180">
        <f>vlookup("852-237000-300",生产发行表!B:AZ,column(ap1),0)</f>
        <v>0</v>
      </c>
      <c r="AR180">
        <f>vlookup("852-237000-300",生产发行表!B:AZ,column(aq1),0)</f>
        <v>0</v>
      </c>
    </row>
    <row r="181" spans="1:44">
      <c r="A181" t="s">
        <v>31</v>
      </c>
      <c r="B181" t="s">
        <v>396</v>
      </c>
      <c r="C181" t="s">
        <v>397</v>
      </c>
      <c r="D181" t="s">
        <v>256</v>
      </c>
      <c r="E181">
        <v>1</v>
      </c>
      <c r="F181" t="s">
        <v>398</v>
      </c>
      <c r="K181" t="s">
        <v>308</v>
      </c>
      <c r="L181" t="s">
        <v>37</v>
      </c>
      <c r="M181">
        <f>sumifs(m:m,A:A,"总成",B:B,"852-237000-300")*INDIRECT(ADDRESS(181,5))</f>
        <v>0</v>
      </c>
      <c r="N181">
        <f>sumifs(n:n,A:A,"总成",B:B,"852-237000-300")*INDIRECT(ADDRESS(181,5))</f>
        <v>0</v>
      </c>
      <c r="O181">
        <f>sumifs(o:o,A:A,"总成",B:B,"852-237000-300")*INDIRECT(ADDRESS(181,5))</f>
        <v>0</v>
      </c>
      <c r="P181">
        <f>sumifs(p:p,A:A,"总成",B:B,"852-237000-300")*INDIRECT(ADDRESS(181,5))</f>
        <v>0</v>
      </c>
      <c r="Q181">
        <f>sumifs(q:q,A:A,"总成",B:B,"852-237000-300")*INDIRECT(ADDRESS(181,5))</f>
        <v>0</v>
      </c>
      <c r="R181">
        <f>sumifs(r:r,A:A,"总成",B:B,"852-237000-300")*INDIRECT(ADDRESS(181,5))</f>
        <v>0</v>
      </c>
      <c r="S181">
        <f>sumifs(s:s,A:A,"总成",B:B,"852-237000-300")*INDIRECT(ADDRESS(181,5))</f>
        <v>0</v>
      </c>
      <c r="T181">
        <f>sumifs(t:t,A:A,"总成",B:B,"852-237000-300")*INDIRECT(ADDRESS(181,5))</f>
        <v>0</v>
      </c>
      <c r="U181">
        <f>sumifs(u:u,A:A,"总成",B:B,"852-237000-300")*INDIRECT(ADDRESS(181,5))</f>
        <v>0</v>
      </c>
      <c r="V181">
        <f>sumifs(v:v,A:A,"总成",B:B,"852-237000-300")*INDIRECT(ADDRESS(181,5))</f>
        <v>0</v>
      </c>
      <c r="W181">
        <f>sumifs(w:w,A:A,"总成",B:B,"852-237000-300")*INDIRECT(ADDRESS(181,5))</f>
        <v>0</v>
      </c>
      <c r="X181">
        <f>sumifs(x:x,A:A,"总成",B:B,"852-237000-300")*INDIRECT(ADDRESS(181,5))</f>
        <v>0</v>
      </c>
      <c r="Y181">
        <f>sumifs(y:y,A:A,"总成",B:B,"852-237000-300")*INDIRECT(ADDRESS(181,5))</f>
        <v>0</v>
      </c>
      <c r="Z181">
        <f>sumifs(z:z,A:A,"总成",B:B,"852-237000-300")*INDIRECT(ADDRESS(181,5))</f>
        <v>0</v>
      </c>
      <c r="AA181">
        <f>sumifs(aa:aa,A:A,"总成",B:B,"852-237000-300")*INDIRECT(ADDRESS(181,5))</f>
        <v>0</v>
      </c>
      <c r="AB181">
        <f>sumifs(ab:ab,A:A,"总成",B:B,"852-237000-300")*INDIRECT(ADDRESS(181,5))</f>
        <v>0</v>
      </c>
      <c r="AC181">
        <f>sumifs(ac:ac,A:A,"总成",B:B,"852-237000-300")*INDIRECT(ADDRESS(181,5))</f>
        <v>0</v>
      </c>
      <c r="AD181">
        <f>sumifs(ad:ad,A:A,"总成",B:B,"852-237000-300")*INDIRECT(ADDRESS(181,5))</f>
        <v>0</v>
      </c>
      <c r="AE181">
        <f>sumifs(ae:ae,A:A,"总成",B:B,"852-237000-300")*INDIRECT(ADDRESS(181,5))</f>
        <v>0</v>
      </c>
      <c r="AF181">
        <f>sumifs(af:af,A:A,"总成",B:B,"852-237000-300")*INDIRECT(ADDRESS(181,5))</f>
        <v>0</v>
      </c>
      <c r="AG181">
        <f>sumifs(ag:ag,A:A,"总成",B:B,"852-237000-300")*INDIRECT(ADDRESS(181,5))</f>
        <v>0</v>
      </c>
      <c r="AH181">
        <f>sumifs(ah:ah,A:A,"总成",B:B,"852-237000-300")*INDIRECT(ADDRESS(181,5))</f>
        <v>0</v>
      </c>
      <c r="AI181">
        <f>sumifs(ai:ai,A:A,"总成",B:B,"852-237000-300")*INDIRECT(ADDRESS(181,5))</f>
        <v>0</v>
      </c>
      <c r="AJ181">
        <f>sumifs(aj:aj,A:A,"总成",B:B,"852-237000-300")*INDIRECT(ADDRESS(181,5))</f>
        <v>0</v>
      </c>
      <c r="AK181">
        <f>sumifs(ak:ak,A:A,"总成",B:B,"852-237000-300")*INDIRECT(ADDRESS(181,5))</f>
        <v>0</v>
      </c>
      <c r="AL181">
        <f>sumifs(al:al,A:A,"总成",B:B,"852-237000-300")*INDIRECT(ADDRESS(181,5))</f>
        <v>0</v>
      </c>
      <c r="AM181">
        <f>sumifs(am:am,A:A,"总成",B:B,"852-237000-300")*INDIRECT(ADDRESS(181,5))</f>
        <v>0</v>
      </c>
      <c r="AN181">
        <f>sumifs(an:an,A:A,"总成",B:B,"852-237000-300")*INDIRECT(ADDRESS(181,5))</f>
        <v>0</v>
      </c>
      <c r="AO181">
        <f>sumifs(ao:ao,A:A,"总成",B:B,"852-237000-300")*INDIRECT(ADDRESS(181,5))</f>
        <v>0</v>
      </c>
      <c r="AP181">
        <f>sumifs(ap:ap,A:A,"总成",B:B,"852-237000-300")*INDIRECT(ADDRESS(181,5))</f>
        <v>0</v>
      </c>
      <c r="AQ181">
        <f>sumifs(aq:aq,A:A,"总成",B:B,"852-237000-300")*INDIRECT(ADDRESS(181,5))</f>
        <v>0</v>
      </c>
      <c r="AR181">
        <f>sumifs(ar:ar,A:A,"总成",B:B,"852-237000-300")*INDIRECT(ADDRESS(181,5))</f>
        <v>0</v>
      </c>
    </row>
    <row r="182" spans="1:44">
      <c r="A182" t="s">
        <v>31</v>
      </c>
      <c r="B182" t="s">
        <v>399</v>
      </c>
      <c r="C182" t="s">
        <v>400</v>
      </c>
      <c r="D182" t="s">
        <v>17</v>
      </c>
      <c r="E182">
        <v>1</v>
      </c>
      <c r="F182" t="s">
        <v>401</v>
      </c>
      <c r="K182" t="s">
        <v>308</v>
      </c>
      <c r="L182" t="s">
        <v>37</v>
      </c>
      <c r="M182">
        <f>sumifs(m:m,A:A,"总成",B:B,"852-237000-300")*INDIRECT(ADDRESS(182,5))</f>
        <v>0</v>
      </c>
      <c r="N182">
        <f>sumifs(n:n,A:A,"总成",B:B,"852-237000-300")*INDIRECT(ADDRESS(182,5))</f>
        <v>0</v>
      </c>
      <c r="O182">
        <f>sumifs(o:o,A:A,"总成",B:B,"852-237000-300")*INDIRECT(ADDRESS(182,5))</f>
        <v>0</v>
      </c>
      <c r="P182">
        <f>sumifs(p:p,A:A,"总成",B:B,"852-237000-300")*INDIRECT(ADDRESS(182,5))</f>
        <v>0</v>
      </c>
      <c r="Q182">
        <f>sumifs(q:q,A:A,"总成",B:B,"852-237000-300")*INDIRECT(ADDRESS(182,5))</f>
        <v>0</v>
      </c>
      <c r="R182">
        <f>sumifs(r:r,A:A,"总成",B:B,"852-237000-300")*INDIRECT(ADDRESS(182,5))</f>
        <v>0</v>
      </c>
      <c r="S182">
        <f>sumifs(s:s,A:A,"总成",B:B,"852-237000-300")*INDIRECT(ADDRESS(182,5))</f>
        <v>0</v>
      </c>
      <c r="T182">
        <f>sumifs(t:t,A:A,"总成",B:B,"852-237000-300")*INDIRECT(ADDRESS(182,5))</f>
        <v>0</v>
      </c>
      <c r="U182">
        <f>sumifs(u:u,A:A,"总成",B:B,"852-237000-300")*INDIRECT(ADDRESS(182,5))</f>
        <v>0</v>
      </c>
      <c r="V182">
        <f>sumifs(v:v,A:A,"总成",B:B,"852-237000-300")*INDIRECT(ADDRESS(182,5))</f>
        <v>0</v>
      </c>
      <c r="W182">
        <f>sumifs(w:w,A:A,"总成",B:B,"852-237000-300")*INDIRECT(ADDRESS(182,5))</f>
        <v>0</v>
      </c>
      <c r="X182">
        <f>sumifs(x:x,A:A,"总成",B:B,"852-237000-300")*INDIRECT(ADDRESS(182,5))</f>
        <v>0</v>
      </c>
      <c r="Y182">
        <f>sumifs(y:y,A:A,"总成",B:B,"852-237000-300")*INDIRECT(ADDRESS(182,5))</f>
        <v>0</v>
      </c>
      <c r="Z182">
        <f>sumifs(z:z,A:A,"总成",B:B,"852-237000-300")*INDIRECT(ADDRESS(182,5))</f>
        <v>0</v>
      </c>
      <c r="AA182">
        <f>sumifs(aa:aa,A:A,"总成",B:B,"852-237000-300")*INDIRECT(ADDRESS(182,5))</f>
        <v>0</v>
      </c>
      <c r="AB182">
        <f>sumifs(ab:ab,A:A,"总成",B:B,"852-237000-300")*INDIRECT(ADDRESS(182,5))</f>
        <v>0</v>
      </c>
      <c r="AC182">
        <f>sumifs(ac:ac,A:A,"总成",B:B,"852-237000-300")*INDIRECT(ADDRESS(182,5))</f>
        <v>0</v>
      </c>
      <c r="AD182">
        <f>sumifs(ad:ad,A:A,"总成",B:B,"852-237000-300")*INDIRECT(ADDRESS(182,5))</f>
        <v>0</v>
      </c>
      <c r="AE182">
        <f>sumifs(ae:ae,A:A,"总成",B:B,"852-237000-300")*INDIRECT(ADDRESS(182,5))</f>
        <v>0</v>
      </c>
      <c r="AF182">
        <f>sumifs(af:af,A:A,"总成",B:B,"852-237000-300")*INDIRECT(ADDRESS(182,5))</f>
        <v>0</v>
      </c>
      <c r="AG182">
        <f>sumifs(ag:ag,A:A,"总成",B:B,"852-237000-300")*INDIRECT(ADDRESS(182,5))</f>
        <v>0</v>
      </c>
      <c r="AH182">
        <f>sumifs(ah:ah,A:A,"总成",B:B,"852-237000-300")*INDIRECT(ADDRESS(182,5))</f>
        <v>0</v>
      </c>
      <c r="AI182">
        <f>sumifs(ai:ai,A:A,"总成",B:B,"852-237000-300")*INDIRECT(ADDRESS(182,5))</f>
        <v>0</v>
      </c>
      <c r="AJ182">
        <f>sumifs(aj:aj,A:A,"总成",B:B,"852-237000-300")*INDIRECT(ADDRESS(182,5))</f>
        <v>0</v>
      </c>
      <c r="AK182">
        <f>sumifs(ak:ak,A:A,"总成",B:B,"852-237000-300")*INDIRECT(ADDRESS(182,5))</f>
        <v>0</v>
      </c>
      <c r="AL182">
        <f>sumifs(al:al,A:A,"总成",B:B,"852-237000-300")*INDIRECT(ADDRESS(182,5))</f>
        <v>0</v>
      </c>
      <c r="AM182">
        <f>sumifs(am:am,A:A,"总成",B:B,"852-237000-300")*INDIRECT(ADDRESS(182,5))</f>
        <v>0</v>
      </c>
      <c r="AN182">
        <f>sumifs(an:an,A:A,"总成",B:B,"852-237000-300")*INDIRECT(ADDRESS(182,5))</f>
        <v>0</v>
      </c>
      <c r="AO182">
        <f>sumifs(ao:ao,A:A,"总成",B:B,"852-237000-300")*INDIRECT(ADDRESS(182,5))</f>
        <v>0</v>
      </c>
      <c r="AP182">
        <f>sumifs(ap:ap,A:A,"总成",B:B,"852-237000-300")*INDIRECT(ADDRESS(182,5))</f>
        <v>0</v>
      </c>
      <c r="AQ182">
        <f>sumifs(aq:aq,A:A,"总成",B:B,"852-237000-300")*INDIRECT(ADDRESS(182,5))</f>
        <v>0</v>
      </c>
      <c r="AR182">
        <f>sumifs(ar:ar,A:A,"总成",B:B,"852-237000-300")*INDIRECT(ADDRESS(182,5))</f>
        <v>0</v>
      </c>
    </row>
    <row r="183" spans="1:44">
      <c r="A183" t="s">
        <v>14</v>
      </c>
      <c r="B183" t="s">
        <v>231</v>
      </c>
      <c r="C183" t="s">
        <v>232</v>
      </c>
      <c r="D183" t="s">
        <v>256</v>
      </c>
      <c r="E183">
        <v>1</v>
      </c>
      <c r="F183" t="s">
        <v>233</v>
      </c>
      <c r="K183" t="s">
        <v>305</v>
      </c>
      <c r="L183" t="s">
        <v>21</v>
      </c>
      <c r="M183">
        <f>vlookup("852-237000-400",生产发行表!B:AZ,column(l1),0)</f>
        <v>0</v>
      </c>
      <c r="N183">
        <f>vlookup("852-237000-400",生产发行表!B:AZ,column(m1),0)</f>
        <v>0</v>
      </c>
      <c r="O183">
        <f>vlookup("852-237000-400",生产发行表!B:AZ,column(n1),0)</f>
        <v>0</v>
      </c>
      <c r="P183">
        <f>vlookup("852-237000-400",生产发行表!B:AZ,column(o1),0)</f>
        <v>0</v>
      </c>
      <c r="Q183">
        <f>vlookup("852-237000-400",生产发行表!B:AZ,column(p1),0)</f>
        <v>0</v>
      </c>
      <c r="R183">
        <f>vlookup("852-237000-400",生产发行表!B:AZ,column(q1),0)</f>
        <v>0</v>
      </c>
      <c r="S183">
        <f>vlookup("852-237000-400",生产发行表!B:AZ,column(r1),0)</f>
        <v>0</v>
      </c>
      <c r="T183">
        <f>vlookup("852-237000-400",生产发行表!B:AZ,column(s1),0)</f>
        <v>0</v>
      </c>
      <c r="U183">
        <f>vlookup("852-237000-400",生产发行表!B:AZ,column(t1),0)</f>
        <v>0</v>
      </c>
      <c r="V183">
        <f>vlookup("852-237000-400",生产发行表!B:AZ,column(u1),0)</f>
        <v>0</v>
      </c>
      <c r="W183">
        <f>vlookup("852-237000-400",生产发行表!B:AZ,column(v1),0)</f>
        <v>0</v>
      </c>
      <c r="X183">
        <f>vlookup("852-237000-400",生产发行表!B:AZ,column(w1),0)</f>
        <v>0</v>
      </c>
      <c r="Y183">
        <f>vlookup("852-237000-400",生产发行表!B:AZ,column(x1),0)</f>
        <v>0</v>
      </c>
      <c r="Z183">
        <f>vlookup("852-237000-400",生产发行表!B:AZ,column(y1),0)</f>
        <v>0</v>
      </c>
      <c r="AA183">
        <f>vlookup("852-237000-400",生产发行表!B:AZ,column(z1),0)</f>
        <v>0</v>
      </c>
      <c r="AB183">
        <f>vlookup("852-237000-400",生产发行表!B:AZ,column(aa1),0)</f>
        <v>0</v>
      </c>
      <c r="AC183">
        <f>vlookup("852-237000-400",生产发行表!B:AZ,column(ab1),0)</f>
        <v>0</v>
      </c>
      <c r="AD183">
        <f>vlookup("852-237000-400",生产发行表!B:AZ,column(ac1),0)</f>
        <v>0</v>
      </c>
      <c r="AE183">
        <f>vlookup("852-237000-400",生产发行表!B:AZ,column(ad1),0)</f>
        <v>0</v>
      </c>
      <c r="AF183">
        <f>vlookup("852-237000-400",生产发行表!B:AZ,column(ae1),0)</f>
        <v>0</v>
      </c>
      <c r="AG183">
        <f>vlookup("852-237000-400",生产发行表!B:AZ,column(af1),0)</f>
        <v>0</v>
      </c>
      <c r="AH183">
        <f>vlookup("852-237000-400",生产发行表!B:AZ,column(ag1),0)</f>
        <v>0</v>
      </c>
      <c r="AI183">
        <f>vlookup("852-237000-400",生产发行表!B:AZ,column(ah1),0)</f>
        <v>0</v>
      </c>
      <c r="AJ183">
        <f>vlookup("852-237000-400",生产发行表!B:AZ,column(ai1),0)</f>
        <v>0</v>
      </c>
      <c r="AK183">
        <f>vlookup("852-237000-400",生产发行表!B:AZ,column(aj1),0)</f>
        <v>0</v>
      </c>
      <c r="AL183">
        <f>vlookup("852-237000-400",生产发行表!B:AZ,column(ak1),0)</f>
        <v>0</v>
      </c>
      <c r="AM183">
        <f>vlookup("852-237000-400",生产发行表!B:AZ,column(al1),0)</f>
        <v>0</v>
      </c>
      <c r="AN183">
        <f>vlookup("852-237000-400",生产发行表!B:AZ,column(am1),0)</f>
        <v>0</v>
      </c>
      <c r="AO183">
        <f>vlookup("852-237000-400",生产发行表!B:AZ,column(an1),0)</f>
        <v>0</v>
      </c>
      <c r="AP183">
        <f>vlookup("852-237000-400",生产发行表!B:AZ,column(ao1),0)</f>
        <v>0</v>
      </c>
      <c r="AQ183">
        <f>vlookup("852-237000-400",生产发行表!B:AZ,column(ap1),0)</f>
        <v>0</v>
      </c>
      <c r="AR183">
        <f>vlookup("852-237000-400",生产发行表!B:AZ,column(aq1),0)</f>
        <v>0</v>
      </c>
    </row>
    <row r="184" spans="1:44">
      <c r="A184" t="s">
        <v>31</v>
      </c>
      <c r="B184" t="s">
        <v>396</v>
      </c>
      <c r="C184" t="s">
        <v>397</v>
      </c>
      <c r="D184" t="s">
        <v>256</v>
      </c>
      <c r="E184">
        <v>1</v>
      </c>
      <c r="F184" t="s">
        <v>398</v>
      </c>
      <c r="K184" t="s">
        <v>308</v>
      </c>
      <c r="L184" t="s">
        <v>37</v>
      </c>
      <c r="M184">
        <f>sumifs(m:m,A:A,"总成",B:B,"852-237000-400")*INDIRECT(ADDRESS(184,5))</f>
        <v>0</v>
      </c>
      <c r="N184">
        <f>sumifs(n:n,A:A,"总成",B:B,"852-237000-400")*INDIRECT(ADDRESS(184,5))</f>
        <v>0</v>
      </c>
      <c r="O184">
        <f>sumifs(o:o,A:A,"总成",B:B,"852-237000-400")*INDIRECT(ADDRESS(184,5))</f>
        <v>0</v>
      </c>
      <c r="P184">
        <f>sumifs(p:p,A:A,"总成",B:B,"852-237000-400")*INDIRECT(ADDRESS(184,5))</f>
        <v>0</v>
      </c>
      <c r="Q184">
        <f>sumifs(q:q,A:A,"总成",B:B,"852-237000-400")*INDIRECT(ADDRESS(184,5))</f>
        <v>0</v>
      </c>
      <c r="R184">
        <f>sumifs(r:r,A:A,"总成",B:B,"852-237000-400")*INDIRECT(ADDRESS(184,5))</f>
        <v>0</v>
      </c>
      <c r="S184">
        <f>sumifs(s:s,A:A,"总成",B:B,"852-237000-400")*INDIRECT(ADDRESS(184,5))</f>
        <v>0</v>
      </c>
      <c r="T184">
        <f>sumifs(t:t,A:A,"总成",B:B,"852-237000-400")*INDIRECT(ADDRESS(184,5))</f>
        <v>0</v>
      </c>
      <c r="U184">
        <f>sumifs(u:u,A:A,"总成",B:B,"852-237000-400")*INDIRECT(ADDRESS(184,5))</f>
        <v>0</v>
      </c>
      <c r="V184">
        <f>sumifs(v:v,A:A,"总成",B:B,"852-237000-400")*INDIRECT(ADDRESS(184,5))</f>
        <v>0</v>
      </c>
      <c r="W184">
        <f>sumifs(w:w,A:A,"总成",B:B,"852-237000-400")*INDIRECT(ADDRESS(184,5))</f>
        <v>0</v>
      </c>
      <c r="X184">
        <f>sumifs(x:x,A:A,"总成",B:B,"852-237000-400")*INDIRECT(ADDRESS(184,5))</f>
        <v>0</v>
      </c>
      <c r="Y184">
        <f>sumifs(y:y,A:A,"总成",B:B,"852-237000-400")*INDIRECT(ADDRESS(184,5))</f>
        <v>0</v>
      </c>
      <c r="Z184">
        <f>sumifs(z:z,A:A,"总成",B:B,"852-237000-400")*INDIRECT(ADDRESS(184,5))</f>
        <v>0</v>
      </c>
      <c r="AA184">
        <f>sumifs(aa:aa,A:A,"总成",B:B,"852-237000-400")*INDIRECT(ADDRESS(184,5))</f>
        <v>0</v>
      </c>
      <c r="AB184">
        <f>sumifs(ab:ab,A:A,"总成",B:B,"852-237000-400")*INDIRECT(ADDRESS(184,5))</f>
        <v>0</v>
      </c>
      <c r="AC184">
        <f>sumifs(ac:ac,A:A,"总成",B:B,"852-237000-400")*INDIRECT(ADDRESS(184,5))</f>
        <v>0</v>
      </c>
      <c r="AD184">
        <f>sumifs(ad:ad,A:A,"总成",B:B,"852-237000-400")*INDIRECT(ADDRESS(184,5))</f>
        <v>0</v>
      </c>
      <c r="AE184">
        <f>sumifs(ae:ae,A:A,"总成",B:B,"852-237000-400")*INDIRECT(ADDRESS(184,5))</f>
        <v>0</v>
      </c>
      <c r="AF184">
        <f>sumifs(af:af,A:A,"总成",B:B,"852-237000-400")*INDIRECT(ADDRESS(184,5))</f>
        <v>0</v>
      </c>
      <c r="AG184">
        <f>sumifs(ag:ag,A:A,"总成",B:B,"852-237000-400")*INDIRECT(ADDRESS(184,5))</f>
        <v>0</v>
      </c>
      <c r="AH184">
        <f>sumifs(ah:ah,A:A,"总成",B:B,"852-237000-400")*INDIRECT(ADDRESS(184,5))</f>
        <v>0</v>
      </c>
      <c r="AI184">
        <f>sumifs(ai:ai,A:A,"总成",B:B,"852-237000-400")*INDIRECT(ADDRESS(184,5))</f>
        <v>0</v>
      </c>
      <c r="AJ184">
        <f>sumifs(aj:aj,A:A,"总成",B:B,"852-237000-400")*INDIRECT(ADDRESS(184,5))</f>
        <v>0</v>
      </c>
      <c r="AK184">
        <f>sumifs(ak:ak,A:A,"总成",B:B,"852-237000-400")*INDIRECT(ADDRESS(184,5))</f>
        <v>0</v>
      </c>
      <c r="AL184">
        <f>sumifs(al:al,A:A,"总成",B:B,"852-237000-400")*INDIRECT(ADDRESS(184,5))</f>
        <v>0</v>
      </c>
      <c r="AM184">
        <f>sumifs(am:am,A:A,"总成",B:B,"852-237000-400")*INDIRECT(ADDRESS(184,5))</f>
        <v>0</v>
      </c>
      <c r="AN184">
        <f>sumifs(an:an,A:A,"总成",B:B,"852-237000-400")*INDIRECT(ADDRESS(184,5))</f>
        <v>0</v>
      </c>
      <c r="AO184">
        <f>sumifs(ao:ao,A:A,"总成",B:B,"852-237000-400")*INDIRECT(ADDRESS(184,5))</f>
        <v>0</v>
      </c>
      <c r="AP184">
        <f>sumifs(ap:ap,A:A,"总成",B:B,"852-237000-400")*INDIRECT(ADDRESS(184,5))</f>
        <v>0</v>
      </c>
      <c r="AQ184">
        <f>sumifs(aq:aq,A:A,"总成",B:B,"852-237000-400")*INDIRECT(ADDRESS(184,5))</f>
        <v>0</v>
      </c>
      <c r="AR184">
        <f>sumifs(ar:ar,A:A,"总成",B:B,"852-237000-400")*INDIRECT(ADDRESS(184,5))</f>
        <v>0</v>
      </c>
    </row>
    <row r="185" spans="1:44">
      <c r="A185" t="s">
        <v>31</v>
      </c>
      <c r="B185" t="s">
        <v>399</v>
      </c>
      <c r="C185" t="s">
        <v>400</v>
      </c>
      <c r="D185" t="s">
        <v>17</v>
      </c>
      <c r="E185">
        <v>1</v>
      </c>
      <c r="F185" t="s">
        <v>401</v>
      </c>
      <c r="K185" t="s">
        <v>308</v>
      </c>
      <c r="L185" t="s">
        <v>37</v>
      </c>
      <c r="M185">
        <f>sumifs(m:m,A:A,"总成",B:B,"852-237000-400")*INDIRECT(ADDRESS(185,5))</f>
        <v>0</v>
      </c>
      <c r="N185">
        <f>sumifs(n:n,A:A,"总成",B:B,"852-237000-400")*INDIRECT(ADDRESS(185,5))</f>
        <v>0</v>
      </c>
      <c r="O185">
        <f>sumifs(o:o,A:A,"总成",B:B,"852-237000-400")*INDIRECT(ADDRESS(185,5))</f>
        <v>0</v>
      </c>
      <c r="P185">
        <f>sumifs(p:p,A:A,"总成",B:B,"852-237000-400")*INDIRECT(ADDRESS(185,5))</f>
        <v>0</v>
      </c>
      <c r="Q185">
        <f>sumifs(q:q,A:A,"总成",B:B,"852-237000-400")*INDIRECT(ADDRESS(185,5))</f>
        <v>0</v>
      </c>
      <c r="R185">
        <f>sumifs(r:r,A:A,"总成",B:B,"852-237000-400")*INDIRECT(ADDRESS(185,5))</f>
        <v>0</v>
      </c>
      <c r="S185">
        <f>sumifs(s:s,A:A,"总成",B:B,"852-237000-400")*INDIRECT(ADDRESS(185,5))</f>
        <v>0</v>
      </c>
      <c r="T185">
        <f>sumifs(t:t,A:A,"总成",B:B,"852-237000-400")*INDIRECT(ADDRESS(185,5))</f>
        <v>0</v>
      </c>
      <c r="U185">
        <f>sumifs(u:u,A:A,"总成",B:B,"852-237000-400")*INDIRECT(ADDRESS(185,5))</f>
        <v>0</v>
      </c>
      <c r="V185">
        <f>sumifs(v:v,A:A,"总成",B:B,"852-237000-400")*INDIRECT(ADDRESS(185,5))</f>
        <v>0</v>
      </c>
      <c r="W185">
        <f>sumifs(w:w,A:A,"总成",B:B,"852-237000-400")*INDIRECT(ADDRESS(185,5))</f>
        <v>0</v>
      </c>
      <c r="X185">
        <f>sumifs(x:x,A:A,"总成",B:B,"852-237000-400")*INDIRECT(ADDRESS(185,5))</f>
        <v>0</v>
      </c>
      <c r="Y185">
        <f>sumifs(y:y,A:A,"总成",B:B,"852-237000-400")*INDIRECT(ADDRESS(185,5))</f>
        <v>0</v>
      </c>
      <c r="Z185">
        <f>sumifs(z:z,A:A,"总成",B:B,"852-237000-400")*INDIRECT(ADDRESS(185,5))</f>
        <v>0</v>
      </c>
      <c r="AA185">
        <f>sumifs(aa:aa,A:A,"总成",B:B,"852-237000-400")*INDIRECT(ADDRESS(185,5))</f>
        <v>0</v>
      </c>
      <c r="AB185">
        <f>sumifs(ab:ab,A:A,"总成",B:B,"852-237000-400")*INDIRECT(ADDRESS(185,5))</f>
        <v>0</v>
      </c>
      <c r="AC185">
        <f>sumifs(ac:ac,A:A,"总成",B:B,"852-237000-400")*INDIRECT(ADDRESS(185,5))</f>
        <v>0</v>
      </c>
      <c r="AD185">
        <f>sumifs(ad:ad,A:A,"总成",B:B,"852-237000-400")*INDIRECT(ADDRESS(185,5))</f>
        <v>0</v>
      </c>
      <c r="AE185">
        <f>sumifs(ae:ae,A:A,"总成",B:B,"852-237000-400")*INDIRECT(ADDRESS(185,5))</f>
        <v>0</v>
      </c>
      <c r="AF185">
        <f>sumifs(af:af,A:A,"总成",B:B,"852-237000-400")*INDIRECT(ADDRESS(185,5))</f>
        <v>0</v>
      </c>
      <c r="AG185">
        <f>sumifs(ag:ag,A:A,"总成",B:B,"852-237000-400")*INDIRECT(ADDRESS(185,5))</f>
        <v>0</v>
      </c>
      <c r="AH185">
        <f>sumifs(ah:ah,A:A,"总成",B:B,"852-237000-400")*INDIRECT(ADDRESS(185,5))</f>
        <v>0</v>
      </c>
      <c r="AI185">
        <f>sumifs(ai:ai,A:A,"总成",B:B,"852-237000-400")*INDIRECT(ADDRESS(185,5))</f>
        <v>0</v>
      </c>
      <c r="AJ185">
        <f>sumifs(aj:aj,A:A,"总成",B:B,"852-237000-400")*INDIRECT(ADDRESS(185,5))</f>
        <v>0</v>
      </c>
      <c r="AK185">
        <f>sumifs(ak:ak,A:A,"总成",B:B,"852-237000-400")*INDIRECT(ADDRESS(185,5))</f>
        <v>0</v>
      </c>
      <c r="AL185">
        <f>sumifs(al:al,A:A,"总成",B:B,"852-237000-400")*INDIRECT(ADDRESS(185,5))</f>
        <v>0</v>
      </c>
      <c r="AM185">
        <f>sumifs(am:am,A:A,"总成",B:B,"852-237000-400")*INDIRECT(ADDRESS(185,5))</f>
        <v>0</v>
      </c>
      <c r="AN185">
        <f>sumifs(an:an,A:A,"总成",B:B,"852-237000-400")*INDIRECT(ADDRESS(185,5))</f>
        <v>0</v>
      </c>
      <c r="AO185">
        <f>sumifs(ao:ao,A:A,"总成",B:B,"852-237000-400")*INDIRECT(ADDRESS(185,5))</f>
        <v>0</v>
      </c>
      <c r="AP185">
        <f>sumifs(ap:ap,A:A,"总成",B:B,"852-237000-400")*INDIRECT(ADDRESS(185,5))</f>
        <v>0</v>
      </c>
      <c r="AQ185">
        <f>sumifs(aq:aq,A:A,"总成",B:B,"852-237000-400")*INDIRECT(ADDRESS(185,5))</f>
        <v>0</v>
      </c>
      <c r="AR185">
        <f>sumifs(ar:ar,A:A,"总成",B:B,"852-237000-400")*INDIRECT(ADDRESS(185,5))</f>
        <v>0</v>
      </c>
    </row>
    <row r="186" spans="1:44">
      <c r="A186" t="s">
        <v>14</v>
      </c>
      <c r="B186" t="s">
        <v>239</v>
      </c>
      <c r="C186" t="s">
        <v>240</v>
      </c>
      <c r="D186" t="s">
        <v>304</v>
      </c>
      <c r="E186">
        <v>1</v>
      </c>
      <c r="F186" t="s">
        <v>241</v>
      </c>
      <c r="K186" t="s">
        <v>305</v>
      </c>
      <c r="L186" t="s">
        <v>21</v>
      </c>
      <c r="M186">
        <f>vlookup("852-253000-100",生产发行表!B:AZ,column(l1),0)</f>
        <v>0</v>
      </c>
      <c r="N186">
        <f>vlookup("852-253000-100",生产发行表!B:AZ,column(m1),0)</f>
        <v>0</v>
      </c>
      <c r="O186">
        <f>vlookup("852-253000-100",生产发行表!B:AZ,column(n1),0)</f>
        <v>0</v>
      </c>
      <c r="P186">
        <f>vlookup("852-253000-100",生产发行表!B:AZ,column(o1),0)</f>
        <v>0</v>
      </c>
      <c r="Q186">
        <f>vlookup("852-253000-100",生产发行表!B:AZ,column(p1),0)</f>
        <v>0</v>
      </c>
      <c r="R186">
        <f>vlookup("852-253000-100",生产发行表!B:AZ,column(q1),0)</f>
        <v>0</v>
      </c>
      <c r="S186">
        <f>vlookup("852-253000-100",生产发行表!B:AZ,column(r1),0)</f>
        <v>0</v>
      </c>
      <c r="T186">
        <f>vlookup("852-253000-100",生产发行表!B:AZ,column(s1),0)</f>
        <v>0</v>
      </c>
      <c r="U186">
        <f>vlookup("852-253000-100",生产发行表!B:AZ,column(t1),0)</f>
        <v>0</v>
      </c>
      <c r="V186">
        <f>vlookup("852-253000-100",生产发行表!B:AZ,column(u1),0)</f>
        <v>0</v>
      </c>
      <c r="W186">
        <f>vlookup("852-253000-100",生产发行表!B:AZ,column(v1),0)</f>
        <v>0</v>
      </c>
      <c r="X186">
        <f>vlookup("852-253000-100",生产发行表!B:AZ,column(w1),0)</f>
        <v>0</v>
      </c>
      <c r="Y186">
        <f>vlookup("852-253000-100",生产发行表!B:AZ,column(x1),0)</f>
        <v>0</v>
      </c>
      <c r="Z186">
        <f>vlookup("852-253000-100",生产发行表!B:AZ,column(y1),0)</f>
        <v>0</v>
      </c>
      <c r="AA186">
        <f>vlookup("852-253000-100",生产发行表!B:AZ,column(z1),0)</f>
        <v>0</v>
      </c>
      <c r="AB186">
        <f>vlookup("852-253000-100",生产发行表!B:AZ,column(aa1),0)</f>
        <v>0</v>
      </c>
      <c r="AC186">
        <f>vlookup("852-253000-100",生产发行表!B:AZ,column(ab1),0)</f>
        <v>0</v>
      </c>
      <c r="AD186">
        <f>vlookup("852-253000-100",生产发行表!B:AZ,column(ac1),0)</f>
        <v>0</v>
      </c>
      <c r="AE186">
        <f>vlookup("852-253000-100",生产发行表!B:AZ,column(ad1),0)</f>
        <v>0</v>
      </c>
      <c r="AF186">
        <f>vlookup("852-253000-100",生产发行表!B:AZ,column(ae1),0)</f>
        <v>0</v>
      </c>
      <c r="AG186">
        <f>vlookup("852-253000-100",生产发行表!B:AZ,column(af1),0)</f>
        <v>0</v>
      </c>
      <c r="AH186">
        <f>vlookup("852-253000-100",生产发行表!B:AZ,column(ag1),0)</f>
        <v>0</v>
      </c>
      <c r="AI186">
        <f>vlookup("852-253000-100",生产发行表!B:AZ,column(ah1),0)</f>
        <v>0</v>
      </c>
      <c r="AJ186">
        <f>vlookup("852-253000-100",生产发行表!B:AZ,column(ai1),0)</f>
        <v>0</v>
      </c>
      <c r="AK186">
        <f>vlookup("852-253000-100",生产发行表!B:AZ,column(aj1),0)</f>
        <v>0</v>
      </c>
      <c r="AL186">
        <f>vlookup("852-253000-100",生产发行表!B:AZ,column(ak1),0)</f>
        <v>0</v>
      </c>
      <c r="AM186">
        <f>vlookup("852-253000-100",生产发行表!B:AZ,column(al1),0)</f>
        <v>0</v>
      </c>
      <c r="AN186">
        <f>vlookup("852-253000-100",生产发行表!B:AZ,column(am1),0)</f>
        <v>0</v>
      </c>
      <c r="AO186">
        <f>vlookup("852-253000-100",生产发行表!B:AZ,column(an1),0)</f>
        <v>0</v>
      </c>
      <c r="AP186">
        <f>vlookup("852-253000-100",生产发行表!B:AZ,column(ao1),0)</f>
        <v>0</v>
      </c>
      <c r="AQ186">
        <f>vlookup("852-253000-100",生产发行表!B:AZ,column(ap1),0)</f>
        <v>0</v>
      </c>
      <c r="AR186">
        <f>vlookup("852-253000-100",生产发行表!B:AZ,column(aq1),0)</f>
        <v>0</v>
      </c>
    </row>
    <row r="187" spans="1:44">
      <c r="A187" t="s">
        <v>31</v>
      </c>
      <c r="B187" t="s">
        <v>402</v>
      </c>
      <c r="C187" t="s">
        <v>403</v>
      </c>
      <c r="D187" t="s">
        <v>304</v>
      </c>
      <c r="E187">
        <v>1</v>
      </c>
      <c r="F187" t="s">
        <v>404</v>
      </c>
      <c r="K187" t="s">
        <v>308</v>
      </c>
      <c r="L187" t="s">
        <v>37</v>
      </c>
      <c r="M187">
        <f>sumifs(m:m,A:A,"总成",B:B,"852-253000-100")*INDIRECT(ADDRESS(187,5))</f>
        <v>0</v>
      </c>
      <c r="N187">
        <f>sumifs(n:n,A:A,"总成",B:B,"852-253000-100")*INDIRECT(ADDRESS(187,5))</f>
        <v>0</v>
      </c>
      <c r="O187">
        <f>sumifs(o:o,A:A,"总成",B:B,"852-253000-100")*INDIRECT(ADDRESS(187,5))</f>
        <v>0</v>
      </c>
      <c r="P187">
        <f>sumifs(p:p,A:A,"总成",B:B,"852-253000-100")*INDIRECT(ADDRESS(187,5))</f>
        <v>0</v>
      </c>
      <c r="Q187">
        <f>sumifs(q:q,A:A,"总成",B:B,"852-253000-100")*INDIRECT(ADDRESS(187,5))</f>
        <v>0</v>
      </c>
      <c r="R187">
        <f>sumifs(r:r,A:A,"总成",B:B,"852-253000-100")*INDIRECT(ADDRESS(187,5))</f>
        <v>0</v>
      </c>
      <c r="S187">
        <f>sumifs(s:s,A:A,"总成",B:B,"852-253000-100")*INDIRECT(ADDRESS(187,5))</f>
        <v>0</v>
      </c>
      <c r="T187">
        <f>sumifs(t:t,A:A,"总成",B:B,"852-253000-100")*INDIRECT(ADDRESS(187,5))</f>
        <v>0</v>
      </c>
      <c r="U187">
        <f>sumifs(u:u,A:A,"总成",B:B,"852-253000-100")*INDIRECT(ADDRESS(187,5))</f>
        <v>0</v>
      </c>
      <c r="V187">
        <f>sumifs(v:v,A:A,"总成",B:B,"852-253000-100")*INDIRECT(ADDRESS(187,5))</f>
        <v>0</v>
      </c>
      <c r="W187">
        <f>sumifs(w:w,A:A,"总成",B:B,"852-253000-100")*INDIRECT(ADDRESS(187,5))</f>
        <v>0</v>
      </c>
      <c r="X187">
        <f>sumifs(x:x,A:A,"总成",B:B,"852-253000-100")*INDIRECT(ADDRESS(187,5))</f>
        <v>0</v>
      </c>
      <c r="Y187">
        <f>sumifs(y:y,A:A,"总成",B:B,"852-253000-100")*INDIRECT(ADDRESS(187,5))</f>
        <v>0</v>
      </c>
      <c r="Z187">
        <f>sumifs(z:z,A:A,"总成",B:B,"852-253000-100")*INDIRECT(ADDRESS(187,5))</f>
        <v>0</v>
      </c>
      <c r="AA187">
        <f>sumifs(aa:aa,A:A,"总成",B:B,"852-253000-100")*INDIRECT(ADDRESS(187,5))</f>
        <v>0</v>
      </c>
      <c r="AB187">
        <f>sumifs(ab:ab,A:A,"总成",B:B,"852-253000-100")*INDIRECT(ADDRESS(187,5))</f>
        <v>0</v>
      </c>
      <c r="AC187">
        <f>sumifs(ac:ac,A:A,"总成",B:B,"852-253000-100")*INDIRECT(ADDRESS(187,5))</f>
        <v>0</v>
      </c>
      <c r="AD187">
        <f>sumifs(ad:ad,A:A,"总成",B:B,"852-253000-100")*INDIRECT(ADDRESS(187,5))</f>
        <v>0</v>
      </c>
      <c r="AE187">
        <f>sumifs(ae:ae,A:A,"总成",B:B,"852-253000-100")*INDIRECT(ADDRESS(187,5))</f>
        <v>0</v>
      </c>
      <c r="AF187">
        <f>sumifs(af:af,A:A,"总成",B:B,"852-253000-100")*INDIRECT(ADDRESS(187,5))</f>
        <v>0</v>
      </c>
      <c r="AG187">
        <f>sumifs(ag:ag,A:A,"总成",B:B,"852-253000-100")*INDIRECT(ADDRESS(187,5))</f>
        <v>0</v>
      </c>
      <c r="AH187">
        <f>sumifs(ah:ah,A:A,"总成",B:B,"852-253000-100")*INDIRECT(ADDRESS(187,5))</f>
        <v>0</v>
      </c>
      <c r="AI187">
        <f>sumifs(ai:ai,A:A,"总成",B:B,"852-253000-100")*INDIRECT(ADDRESS(187,5))</f>
        <v>0</v>
      </c>
      <c r="AJ187">
        <f>sumifs(aj:aj,A:A,"总成",B:B,"852-253000-100")*INDIRECT(ADDRESS(187,5))</f>
        <v>0</v>
      </c>
      <c r="AK187">
        <f>sumifs(ak:ak,A:A,"总成",B:B,"852-253000-100")*INDIRECT(ADDRESS(187,5))</f>
        <v>0</v>
      </c>
      <c r="AL187">
        <f>sumifs(al:al,A:A,"总成",B:B,"852-253000-100")*INDIRECT(ADDRESS(187,5))</f>
        <v>0</v>
      </c>
      <c r="AM187">
        <f>sumifs(am:am,A:A,"总成",B:B,"852-253000-100")*INDIRECT(ADDRESS(187,5))</f>
        <v>0</v>
      </c>
      <c r="AN187">
        <f>sumifs(an:an,A:A,"总成",B:B,"852-253000-100")*INDIRECT(ADDRESS(187,5))</f>
        <v>0</v>
      </c>
      <c r="AO187">
        <f>sumifs(ao:ao,A:A,"总成",B:B,"852-253000-100")*INDIRECT(ADDRESS(187,5))</f>
        <v>0</v>
      </c>
      <c r="AP187">
        <f>sumifs(ap:ap,A:A,"总成",B:B,"852-253000-100")*INDIRECT(ADDRESS(187,5))</f>
        <v>0</v>
      </c>
      <c r="AQ187">
        <f>sumifs(aq:aq,A:A,"总成",B:B,"852-253000-100")*INDIRECT(ADDRESS(187,5))</f>
        <v>0</v>
      </c>
      <c r="AR187">
        <f>sumifs(ar:ar,A:A,"总成",B:B,"852-253000-100")*INDIRECT(ADDRESS(187,5))</f>
        <v>0</v>
      </c>
    </row>
    <row r="188" spans="1:44">
      <c r="A188" t="s">
        <v>31</v>
      </c>
      <c r="B188" t="s">
        <v>405</v>
      </c>
      <c r="C188" t="s">
        <v>406</v>
      </c>
      <c r="D188" t="s">
        <v>36</v>
      </c>
      <c r="E188">
        <v>1</v>
      </c>
      <c r="F188" t="s">
        <v>407</v>
      </c>
      <c r="K188" t="s">
        <v>308</v>
      </c>
      <c r="L188" t="s">
        <v>37</v>
      </c>
      <c r="M188">
        <f>sumifs(m:m,A:A,"总成",B:B,"852-253000-100")*INDIRECT(ADDRESS(188,5))</f>
        <v>0</v>
      </c>
      <c r="N188">
        <f>sumifs(n:n,A:A,"总成",B:B,"852-253000-100")*INDIRECT(ADDRESS(188,5))</f>
        <v>0</v>
      </c>
      <c r="O188">
        <f>sumifs(o:o,A:A,"总成",B:B,"852-253000-100")*INDIRECT(ADDRESS(188,5))</f>
        <v>0</v>
      </c>
      <c r="P188">
        <f>sumifs(p:p,A:A,"总成",B:B,"852-253000-100")*INDIRECT(ADDRESS(188,5))</f>
        <v>0</v>
      </c>
      <c r="Q188">
        <f>sumifs(q:q,A:A,"总成",B:B,"852-253000-100")*INDIRECT(ADDRESS(188,5))</f>
        <v>0</v>
      </c>
      <c r="R188">
        <f>sumifs(r:r,A:A,"总成",B:B,"852-253000-100")*INDIRECT(ADDRESS(188,5))</f>
        <v>0</v>
      </c>
      <c r="S188">
        <f>sumifs(s:s,A:A,"总成",B:B,"852-253000-100")*INDIRECT(ADDRESS(188,5))</f>
        <v>0</v>
      </c>
      <c r="T188">
        <f>sumifs(t:t,A:A,"总成",B:B,"852-253000-100")*INDIRECT(ADDRESS(188,5))</f>
        <v>0</v>
      </c>
      <c r="U188">
        <f>sumifs(u:u,A:A,"总成",B:B,"852-253000-100")*INDIRECT(ADDRESS(188,5))</f>
        <v>0</v>
      </c>
      <c r="V188">
        <f>sumifs(v:v,A:A,"总成",B:B,"852-253000-100")*INDIRECT(ADDRESS(188,5))</f>
        <v>0</v>
      </c>
      <c r="W188">
        <f>sumifs(w:w,A:A,"总成",B:B,"852-253000-100")*INDIRECT(ADDRESS(188,5))</f>
        <v>0</v>
      </c>
      <c r="X188">
        <f>sumifs(x:x,A:A,"总成",B:B,"852-253000-100")*INDIRECT(ADDRESS(188,5))</f>
        <v>0</v>
      </c>
      <c r="Y188">
        <f>sumifs(y:y,A:A,"总成",B:B,"852-253000-100")*INDIRECT(ADDRESS(188,5))</f>
        <v>0</v>
      </c>
      <c r="Z188">
        <f>sumifs(z:z,A:A,"总成",B:B,"852-253000-100")*INDIRECT(ADDRESS(188,5))</f>
        <v>0</v>
      </c>
      <c r="AA188">
        <f>sumifs(aa:aa,A:A,"总成",B:B,"852-253000-100")*INDIRECT(ADDRESS(188,5))</f>
        <v>0</v>
      </c>
      <c r="AB188">
        <f>sumifs(ab:ab,A:A,"总成",B:B,"852-253000-100")*INDIRECT(ADDRESS(188,5))</f>
        <v>0</v>
      </c>
      <c r="AC188">
        <f>sumifs(ac:ac,A:A,"总成",B:B,"852-253000-100")*INDIRECT(ADDRESS(188,5))</f>
        <v>0</v>
      </c>
      <c r="AD188">
        <f>sumifs(ad:ad,A:A,"总成",B:B,"852-253000-100")*INDIRECT(ADDRESS(188,5))</f>
        <v>0</v>
      </c>
      <c r="AE188">
        <f>sumifs(ae:ae,A:A,"总成",B:B,"852-253000-100")*INDIRECT(ADDRESS(188,5))</f>
        <v>0</v>
      </c>
      <c r="AF188">
        <f>sumifs(af:af,A:A,"总成",B:B,"852-253000-100")*INDIRECT(ADDRESS(188,5))</f>
        <v>0</v>
      </c>
      <c r="AG188">
        <f>sumifs(ag:ag,A:A,"总成",B:B,"852-253000-100")*INDIRECT(ADDRESS(188,5))</f>
        <v>0</v>
      </c>
      <c r="AH188">
        <f>sumifs(ah:ah,A:A,"总成",B:B,"852-253000-100")*INDIRECT(ADDRESS(188,5))</f>
        <v>0</v>
      </c>
      <c r="AI188">
        <f>sumifs(ai:ai,A:A,"总成",B:B,"852-253000-100")*INDIRECT(ADDRESS(188,5))</f>
        <v>0</v>
      </c>
      <c r="AJ188">
        <f>sumifs(aj:aj,A:A,"总成",B:B,"852-253000-100")*INDIRECT(ADDRESS(188,5))</f>
        <v>0</v>
      </c>
      <c r="AK188">
        <f>sumifs(ak:ak,A:A,"总成",B:B,"852-253000-100")*INDIRECT(ADDRESS(188,5))</f>
        <v>0</v>
      </c>
      <c r="AL188">
        <f>sumifs(al:al,A:A,"总成",B:B,"852-253000-100")*INDIRECT(ADDRESS(188,5))</f>
        <v>0</v>
      </c>
      <c r="AM188">
        <f>sumifs(am:am,A:A,"总成",B:B,"852-253000-100")*INDIRECT(ADDRESS(188,5))</f>
        <v>0</v>
      </c>
      <c r="AN188">
        <f>sumifs(an:an,A:A,"总成",B:B,"852-253000-100")*INDIRECT(ADDRESS(188,5))</f>
        <v>0</v>
      </c>
      <c r="AO188">
        <f>sumifs(ao:ao,A:A,"总成",B:B,"852-253000-100")*INDIRECT(ADDRESS(188,5))</f>
        <v>0</v>
      </c>
      <c r="AP188">
        <f>sumifs(ap:ap,A:A,"总成",B:B,"852-253000-100")*INDIRECT(ADDRESS(188,5))</f>
        <v>0</v>
      </c>
      <c r="AQ188">
        <f>sumifs(aq:aq,A:A,"总成",B:B,"852-253000-100")*INDIRECT(ADDRESS(188,5))</f>
        <v>0</v>
      </c>
      <c r="AR188">
        <f>sumifs(ar:ar,A:A,"总成",B:B,"852-253000-100")*INDIRECT(ADDRESS(188,5))</f>
        <v>0</v>
      </c>
    </row>
    <row r="189" spans="1:44">
      <c r="A189" t="s">
        <v>31</v>
      </c>
      <c r="B189" t="s">
        <v>408</v>
      </c>
      <c r="C189" t="s">
        <v>409</v>
      </c>
      <c r="D189" t="s">
        <v>36</v>
      </c>
      <c r="E189">
        <v>1</v>
      </c>
      <c r="F189" t="s">
        <v>410</v>
      </c>
      <c r="K189" t="s">
        <v>308</v>
      </c>
      <c r="L189" t="s">
        <v>37</v>
      </c>
      <c r="M189">
        <f>sumifs(m:m,A:A,"总成",B:B,"852-253000-100")*INDIRECT(ADDRESS(189,5))</f>
        <v>0</v>
      </c>
      <c r="N189">
        <f>sumifs(n:n,A:A,"总成",B:B,"852-253000-100")*INDIRECT(ADDRESS(189,5))</f>
        <v>0</v>
      </c>
      <c r="O189">
        <f>sumifs(o:o,A:A,"总成",B:B,"852-253000-100")*INDIRECT(ADDRESS(189,5))</f>
        <v>0</v>
      </c>
      <c r="P189">
        <f>sumifs(p:p,A:A,"总成",B:B,"852-253000-100")*INDIRECT(ADDRESS(189,5))</f>
        <v>0</v>
      </c>
      <c r="Q189">
        <f>sumifs(q:q,A:A,"总成",B:B,"852-253000-100")*INDIRECT(ADDRESS(189,5))</f>
        <v>0</v>
      </c>
      <c r="R189">
        <f>sumifs(r:r,A:A,"总成",B:B,"852-253000-100")*INDIRECT(ADDRESS(189,5))</f>
        <v>0</v>
      </c>
      <c r="S189">
        <f>sumifs(s:s,A:A,"总成",B:B,"852-253000-100")*INDIRECT(ADDRESS(189,5))</f>
        <v>0</v>
      </c>
      <c r="T189">
        <f>sumifs(t:t,A:A,"总成",B:B,"852-253000-100")*INDIRECT(ADDRESS(189,5))</f>
        <v>0</v>
      </c>
      <c r="U189">
        <f>sumifs(u:u,A:A,"总成",B:B,"852-253000-100")*INDIRECT(ADDRESS(189,5))</f>
        <v>0</v>
      </c>
      <c r="V189">
        <f>sumifs(v:v,A:A,"总成",B:B,"852-253000-100")*INDIRECT(ADDRESS(189,5))</f>
        <v>0</v>
      </c>
      <c r="W189">
        <f>sumifs(w:w,A:A,"总成",B:B,"852-253000-100")*INDIRECT(ADDRESS(189,5))</f>
        <v>0</v>
      </c>
      <c r="X189">
        <f>sumifs(x:x,A:A,"总成",B:B,"852-253000-100")*INDIRECT(ADDRESS(189,5))</f>
        <v>0</v>
      </c>
      <c r="Y189">
        <f>sumifs(y:y,A:A,"总成",B:B,"852-253000-100")*INDIRECT(ADDRESS(189,5))</f>
        <v>0</v>
      </c>
      <c r="Z189">
        <f>sumifs(z:z,A:A,"总成",B:B,"852-253000-100")*INDIRECT(ADDRESS(189,5))</f>
        <v>0</v>
      </c>
      <c r="AA189">
        <f>sumifs(aa:aa,A:A,"总成",B:B,"852-253000-100")*INDIRECT(ADDRESS(189,5))</f>
        <v>0</v>
      </c>
      <c r="AB189">
        <f>sumifs(ab:ab,A:A,"总成",B:B,"852-253000-100")*INDIRECT(ADDRESS(189,5))</f>
        <v>0</v>
      </c>
      <c r="AC189">
        <f>sumifs(ac:ac,A:A,"总成",B:B,"852-253000-100")*INDIRECT(ADDRESS(189,5))</f>
        <v>0</v>
      </c>
      <c r="AD189">
        <f>sumifs(ad:ad,A:A,"总成",B:B,"852-253000-100")*INDIRECT(ADDRESS(189,5))</f>
        <v>0</v>
      </c>
      <c r="AE189">
        <f>sumifs(ae:ae,A:A,"总成",B:B,"852-253000-100")*INDIRECT(ADDRESS(189,5))</f>
        <v>0</v>
      </c>
      <c r="AF189">
        <f>sumifs(af:af,A:A,"总成",B:B,"852-253000-100")*INDIRECT(ADDRESS(189,5))</f>
        <v>0</v>
      </c>
      <c r="AG189">
        <f>sumifs(ag:ag,A:A,"总成",B:B,"852-253000-100")*INDIRECT(ADDRESS(189,5))</f>
        <v>0</v>
      </c>
      <c r="AH189">
        <f>sumifs(ah:ah,A:A,"总成",B:B,"852-253000-100")*INDIRECT(ADDRESS(189,5))</f>
        <v>0</v>
      </c>
      <c r="AI189">
        <f>sumifs(ai:ai,A:A,"总成",B:B,"852-253000-100")*INDIRECT(ADDRESS(189,5))</f>
        <v>0</v>
      </c>
      <c r="AJ189">
        <f>sumifs(aj:aj,A:A,"总成",B:B,"852-253000-100")*INDIRECT(ADDRESS(189,5))</f>
        <v>0</v>
      </c>
      <c r="AK189">
        <f>sumifs(ak:ak,A:A,"总成",B:B,"852-253000-100")*INDIRECT(ADDRESS(189,5))</f>
        <v>0</v>
      </c>
      <c r="AL189">
        <f>sumifs(al:al,A:A,"总成",B:B,"852-253000-100")*INDIRECT(ADDRESS(189,5))</f>
        <v>0</v>
      </c>
      <c r="AM189">
        <f>sumifs(am:am,A:A,"总成",B:B,"852-253000-100")*INDIRECT(ADDRESS(189,5))</f>
        <v>0</v>
      </c>
      <c r="AN189">
        <f>sumifs(an:an,A:A,"总成",B:B,"852-253000-100")*INDIRECT(ADDRESS(189,5))</f>
        <v>0</v>
      </c>
      <c r="AO189">
        <f>sumifs(ao:ao,A:A,"总成",B:B,"852-253000-100")*INDIRECT(ADDRESS(189,5))</f>
        <v>0</v>
      </c>
      <c r="AP189">
        <f>sumifs(ap:ap,A:A,"总成",B:B,"852-253000-100")*INDIRECT(ADDRESS(189,5))</f>
        <v>0</v>
      </c>
      <c r="AQ189">
        <f>sumifs(aq:aq,A:A,"总成",B:B,"852-253000-100")*INDIRECT(ADDRESS(189,5))</f>
        <v>0</v>
      </c>
      <c r="AR189">
        <f>sumifs(ar:ar,A:A,"总成",B:B,"852-253000-100")*INDIRECT(ADDRESS(189,5))</f>
        <v>0</v>
      </c>
    </row>
    <row r="190" spans="1:44">
      <c r="A190" t="s">
        <v>31</v>
      </c>
      <c r="B190" t="s">
        <v>411</v>
      </c>
      <c r="C190" t="s">
        <v>412</v>
      </c>
      <c r="D190" t="s">
        <v>36</v>
      </c>
      <c r="E190">
        <v>1</v>
      </c>
      <c r="F190" t="s">
        <v>413</v>
      </c>
      <c r="K190" t="s">
        <v>308</v>
      </c>
      <c r="L190" t="s">
        <v>37</v>
      </c>
      <c r="M190">
        <f>sumifs(m:m,A:A,"总成",B:B,"852-253000-100")*INDIRECT(ADDRESS(190,5))</f>
        <v>0</v>
      </c>
      <c r="N190">
        <f>sumifs(n:n,A:A,"总成",B:B,"852-253000-100")*INDIRECT(ADDRESS(190,5))</f>
        <v>0</v>
      </c>
      <c r="O190">
        <f>sumifs(o:o,A:A,"总成",B:B,"852-253000-100")*INDIRECT(ADDRESS(190,5))</f>
        <v>0</v>
      </c>
      <c r="P190">
        <f>sumifs(p:p,A:A,"总成",B:B,"852-253000-100")*INDIRECT(ADDRESS(190,5))</f>
        <v>0</v>
      </c>
      <c r="Q190">
        <f>sumifs(q:q,A:A,"总成",B:B,"852-253000-100")*INDIRECT(ADDRESS(190,5))</f>
        <v>0</v>
      </c>
      <c r="R190">
        <f>sumifs(r:r,A:A,"总成",B:B,"852-253000-100")*INDIRECT(ADDRESS(190,5))</f>
        <v>0</v>
      </c>
      <c r="S190">
        <f>sumifs(s:s,A:A,"总成",B:B,"852-253000-100")*INDIRECT(ADDRESS(190,5))</f>
        <v>0</v>
      </c>
      <c r="T190">
        <f>sumifs(t:t,A:A,"总成",B:B,"852-253000-100")*INDIRECT(ADDRESS(190,5))</f>
        <v>0</v>
      </c>
      <c r="U190">
        <f>sumifs(u:u,A:A,"总成",B:B,"852-253000-100")*INDIRECT(ADDRESS(190,5))</f>
        <v>0</v>
      </c>
      <c r="V190">
        <f>sumifs(v:v,A:A,"总成",B:B,"852-253000-100")*INDIRECT(ADDRESS(190,5))</f>
        <v>0</v>
      </c>
      <c r="W190">
        <f>sumifs(w:w,A:A,"总成",B:B,"852-253000-100")*INDIRECT(ADDRESS(190,5))</f>
        <v>0</v>
      </c>
      <c r="X190">
        <f>sumifs(x:x,A:A,"总成",B:B,"852-253000-100")*INDIRECT(ADDRESS(190,5))</f>
        <v>0</v>
      </c>
      <c r="Y190">
        <f>sumifs(y:y,A:A,"总成",B:B,"852-253000-100")*INDIRECT(ADDRESS(190,5))</f>
        <v>0</v>
      </c>
      <c r="Z190">
        <f>sumifs(z:z,A:A,"总成",B:B,"852-253000-100")*INDIRECT(ADDRESS(190,5))</f>
        <v>0</v>
      </c>
      <c r="AA190">
        <f>sumifs(aa:aa,A:A,"总成",B:B,"852-253000-100")*INDIRECT(ADDRESS(190,5))</f>
        <v>0</v>
      </c>
      <c r="AB190">
        <f>sumifs(ab:ab,A:A,"总成",B:B,"852-253000-100")*INDIRECT(ADDRESS(190,5))</f>
        <v>0</v>
      </c>
      <c r="AC190">
        <f>sumifs(ac:ac,A:A,"总成",B:B,"852-253000-100")*INDIRECT(ADDRESS(190,5))</f>
        <v>0</v>
      </c>
      <c r="AD190">
        <f>sumifs(ad:ad,A:A,"总成",B:B,"852-253000-100")*INDIRECT(ADDRESS(190,5))</f>
        <v>0</v>
      </c>
      <c r="AE190">
        <f>sumifs(ae:ae,A:A,"总成",B:B,"852-253000-100")*INDIRECT(ADDRESS(190,5))</f>
        <v>0</v>
      </c>
      <c r="AF190">
        <f>sumifs(af:af,A:A,"总成",B:B,"852-253000-100")*INDIRECT(ADDRESS(190,5))</f>
        <v>0</v>
      </c>
      <c r="AG190">
        <f>sumifs(ag:ag,A:A,"总成",B:B,"852-253000-100")*INDIRECT(ADDRESS(190,5))</f>
        <v>0</v>
      </c>
      <c r="AH190">
        <f>sumifs(ah:ah,A:A,"总成",B:B,"852-253000-100")*INDIRECT(ADDRESS(190,5))</f>
        <v>0</v>
      </c>
      <c r="AI190">
        <f>sumifs(ai:ai,A:A,"总成",B:B,"852-253000-100")*INDIRECT(ADDRESS(190,5))</f>
        <v>0</v>
      </c>
      <c r="AJ190">
        <f>sumifs(aj:aj,A:A,"总成",B:B,"852-253000-100")*INDIRECT(ADDRESS(190,5))</f>
        <v>0</v>
      </c>
      <c r="AK190">
        <f>sumifs(ak:ak,A:A,"总成",B:B,"852-253000-100")*INDIRECT(ADDRESS(190,5))</f>
        <v>0</v>
      </c>
      <c r="AL190">
        <f>sumifs(al:al,A:A,"总成",B:B,"852-253000-100")*INDIRECT(ADDRESS(190,5))</f>
        <v>0</v>
      </c>
      <c r="AM190">
        <f>sumifs(am:am,A:A,"总成",B:B,"852-253000-100")*INDIRECT(ADDRESS(190,5))</f>
        <v>0</v>
      </c>
      <c r="AN190">
        <f>sumifs(an:an,A:A,"总成",B:B,"852-253000-100")*INDIRECT(ADDRESS(190,5))</f>
        <v>0</v>
      </c>
      <c r="AO190">
        <f>sumifs(ao:ao,A:A,"总成",B:B,"852-253000-100")*INDIRECT(ADDRESS(190,5))</f>
        <v>0</v>
      </c>
      <c r="AP190">
        <f>sumifs(ap:ap,A:A,"总成",B:B,"852-253000-100")*INDIRECT(ADDRESS(190,5))</f>
        <v>0</v>
      </c>
      <c r="AQ190">
        <f>sumifs(aq:aq,A:A,"总成",B:B,"852-253000-100")*INDIRECT(ADDRESS(190,5))</f>
        <v>0</v>
      </c>
      <c r="AR190">
        <f>sumifs(ar:ar,A:A,"总成",B:B,"852-253000-100")*INDIRECT(ADDRESS(190,5))</f>
        <v>0</v>
      </c>
    </row>
    <row r="191" spans="1:44">
      <c r="A191" t="s">
        <v>31</v>
      </c>
      <c r="B191" t="s">
        <v>414</v>
      </c>
      <c r="C191" t="s">
        <v>415</v>
      </c>
      <c r="D191" t="s">
        <v>17</v>
      </c>
      <c r="E191">
        <v>1</v>
      </c>
      <c r="F191" t="s">
        <v>416</v>
      </c>
      <c r="K191" t="s">
        <v>308</v>
      </c>
      <c r="L191" t="s">
        <v>37</v>
      </c>
      <c r="M191">
        <f>sumifs(m:m,A:A,"总成",B:B,"852-253000-100")*INDIRECT(ADDRESS(191,5))</f>
        <v>0</v>
      </c>
      <c r="N191">
        <f>sumifs(n:n,A:A,"总成",B:B,"852-253000-100")*INDIRECT(ADDRESS(191,5))</f>
        <v>0</v>
      </c>
      <c r="O191">
        <f>sumifs(o:o,A:A,"总成",B:B,"852-253000-100")*INDIRECT(ADDRESS(191,5))</f>
        <v>0</v>
      </c>
      <c r="P191">
        <f>sumifs(p:p,A:A,"总成",B:B,"852-253000-100")*INDIRECT(ADDRESS(191,5))</f>
        <v>0</v>
      </c>
      <c r="Q191">
        <f>sumifs(q:q,A:A,"总成",B:B,"852-253000-100")*INDIRECT(ADDRESS(191,5))</f>
        <v>0</v>
      </c>
      <c r="R191">
        <f>sumifs(r:r,A:A,"总成",B:B,"852-253000-100")*INDIRECT(ADDRESS(191,5))</f>
        <v>0</v>
      </c>
      <c r="S191">
        <f>sumifs(s:s,A:A,"总成",B:B,"852-253000-100")*INDIRECT(ADDRESS(191,5))</f>
        <v>0</v>
      </c>
      <c r="T191">
        <f>sumifs(t:t,A:A,"总成",B:B,"852-253000-100")*INDIRECT(ADDRESS(191,5))</f>
        <v>0</v>
      </c>
      <c r="U191">
        <f>sumifs(u:u,A:A,"总成",B:B,"852-253000-100")*INDIRECT(ADDRESS(191,5))</f>
        <v>0</v>
      </c>
      <c r="V191">
        <f>sumifs(v:v,A:A,"总成",B:B,"852-253000-100")*INDIRECT(ADDRESS(191,5))</f>
        <v>0</v>
      </c>
      <c r="W191">
        <f>sumifs(w:w,A:A,"总成",B:B,"852-253000-100")*INDIRECT(ADDRESS(191,5))</f>
        <v>0</v>
      </c>
      <c r="X191">
        <f>sumifs(x:x,A:A,"总成",B:B,"852-253000-100")*INDIRECT(ADDRESS(191,5))</f>
        <v>0</v>
      </c>
      <c r="Y191">
        <f>sumifs(y:y,A:A,"总成",B:B,"852-253000-100")*INDIRECT(ADDRESS(191,5))</f>
        <v>0</v>
      </c>
      <c r="Z191">
        <f>sumifs(z:z,A:A,"总成",B:B,"852-253000-100")*INDIRECT(ADDRESS(191,5))</f>
        <v>0</v>
      </c>
      <c r="AA191">
        <f>sumifs(aa:aa,A:A,"总成",B:B,"852-253000-100")*INDIRECT(ADDRESS(191,5))</f>
        <v>0</v>
      </c>
      <c r="AB191">
        <f>sumifs(ab:ab,A:A,"总成",B:B,"852-253000-100")*INDIRECT(ADDRESS(191,5))</f>
        <v>0</v>
      </c>
      <c r="AC191">
        <f>sumifs(ac:ac,A:A,"总成",B:B,"852-253000-100")*INDIRECT(ADDRESS(191,5))</f>
        <v>0</v>
      </c>
      <c r="AD191">
        <f>sumifs(ad:ad,A:A,"总成",B:B,"852-253000-100")*INDIRECT(ADDRESS(191,5))</f>
        <v>0</v>
      </c>
      <c r="AE191">
        <f>sumifs(ae:ae,A:A,"总成",B:B,"852-253000-100")*INDIRECT(ADDRESS(191,5))</f>
        <v>0</v>
      </c>
      <c r="AF191">
        <f>sumifs(af:af,A:A,"总成",B:B,"852-253000-100")*INDIRECT(ADDRESS(191,5))</f>
        <v>0</v>
      </c>
      <c r="AG191">
        <f>sumifs(ag:ag,A:A,"总成",B:B,"852-253000-100")*INDIRECT(ADDRESS(191,5))</f>
        <v>0</v>
      </c>
      <c r="AH191">
        <f>sumifs(ah:ah,A:A,"总成",B:B,"852-253000-100")*INDIRECT(ADDRESS(191,5))</f>
        <v>0</v>
      </c>
      <c r="AI191">
        <f>sumifs(ai:ai,A:A,"总成",B:B,"852-253000-100")*INDIRECT(ADDRESS(191,5))</f>
        <v>0</v>
      </c>
      <c r="AJ191">
        <f>sumifs(aj:aj,A:A,"总成",B:B,"852-253000-100")*INDIRECT(ADDRESS(191,5))</f>
        <v>0</v>
      </c>
      <c r="AK191">
        <f>sumifs(ak:ak,A:A,"总成",B:B,"852-253000-100")*INDIRECT(ADDRESS(191,5))</f>
        <v>0</v>
      </c>
      <c r="AL191">
        <f>sumifs(al:al,A:A,"总成",B:B,"852-253000-100")*INDIRECT(ADDRESS(191,5))</f>
        <v>0</v>
      </c>
      <c r="AM191">
        <f>sumifs(am:am,A:A,"总成",B:B,"852-253000-100")*INDIRECT(ADDRESS(191,5))</f>
        <v>0</v>
      </c>
      <c r="AN191">
        <f>sumifs(an:an,A:A,"总成",B:B,"852-253000-100")*INDIRECT(ADDRESS(191,5))</f>
        <v>0</v>
      </c>
      <c r="AO191">
        <f>sumifs(ao:ao,A:A,"总成",B:B,"852-253000-100")*INDIRECT(ADDRESS(191,5))</f>
        <v>0</v>
      </c>
      <c r="AP191">
        <f>sumifs(ap:ap,A:A,"总成",B:B,"852-253000-100")*INDIRECT(ADDRESS(191,5))</f>
        <v>0</v>
      </c>
      <c r="AQ191">
        <f>sumifs(aq:aq,A:A,"总成",B:B,"852-253000-100")*INDIRECT(ADDRESS(191,5))</f>
        <v>0</v>
      </c>
      <c r="AR191">
        <f>sumifs(ar:ar,A:A,"总成",B:B,"852-253000-100")*INDIRECT(ADDRESS(191,5))</f>
        <v>0</v>
      </c>
    </row>
    <row r="192" spans="1:44">
      <c r="A192" t="s">
        <v>14</v>
      </c>
      <c r="B192" t="s">
        <v>251</v>
      </c>
      <c r="C192" t="s">
        <v>252</v>
      </c>
      <c r="D192" t="s">
        <v>304</v>
      </c>
      <c r="E192">
        <v>1</v>
      </c>
      <c r="F192" t="s">
        <v>253</v>
      </c>
      <c r="K192" t="s">
        <v>305</v>
      </c>
      <c r="L192" t="s">
        <v>21</v>
      </c>
      <c r="M192">
        <f>vlookup("852-254000-100",生产发行表!B:AZ,column(l1),0)</f>
        <v>0</v>
      </c>
      <c r="N192">
        <f>vlookup("852-254000-100",生产发行表!B:AZ,column(m1),0)</f>
        <v>0</v>
      </c>
      <c r="O192">
        <f>vlookup("852-254000-100",生产发行表!B:AZ,column(n1),0)</f>
        <v>0</v>
      </c>
      <c r="P192">
        <f>vlookup("852-254000-100",生产发行表!B:AZ,column(o1),0)</f>
        <v>0</v>
      </c>
      <c r="Q192">
        <f>vlookup("852-254000-100",生产发行表!B:AZ,column(p1),0)</f>
        <v>0</v>
      </c>
      <c r="R192">
        <f>vlookup("852-254000-100",生产发行表!B:AZ,column(q1),0)</f>
        <v>0</v>
      </c>
      <c r="S192">
        <f>vlookup("852-254000-100",生产发行表!B:AZ,column(r1),0)</f>
        <v>0</v>
      </c>
      <c r="T192">
        <f>vlookup("852-254000-100",生产发行表!B:AZ,column(s1),0)</f>
        <v>0</v>
      </c>
      <c r="U192">
        <f>vlookup("852-254000-100",生产发行表!B:AZ,column(t1),0)</f>
        <v>0</v>
      </c>
      <c r="V192">
        <f>vlookup("852-254000-100",生产发行表!B:AZ,column(u1),0)</f>
        <v>0</v>
      </c>
      <c r="W192">
        <f>vlookup("852-254000-100",生产发行表!B:AZ,column(v1),0)</f>
        <v>0</v>
      </c>
      <c r="X192">
        <f>vlookup("852-254000-100",生产发行表!B:AZ,column(w1),0)</f>
        <v>0</v>
      </c>
      <c r="Y192">
        <f>vlookup("852-254000-100",生产发行表!B:AZ,column(x1),0)</f>
        <v>0</v>
      </c>
      <c r="Z192">
        <f>vlookup("852-254000-100",生产发行表!B:AZ,column(y1),0)</f>
        <v>0</v>
      </c>
      <c r="AA192">
        <f>vlookup("852-254000-100",生产发行表!B:AZ,column(z1),0)</f>
        <v>0</v>
      </c>
      <c r="AB192">
        <f>vlookup("852-254000-100",生产发行表!B:AZ,column(aa1),0)</f>
        <v>0</v>
      </c>
      <c r="AC192">
        <f>vlookup("852-254000-100",生产发行表!B:AZ,column(ab1),0)</f>
        <v>0</v>
      </c>
      <c r="AD192">
        <f>vlookup("852-254000-100",生产发行表!B:AZ,column(ac1),0)</f>
        <v>0</v>
      </c>
      <c r="AE192">
        <f>vlookup("852-254000-100",生产发行表!B:AZ,column(ad1),0)</f>
        <v>0</v>
      </c>
      <c r="AF192">
        <f>vlookup("852-254000-100",生产发行表!B:AZ,column(ae1),0)</f>
        <v>0</v>
      </c>
      <c r="AG192">
        <f>vlookup("852-254000-100",生产发行表!B:AZ,column(af1),0)</f>
        <v>0</v>
      </c>
      <c r="AH192">
        <f>vlookup("852-254000-100",生产发行表!B:AZ,column(ag1),0)</f>
        <v>0</v>
      </c>
      <c r="AI192">
        <f>vlookup("852-254000-100",生产发行表!B:AZ,column(ah1),0)</f>
        <v>0</v>
      </c>
      <c r="AJ192">
        <f>vlookup("852-254000-100",生产发行表!B:AZ,column(ai1),0)</f>
        <v>0</v>
      </c>
      <c r="AK192">
        <f>vlookup("852-254000-100",生产发行表!B:AZ,column(aj1),0)</f>
        <v>0</v>
      </c>
      <c r="AL192">
        <f>vlookup("852-254000-100",生产发行表!B:AZ,column(ak1),0)</f>
        <v>0</v>
      </c>
      <c r="AM192">
        <f>vlookup("852-254000-100",生产发行表!B:AZ,column(al1),0)</f>
        <v>0</v>
      </c>
      <c r="AN192">
        <f>vlookup("852-254000-100",生产发行表!B:AZ,column(am1),0)</f>
        <v>0</v>
      </c>
      <c r="AO192">
        <f>vlookup("852-254000-100",生产发行表!B:AZ,column(an1),0)</f>
        <v>0</v>
      </c>
      <c r="AP192">
        <f>vlookup("852-254000-100",生产发行表!B:AZ,column(ao1),0)</f>
        <v>0</v>
      </c>
      <c r="AQ192">
        <f>vlookup("852-254000-100",生产发行表!B:AZ,column(ap1),0)</f>
        <v>0</v>
      </c>
      <c r="AR192">
        <f>vlookup("852-254000-100",生产发行表!B:AZ,column(aq1),0)</f>
        <v>0</v>
      </c>
    </row>
    <row r="193" spans="1:44">
      <c r="A193" t="s">
        <v>31</v>
      </c>
      <c r="B193" t="s">
        <v>417</v>
      </c>
      <c r="C193" t="s">
        <v>418</v>
      </c>
      <c r="D193" t="s">
        <v>256</v>
      </c>
      <c r="E193">
        <v>1</v>
      </c>
      <c r="F193" t="s">
        <v>419</v>
      </c>
      <c r="K193" t="s">
        <v>308</v>
      </c>
      <c r="L193" t="s">
        <v>37</v>
      </c>
      <c r="M193">
        <f>sumifs(m:m,A:A,"总成",B:B,"852-254000-100")*INDIRECT(ADDRESS(193,5))</f>
        <v>0</v>
      </c>
      <c r="N193">
        <f>sumifs(n:n,A:A,"总成",B:B,"852-254000-100")*INDIRECT(ADDRESS(193,5))</f>
        <v>0</v>
      </c>
      <c r="O193">
        <f>sumifs(o:o,A:A,"总成",B:B,"852-254000-100")*INDIRECT(ADDRESS(193,5))</f>
        <v>0</v>
      </c>
      <c r="P193">
        <f>sumifs(p:p,A:A,"总成",B:B,"852-254000-100")*INDIRECT(ADDRESS(193,5))</f>
        <v>0</v>
      </c>
      <c r="Q193">
        <f>sumifs(q:q,A:A,"总成",B:B,"852-254000-100")*INDIRECT(ADDRESS(193,5))</f>
        <v>0</v>
      </c>
      <c r="R193">
        <f>sumifs(r:r,A:A,"总成",B:B,"852-254000-100")*INDIRECT(ADDRESS(193,5))</f>
        <v>0</v>
      </c>
      <c r="S193">
        <f>sumifs(s:s,A:A,"总成",B:B,"852-254000-100")*INDIRECT(ADDRESS(193,5))</f>
        <v>0</v>
      </c>
      <c r="T193">
        <f>sumifs(t:t,A:A,"总成",B:B,"852-254000-100")*INDIRECT(ADDRESS(193,5))</f>
        <v>0</v>
      </c>
      <c r="U193">
        <f>sumifs(u:u,A:A,"总成",B:B,"852-254000-100")*INDIRECT(ADDRESS(193,5))</f>
        <v>0</v>
      </c>
      <c r="V193">
        <f>sumifs(v:v,A:A,"总成",B:B,"852-254000-100")*INDIRECT(ADDRESS(193,5))</f>
        <v>0</v>
      </c>
      <c r="W193">
        <f>sumifs(w:w,A:A,"总成",B:B,"852-254000-100")*INDIRECT(ADDRESS(193,5))</f>
        <v>0</v>
      </c>
      <c r="X193">
        <f>sumifs(x:x,A:A,"总成",B:B,"852-254000-100")*INDIRECT(ADDRESS(193,5))</f>
        <v>0</v>
      </c>
      <c r="Y193">
        <f>sumifs(y:y,A:A,"总成",B:B,"852-254000-100")*INDIRECT(ADDRESS(193,5))</f>
        <v>0</v>
      </c>
      <c r="Z193">
        <f>sumifs(z:z,A:A,"总成",B:B,"852-254000-100")*INDIRECT(ADDRESS(193,5))</f>
        <v>0</v>
      </c>
      <c r="AA193">
        <f>sumifs(aa:aa,A:A,"总成",B:B,"852-254000-100")*INDIRECT(ADDRESS(193,5))</f>
        <v>0</v>
      </c>
      <c r="AB193">
        <f>sumifs(ab:ab,A:A,"总成",B:B,"852-254000-100")*INDIRECT(ADDRESS(193,5))</f>
        <v>0</v>
      </c>
      <c r="AC193">
        <f>sumifs(ac:ac,A:A,"总成",B:B,"852-254000-100")*INDIRECT(ADDRESS(193,5))</f>
        <v>0</v>
      </c>
      <c r="AD193">
        <f>sumifs(ad:ad,A:A,"总成",B:B,"852-254000-100")*INDIRECT(ADDRESS(193,5))</f>
        <v>0</v>
      </c>
      <c r="AE193">
        <f>sumifs(ae:ae,A:A,"总成",B:B,"852-254000-100")*INDIRECT(ADDRESS(193,5))</f>
        <v>0</v>
      </c>
      <c r="AF193">
        <f>sumifs(af:af,A:A,"总成",B:B,"852-254000-100")*INDIRECT(ADDRESS(193,5))</f>
        <v>0</v>
      </c>
      <c r="AG193">
        <f>sumifs(ag:ag,A:A,"总成",B:B,"852-254000-100")*INDIRECT(ADDRESS(193,5))</f>
        <v>0</v>
      </c>
      <c r="AH193">
        <f>sumifs(ah:ah,A:A,"总成",B:B,"852-254000-100")*INDIRECT(ADDRESS(193,5))</f>
        <v>0</v>
      </c>
      <c r="AI193">
        <f>sumifs(ai:ai,A:A,"总成",B:B,"852-254000-100")*INDIRECT(ADDRESS(193,5))</f>
        <v>0</v>
      </c>
      <c r="AJ193">
        <f>sumifs(aj:aj,A:A,"总成",B:B,"852-254000-100")*INDIRECT(ADDRESS(193,5))</f>
        <v>0</v>
      </c>
      <c r="AK193">
        <f>sumifs(ak:ak,A:A,"总成",B:B,"852-254000-100")*INDIRECT(ADDRESS(193,5))</f>
        <v>0</v>
      </c>
      <c r="AL193">
        <f>sumifs(al:al,A:A,"总成",B:B,"852-254000-100")*INDIRECT(ADDRESS(193,5))</f>
        <v>0</v>
      </c>
      <c r="AM193">
        <f>sumifs(am:am,A:A,"总成",B:B,"852-254000-100")*INDIRECT(ADDRESS(193,5))</f>
        <v>0</v>
      </c>
      <c r="AN193">
        <f>sumifs(an:an,A:A,"总成",B:B,"852-254000-100")*INDIRECT(ADDRESS(193,5))</f>
        <v>0</v>
      </c>
      <c r="AO193">
        <f>sumifs(ao:ao,A:A,"总成",B:B,"852-254000-100")*INDIRECT(ADDRESS(193,5))</f>
        <v>0</v>
      </c>
      <c r="AP193">
        <f>sumifs(ap:ap,A:A,"总成",B:B,"852-254000-100")*INDIRECT(ADDRESS(193,5))</f>
        <v>0</v>
      </c>
      <c r="AQ193">
        <f>sumifs(aq:aq,A:A,"总成",B:B,"852-254000-100")*INDIRECT(ADDRESS(193,5))</f>
        <v>0</v>
      </c>
      <c r="AR193">
        <f>sumifs(ar:ar,A:A,"总成",B:B,"852-254000-100")*INDIRECT(ADDRESS(193,5))</f>
        <v>0</v>
      </c>
    </row>
    <row r="194" spans="1:44">
      <c r="A194" t="s">
        <v>14</v>
      </c>
      <c r="B194" t="s">
        <v>259</v>
      </c>
      <c r="C194" t="s">
        <v>260</v>
      </c>
      <c r="D194" t="s">
        <v>256</v>
      </c>
      <c r="E194">
        <v>1</v>
      </c>
      <c r="F194" t="s">
        <v>261</v>
      </c>
      <c r="K194" t="s">
        <v>305</v>
      </c>
      <c r="L194" t="s">
        <v>21</v>
      </c>
      <c r="M194">
        <f>vlookup("212-045000-000",生产发行表!B:AZ,column(l1),0)</f>
        <v>0</v>
      </c>
      <c r="N194">
        <f>vlookup("212-045000-000",生产发行表!B:AZ,column(m1),0)</f>
        <v>0</v>
      </c>
      <c r="O194">
        <f>vlookup("212-045000-000",生产发行表!B:AZ,column(n1),0)</f>
        <v>0</v>
      </c>
      <c r="P194">
        <f>vlookup("212-045000-000",生产发行表!B:AZ,column(o1),0)</f>
        <v>0</v>
      </c>
      <c r="Q194">
        <f>vlookup("212-045000-000",生产发行表!B:AZ,column(p1),0)</f>
        <v>0</v>
      </c>
      <c r="R194">
        <f>vlookup("212-045000-000",生产发行表!B:AZ,column(q1),0)</f>
        <v>0</v>
      </c>
      <c r="S194">
        <f>vlookup("212-045000-000",生产发行表!B:AZ,column(r1),0)</f>
        <v>0</v>
      </c>
      <c r="T194">
        <f>vlookup("212-045000-000",生产发行表!B:AZ,column(s1),0)</f>
        <v>0</v>
      </c>
      <c r="U194">
        <f>vlookup("212-045000-000",生产发行表!B:AZ,column(t1),0)</f>
        <v>0</v>
      </c>
      <c r="V194">
        <f>vlookup("212-045000-000",生产发行表!B:AZ,column(u1),0)</f>
        <v>0</v>
      </c>
      <c r="W194">
        <f>vlookup("212-045000-000",生产发行表!B:AZ,column(v1),0)</f>
        <v>0</v>
      </c>
      <c r="X194">
        <f>vlookup("212-045000-000",生产发行表!B:AZ,column(w1),0)</f>
        <v>0</v>
      </c>
      <c r="Y194">
        <f>vlookup("212-045000-000",生产发行表!B:AZ,column(x1),0)</f>
        <v>0</v>
      </c>
      <c r="Z194">
        <f>vlookup("212-045000-000",生产发行表!B:AZ,column(y1),0)</f>
        <v>0</v>
      </c>
      <c r="AA194">
        <f>vlookup("212-045000-000",生产发行表!B:AZ,column(z1),0)</f>
        <v>0</v>
      </c>
      <c r="AB194">
        <f>vlookup("212-045000-000",生产发行表!B:AZ,column(aa1),0)</f>
        <v>0</v>
      </c>
      <c r="AC194">
        <f>vlookup("212-045000-000",生产发行表!B:AZ,column(ab1),0)</f>
        <v>0</v>
      </c>
      <c r="AD194">
        <f>vlookup("212-045000-000",生产发行表!B:AZ,column(ac1),0)</f>
        <v>0</v>
      </c>
      <c r="AE194">
        <f>vlookup("212-045000-000",生产发行表!B:AZ,column(ad1),0)</f>
        <v>0</v>
      </c>
      <c r="AF194">
        <f>vlookup("212-045000-000",生产发行表!B:AZ,column(ae1),0)</f>
        <v>0</v>
      </c>
      <c r="AG194">
        <f>vlookup("212-045000-000",生产发行表!B:AZ,column(af1),0)</f>
        <v>0</v>
      </c>
      <c r="AH194">
        <f>vlookup("212-045000-000",生产发行表!B:AZ,column(ag1),0)</f>
        <v>0</v>
      </c>
      <c r="AI194">
        <f>vlookup("212-045000-000",生产发行表!B:AZ,column(ah1),0)</f>
        <v>0</v>
      </c>
      <c r="AJ194">
        <f>vlookup("212-045000-000",生产发行表!B:AZ,column(ai1),0)</f>
        <v>0</v>
      </c>
      <c r="AK194">
        <f>vlookup("212-045000-000",生产发行表!B:AZ,column(aj1),0)</f>
        <v>0</v>
      </c>
      <c r="AL194">
        <f>vlookup("212-045000-000",生产发行表!B:AZ,column(ak1),0)</f>
        <v>0</v>
      </c>
      <c r="AM194">
        <f>vlookup("212-045000-000",生产发行表!B:AZ,column(al1),0)</f>
        <v>0</v>
      </c>
      <c r="AN194">
        <f>vlookup("212-045000-000",生产发行表!B:AZ,column(am1),0)</f>
        <v>0</v>
      </c>
      <c r="AO194">
        <f>vlookup("212-045000-000",生产发行表!B:AZ,column(an1),0)</f>
        <v>0</v>
      </c>
      <c r="AP194">
        <f>vlookup("212-045000-000",生产发行表!B:AZ,column(ao1),0)</f>
        <v>0</v>
      </c>
      <c r="AQ194">
        <f>vlookup("212-045000-000",生产发行表!B:AZ,column(ap1),0)</f>
        <v>0</v>
      </c>
      <c r="AR194">
        <f>vlookup("212-045000-000",生产发行表!B:AZ,column(aq1),0)</f>
        <v>0</v>
      </c>
    </row>
    <row r="195" spans="1:44">
      <c r="A195" t="s">
        <v>31</v>
      </c>
      <c r="B195" t="s">
        <v>420</v>
      </c>
      <c r="C195" t="s">
        <v>421</v>
      </c>
      <c r="D195" t="s">
        <v>17</v>
      </c>
      <c r="E195">
        <v>1</v>
      </c>
      <c r="F195" t="s">
        <v>422</v>
      </c>
      <c r="K195" t="s">
        <v>308</v>
      </c>
      <c r="L195" t="s">
        <v>37</v>
      </c>
      <c r="M195">
        <f>sumifs(m:m,A:A,"总成",B:B,"212-045000-000")*INDIRECT(ADDRESS(195,5))</f>
        <v>0</v>
      </c>
      <c r="N195">
        <f>sumifs(n:n,A:A,"总成",B:B,"212-045000-000")*INDIRECT(ADDRESS(195,5))</f>
        <v>0</v>
      </c>
      <c r="O195">
        <f>sumifs(o:o,A:A,"总成",B:B,"212-045000-000")*INDIRECT(ADDRESS(195,5))</f>
        <v>0</v>
      </c>
      <c r="P195">
        <f>sumifs(p:p,A:A,"总成",B:B,"212-045000-000")*INDIRECT(ADDRESS(195,5))</f>
        <v>0</v>
      </c>
      <c r="Q195">
        <f>sumifs(q:q,A:A,"总成",B:B,"212-045000-000")*INDIRECT(ADDRESS(195,5))</f>
        <v>0</v>
      </c>
      <c r="R195">
        <f>sumifs(r:r,A:A,"总成",B:B,"212-045000-000")*INDIRECT(ADDRESS(195,5))</f>
        <v>0</v>
      </c>
      <c r="S195">
        <f>sumifs(s:s,A:A,"总成",B:B,"212-045000-000")*INDIRECT(ADDRESS(195,5))</f>
        <v>0</v>
      </c>
      <c r="T195">
        <f>sumifs(t:t,A:A,"总成",B:B,"212-045000-000")*INDIRECT(ADDRESS(195,5))</f>
        <v>0</v>
      </c>
      <c r="U195">
        <f>sumifs(u:u,A:A,"总成",B:B,"212-045000-000")*INDIRECT(ADDRESS(195,5))</f>
        <v>0</v>
      </c>
      <c r="V195">
        <f>sumifs(v:v,A:A,"总成",B:B,"212-045000-000")*INDIRECT(ADDRESS(195,5))</f>
        <v>0</v>
      </c>
      <c r="W195">
        <f>sumifs(w:w,A:A,"总成",B:B,"212-045000-000")*INDIRECT(ADDRESS(195,5))</f>
        <v>0</v>
      </c>
      <c r="X195">
        <f>sumifs(x:x,A:A,"总成",B:B,"212-045000-000")*INDIRECT(ADDRESS(195,5))</f>
        <v>0</v>
      </c>
      <c r="Y195">
        <f>sumifs(y:y,A:A,"总成",B:B,"212-045000-000")*INDIRECT(ADDRESS(195,5))</f>
        <v>0</v>
      </c>
      <c r="Z195">
        <f>sumifs(z:z,A:A,"总成",B:B,"212-045000-000")*INDIRECT(ADDRESS(195,5))</f>
        <v>0</v>
      </c>
      <c r="AA195">
        <f>sumifs(aa:aa,A:A,"总成",B:B,"212-045000-000")*INDIRECT(ADDRESS(195,5))</f>
        <v>0</v>
      </c>
      <c r="AB195">
        <f>sumifs(ab:ab,A:A,"总成",B:B,"212-045000-000")*INDIRECT(ADDRESS(195,5))</f>
        <v>0</v>
      </c>
      <c r="AC195">
        <f>sumifs(ac:ac,A:A,"总成",B:B,"212-045000-000")*INDIRECT(ADDRESS(195,5))</f>
        <v>0</v>
      </c>
      <c r="AD195">
        <f>sumifs(ad:ad,A:A,"总成",B:B,"212-045000-000")*INDIRECT(ADDRESS(195,5))</f>
        <v>0</v>
      </c>
      <c r="AE195">
        <f>sumifs(ae:ae,A:A,"总成",B:B,"212-045000-000")*INDIRECT(ADDRESS(195,5))</f>
        <v>0</v>
      </c>
      <c r="AF195">
        <f>sumifs(af:af,A:A,"总成",B:B,"212-045000-000")*INDIRECT(ADDRESS(195,5))</f>
        <v>0</v>
      </c>
      <c r="AG195">
        <f>sumifs(ag:ag,A:A,"总成",B:B,"212-045000-000")*INDIRECT(ADDRESS(195,5))</f>
        <v>0</v>
      </c>
      <c r="AH195">
        <f>sumifs(ah:ah,A:A,"总成",B:B,"212-045000-000")*INDIRECT(ADDRESS(195,5))</f>
        <v>0</v>
      </c>
      <c r="AI195">
        <f>sumifs(ai:ai,A:A,"总成",B:B,"212-045000-000")*INDIRECT(ADDRESS(195,5))</f>
        <v>0</v>
      </c>
      <c r="AJ195">
        <f>sumifs(aj:aj,A:A,"总成",B:B,"212-045000-000")*INDIRECT(ADDRESS(195,5))</f>
        <v>0</v>
      </c>
      <c r="AK195">
        <f>sumifs(ak:ak,A:A,"总成",B:B,"212-045000-000")*INDIRECT(ADDRESS(195,5))</f>
        <v>0</v>
      </c>
      <c r="AL195">
        <f>sumifs(al:al,A:A,"总成",B:B,"212-045000-000")*INDIRECT(ADDRESS(195,5))</f>
        <v>0</v>
      </c>
      <c r="AM195">
        <f>sumifs(am:am,A:A,"总成",B:B,"212-045000-000")*INDIRECT(ADDRESS(195,5))</f>
        <v>0</v>
      </c>
      <c r="AN195">
        <f>sumifs(an:an,A:A,"总成",B:B,"212-045000-000")*INDIRECT(ADDRESS(195,5))</f>
        <v>0</v>
      </c>
      <c r="AO195">
        <f>sumifs(ao:ao,A:A,"总成",B:B,"212-045000-000")*INDIRECT(ADDRESS(195,5))</f>
        <v>0</v>
      </c>
      <c r="AP195">
        <f>sumifs(ap:ap,A:A,"总成",B:B,"212-045000-000")*INDIRECT(ADDRESS(195,5))</f>
        <v>0</v>
      </c>
      <c r="AQ195">
        <f>sumifs(aq:aq,A:A,"总成",B:B,"212-045000-000")*INDIRECT(ADDRESS(195,5))</f>
        <v>0</v>
      </c>
      <c r="AR195">
        <f>sumifs(ar:ar,A:A,"总成",B:B,"212-045000-000")*INDIRECT(ADDRESS(195,5))</f>
        <v>0</v>
      </c>
    </row>
    <row r="196" spans="1:44">
      <c r="A196" t="s">
        <v>14</v>
      </c>
      <c r="B196" t="s">
        <v>271</v>
      </c>
      <c r="C196" t="s">
        <v>272</v>
      </c>
      <c r="D196" t="s">
        <v>256</v>
      </c>
      <c r="E196">
        <v>1</v>
      </c>
      <c r="F196" t="s">
        <v>273</v>
      </c>
      <c r="K196" t="s">
        <v>305</v>
      </c>
      <c r="L196" t="s">
        <v>21</v>
      </c>
      <c r="M196">
        <f>vlookup("852-255000-100",生产发行表!B:AZ,column(l1),0)</f>
        <v>0</v>
      </c>
      <c r="N196">
        <f>vlookup("852-255000-100",生产发行表!B:AZ,column(m1),0)</f>
        <v>0</v>
      </c>
      <c r="O196">
        <f>vlookup("852-255000-100",生产发行表!B:AZ,column(n1),0)</f>
        <v>0</v>
      </c>
      <c r="P196">
        <f>vlookup("852-255000-100",生产发行表!B:AZ,column(o1),0)</f>
        <v>0</v>
      </c>
      <c r="Q196">
        <f>vlookup("852-255000-100",生产发行表!B:AZ,column(p1),0)</f>
        <v>0</v>
      </c>
      <c r="R196">
        <f>vlookup("852-255000-100",生产发行表!B:AZ,column(q1),0)</f>
        <v>0</v>
      </c>
      <c r="S196">
        <f>vlookup("852-255000-100",生产发行表!B:AZ,column(r1),0)</f>
        <v>0</v>
      </c>
      <c r="T196">
        <f>vlookup("852-255000-100",生产发行表!B:AZ,column(s1),0)</f>
        <v>0</v>
      </c>
      <c r="U196">
        <f>vlookup("852-255000-100",生产发行表!B:AZ,column(t1),0)</f>
        <v>0</v>
      </c>
      <c r="V196">
        <f>vlookup("852-255000-100",生产发行表!B:AZ,column(u1),0)</f>
        <v>0</v>
      </c>
      <c r="W196">
        <f>vlookup("852-255000-100",生产发行表!B:AZ,column(v1),0)</f>
        <v>0</v>
      </c>
      <c r="X196">
        <f>vlookup("852-255000-100",生产发行表!B:AZ,column(w1),0)</f>
        <v>0</v>
      </c>
      <c r="Y196">
        <f>vlookup("852-255000-100",生产发行表!B:AZ,column(x1),0)</f>
        <v>0</v>
      </c>
      <c r="Z196">
        <f>vlookup("852-255000-100",生产发行表!B:AZ,column(y1),0)</f>
        <v>0</v>
      </c>
      <c r="AA196">
        <f>vlookup("852-255000-100",生产发行表!B:AZ,column(z1),0)</f>
        <v>0</v>
      </c>
      <c r="AB196">
        <f>vlookup("852-255000-100",生产发行表!B:AZ,column(aa1),0)</f>
        <v>0</v>
      </c>
      <c r="AC196">
        <f>vlookup("852-255000-100",生产发行表!B:AZ,column(ab1),0)</f>
        <v>0</v>
      </c>
      <c r="AD196">
        <f>vlookup("852-255000-100",生产发行表!B:AZ,column(ac1),0)</f>
        <v>0</v>
      </c>
      <c r="AE196">
        <f>vlookup("852-255000-100",生产发行表!B:AZ,column(ad1),0)</f>
        <v>0</v>
      </c>
      <c r="AF196">
        <f>vlookup("852-255000-100",生产发行表!B:AZ,column(ae1),0)</f>
        <v>0</v>
      </c>
      <c r="AG196">
        <f>vlookup("852-255000-100",生产发行表!B:AZ,column(af1),0)</f>
        <v>0</v>
      </c>
      <c r="AH196">
        <f>vlookup("852-255000-100",生产发行表!B:AZ,column(ag1),0)</f>
        <v>0</v>
      </c>
      <c r="AI196">
        <f>vlookup("852-255000-100",生产发行表!B:AZ,column(ah1),0)</f>
        <v>0</v>
      </c>
      <c r="AJ196">
        <f>vlookup("852-255000-100",生产发行表!B:AZ,column(ai1),0)</f>
        <v>0</v>
      </c>
      <c r="AK196">
        <f>vlookup("852-255000-100",生产发行表!B:AZ,column(aj1),0)</f>
        <v>0</v>
      </c>
      <c r="AL196">
        <f>vlookup("852-255000-100",生产发行表!B:AZ,column(ak1),0)</f>
        <v>0</v>
      </c>
      <c r="AM196">
        <f>vlookup("852-255000-100",生产发行表!B:AZ,column(al1),0)</f>
        <v>0</v>
      </c>
      <c r="AN196">
        <f>vlookup("852-255000-100",生产发行表!B:AZ,column(am1),0)</f>
        <v>0</v>
      </c>
      <c r="AO196">
        <f>vlookup("852-255000-100",生产发行表!B:AZ,column(an1),0)</f>
        <v>0</v>
      </c>
      <c r="AP196">
        <f>vlookup("852-255000-100",生产发行表!B:AZ,column(ao1),0)</f>
        <v>0</v>
      </c>
      <c r="AQ196">
        <f>vlookup("852-255000-100",生产发行表!B:AZ,column(ap1),0)</f>
        <v>0</v>
      </c>
      <c r="AR196">
        <f>vlookup("852-255000-100",生产发行表!B:AZ,column(aq1),0)</f>
        <v>0</v>
      </c>
    </row>
    <row r="197" spans="1:44">
      <c r="A197" t="s">
        <v>31</v>
      </c>
      <c r="B197" t="s">
        <v>423</v>
      </c>
      <c r="C197" t="s">
        <v>424</v>
      </c>
      <c r="D197" t="s">
        <v>17</v>
      </c>
      <c r="E197">
        <v>10</v>
      </c>
      <c r="F197" t="s">
        <v>425</v>
      </c>
      <c r="K197" t="s">
        <v>308</v>
      </c>
      <c r="L197" t="s">
        <v>37</v>
      </c>
      <c r="M197">
        <f>sumifs(m:m,A:A,"总成",B:B,"852-255000-100")*INDIRECT(ADDRESS(197,5))</f>
        <v>0</v>
      </c>
      <c r="N197">
        <f>sumifs(n:n,A:A,"总成",B:B,"852-255000-100")*INDIRECT(ADDRESS(197,5))</f>
        <v>0</v>
      </c>
      <c r="O197">
        <f>sumifs(o:o,A:A,"总成",B:B,"852-255000-100")*INDIRECT(ADDRESS(197,5))</f>
        <v>0</v>
      </c>
      <c r="P197">
        <f>sumifs(p:p,A:A,"总成",B:B,"852-255000-100")*INDIRECT(ADDRESS(197,5))</f>
        <v>0</v>
      </c>
      <c r="Q197">
        <f>sumifs(q:q,A:A,"总成",B:B,"852-255000-100")*INDIRECT(ADDRESS(197,5))</f>
        <v>0</v>
      </c>
      <c r="R197">
        <f>sumifs(r:r,A:A,"总成",B:B,"852-255000-100")*INDIRECT(ADDRESS(197,5))</f>
        <v>0</v>
      </c>
      <c r="S197">
        <f>sumifs(s:s,A:A,"总成",B:B,"852-255000-100")*INDIRECT(ADDRESS(197,5))</f>
        <v>0</v>
      </c>
      <c r="T197">
        <f>sumifs(t:t,A:A,"总成",B:B,"852-255000-100")*INDIRECT(ADDRESS(197,5))</f>
        <v>0</v>
      </c>
      <c r="U197">
        <f>sumifs(u:u,A:A,"总成",B:B,"852-255000-100")*INDIRECT(ADDRESS(197,5))</f>
        <v>0</v>
      </c>
      <c r="V197">
        <f>sumifs(v:v,A:A,"总成",B:B,"852-255000-100")*INDIRECT(ADDRESS(197,5))</f>
        <v>0</v>
      </c>
      <c r="W197">
        <f>sumifs(w:w,A:A,"总成",B:B,"852-255000-100")*INDIRECT(ADDRESS(197,5))</f>
        <v>0</v>
      </c>
      <c r="X197">
        <f>sumifs(x:x,A:A,"总成",B:B,"852-255000-100")*INDIRECT(ADDRESS(197,5))</f>
        <v>0</v>
      </c>
      <c r="Y197">
        <f>sumifs(y:y,A:A,"总成",B:B,"852-255000-100")*INDIRECT(ADDRESS(197,5))</f>
        <v>0</v>
      </c>
      <c r="Z197">
        <f>sumifs(z:z,A:A,"总成",B:B,"852-255000-100")*INDIRECT(ADDRESS(197,5))</f>
        <v>0</v>
      </c>
      <c r="AA197">
        <f>sumifs(aa:aa,A:A,"总成",B:B,"852-255000-100")*INDIRECT(ADDRESS(197,5))</f>
        <v>0</v>
      </c>
      <c r="AB197">
        <f>sumifs(ab:ab,A:A,"总成",B:B,"852-255000-100")*INDIRECT(ADDRESS(197,5))</f>
        <v>0</v>
      </c>
      <c r="AC197">
        <f>sumifs(ac:ac,A:A,"总成",B:B,"852-255000-100")*INDIRECT(ADDRESS(197,5))</f>
        <v>0</v>
      </c>
      <c r="AD197">
        <f>sumifs(ad:ad,A:A,"总成",B:B,"852-255000-100")*INDIRECT(ADDRESS(197,5))</f>
        <v>0</v>
      </c>
      <c r="AE197">
        <f>sumifs(ae:ae,A:A,"总成",B:B,"852-255000-100")*INDIRECT(ADDRESS(197,5))</f>
        <v>0</v>
      </c>
      <c r="AF197">
        <f>sumifs(af:af,A:A,"总成",B:B,"852-255000-100")*INDIRECT(ADDRESS(197,5))</f>
        <v>0</v>
      </c>
      <c r="AG197">
        <f>sumifs(ag:ag,A:A,"总成",B:B,"852-255000-100")*INDIRECT(ADDRESS(197,5))</f>
        <v>0</v>
      </c>
      <c r="AH197">
        <f>sumifs(ah:ah,A:A,"总成",B:B,"852-255000-100")*INDIRECT(ADDRESS(197,5))</f>
        <v>0</v>
      </c>
      <c r="AI197">
        <f>sumifs(ai:ai,A:A,"总成",B:B,"852-255000-100")*INDIRECT(ADDRESS(197,5))</f>
        <v>0</v>
      </c>
      <c r="AJ197">
        <f>sumifs(aj:aj,A:A,"总成",B:B,"852-255000-100")*INDIRECT(ADDRESS(197,5))</f>
        <v>0</v>
      </c>
      <c r="AK197">
        <f>sumifs(ak:ak,A:A,"总成",B:B,"852-255000-100")*INDIRECT(ADDRESS(197,5))</f>
        <v>0</v>
      </c>
      <c r="AL197">
        <f>sumifs(al:al,A:A,"总成",B:B,"852-255000-100")*INDIRECT(ADDRESS(197,5))</f>
        <v>0</v>
      </c>
      <c r="AM197">
        <f>sumifs(am:am,A:A,"总成",B:B,"852-255000-100")*INDIRECT(ADDRESS(197,5))</f>
        <v>0</v>
      </c>
      <c r="AN197">
        <f>sumifs(an:an,A:A,"总成",B:B,"852-255000-100")*INDIRECT(ADDRESS(197,5))</f>
        <v>0</v>
      </c>
      <c r="AO197">
        <f>sumifs(ao:ao,A:A,"总成",B:B,"852-255000-100")*INDIRECT(ADDRESS(197,5))</f>
        <v>0</v>
      </c>
      <c r="AP197">
        <f>sumifs(ap:ap,A:A,"总成",B:B,"852-255000-100")*INDIRECT(ADDRESS(197,5))</f>
        <v>0</v>
      </c>
      <c r="AQ197">
        <f>sumifs(aq:aq,A:A,"总成",B:B,"852-255000-100")*INDIRECT(ADDRESS(197,5))</f>
        <v>0</v>
      </c>
      <c r="AR197">
        <f>sumifs(ar:ar,A:A,"总成",B:B,"852-255000-100")*INDIRECT(ADDRESS(197,5))</f>
        <v>0</v>
      </c>
    </row>
    <row r="198" spans="1:44">
      <c r="A198" t="s">
        <v>14</v>
      </c>
      <c r="B198" t="s">
        <v>277</v>
      </c>
      <c r="C198" t="s">
        <v>93</v>
      </c>
      <c r="D198" t="s">
        <v>304</v>
      </c>
      <c r="E198">
        <v>1</v>
      </c>
      <c r="F198" t="s">
        <v>278</v>
      </c>
      <c r="K198" t="s">
        <v>305</v>
      </c>
      <c r="L198" t="s">
        <v>21</v>
      </c>
      <c r="M198">
        <f>vlookup("852-257000-100",生产发行表!B:AZ,column(l1),0)</f>
        <v>0</v>
      </c>
      <c r="N198">
        <f>vlookup("852-257000-100",生产发行表!B:AZ,column(m1),0)</f>
        <v>0</v>
      </c>
      <c r="O198">
        <f>vlookup("852-257000-100",生产发行表!B:AZ,column(n1),0)</f>
        <v>0</v>
      </c>
      <c r="P198">
        <f>vlookup("852-257000-100",生产发行表!B:AZ,column(o1),0)</f>
        <v>0</v>
      </c>
      <c r="Q198">
        <f>vlookup("852-257000-100",生产发行表!B:AZ,column(p1),0)</f>
        <v>0</v>
      </c>
      <c r="R198">
        <f>vlookup("852-257000-100",生产发行表!B:AZ,column(q1),0)</f>
        <v>0</v>
      </c>
      <c r="S198">
        <f>vlookup("852-257000-100",生产发行表!B:AZ,column(r1),0)</f>
        <v>0</v>
      </c>
      <c r="T198">
        <f>vlookup("852-257000-100",生产发行表!B:AZ,column(s1),0)</f>
        <v>0</v>
      </c>
      <c r="U198">
        <f>vlookup("852-257000-100",生产发行表!B:AZ,column(t1),0)</f>
        <v>0</v>
      </c>
      <c r="V198">
        <f>vlookup("852-257000-100",生产发行表!B:AZ,column(u1),0)</f>
        <v>0</v>
      </c>
      <c r="W198">
        <f>vlookup("852-257000-100",生产发行表!B:AZ,column(v1),0)</f>
        <v>0</v>
      </c>
      <c r="X198">
        <f>vlookup("852-257000-100",生产发行表!B:AZ,column(w1),0)</f>
        <v>0</v>
      </c>
      <c r="Y198">
        <f>vlookup("852-257000-100",生产发行表!B:AZ,column(x1),0)</f>
        <v>0</v>
      </c>
      <c r="Z198">
        <f>vlookup("852-257000-100",生产发行表!B:AZ,column(y1),0)</f>
        <v>0</v>
      </c>
      <c r="AA198">
        <f>vlookup("852-257000-100",生产发行表!B:AZ,column(z1),0)</f>
        <v>0</v>
      </c>
      <c r="AB198">
        <f>vlookup("852-257000-100",生产发行表!B:AZ,column(aa1),0)</f>
        <v>0</v>
      </c>
      <c r="AC198">
        <f>vlookup("852-257000-100",生产发行表!B:AZ,column(ab1),0)</f>
        <v>0</v>
      </c>
      <c r="AD198">
        <f>vlookup("852-257000-100",生产发行表!B:AZ,column(ac1),0)</f>
        <v>0</v>
      </c>
      <c r="AE198">
        <f>vlookup("852-257000-100",生产发行表!B:AZ,column(ad1),0)</f>
        <v>0</v>
      </c>
      <c r="AF198">
        <f>vlookup("852-257000-100",生产发行表!B:AZ,column(ae1),0)</f>
        <v>0</v>
      </c>
      <c r="AG198">
        <f>vlookup("852-257000-100",生产发行表!B:AZ,column(af1),0)</f>
        <v>0</v>
      </c>
      <c r="AH198">
        <f>vlookup("852-257000-100",生产发行表!B:AZ,column(ag1),0)</f>
        <v>0</v>
      </c>
      <c r="AI198">
        <f>vlookup("852-257000-100",生产发行表!B:AZ,column(ah1),0)</f>
        <v>0</v>
      </c>
      <c r="AJ198">
        <f>vlookup("852-257000-100",生产发行表!B:AZ,column(ai1),0)</f>
        <v>0</v>
      </c>
      <c r="AK198">
        <f>vlookup("852-257000-100",生产发行表!B:AZ,column(aj1),0)</f>
        <v>0</v>
      </c>
      <c r="AL198">
        <f>vlookup("852-257000-100",生产发行表!B:AZ,column(ak1),0)</f>
        <v>0</v>
      </c>
      <c r="AM198">
        <f>vlookup("852-257000-100",生产发行表!B:AZ,column(al1),0)</f>
        <v>0</v>
      </c>
      <c r="AN198">
        <f>vlookup("852-257000-100",生产发行表!B:AZ,column(am1),0)</f>
        <v>0</v>
      </c>
      <c r="AO198">
        <f>vlookup("852-257000-100",生产发行表!B:AZ,column(an1),0)</f>
        <v>0</v>
      </c>
      <c r="AP198">
        <f>vlookup("852-257000-100",生产发行表!B:AZ,column(ao1),0)</f>
        <v>0</v>
      </c>
      <c r="AQ198">
        <f>vlookup("852-257000-100",生产发行表!B:AZ,column(ap1),0)</f>
        <v>0</v>
      </c>
      <c r="AR198">
        <f>vlookup("852-257000-100",生产发行表!B:AZ,column(aq1),0)</f>
        <v>0</v>
      </c>
    </row>
    <row r="199" spans="1:44">
      <c r="A199" t="s">
        <v>31</v>
      </c>
      <c r="B199" t="s">
        <v>327</v>
      </c>
      <c r="C199" t="s">
        <v>328</v>
      </c>
      <c r="D199" t="s">
        <v>304</v>
      </c>
      <c r="E199">
        <v>3</v>
      </c>
      <c r="F199" t="s">
        <v>330</v>
      </c>
      <c r="K199" t="s">
        <v>308</v>
      </c>
      <c r="L199" t="s">
        <v>37</v>
      </c>
      <c r="M199">
        <f>sumifs(m:m,A:A,"总成",B:B,"852-257000-100")*INDIRECT(ADDRESS(199,5))</f>
        <v>0</v>
      </c>
      <c r="N199">
        <f>sumifs(n:n,A:A,"总成",B:B,"852-257000-100")*INDIRECT(ADDRESS(199,5))</f>
        <v>0</v>
      </c>
      <c r="O199">
        <f>sumifs(o:o,A:A,"总成",B:B,"852-257000-100")*INDIRECT(ADDRESS(199,5))</f>
        <v>0</v>
      </c>
      <c r="P199">
        <f>sumifs(p:p,A:A,"总成",B:B,"852-257000-100")*INDIRECT(ADDRESS(199,5))</f>
        <v>0</v>
      </c>
      <c r="Q199">
        <f>sumifs(q:q,A:A,"总成",B:B,"852-257000-100")*INDIRECT(ADDRESS(199,5))</f>
        <v>0</v>
      </c>
      <c r="R199">
        <f>sumifs(r:r,A:A,"总成",B:B,"852-257000-100")*INDIRECT(ADDRESS(199,5))</f>
        <v>0</v>
      </c>
      <c r="S199">
        <f>sumifs(s:s,A:A,"总成",B:B,"852-257000-100")*INDIRECT(ADDRESS(199,5))</f>
        <v>0</v>
      </c>
      <c r="T199">
        <f>sumifs(t:t,A:A,"总成",B:B,"852-257000-100")*INDIRECT(ADDRESS(199,5))</f>
        <v>0</v>
      </c>
      <c r="U199">
        <f>sumifs(u:u,A:A,"总成",B:B,"852-257000-100")*INDIRECT(ADDRESS(199,5))</f>
        <v>0</v>
      </c>
      <c r="V199">
        <f>sumifs(v:v,A:A,"总成",B:B,"852-257000-100")*INDIRECT(ADDRESS(199,5))</f>
        <v>0</v>
      </c>
      <c r="W199">
        <f>sumifs(w:w,A:A,"总成",B:B,"852-257000-100")*INDIRECT(ADDRESS(199,5))</f>
        <v>0</v>
      </c>
      <c r="X199">
        <f>sumifs(x:x,A:A,"总成",B:B,"852-257000-100")*INDIRECT(ADDRESS(199,5))</f>
        <v>0</v>
      </c>
      <c r="Y199">
        <f>sumifs(y:y,A:A,"总成",B:B,"852-257000-100")*INDIRECT(ADDRESS(199,5))</f>
        <v>0</v>
      </c>
      <c r="Z199">
        <f>sumifs(z:z,A:A,"总成",B:B,"852-257000-100")*INDIRECT(ADDRESS(199,5))</f>
        <v>0</v>
      </c>
      <c r="AA199">
        <f>sumifs(aa:aa,A:A,"总成",B:B,"852-257000-100")*INDIRECT(ADDRESS(199,5))</f>
        <v>0</v>
      </c>
      <c r="AB199">
        <f>sumifs(ab:ab,A:A,"总成",B:B,"852-257000-100")*INDIRECT(ADDRESS(199,5))</f>
        <v>0</v>
      </c>
      <c r="AC199">
        <f>sumifs(ac:ac,A:A,"总成",B:B,"852-257000-100")*INDIRECT(ADDRESS(199,5))</f>
        <v>0</v>
      </c>
      <c r="AD199">
        <f>sumifs(ad:ad,A:A,"总成",B:B,"852-257000-100")*INDIRECT(ADDRESS(199,5))</f>
        <v>0</v>
      </c>
      <c r="AE199">
        <f>sumifs(ae:ae,A:A,"总成",B:B,"852-257000-100")*INDIRECT(ADDRESS(199,5))</f>
        <v>0</v>
      </c>
      <c r="AF199">
        <f>sumifs(af:af,A:A,"总成",B:B,"852-257000-100")*INDIRECT(ADDRESS(199,5))</f>
        <v>0</v>
      </c>
      <c r="AG199">
        <f>sumifs(ag:ag,A:A,"总成",B:B,"852-257000-100")*INDIRECT(ADDRESS(199,5))</f>
        <v>0</v>
      </c>
      <c r="AH199">
        <f>sumifs(ah:ah,A:A,"总成",B:B,"852-257000-100")*INDIRECT(ADDRESS(199,5))</f>
        <v>0</v>
      </c>
      <c r="AI199">
        <f>sumifs(ai:ai,A:A,"总成",B:B,"852-257000-100")*INDIRECT(ADDRESS(199,5))</f>
        <v>0</v>
      </c>
      <c r="AJ199">
        <f>sumifs(aj:aj,A:A,"总成",B:B,"852-257000-100")*INDIRECT(ADDRESS(199,5))</f>
        <v>0</v>
      </c>
      <c r="AK199">
        <f>sumifs(ak:ak,A:A,"总成",B:B,"852-257000-100")*INDIRECT(ADDRESS(199,5))</f>
        <v>0</v>
      </c>
      <c r="AL199">
        <f>sumifs(al:al,A:A,"总成",B:B,"852-257000-100")*INDIRECT(ADDRESS(199,5))</f>
        <v>0</v>
      </c>
      <c r="AM199">
        <f>sumifs(am:am,A:A,"总成",B:B,"852-257000-100")*INDIRECT(ADDRESS(199,5))</f>
        <v>0</v>
      </c>
      <c r="AN199">
        <f>sumifs(an:an,A:A,"总成",B:B,"852-257000-100")*INDIRECT(ADDRESS(199,5))</f>
        <v>0</v>
      </c>
      <c r="AO199">
        <f>sumifs(ao:ao,A:A,"总成",B:B,"852-257000-100")*INDIRECT(ADDRESS(199,5))</f>
        <v>0</v>
      </c>
      <c r="AP199">
        <f>sumifs(ap:ap,A:A,"总成",B:B,"852-257000-100")*INDIRECT(ADDRESS(199,5))</f>
        <v>0</v>
      </c>
      <c r="AQ199">
        <f>sumifs(aq:aq,A:A,"总成",B:B,"852-257000-100")*INDIRECT(ADDRESS(199,5))</f>
        <v>0</v>
      </c>
      <c r="AR199">
        <f>sumifs(ar:ar,A:A,"总成",B:B,"852-257000-100")*INDIRECT(ADDRESS(199,5))</f>
        <v>0</v>
      </c>
    </row>
    <row r="200" spans="1:44">
      <c r="A200" t="s">
        <v>31</v>
      </c>
      <c r="B200" t="s">
        <v>426</v>
      </c>
      <c r="C200" t="s">
        <v>338</v>
      </c>
      <c r="D200" t="s">
        <v>17</v>
      </c>
      <c r="E200">
        <v>1</v>
      </c>
      <c r="F200" t="s">
        <v>427</v>
      </c>
      <c r="K200" t="s">
        <v>308</v>
      </c>
      <c r="L200" t="s">
        <v>37</v>
      </c>
      <c r="M200">
        <f>sumifs(m:m,A:A,"总成",B:B,"852-257000-100")*INDIRECT(ADDRESS(200,5))</f>
        <v>0</v>
      </c>
      <c r="N200">
        <f>sumifs(n:n,A:A,"总成",B:B,"852-257000-100")*INDIRECT(ADDRESS(200,5))</f>
        <v>0</v>
      </c>
      <c r="O200">
        <f>sumifs(o:o,A:A,"总成",B:B,"852-257000-100")*INDIRECT(ADDRESS(200,5))</f>
        <v>0</v>
      </c>
      <c r="P200">
        <f>sumifs(p:p,A:A,"总成",B:B,"852-257000-100")*INDIRECT(ADDRESS(200,5))</f>
        <v>0</v>
      </c>
      <c r="Q200">
        <f>sumifs(q:q,A:A,"总成",B:B,"852-257000-100")*INDIRECT(ADDRESS(200,5))</f>
        <v>0</v>
      </c>
      <c r="R200">
        <f>sumifs(r:r,A:A,"总成",B:B,"852-257000-100")*INDIRECT(ADDRESS(200,5))</f>
        <v>0</v>
      </c>
      <c r="S200">
        <f>sumifs(s:s,A:A,"总成",B:B,"852-257000-100")*INDIRECT(ADDRESS(200,5))</f>
        <v>0</v>
      </c>
      <c r="T200">
        <f>sumifs(t:t,A:A,"总成",B:B,"852-257000-100")*INDIRECT(ADDRESS(200,5))</f>
        <v>0</v>
      </c>
      <c r="U200">
        <f>sumifs(u:u,A:A,"总成",B:B,"852-257000-100")*INDIRECT(ADDRESS(200,5))</f>
        <v>0</v>
      </c>
      <c r="V200">
        <f>sumifs(v:v,A:A,"总成",B:B,"852-257000-100")*INDIRECT(ADDRESS(200,5))</f>
        <v>0</v>
      </c>
      <c r="W200">
        <f>sumifs(w:w,A:A,"总成",B:B,"852-257000-100")*INDIRECT(ADDRESS(200,5))</f>
        <v>0</v>
      </c>
      <c r="X200">
        <f>sumifs(x:x,A:A,"总成",B:B,"852-257000-100")*INDIRECT(ADDRESS(200,5))</f>
        <v>0</v>
      </c>
      <c r="Y200">
        <f>sumifs(y:y,A:A,"总成",B:B,"852-257000-100")*INDIRECT(ADDRESS(200,5))</f>
        <v>0</v>
      </c>
      <c r="Z200">
        <f>sumifs(z:z,A:A,"总成",B:B,"852-257000-100")*INDIRECT(ADDRESS(200,5))</f>
        <v>0</v>
      </c>
      <c r="AA200">
        <f>sumifs(aa:aa,A:A,"总成",B:B,"852-257000-100")*INDIRECT(ADDRESS(200,5))</f>
        <v>0</v>
      </c>
      <c r="AB200">
        <f>sumifs(ab:ab,A:A,"总成",B:B,"852-257000-100")*INDIRECT(ADDRESS(200,5))</f>
        <v>0</v>
      </c>
      <c r="AC200">
        <f>sumifs(ac:ac,A:A,"总成",B:B,"852-257000-100")*INDIRECT(ADDRESS(200,5))</f>
        <v>0</v>
      </c>
      <c r="AD200">
        <f>sumifs(ad:ad,A:A,"总成",B:B,"852-257000-100")*INDIRECT(ADDRESS(200,5))</f>
        <v>0</v>
      </c>
      <c r="AE200">
        <f>sumifs(ae:ae,A:A,"总成",B:B,"852-257000-100")*INDIRECT(ADDRESS(200,5))</f>
        <v>0</v>
      </c>
      <c r="AF200">
        <f>sumifs(af:af,A:A,"总成",B:B,"852-257000-100")*INDIRECT(ADDRESS(200,5))</f>
        <v>0</v>
      </c>
      <c r="AG200">
        <f>sumifs(ag:ag,A:A,"总成",B:B,"852-257000-100")*INDIRECT(ADDRESS(200,5))</f>
        <v>0</v>
      </c>
      <c r="AH200">
        <f>sumifs(ah:ah,A:A,"总成",B:B,"852-257000-100")*INDIRECT(ADDRESS(200,5))</f>
        <v>0</v>
      </c>
      <c r="AI200">
        <f>sumifs(ai:ai,A:A,"总成",B:B,"852-257000-100")*INDIRECT(ADDRESS(200,5))</f>
        <v>0</v>
      </c>
      <c r="AJ200">
        <f>sumifs(aj:aj,A:A,"总成",B:B,"852-257000-100")*INDIRECT(ADDRESS(200,5))</f>
        <v>0</v>
      </c>
      <c r="AK200">
        <f>sumifs(ak:ak,A:A,"总成",B:B,"852-257000-100")*INDIRECT(ADDRESS(200,5))</f>
        <v>0</v>
      </c>
      <c r="AL200">
        <f>sumifs(al:al,A:A,"总成",B:B,"852-257000-100")*INDIRECT(ADDRESS(200,5))</f>
        <v>0</v>
      </c>
      <c r="AM200">
        <f>sumifs(am:am,A:A,"总成",B:B,"852-257000-100")*INDIRECT(ADDRESS(200,5))</f>
        <v>0</v>
      </c>
      <c r="AN200">
        <f>sumifs(an:an,A:A,"总成",B:B,"852-257000-100")*INDIRECT(ADDRESS(200,5))</f>
        <v>0</v>
      </c>
      <c r="AO200">
        <f>sumifs(ao:ao,A:A,"总成",B:B,"852-257000-100")*INDIRECT(ADDRESS(200,5))</f>
        <v>0</v>
      </c>
      <c r="AP200">
        <f>sumifs(ap:ap,A:A,"总成",B:B,"852-257000-100")*INDIRECT(ADDRESS(200,5))</f>
        <v>0</v>
      </c>
      <c r="AQ200">
        <f>sumifs(aq:aq,A:A,"总成",B:B,"852-257000-100")*INDIRECT(ADDRESS(200,5))</f>
        <v>0</v>
      </c>
      <c r="AR200">
        <f>sumifs(ar:ar,A:A,"总成",B:B,"852-257000-100")*INDIRECT(ADDRESS(200,5))</f>
        <v>0</v>
      </c>
    </row>
    <row r="201" spans="1:44">
      <c r="A201" t="s">
        <v>14</v>
      </c>
      <c r="B201" t="s">
        <v>281</v>
      </c>
      <c r="C201" t="s">
        <v>99</v>
      </c>
      <c r="D201" t="s">
        <v>304</v>
      </c>
      <c r="E201">
        <v>1</v>
      </c>
      <c r="F201" t="s">
        <v>282</v>
      </c>
      <c r="K201" t="s">
        <v>305</v>
      </c>
      <c r="L201" t="s">
        <v>21</v>
      </c>
      <c r="M201">
        <f>vlookup("852-258000-100",生产发行表!B:AZ,column(l1),0)</f>
        <v>0</v>
      </c>
      <c r="N201">
        <f>vlookup("852-258000-100",生产发行表!B:AZ,column(m1),0)</f>
        <v>0</v>
      </c>
      <c r="O201">
        <f>vlookup("852-258000-100",生产发行表!B:AZ,column(n1),0)</f>
        <v>0</v>
      </c>
      <c r="P201">
        <f>vlookup("852-258000-100",生产发行表!B:AZ,column(o1),0)</f>
        <v>0</v>
      </c>
      <c r="Q201">
        <f>vlookup("852-258000-100",生产发行表!B:AZ,column(p1),0)</f>
        <v>0</v>
      </c>
      <c r="R201">
        <f>vlookup("852-258000-100",生产发行表!B:AZ,column(q1),0)</f>
        <v>0</v>
      </c>
      <c r="S201">
        <f>vlookup("852-258000-100",生产发行表!B:AZ,column(r1),0)</f>
        <v>0</v>
      </c>
      <c r="T201">
        <f>vlookup("852-258000-100",生产发行表!B:AZ,column(s1),0)</f>
        <v>0</v>
      </c>
      <c r="U201">
        <f>vlookup("852-258000-100",生产发行表!B:AZ,column(t1),0)</f>
        <v>0</v>
      </c>
      <c r="V201">
        <f>vlookup("852-258000-100",生产发行表!B:AZ,column(u1),0)</f>
        <v>0</v>
      </c>
      <c r="W201">
        <f>vlookup("852-258000-100",生产发行表!B:AZ,column(v1),0)</f>
        <v>0</v>
      </c>
      <c r="X201">
        <f>vlookup("852-258000-100",生产发行表!B:AZ,column(w1),0)</f>
        <v>0</v>
      </c>
      <c r="Y201">
        <f>vlookup("852-258000-100",生产发行表!B:AZ,column(x1),0)</f>
        <v>0</v>
      </c>
      <c r="Z201">
        <f>vlookup("852-258000-100",生产发行表!B:AZ,column(y1),0)</f>
        <v>0</v>
      </c>
      <c r="AA201">
        <f>vlookup("852-258000-100",生产发行表!B:AZ,column(z1),0)</f>
        <v>0</v>
      </c>
      <c r="AB201">
        <f>vlookup("852-258000-100",生产发行表!B:AZ,column(aa1),0)</f>
        <v>0</v>
      </c>
      <c r="AC201">
        <f>vlookup("852-258000-100",生产发行表!B:AZ,column(ab1),0)</f>
        <v>0</v>
      </c>
      <c r="AD201">
        <f>vlookup("852-258000-100",生产发行表!B:AZ,column(ac1),0)</f>
        <v>0</v>
      </c>
      <c r="AE201">
        <f>vlookup("852-258000-100",生产发行表!B:AZ,column(ad1),0)</f>
        <v>0</v>
      </c>
      <c r="AF201">
        <f>vlookup("852-258000-100",生产发行表!B:AZ,column(ae1),0)</f>
        <v>0</v>
      </c>
      <c r="AG201">
        <f>vlookup("852-258000-100",生产发行表!B:AZ,column(af1),0)</f>
        <v>0</v>
      </c>
      <c r="AH201">
        <f>vlookup("852-258000-100",生产发行表!B:AZ,column(ag1),0)</f>
        <v>0</v>
      </c>
      <c r="AI201">
        <f>vlookup("852-258000-100",生产发行表!B:AZ,column(ah1),0)</f>
        <v>0</v>
      </c>
      <c r="AJ201">
        <f>vlookup("852-258000-100",生产发行表!B:AZ,column(ai1),0)</f>
        <v>0</v>
      </c>
      <c r="AK201">
        <f>vlookup("852-258000-100",生产发行表!B:AZ,column(aj1),0)</f>
        <v>0</v>
      </c>
      <c r="AL201">
        <f>vlookup("852-258000-100",生产发行表!B:AZ,column(ak1),0)</f>
        <v>0</v>
      </c>
      <c r="AM201">
        <f>vlookup("852-258000-100",生产发行表!B:AZ,column(al1),0)</f>
        <v>0</v>
      </c>
      <c r="AN201">
        <f>vlookup("852-258000-100",生产发行表!B:AZ,column(am1),0)</f>
        <v>0</v>
      </c>
      <c r="AO201">
        <f>vlookup("852-258000-100",生产发行表!B:AZ,column(an1),0)</f>
        <v>0</v>
      </c>
      <c r="AP201">
        <f>vlookup("852-258000-100",生产发行表!B:AZ,column(ao1),0)</f>
        <v>0</v>
      </c>
      <c r="AQ201">
        <f>vlookup("852-258000-100",生产发行表!B:AZ,column(ap1),0)</f>
        <v>0</v>
      </c>
      <c r="AR201">
        <f>vlookup("852-258000-100",生产发行表!B:AZ,column(aq1),0)</f>
        <v>0</v>
      </c>
    </row>
    <row r="202" spans="1:44">
      <c r="A202" t="s">
        <v>31</v>
      </c>
      <c r="B202" t="s">
        <v>327</v>
      </c>
      <c r="C202" t="s">
        <v>328</v>
      </c>
      <c r="D202" t="s">
        <v>304</v>
      </c>
      <c r="E202">
        <v>3</v>
      </c>
      <c r="F202" t="s">
        <v>330</v>
      </c>
      <c r="K202" t="s">
        <v>308</v>
      </c>
      <c r="L202" t="s">
        <v>37</v>
      </c>
      <c r="M202">
        <f>sumifs(m:m,A:A,"总成",B:B,"852-258000-100")*INDIRECT(ADDRESS(202,5))</f>
        <v>0</v>
      </c>
      <c r="N202">
        <f>sumifs(n:n,A:A,"总成",B:B,"852-258000-100")*INDIRECT(ADDRESS(202,5))</f>
        <v>0</v>
      </c>
      <c r="O202">
        <f>sumifs(o:o,A:A,"总成",B:B,"852-258000-100")*INDIRECT(ADDRESS(202,5))</f>
        <v>0</v>
      </c>
      <c r="P202">
        <f>sumifs(p:p,A:A,"总成",B:B,"852-258000-100")*INDIRECT(ADDRESS(202,5))</f>
        <v>0</v>
      </c>
      <c r="Q202">
        <f>sumifs(q:q,A:A,"总成",B:B,"852-258000-100")*INDIRECT(ADDRESS(202,5))</f>
        <v>0</v>
      </c>
      <c r="R202">
        <f>sumifs(r:r,A:A,"总成",B:B,"852-258000-100")*INDIRECT(ADDRESS(202,5))</f>
        <v>0</v>
      </c>
      <c r="S202">
        <f>sumifs(s:s,A:A,"总成",B:B,"852-258000-100")*INDIRECT(ADDRESS(202,5))</f>
        <v>0</v>
      </c>
      <c r="T202">
        <f>sumifs(t:t,A:A,"总成",B:B,"852-258000-100")*INDIRECT(ADDRESS(202,5))</f>
        <v>0</v>
      </c>
      <c r="U202">
        <f>sumifs(u:u,A:A,"总成",B:B,"852-258000-100")*INDIRECT(ADDRESS(202,5))</f>
        <v>0</v>
      </c>
      <c r="V202">
        <f>sumifs(v:v,A:A,"总成",B:B,"852-258000-100")*INDIRECT(ADDRESS(202,5))</f>
        <v>0</v>
      </c>
      <c r="W202">
        <f>sumifs(w:w,A:A,"总成",B:B,"852-258000-100")*INDIRECT(ADDRESS(202,5))</f>
        <v>0</v>
      </c>
      <c r="X202">
        <f>sumifs(x:x,A:A,"总成",B:B,"852-258000-100")*INDIRECT(ADDRESS(202,5))</f>
        <v>0</v>
      </c>
      <c r="Y202">
        <f>sumifs(y:y,A:A,"总成",B:B,"852-258000-100")*INDIRECT(ADDRESS(202,5))</f>
        <v>0</v>
      </c>
      <c r="Z202">
        <f>sumifs(z:z,A:A,"总成",B:B,"852-258000-100")*INDIRECT(ADDRESS(202,5))</f>
        <v>0</v>
      </c>
      <c r="AA202">
        <f>sumifs(aa:aa,A:A,"总成",B:B,"852-258000-100")*INDIRECT(ADDRESS(202,5))</f>
        <v>0</v>
      </c>
      <c r="AB202">
        <f>sumifs(ab:ab,A:A,"总成",B:B,"852-258000-100")*INDIRECT(ADDRESS(202,5))</f>
        <v>0</v>
      </c>
      <c r="AC202">
        <f>sumifs(ac:ac,A:A,"总成",B:B,"852-258000-100")*INDIRECT(ADDRESS(202,5))</f>
        <v>0</v>
      </c>
      <c r="AD202">
        <f>sumifs(ad:ad,A:A,"总成",B:B,"852-258000-100")*INDIRECT(ADDRESS(202,5))</f>
        <v>0</v>
      </c>
      <c r="AE202">
        <f>sumifs(ae:ae,A:A,"总成",B:B,"852-258000-100")*INDIRECT(ADDRESS(202,5))</f>
        <v>0</v>
      </c>
      <c r="AF202">
        <f>sumifs(af:af,A:A,"总成",B:B,"852-258000-100")*INDIRECT(ADDRESS(202,5))</f>
        <v>0</v>
      </c>
      <c r="AG202">
        <f>sumifs(ag:ag,A:A,"总成",B:B,"852-258000-100")*INDIRECT(ADDRESS(202,5))</f>
        <v>0</v>
      </c>
      <c r="AH202">
        <f>sumifs(ah:ah,A:A,"总成",B:B,"852-258000-100")*INDIRECT(ADDRESS(202,5))</f>
        <v>0</v>
      </c>
      <c r="AI202">
        <f>sumifs(ai:ai,A:A,"总成",B:B,"852-258000-100")*INDIRECT(ADDRESS(202,5))</f>
        <v>0</v>
      </c>
      <c r="AJ202">
        <f>sumifs(aj:aj,A:A,"总成",B:B,"852-258000-100")*INDIRECT(ADDRESS(202,5))</f>
        <v>0</v>
      </c>
      <c r="AK202">
        <f>sumifs(ak:ak,A:A,"总成",B:B,"852-258000-100")*INDIRECT(ADDRESS(202,5))</f>
        <v>0</v>
      </c>
      <c r="AL202">
        <f>sumifs(al:al,A:A,"总成",B:B,"852-258000-100")*INDIRECT(ADDRESS(202,5))</f>
        <v>0</v>
      </c>
      <c r="AM202">
        <f>sumifs(am:am,A:A,"总成",B:B,"852-258000-100")*INDIRECT(ADDRESS(202,5))</f>
        <v>0</v>
      </c>
      <c r="AN202">
        <f>sumifs(an:an,A:A,"总成",B:B,"852-258000-100")*INDIRECT(ADDRESS(202,5))</f>
        <v>0</v>
      </c>
      <c r="AO202">
        <f>sumifs(ao:ao,A:A,"总成",B:B,"852-258000-100")*INDIRECT(ADDRESS(202,5))</f>
        <v>0</v>
      </c>
      <c r="AP202">
        <f>sumifs(ap:ap,A:A,"总成",B:B,"852-258000-100")*INDIRECT(ADDRESS(202,5))</f>
        <v>0</v>
      </c>
      <c r="AQ202">
        <f>sumifs(aq:aq,A:A,"总成",B:B,"852-258000-100")*INDIRECT(ADDRESS(202,5))</f>
        <v>0</v>
      </c>
      <c r="AR202">
        <f>sumifs(ar:ar,A:A,"总成",B:B,"852-258000-100")*INDIRECT(ADDRESS(202,5))</f>
        <v>0</v>
      </c>
    </row>
    <row r="203" spans="1:44">
      <c r="A203" t="s">
        <v>31</v>
      </c>
      <c r="B203" t="s">
        <v>428</v>
      </c>
      <c r="C203" t="s">
        <v>341</v>
      </c>
      <c r="D203" t="s">
        <v>17</v>
      </c>
      <c r="E203">
        <v>1</v>
      </c>
      <c r="F203" t="s">
        <v>429</v>
      </c>
      <c r="K203" t="s">
        <v>308</v>
      </c>
      <c r="L203" t="s">
        <v>37</v>
      </c>
      <c r="M203">
        <f>sumifs(m:m,A:A,"总成",B:B,"852-258000-100")*INDIRECT(ADDRESS(203,5))</f>
        <v>0</v>
      </c>
      <c r="N203">
        <f>sumifs(n:n,A:A,"总成",B:B,"852-258000-100")*INDIRECT(ADDRESS(203,5))</f>
        <v>0</v>
      </c>
      <c r="O203">
        <f>sumifs(o:o,A:A,"总成",B:B,"852-258000-100")*INDIRECT(ADDRESS(203,5))</f>
        <v>0</v>
      </c>
      <c r="P203">
        <f>sumifs(p:p,A:A,"总成",B:B,"852-258000-100")*INDIRECT(ADDRESS(203,5))</f>
        <v>0</v>
      </c>
      <c r="Q203">
        <f>sumifs(q:q,A:A,"总成",B:B,"852-258000-100")*INDIRECT(ADDRESS(203,5))</f>
        <v>0</v>
      </c>
      <c r="R203">
        <f>sumifs(r:r,A:A,"总成",B:B,"852-258000-100")*INDIRECT(ADDRESS(203,5))</f>
        <v>0</v>
      </c>
      <c r="S203">
        <f>sumifs(s:s,A:A,"总成",B:B,"852-258000-100")*INDIRECT(ADDRESS(203,5))</f>
        <v>0</v>
      </c>
      <c r="T203">
        <f>sumifs(t:t,A:A,"总成",B:B,"852-258000-100")*INDIRECT(ADDRESS(203,5))</f>
        <v>0</v>
      </c>
      <c r="U203">
        <f>sumifs(u:u,A:A,"总成",B:B,"852-258000-100")*INDIRECT(ADDRESS(203,5))</f>
        <v>0</v>
      </c>
      <c r="V203">
        <f>sumifs(v:v,A:A,"总成",B:B,"852-258000-100")*INDIRECT(ADDRESS(203,5))</f>
        <v>0</v>
      </c>
      <c r="W203">
        <f>sumifs(w:w,A:A,"总成",B:B,"852-258000-100")*INDIRECT(ADDRESS(203,5))</f>
        <v>0</v>
      </c>
      <c r="X203">
        <f>sumifs(x:x,A:A,"总成",B:B,"852-258000-100")*INDIRECT(ADDRESS(203,5))</f>
        <v>0</v>
      </c>
      <c r="Y203">
        <f>sumifs(y:y,A:A,"总成",B:B,"852-258000-100")*INDIRECT(ADDRESS(203,5))</f>
        <v>0</v>
      </c>
      <c r="Z203">
        <f>sumifs(z:z,A:A,"总成",B:B,"852-258000-100")*INDIRECT(ADDRESS(203,5))</f>
        <v>0</v>
      </c>
      <c r="AA203">
        <f>sumifs(aa:aa,A:A,"总成",B:B,"852-258000-100")*INDIRECT(ADDRESS(203,5))</f>
        <v>0</v>
      </c>
      <c r="AB203">
        <f>sumifs(ab:ab,A:A,"总成",B:B,"852-258000-100")*INDIRECT(ADDRESS(203,5))</f>
        <v>0</v>
      </c>
      <c r="AC203">
        <f>sumifs(ac:ac,A:A,"总成",B:B,"852-258000-100")*INDIRECT(ADDRESS(203,5))</f>
        <v>0</v>
      </c>
      <c r="AD203">
        <f>sumifs(ad:ad,A:A,"总成",B:B,"852-258000-100")*INDIRECT(ADDRESS(203,5))</f>
        <v>0</v>
      </c>
      <c r="AE203">
        <f>sumifs(ae:ae,A:A,"总成",B:B,"852-258000-100")*INDIRECT(ADDRESS(203,5))</f>
        <v>0</v>
      </c>
      <c r="AF203">
        <f>sumifs(af:af,A:A,"总成",B:B,"852-258000-100")*INDIRECT(ADDRESS(203,5))</f>
        <v>0</v>
      </c>
      <c r="AG203">
        <f>sumifs(ag:ag,A:A,"总成",B:B,"852-258000-100")*INDIRECT(ADDRESS(203,5))</f>
        <v>0</v>
      </c>
      <c r="AH203">
        <f>sumifs(ah:ah,A:A,"总成",B:B,"852-258000-100")*INDIRECT(ADDRESS(203,5))</f>
        <v>0</v>
      </c>
      <c r="AI203">
        <f>sumifs(ai:ai,A:A,"总成",B:B,"852-258000-100")*INDIRECT(ADDRESS(203,5))</f>
        <v>0</v>
      </c>
      <c r="AJ203">
        <f>sumifs(aj:aj,A:A,"总成",B:B,"852-258000-100")*INDIRECT(ADDRESS(203,5))</f>
        <v>0</v>
      </c>
      <c r="AK203">
        <f>sumifs(ak:ak,A:A,"总成",B:B,"852-258000-100")*INDIRECT(ADDRESS(203,5))</f>
        <v>0</v>
      </c>
      <c r="AL203">
        <f>sumifs(al:al,A:A,"总成",B:B,"852-258000-100")*INDIRECT(ADDRESS(203,5))</f>
        <v>0</v>
      </c>
      <c r="AM203">
        <f>sumifs(am:am,A:A,"总成",B:B,"852-258000-100")*INDIRECT(ADDRESS(203,5))</f>
        <v>0</v>
      </c>
      <c r="AN203">
        <f>sumifs(an:an,A:A,"总成",B:B,"852-258000-100")*INDIRECT(ADDRESS(203,5))</f>
        <v>0</v>
      </c>
      <c r="AO203">
        <f>sumifs(ao:ao,A:A,"总成",B:B,"852-258000-100")*INDIRECT(ADDRESS(203,5))</f>
        <v>0</v>
      </c>
      <c r="AP203">
        <f>sumifs(ap:ap,A:A,"总成",B:B,"852-258000-100")*INDIRECT(ADDRESS(203,5))</f>
        <v>0</v>
      </c>
      <c r="AQ203">
        <f>sumifs(aq:aq,A:A,"总成",B:B,"852-258000-100")*INDIRECT(ADDRESS(203,5))</f>
        <v>0</v>
      </c>
      <c r="AR203">
        <f>sumifs(ar:ar,A:A,"总成",B:B,"852-258000-100")*INDIRECT(ADDRESS(203,5))</f>
        <v>0</v>
      </c>
    </row>
    <row r="204" spans="1:44">
      <c r="A204" t="s">
        <v>14</v>
      </c>
      <c r="B204" t="s">
        <v>286</v>
      </c>
      <c r="C204" t="s">
        <v>272</v>
      </c>
      <c r="D204" t="s">
        <v>304</v>
      </c>
      <c r="E204">
        <v>1</v>
      </c>
      <c r="F204" t="s">
        <v>287</v>
      </c>
      <c r="K204" t="s">
        <v>305</v>
      </c>
      <c r="L204" t="s">
        <v>21</v>
      </c>
      <c r="M204">
        <f>vlookup("852-259000-100",生产发行表!B:AZ,column(l1),0)</f>
        <v>0</v>
      </c>
      <c r="N204">
        <f>vlookup("852-259000-100",生产发行表!B:AZ,column(m1),0)</f>
        <v>0</v>
      </c>
      <c r="O204">
        <f>vlookup("852-259000-100",生产发行表!B:AZ,column(n1),0)</f>
        <v>0</v>
      </c>
      <c r="P204">
        <f>vlookup("852-259000-100",生产发行表!B:AZ,column(o1),0)</f>
        <v>0</v>
      </c>
      <c r="Q204">
        <f>vlookup("852-259000-100",生产发行表!B:AZ,column(p1),0)</f>
        <v>0</v>
      </c>
      <c r="R204">
        <f>vlookup("852-259000-100",生产发行表!B:AZ,column(q1),0)</f>
        <v>0</v>
      </c>
      <c r="S204">
        <f>vlookup("852-259000-100",生产发行表!B:AZ,column(r1),0)</f>
        <v>0</v>
      </c>
      <c r="T204">
        <f>vlookup("852-259000-100",生产发行表!B:AZ,column(s1),0)</f>
        <v>0</v>
      </c>
      <c r="U204">
        <f>vlookup("852-259000-100",生产发行表!B:AZ,column(t1),0)</f>
        <v>0</v>
      </c>
      <c r="V204">
        <f>vlookup("852-259000-100",生产发行表!B:AZ,column(u1),0)</f>
        <v>0</v>
      </c>
      <c r="W204">
        <f>vlookup("852-259000-100",生产发行表!B:AZ,column(v1),0)</f>
        <v>0</v>
      </c>
      <c r="X204">
        <f>vlookup("852-259000-100",生产发行表!B:AZ,column(w1),0)</f>
        <v>0</v>
      </c>
      <c r="Y204">
        <f>vlookup("852-259000-100",生产发行表!B:AZ,column(x1),0)</f>
        <v>0</v>
      </c>
      <c r="Z204">
        <f>vlookup("852-259000-100",生产发行表!B:AZ,column(y1),0)</f>
        <v>0</v>
      </c>
      <c r="AA204">
        <f>vlookup("852-259000-100",生产发行表!B:AZ,column(z1),0)</f>
        <v>0</v>
      </c>
      <c r="AB204">
        <f>vlookup("852-259000-100",生产发行表!B:AZ,column(aa1),0)</f>
        <v>0</v>
      </c>
      <c r="AC204">
        <f>vlookup("852-259000-100",生产发行表!B:AZ,column(ab1),0)</f>
        <v>0</v>
      </c>
      <c r="AD204">
        <f>vlookup("852-259000-100",生产发行表!B:AZ,column(ac1),0)</f>
        <v>0</v>
      </c>
      <c r="AE204">
        <f>vlookup("852-259000-100",生产发行表!B:AZ,column(ad1),0)</f>
        <v>0</v>
      </c>
      <c r="AF204">
        <f>vlookup("852-259000-100",生产发行表!B:AZ,column(ae1),0)</f>
        <v>0</v>
      </c>
      <c r="AG204">
        <f>vlookup("852-259000-100",生产发行表!B:AZ,column(af1),0)</f>
        <v>0</v>
      </c>
      <c r="AH204">
        <f>vlookup("852-259000-100",生产发行表!B:AZ,column(ag1),0)</f>
        <v>0</v>
      </c>
      <c r="AI204">
        <f>vlookup("852-259000-100",生产发行表!B:AZ,column(ah1),0)</f>
        <v>0</v>
      </c>
      <c r="AJ204">
        <f>vlookup("852-259000-100",生产发行表!B:AZ,column(ai1),0)</f>
        <v>0</v>
      </c>
      <c r="AK204">
        <f>vlookup("852-259000-100",生产发行表!B:AZ,column(aj1),0)</f>
        <v>0</v>
      </c>
      <c r="AL204">
        <f>vlookup("852-259000-100",生产发行表!B:AZ,column(ak1),0)</f>
        <v>0</v>
      </c>
      <c r="AM204">
        <f>vlookup("852-259000-100",生产发行表!B:AZ,column(al1),0)</f>
        <v>0</v>
      </c>
      <c r="AN204">
        <f>vlookup("852-259000-100",生产发行表!B:AZ,column(am1),0)</f>
        <v>0</v>
      </c>
      <c r="AO204">
        <f>vlookup("852-259000-100",生产发行表!B:AZ,column(an1),0)</f>
        <v>0</v>
      </c>
      <c r="AP204">
        <f>vlookup("852-259000-100",生产发行表!B:AZ,column(ao1),0)</f>
        <v>0</v>
      </c>
      <c r="AQ204">
        <f>vlookup("852-259000-100",生产发行表!B:AZ,column(ap1),0)</f>
        <v>0</v>
      </c>
      <c r="AR204">
        <f>vlookup("852-259000-100",生产发行表!B:AZ,column(aq1),0)</f>
        <v>0</v>
      </c>
    </row>
    <row r="205" spans="1:44">
      <c r="A205" t="s">
        <v>31</v>
      </c>
      <c r="B205" t="s">
        <v>423</v>
      </c>
      <c r="C205" t="s">
        <v>424</v>
      </c>
      <c r="D205" t="s">
        <v>17</v>
      </c>
      <c r="E205">
        <v>5</v>
      </c>
      <c r="F205" t="s">
        <v>430</v>
      </c>
      <c r="K205" t="s">
        <v>308</v>
      </c>
      <c r="L205" t="s">
        <v>37</v>
      </c>
      <c r="M205">
        <f>sumifs(m:m,A:A,"总成",B:B,"852-259000-100")*INDIRECT(ADDRESS(205,5))</f>
        <v>0</v>
      </c>
      <c r="N205">
        <f>sumifs(n:n,A:A,"总成",B:B,"852-259000-100")*INDIRECT(ADDRESS(205,5))</f>
        <v>0</v>
      </c>
      <c r="O205">
        <f>sumifs(o:o,A:A,"总成",B:B,"852-259000-100")*INDIRECT(ADDRESS(205,5))</f>
        <v>0</v>
      </c>
      <c r="P205">
        <f>sumifs(p:p,A:A,"总成",B:B,"852-259000-100")*INDIRECT(ADDRESS(205,5))</f>
        <v>0</v>
      </c>
      <c r="Q205">
        <f>sumifs(q:q,A:A,"总成",B:B,"852-259000-100")*INDIRECT(ADDRESS(205,5))</f>
        <v>0</v>
      </c>
      <c r="R205">
        <f>sumifs(r:r,A:A,"总成",B:B,"852-259000-100")*INDIRECT(ADDRESS(205,5))</f>
        <v>0</v>
      </c>
      <c r="S205">
        <f>sumifs(s:s,A:A,"总成",B:B,"852-259000-100")*INDIRECT(ADDRESS(205,5))</f>
        <v>0</v>
      </c>
      <c r="T205">
        <f>sumifs(t:t,A:A,"总成",B:B,"852-259000-100")*INDIRECT(ADDRESS(205,5))</f>
        <v>0</v>
      </c>
      <c r="U205">
        <f>sumifs(u:u,A:A,"总成",B:B,"852-259000-100")*INDIRECT(ADDRESS(205,5))</f>
        <v>0</v>
      </c>
      <c r="V205">
        <f>sumifs(v:v,A:A,"总成",B:B,"852-259000-100")*INDIRECT(ADDRESS(205,5))</f>
        <v>0</v>
      </c>
      <c r="W205">
        <f>sumifs(w:w,A:A,"总成",B:B,"852-259000-100")*INDIRECT(ADDRESS(205,5))</f>
        <v>0</v>
      </c>
      <c r="X205">
        <f>sumifs(x:x,A:A,"总成",B:B,"852-259000-100")*INDIRECT(ADDRESS(205,5))</f>
        <v>0</v>
      </c>
      <c r="Y205">
        <f>sumifs(y:y,A:A,"总成",B:B,"852-259000-100")*INDIRECT(ADDRESS(205,5))</f>
        <v>0</v>
      </c>
      <c r="Z205">
        <f>sumifs(z:z,A:A,"总成",B:B,"852-259000-100")*INDIRECT(ADDRESS(205,5))</f>
        <v>0</v>
      </c>
      <c r="AA205">
        <f>sumifs(aa:aa,A:A,"总成",B:B,"852-259000-100")*INDIRECT(ADDRESS(205,5))</f>
        <v>0</v>
      </c>
      <c r="AB205">
        <f>sumifs(ab:ab,A:A,"总成",B:B,"852-259000-100")*INDIRECT(ADDRESS(205,5))</f>
        <v>0</v>
      </c>
      <c r="AC205">
        <f>sumifs(ac:ac,A:A,"总成",B:B,"852-259000-100")*INDIRECT(ADDRESS(205,5))</f>
        <v>0</v>
      </c>
      <c r="AD205">
        <f>sumifs(ad:ad,A:A,"总成",B:B,"852-259000-100")*INDIRECT(ADDRESS(205,5))</f>
        <v>0</v>
      </c>
      <c r="AE205">
        <f>sumifs(ae:ae,A:A,"总成",B:B,"852-259000-100")*INDIRECT(ADDRESS(205,5))</f>
        <v>0</v>
      </c>
      <c r="AF205">
        <f>sumifs(af:af,A:A,"总成",B:B,"852-259000-100")*INDIRECT(ADDRESS(205,5))</f>
        <v>0</v>
      </c>
      <c r="AG205">
        <f>sumifs(ag:ag,A:A,"总成",B:B,"852-259000-100")*INDIRECT(ADDRESS(205,5))</f>
        <v>0</v>
      </c>
      <c r="AH205">
        <f>sumifs(ah:ah,A:A,"总成",B:B,"852-259000-100")*INDIRECT(ADDRESS(205,5))</f>
        <v>0</v>
      </c>
      <c r="AI205">
        <f>sumifs(ai:ai,A:A,"总成",B:B,"852-259000-100")*INDIRECT(ADDRESS(205,5))</f>
        <v>0</v>
      </c>
      <c r="AJ205">
        <f>sumifs(aj:aj,A:A,"总成",B:B,"852-259000-100")*INDIRECT(ADDRESS(205,5))</f>
        <v>0</v>
      </c>
      <c r="AK205">
        <f>sumifs(ak:ak,A:A,"总成",B:B,"852-259000-100")*INDIRECT(ADDRESS(205,5))</f>
        <v>0</v>
      </c>
      <c r="AL205">
        <f>sumifs(al:al,A:A,"总成",B:B,"852-259000-100")*INDIRECT(ADDRESS(205,5))</f>
        <v>0</v>
      </c>
      <c r="AM205">
        <f>sumifs(am:am,A:A,"总成",B:B,"852-259000-100")*INDIRECT(ADDRESS(205,5))</f>
        <v>0</v>
      </c>
      <c r="AN205">
        <f>sumifs(an:an,A:A,"总成",B:B,"852-259000-100")*INDIRECT(ADDRESS(205,5))</f>
        <v>0</v>
      </c>
      <c r="AO205">
        <f>sumifs(ao:ao,A:A,"总成",B:B,"852-259000-100")*INDIRECT(ADDRESS(205,5))</f>
        <v>0</v>
      </c>
      <c r="AP205">
        <f>sumifs(ap:ap,A:A,"总成",B:B,"852-259000-100")*INDIRECT(ADDRESS(205,5))</f>
        <v>0</v>
      </c>
      <c r="AQ205">
        <f>sumifs(aq:aq,A:A,"总成",B:B,"852-259000-100")*INDIRECT(ADDRESS(205,5))</f>
        <v>0</v>
      </c>
      <c r="AR205">
        <f>sumifs(ar:ar,A:A,"总成",B:B,"852-259000-100")*INDIRECT(ADDRESS(205,5))</f>
        <v>0</v>
      </c>
    </row>
    <row r="206" spans="1:44">
      <c r="A206" t="s">
        <v>14</v>
      </c>
      <c r="B206" t="s">
        <v>291</v>
      </c>
      <c r="C206" t="s">
        <v>292</v>
      </c>
      <c r="D206" t="s">
        <v>304</v>
      </c>
      <c r="E206">
        <v>1</v>
      </c>
      <c r="F206" t="s">
        <v>293</v>
      </c>
      <c r="K206" t="s">
        <v>305</v>
      </c>
      <c r="L206" t="s">
        <v>21</v>
      </c>
      <c r="M206">
        <f>vlookup("852-338000-100",生产发行表!B:AZ,column(l1),0)</f>
        <v>0</v>
      </c>
      <c r="N206">
        <f>vlookup("852-338000-100",生产发行表!B:AZ,column(m1),0)</f>
        <v>0</v>
      </c>
      <c r="O206">
        <f>vlookup("852-338000-100",生产发行表!B:AZ,column(n1),0)</f>
        <v>0</v>
      </c>
      <c r="P206">
        <f>vlookup("852-338000-100",生产发行表!B:AZ,column(o1),0)</f>
        <v>0</v>
      </c>
      <c r="Q206">
        <f>vlookup("852-338000-100",生产发行表!B:AZ,column(p1),0)</f>
        <v>0</v>
      </c>
      <c r="R206">
        <f>vlookup("852-338000-100",生产发行表!B:AZ,column(q1),0)</f>
        <v>0</v>
      </c>
      <c r="S206">
        <f>vlookup("852-338000-100",生产发行表!B:AZ,column(r1),0)</f>
        <v>0</v>
      </c>
      <c r="T206">
        <f>vlookup("852-338000-100",生产发行表!B:AZ,column(s1),0)</f>
        <v>0</v>
      </c>
      <c r="U206">
        <f>vlookup("852-338000-100",生产发行表!B:AZ,column(t1),0)</f>
        <v>0</v>
      </c>
      <c r="V206">
        <f>vlookup("852-338000-100",生产发行表!B:AZ,column(u1),0)</f>
        <v>0</v>
      </c>
      <c r="W206">
        <f>vlookup("852-338000-100",生产发行表!B:AZ,column(v1),0)</f>
        <v>0</v>
      </c>
      <c r="X206">
        <f>vlookup("852-338000-100",生产发行表!B:AZ,column(w1),0)</f>
        <v>0</v>
      </c>
      <c r="Y206">
        <f>vlookup("852-338000-100",生产发行表!B:AZ,column(x1),0)</f>
        <v>0</v>
      </c>
      <c r="Z206">
        <f>vlookup("852-338000-100",生产发行表!B:AZ,column(y1),0)</f>
        <v>0</v>
      </c>
      <c r="AA206">
        <f>vlookup("852-338000-100",生产发行表!B:AZ,column(z1),0)</f>
        <v>0</v>
      </c>
      <c r="AB206">
        <f>vlookup("852-338000-100",生产发行表!B:AZ,column(aa1),0)</f>
        <v>0</v>
      </c>
      <c r="AC206">
        <f>vlookup("852-338000-100",生产发行表!B:AZ,column(ab1),0)</f>
        <v>0</v>
      </c>
      <c r="AD206">
        <f>vlookup("852-338000-100",生产发行表!B:AZ,column(ac1),0)</f>
        <v>0</v>
      </c>
      <c r="AE206">
        <f>vlookup("852-338000-100",生产发行表!B:AZ,column(ad1),0)</f>
        <v>0</v>
      </c>
      <c r="AF206">
        <f>vlookup("852-338000-100",生产发行表!B:AZ,column(ae1),0)</f>
        <v>0</v>
      </c>
      <c r="AG206">
        <f>vlookup("852-338000-100",生产发行表!B:AZ,column(af1),0)</f>
        <v>0</v>
      </c>
      <c r="AH206">
        <f>vlookup("852-338000-100",生产发行表!B:AZ,column(ag1),0)</f>
        <v>0</v>
      </c>
      <c r="AI206">
        <f>vlookup("852-338000-100",生产发行表!B:AZ,column(ah1),0)</f>
        <v>0</v>
      </c>
      <c r="AJ206">
        <f>vlookup("852-338000-100",生产发行表!B:AZ,column(ai1),0)</f>
        <v>0</v>
      </c>
      <c r="AK206">
        <f>vlookup("852-338000-100",生产发行表!B:AZ,column(aj1),0)</f>
        <v>0</v>
      </c>
      <c r="AL206">
        <f>vlookup("852-338000-100",生产发行表!B:AZ,column(ak1),0)</f>
        <v>0</v>
      </c>
      <c r="AM206">
        <f>vlookup("852-338000-100",生产发行表!B:AZ,column(al1),0)</f>
        <v>0</v>
      </c>
      <c r="AN206">
        <f>vlookup("852-338000-100",生产发行表!B:AZ,column(am1),0)</f>
        <v>0</v>
      </c>
      <c r="AO206">
        <f>vlookup("852-338000-100",生产发行表!B:AZ,column(an1),0)</f>
        <v>0</v>
      </c>
      <c r="AP206">
        <f>vlookup("852-338000-100",生产发行表!B:AZ,column(ao1),0)</f>
        <v>0</v>
      </c>
      <c r="AQ206">
        <f>vlookup("852-338000-100",生产发行表!B:AZ,column(ap1),0)</f>
        <v>0</v>
      </c>
      <c r="AR206">
        <f>vlookup("852-338000-100",生产发行表!B:AZ,column(aq1),0)</f>
        <v>0</v>
      </c>
    </row>
    <row r="207" spans="1:44">
      <c r="A207" t="s">
        <v>31</v>
      </c>
      <c r="B207" t="s">
        <v>431</v>
      </c>
      <c r="C207" t="s">
        <v>432</v>
      </c>
      <c r="D207" t="s">
        <v>17</v>
      </c>
      <c r="E207">
        <v>1</v>
      </c>
      <c r="F207" t="s">
        <v>433</v>
      </c>
      <c r="K207" t="s">
        <v>308</v>
      </c>
      <c r="L207" t="s">
        <v>37</v>
      </c>
      <c r="M207">
        <f>sumifs(m:m,A:A,"总成",B:B,"852-338000-100")*INDIRECT(ADDRESS(207,5))</f>
        <v>0</v>
      </c>
      <c r="N207">
        <f>sumifs(n:n,A:A,"总成",B:B,"852-338000-100")*INDIRECT(ADDRESS(207,5))</f>
        <v>0</v>
      </c>
      <c r="O207">
        <f>sumifs(o:o,A:A,"总成",B:B,"852-338000-100")*INDIRECT(ADDRESS(207,5))</f>
        <v>0</v>
      </c>
      <c r="P207">
        <f>sumifs(p:p,A:A,"总成",B:B,"852-338000-100")*INDIRECT(ADDRESS(207,5))</f>
        <v>0</v>
      </c>
      <c r="Q207">
        <f>sumifs(q:q,A:A,"总成",B:B,"852-338000-100")*INDIRECT(ADDRESS(207,5))</f>
        <v>0</v>
      </c>
      <c r="R207">
        <f>sumifs(r:r,A:A,"总成",B:B,"852-338000-100")*INDIRECT(ADDRESS(207,5))</f>
        <v>0</v>
      </c>
      <c r="S207">
        <f>sumifs(s:s,A:A,"总成",B:B,"852-338000-100")*INDIRECT(ADDRESS(207,5))</f>
        <v>0</v>
      </c>
      <c r="T207">
        <f>sumifs(t:t,A:A,"总成",B:B,"852-338000-100")*INDIRECT(ADDRESS(207,5))</f>
        <v>0</v>
      </c>
      <c r="U207">
        <f>sumifs(u:u,A:A,"总成",B:B,"852-338000-100")*INDIRECT(ADDRESS(207,5))</f>
        <v>0</v>
      </c>
      <c r="V207">
        <f>sumifs(v:v,A:A,"总成",B:B,"852-338000-100")*INDIRECT(ADDRESS(207,5))</f>
        <v>0</v>
      </c>
      <c r="W207">
        <f>sumifs(w:w,A:A,"总成",B:B,"852-338000-100")*INDIRECT(ADDRESS(207,5))</f>
        <v>0</v>
      </c>
      <c r="X207">
        <f>sumifs(x:x,A:A,"总成",B:B,"852-338000-100")*INDIRECT(ADDRESS(207,5))</f>
        <v>0</v>
      </c>
      <c r="Y207">
        <f>sumifs(y:y,A:A,"总成",B:B,"852-338000-100")*INDIRECT(ADDRESS(207,5))</f>
        <v>0</v>
      </c>
      <c r="Z207">
        <f>sumifs(z:z,A:A,"总成",B:B,"852-338000-100")*INDIRECT(ADDRESS(207,5))</f>
        <v>0</v>
      </c>
      <c r="AA207">
        <f>sumifs(aa:aa,A:A,"总成",B:B,"852-338000-100")*INDIRECT(ADDRESS(207,5))</f>
        <v>0</v>
      </c>
      <c r="AB207">
        <f>sumifs(ab:ab,A:A,"总成",B:B,"852-338000-100")*INDIRECT(ADDRESS(207,5))</f>
        <v>0</v>
      </c>
      <c r="AC207">
        <f>sumifs(ac:ac,A:A,"总成",B:B,"852-338000-100")*INDIRECT(ADDRESS(207,5))</f>
        <v>0</v>
      </c>
      <c r="AD207">
        <f>sumifs(ad:ad,A:A,"总成",B:B,"852-338000-100")*INDIRECT(ADDRESS(207,5))</f>
        <v>0</v>
      </c>
      <c r="AE207">
        <f>sumifs(ae:ae,A:A,"总成",B:B,"852-338000-100")*INDIRECT(ADDRESS(207,5))</f>
        <v>0</v>
      </c>
      <c r="AF207">
        <f>sumifs(af:af,A:A,"总成",B:B,"852-338000-100")*INDIRECT(ADDRESS(207,5))</f>
        <v>0</v>
      </c>
      <c r="AG207">
        <f>sumifs(ag:ag,A:A,"总成",B:B,"852-338000-100")*INDIRECT(ADDRESS(207,5))</f>
        <v>0</v>
      </c>
      <c r="AH207">
        <f>sumifs(ah:ah,A:A,"总成",B:B,"852-338000-100")*INDIRECT(ADDRESS(207,5))</f>
        <v>0</v>
      </c>
      <c r="AI207">
        <f>sumifs(ai:ai,A:A,"总成",B:B,"852-338000-100")*INDIRECT(ADDRESS(207,5))</f>
        <v>0</v>
      </c>
      <c r="AJ207">
        <f>sumifs(aj:aj,A:A,"总成",B:B,"852-338000-100")*INDIRECT(ADDRESS(207,5))</f>
        <v>0</v>
      </c>
      <c r="AK207">
        <f>sumifs(ak:ak,A:A,"总成",B:B,"852-338000-100")*INDIRECT(ADDRESS(207,5))</f>
        <v>0</v>
      </c>
      <c r="AL207">
        <f>sumifs(al:al,A:A,"总成",B:B,"852-338000-100")*INDIRECT(ADDRESS(207,5))</f>
        <v>0</v>
      </c>
      <c r="AM207">
        <f>sumifs(am:am,A:A,"总成",B:B,"852-338000-100")*INDIRECT(ADDRESS(207,5))</f>
        <v>0</v>
      </c>
      <c r="AN207">
        <f>sumifs(an:an,A:A,"总成",B:B,"852-338000-100")*INDIRECT(ADDRESS(207,5))</f>
        <v>0</v>
      </c>
      <c r="AO207">
        <f>sumifs(ao:ao,A:A,"总成",B:B,"852-338000-100")*INDIRECT(ADDRESS(207,5))</f>
        <v>0</v>
      </c>
      <c r="AP207">
        <f>sumifs(ap:ap,A:A,"总成",B:B,"852-338000-100")*INDIRECT(ADDRESS(207,5))</f>
        <v>0</v>
      </c>
      <c r="AQ207">
        <f>sumifs(aq:aq,A:A,"总成",B:B,"852-338000-100")*INDIRECT(ADDRESS(207,5))</f>
        <v>0</v>
      </c>
      <c r="AR207">
        <f>sumifs(ar:ar,A:A,"总成",B:B,"852-338000-100")*INDIRECT(ADDRESS(207,5))</f>
        <v>0</v>
      </c>
    </row>
    <row r="208" spans="1:44">
      <c r="A208" t="s">
        <v>14</v>
      </c>
      <c r="B208" t="s">
        <v>298</v>
      </c>
      <c r="C208" t="s">
        <v>299</v>
      </c>
      <c r="D208" t="s">
        <v>36</v>
      </c>
      <c r="E208">
        <v>1</v>
      </c>
      <c r="F208" t="s">
        <v>300</v>
      </c>
      <c r="K208" t="s">
        <v>305</v>
      </c>
      <c r="L208" t="s">
        <v>21</v>
      </c>
      <c r="M208">
        <f>vlookup("852-078000-100",生产发行表!B:AZ,column(l1),0)</f>
        <v>0</v>
      </c>
      <c r="N208">
        <f>vlookup("852-078000-100",生产发行表!B:AZ,column(m1),0)</f>
        <v>0</v>
      </c>
      <c r="O208">
        <f>vlookup("852-078000-100",生产发行表!B:AZ,column(n1),0)</f>
        <v>0</v>
      </c>
      <c r="P208">
        <f>vlookup("852-078000-100",生产发行表!B:AZ,column(o1),0)</f>
        <v>0</v>
      </c>
      <c r="Q208">
        <f>vlookup("852-078000-100",生产发行表!B:AZ,column(p1),0)</f>
        <v>0</v>
      </c>
      <c r="R208">
        <f>vlookup("852-078000-100",生产发行表!B:AZ,column(q1),0)</f>
        <v>0</v>
      </c>
      <c r="S208">
        <f>vlookup("852-078000-100",生产发行表!B:AZ,column(r1),0)</f>
        <v>0</v>
      </c>
      <c r="T208">
        <f>vlookup("852-078000-100",生产发行表!B:AZ,column(s1),0)</f>
        <v>0</v>
      </c>
      <c r="U208">
        <f>vlookup("852-078000-100",生产发行表!B:AZ,column(t1),0)</f>
        <v>0</v>
      </c>
      <c r="V208">
        <f>vlookup("852-078000-100",生产发行表!B:AZ,column(u1),0)</f>
        <v>0</v>
      </c>
      <c r="W208">
        <f>vlookup("852-078000-100",生产发行表!B:AZ,column(v1),0)</f>
        <v>0</v>
      </c>
      <c r="X208">
        <f>vlookup("852-078000-100",生产发行表!B:AZ,column(w1),0)</f>
        <v>0</v>
      </c>
      <c r="Y208">
        <f>vlookup("852-078000-100",生产发行表!B:AZ,column(x1),0)</f>
        <v>0</v>
      </c>
      <c r="Z208">
        <f>vlookup("852-078000-100",生产发行表!B:AZ,column(y1),0)</f>
        <v>0</v>
      </c>
      <c r="AA208">
        <f>vlookup("852-078000-100",生产发行表!B:AZ,column(z1),0)</f>
        <v>0</v>
      </c>
      <c r="AB208">
        <f>vlookup("852-078000-100",生产发行表!B:AZ,column(aa1),0)</f>
        <v>0</v>
      </c>
      <c r="AC208">
        <f>vlookup("852-078000-100",生产发行表!B:AZ,column(ab1),0)</f>
        <v>0</v>
      </c>
      <c r="AD208">
        <f>vlookup("852-078000-100",生产发行表!B:AZ,column(ac1),0)</f>
        <v>0</v>
      </c>
      <c r="AE208">
        <f>vlookup("852-078000-100",生产发行表!B:AZ,column(ad1),0)</f>
        <v>0</v>
      </c>
      <c r="AF208">
        <f>vlookup("852-078000-100",生产发行表!B:AZ,column(ae1),0)</f>
        <v>0</v>
      </c>
      <c r="AG208">
        <f>vlookup("852-078000-100",生产发行表!B:AZ,column(af1),0)</f>
        <v>0</v>
      </c>
      <c r="AH208">
        <f>vlookup("852-078000-100",生产发行表!B:AZ,column(ag1),0)</f>
        <v>0</v>
      </c>
      <c r="AI208">
        <f>vlookup("852-078000-100",生产发行表!B:AZ,column(ah1),0)</f>
        <v>0</v>
      </c>
      <c r="AJ208">
        <f>vlookup("852-078000-100",生产发行表!B:AZ,column(ai1),0)</f>
        <v>0</v>
      </c>
      <c r="AK208">
        <f>vlookup("852-078000-100",生产发行表!B:AZ,column(aj1),0)</f>
        <v>0</v>
      </c>
      <c r="AL208">
        <f>vlookup("852-078000-100",生产发行表!B:AZ,column(ak1),0)</f>
        <v>0</v>
      </c>
      <c r="AM208">
        <f>vlookup("852-078000-100",生产发行表!B:AZ,column(al1),0)</f>
        <v>0</v>
      </c>
      <c r="AN208">
        <f>vlookup("852-078000-100",生产发行表!B:AZ,column(am1),0)</f>
        <v>0</v>
      </c>
      <c r="AO208">
        <f>vlookup("852-078000-100",生产发行表!B:AZ,column(an1),0)</f>
        <v>0</v>
      </c>
      <c r="AP208">
        <f>vlookup("852-078000-100",生产发行表!B:AZ,column(ao1),0)</f>
        <v>0</v>
      </c>
      <c r="AQ208">
        <f>vlookup("852-078000-100",生产发行表!B:AZ,column(ap1),0)</f>
        <v>0</v>
      </c>
      <c r="AR208">
        <f>vlookup("852-078000-100",生产发行表!B:AZ,column(aq1),0)</f>
        <v>0</v>
      </c>
    </row>
    <row r="209" spans="1:44">
      <c r="A209" t="s">
        <v>31</v>
      </c>
      <c r="B209" t="s">
        <v>423</v>
      </c>
      <c r="C209" t="s">
        <v>424</v>
      </c>
      <c r="E209">
        <v>1</v>
      </c>
      <c r="F209" t="s">
        <v>430</v>
      </c>
      <c r="K209" t="s">
        <v>308</v>
      </c>
      <c r="L209" t="s">
        <v>37</v>
      </c>
      <c r="M209">
        <f>sumifs(m:m,A:A,"总成",B:B,"852-078000-100")*INDIRECT(ADDRESS(209,5))</f>
        <v>0</v>
      </c>
      <c r="N209">
        <f>sumifs(n:n,A:A,"总成",B:B,"852-078000-100")*INDIRECT(ADDRESS(209,5))</f>
        <v>0</v>
      </c>
      <c r="O209">
        <f>sumifs(o:o,A:A,"总成",B:B,"852-078000-100")*INDIRECT(ADDRESS(209,5))</f>
        <v>0</v>
      </c>
      <c r="P209">
        <f>sumifs(p:p,A:A,"总成",B:B,"852-078000-100")*INDIRECT(ADDRESS(209,5))</f>
        <v>0</v>
      </c>
      <c r="Q209">
        <f>sumifs(q:q,A:A,"总成",B:B,"852-078000-100")*INDIRECT(ADDRESS(209,5))</f>
        <v>0</v>
      </c>
      <c r="R209">
        <f>sumifs(r:r,A:A,"总成",B:B,"852-078000-100")*INDIRECT(ADDRESS(209,5))</f>
        <v>0</v>
      </c>
      <c r="S209">
        <f>sumifs(s:s,A:A,"总成",B:B,"852-078000-100")*INDIRECT(ADDRESS(209,5))</f>
        <v>0</v>
      </c>
      <c r="T209">
        <f>sumifs(t:t,A:A,"总成",B:B,"852-078000-100")*INDIRECT(ADDRESS(209,5))</f>
        <v>0</v>
      </c>
      <c r="U209">
        <f>sumifs(u:u,A:A,"总成",B:B,"852-078000-100")*INDIRECT(ADDRESS(209,5))</f>
        <v>0</v>
      </c>
      <c r="V209">
        <f>sumifs(v:v,A:A,"总成",B:B,"852-078000-100")*INDIRECT(ADDRESS(209,5))</f>
        <v>0</v>
      </c>
      <c r="W209">
        <f>sumifs(w:w,A:A,"总成",B:B,"852-078000-100")*INDIRECT(ADDRESS(209,5))</f>
        <v>0</v>
      </c>
      <c r="X209">
        <f>sumifs(x:x,A:A,"总成",B:B,"852-078000-100")*INDIRECT(ADDRESS(209,5))</f>
        <v>0</v>
      </c>
      <c r="Y209">
        <f>sumifs(y:y,A:A,"总成",B:B,"852-078000-100")*INDIRECT(ADDRESS(209,5))</f>
        <v>0</v>
      </c>
      <c r="Z209">
        <f>sumifs(z:z,A:A,"总成",B:B,"852-078000-100")*INDIRECT(ADDRESS(209,5))</f>
        <v>0</v>
      </c>
      <c r="AA209">
        <f>sumifs(aa:aa,A:A,"总成",B:B,"852-078000-100")*INDIRECT(ADDRESS(209,5))</f>
        <v>0</v>
      </c>
      <c r="AB209">
        <f>sumifs(ab:ab,A:A,"总成",B:B,"852-078000-100")*INDIRECT(ADDRESS(209,5))</f>
        <v>0</v>
      </c>
      <c r="AC209">
        <f>sumifs(ac:ac,A:A,"总成",B:B,"852-078000-100")*INDIRECT(ADDRESS(209,5))</f>
        <v>0</v>
      </c>
      <c r="AD209">
        <f>sumifs(ad:ad,A:A,"总成",B:B,"852-078000-100")*INDIRECT(ADDRESS(209,5))</f>
        <v>0</v>
      </c>
      <c r="AE209">
        <f>sumifs(ae:ae,A:A,"总成",B:B,"852-078000-100")*INDIRECT(ADDRESS(209,5))</f>
        <v>0</v>
      </c>
      <c r="AF209">
        <f>sumifs(af:af,A:A,"总成",B:B,"852-078000-100")*INDIRECT(ADDRESS(209,5))</f>
        <v>0</v>
      </c>
      <c r="AG209">
        <f>sumifs(ag:ag,A:A,"总成",B:B,"852-078000-100")*INDIRECT(ADDRESS(209,5))</f>
        <v>0</v>
      </c>
      <c r="AH209">
        <f>sumifs(ah:ah,A:A,"总成",B:B,"852-078000-100")*INDIRECT(ADDRESS(209,5))</f>
        <v>0</v>
      </c>
      <c r="AI209">
        <f>sumifs(ai:ai,A:A,"总成",B:B,"852-078000-100")*INDIRECT(ADDRESS(209,5))</f>
        <v>0</v>
      </c>
      <c r="AJ209">
        <f>sumifs(aj:aj,A:A,"总成",B:B,"852-078000-100")*INDIRECT(ADDRESS(209,5))</f>
        <v>0</v>
      </c>
      <c r="AK209">
        <f>sumifs(ak:ak,A:A,"总成",B:B,"852-078000-100")*INDIRECT(ADDRESS(209,5))</f>
        <v>0</v>
      </c>
      <c r="AL209">
        <f>sumifs(al:al,A:A,"总成",B:B,"852-078000-100")*INDIRECT(ADDRESS(209,5))</f>
        <v>0</v>
      </c>
      <c r="AM209">
        <f>sumifs(am:am,A:A,"总成",B:B,"852-078000-100")*INDIRECT(ADDRESS(209,5))</f>
        <v>0</v>
      </c>
      <c r="AN209">
        <f>sumifs(an:an,A:A,"总成",B:B,"852-078000-100")*INDIRECT(ADDRESS(209,5))</f>
        <v>0</v>
      </c>
      <c r="AO209">
        <f>sumifs(ao:ao,A:A,"总成",B:B,"852-078000-100")*INDIRECT(ADDRESS(209,5))</f>
        <v>0</v>
      </c>
      <c r="AP209">
        <f>sumifs(ap:ap,A:A,"总成",B:B,"852-078000-100")*INDIRECT(ADDRESS(209,5))</f>
        <v>0</v>
      </c>
      <c r="AQ209">
        <f>sumifs(aq:aq,A:A,"总成",B:B,"852-078000-100")*INDIRECT(ADDRESS(209,5))</f>
        <v>0</v>
      </c>
      <c r="AR209">
        <f>sumifs(ar:ar,A:A,"总成",B:B,"852-078000-100")*INDIRECT(ADDRESS(209,5))</f>
        <v>0</v>
      </c>
    </row>
    <row r="210" spans="1:44">
      <c r="A210" t="s">
        <v>14</v>
      </c>
      <c r="B210" t="s">
        <v>434</v>
      </c>
      <c r="C210" t="s">
        <v>435</v>
      </c>
      <c r="E210">
        <v>1</v>
      </c>
      <c r="F210" t="s">
        <v>436</v>
      </c>
      <c r="K210" t="s">
        <v>437</v>
      </c>
      <c r="L210" t="s">
        <v>21</v>
      </c>
      <c r="M210">
        <f>vlookup("952-221000-100",生产发行表!B:AZ,column(l1),0)</f>
        <v>0</v>
      </c>
      <c r="N210">
        <f>vlookup("952-221000-100",生产发行表!B:AZ,column(m1),0)</f>
        <v>0</v>
      </c>
      <c r="O210">
        <f>vlookup("952-221000-100",生产发行表!B:AZ,column(n1),0)</f>
        <v>0</v>
      </c>
      <c r="P210">
        <f>vlookup("952-221000-100",生产发行表!B:AZ,column(o1),0)</f>
        <v>0</v>
      </c>
      <c r="Q210">
        <f>vlookup("952-221000-100",生产发行表!B:AZ,column(p1),0)</f>
        <v>0</v>
      </c>
      <c r="R210">
        <f>vlookup("952-221000-100",生产发行表!B:AZ,column(q1),0)</f>
        <v>0</v>
      </c>
      <c r="S210">
        <f>vlookup("952-221000-100",生产发行表!B:AZ,column(r1),0)</f>
        <v>0</v>
      </c>
      <c r="T210">
        <f>vlookup("952-221000-100",生产发行表!B:AZ,column(s1),0)</f>
        <v>0</v>
      </c>
      <c r="U210">
        <f>vlookup("952-221000-100",生产发行表!B:AZ,column(t1),0)</f>
        <v>0</v>
      </c>
      <c r="V210">
        <f>vlookup("952-221000-100",生产发行表!B:AZ,column(u1),0)</f>
        <v>0</v>
      </c>
      <c r="W210">
        <f>vlookup("952-221000-100",生产发行表!B:AZ,column(v1),0)</f>
        <v>0</v>
      </c>
      <c r="X210">
        <f>vlookup("952-221000-100",生产发行表!B:AZ,column(w1),0)</f>
        <v>0</v>
      </c>
      <c r="Y210">
        <f>vlookup("952-221000-100",生产发行表!B:AZ,column(x1),0)</f>
        <v>0</v>
      </c>
      <c r="Z210">
        <f>vlookup("952-221000-100",生产发行表!B:AZ,column(y1),0)</f>
        <v>0</v>
      </c>
      <c r="AA210">
        <f>vlookup("952-221000-100",生产发行表!B:AZ,column(z1),0)</f>
        <v>0</v>
      </c>
      <c r="AB210">
        <f>vlookup("952-221000-100",生产发行表!B:AZ,column(aa1),0)</f>
        <v>0</v>
      </c>
      <c r="AC210">
        <f>vlookup("952-221000-100",生产发行表!B:AZ,column(ab1),0)</f>
        <v>0</v>
      </c>
      <c r="AD210">
        <f>vlookup("952-221000-100",生产发行表!B:AZ,column(ac1),0)</f>
        <v>0</v>
      </c>
      <c r="AE210">
        <f>vlookup("952-221000-100",生产发行表!B:AZ,column(ad1),0)</f>
        <v>0</v>
      </c>
      <c r="AF210">
        <f>vlookup("952-221000-100",生产发行表!B:AZ,column(ae1),0)</f>
        <v>0</v>
      </c>
      <c r="AG210">
        <f>vlookup("952-221000-100",生产发行表!B:AZ,column(af1),0)</f>
        <v>0</v>
      </c>
      <c r="AH210">
        <f>vlookup("952-221000-100",生产发行表!B:AZ,column(ag1),0)</f>
        <v>0</v>
      </c>
      <c r="AI210">
        <f>vlookup("952-221000-100",生产发行表!B:AZ,column(ah1),0)</f>
        <v>0</v>
      </c>
      <c r="AJ210">
        <f>vlookup("952-221000-100",生产发行表!B:AZ,column(ai1),0)</f>
        <v>0</v>
      </c>
      <c r="AK210">
        <f>vlookup("952-221000-100",生产发行表!B:AZ,column(aj1),0)</f>
        <v>0</v>
      </c>
      <c r="AL210">
        <f>vlookup("952-221000-100",生产发行表!B:AZ,column(ak1),0)</f>
        <v>0</v>
      </c>
      <c r="AM210">
        <f>vlookup("952-221000-100",生产发行表!B:AZ,column(al1),0)</f>
        <v>0</v>
      </c>
      <c r="AN210">
        <f>vlookup("952-221000-100",生产发行表!B:AZ,column(am1),0)</f>
        <v>0</v>
      </c>
      <c r="AO210">
        <f>vlookup("952-221000-100",生产发行表!B:AZ,column(an1),0)</f>
        <v>0</v>
      </c>
      <c r="AP210">
        <f>vlookup("952-221000-100",生产发行表!B:AZ,column(ao1),0)</f>
        <v>0</v>
      </c>
      <c r="AQ210">
        <f>vlookup("952-221000-100",生产发行表!B:AZ,column(ap1),0)</f>
        <v>0</v>
      </c>
      <c r="AR210">
        <f>vlookup("952-221000-100",生产发行表!B:AZ,column(aq1),0)</f>
        <v>0</v>
      </c>
    </row>
    <row r="211" spans="1:44">
      <c r="A211" t="s">
        <v>31</v>
      </c>
      <c r="B211" t="s">
        <v>438</v>
      </c>
      <c r="C211" t="s">
        <v>439</v>
      </c>
      <c r="D211" t="s">
        <v>440</v>
      </c>
      <c r="E211">
        <v>1</v>
      </c>
      <c r="F211" t="s">
        <v>441</v>
      </c>
      <c r="K211" t="s">
        <v>437</v>
      </c>
      <c r="L211" t="s">
        <v>37</v>
      </c>
      <c r="M211">
        <f>sumifs(m:m,A:A,"总成",B:B,"952-221000-100")*INDIRECT(ADDRESS(211,5))</f>
        <v>0</v>
      </c>
      <c r="N211">
        <f>sumifs(n:n,A:A,"总成",B:B,"952-221000-100")*INDIRECT(ADDRESS(211,5))</f>
        <v>0</v>
      </c>
      <c r="O211">
        <f>sumifs(o:o,A:A,"总成",B:B,"952-221000-100")*INDIRECT(ADDRESS(211,5))</f>
        <v>0</v>
      </c>
      <c r="P211">
        <f>sumifs(p:p,A:A,"总成",B:B,"952-221000-100")*INDIRECT(ADDRESS(211,5))</f>
        <v>0</v>
      </c>
      <c r="Q211">
        <f>sumifs(q:q,A:A,"总成",B:B,"952-221000-100")*INDIRECT(ADDRESS(211,5))</f>
        <v>0</v>
      </c>
      <c r="R211">
        <f>sumifs(r:r,A:A,"总成",B:B,"952-221000-100")*INDIRECT(ADDRESS(211,5))</f>
        <v>0</v>
      </c>
      <c r="S211">
        <f>sumifs(s:s,A:A,"总成",B:B,"952-221000-100")*INDIRECT(ADDRESS(211,5))</f>
        <v>0</v>
      </c>
      <c r="T211">
        <f>sumifs(t:t,A:A,"总成",B:B,"952-221000-100")*INDIRECT(ADDRESS(211,5))</f>
        <v>0</v>
      </c>
      <c r="U211">
        <f>sumifs(u:u,A:A,"总成",B:B,"952-221000-100")*INDIRECT(ADDRESS(211,5))</f>
        <v>0</v>
      </c>
      <c r="V211">
        <f>sumifs(v:v,A:A,"总成",B:B,"952-221000-100")*INDIRECT(ADDRESS(211,5))</f>
        <v>0</v>
      </c>
      <c r="W211">
        <f>sumifs(w:w,A:A,"总成",B:B,"952-221000-100")*INDIRECT(ADDRESS(211,5))</f>
        <v>0</v>
      </c>
      <c r="X211">
        <f>sumifs(x:x,A:A,"总成",B:B,"952-221000-100")*INDIRECT(ADDRESS(211,5))</f>
        <v>0</v>
      </c>
      <c r="Y211">
        <f>sumifs(y:y,A:A,"总成",B:B,"952-221000-100")*INDIRECT(ADDRESS(211,5))</f>
        <v>0</v>
      </c>
      <c r="Z211">
        <f>sumifs(z:z,A:A,"总成",B:B,"952-221000-100")*INDIRECT(ADDRESS(211,5))</f>
        <v>0</v>
      </c>
      <c r="AA211">
        <f>sumifs(aa:aa,A:A,"总成",B:B,"952-221000-100")*INDIRECT(ADDRESS(211,5))</f>
        <v>0</v>
      </c>
      <c r="AB211">
        <f>sumifs(ab:ab,A:A,"总成",B:B,"952-221000-100")*INDIRECT(ADDRESS(211,5))</f>
        <v>0</v>
      </c>
      <c r="AC211">
        <f>sumifs(ac:ac,A:A,"总成",B:B,"952-221000-100")*INDIRECT(ADDRESS(211,5))</f>
        <v>0</v>
      </c>
      <c r="AD211">
        <f>sumifs(ad:ad,A:A,"总成",B:B,"952-221000-100")*INDIRECT(ADDRESS(211,5))</f>
        <v>0</v>
      </c>
      <c r="AE211">
        <f>sumifs(ae:ae,A:A,"总成",B:B,"952-221000-100")*INDIRECT(ADDRESS(211,5))</f>
        <v>0</v>
      </c>
      <c r="AF211">
        <f>sumifs(af:af,A:A,"总成",B:B,"952-221000-100")*INDIRECT(ADDRESS(211,5))</f>
        <v>0</v>
      </c>
      <c r="AG211">
        <f>sumifs(ag:ag,A:A,"总成",B:B,"952-221000-100")*INDIRECT(ADDRESS(211,5))</f>
        <v>0</v>
      </c>
      <c r="AH211">
        <f>sumifs(ah:ah,A:A,"总成",B:B,"952-221000-100")*INDIRECT(ADDRESS(211,5))</f>
        <v>0</v>
      </c>
      <c r="AI211">
        <f>sumifs(ai:ai,A:A,"总成",B:B,"952-221000-100")*INDIRECT(ADDRESS(211,5))</f>
        <v>0</v>
      </c>
      <c r="AJ211">
        <f>sumifs(aj:aj,A:A,"总成",B:B,"952-221000-100")*INDIRECT(ADDRESS(211,5))</f>
        <v>0</v>
      </c>
      <c r="AK211">
        <f>sumifs(ak:ak,A:A,"总成",B:B,"952-221000-100")*INDIRECT(ADDRESS(211,5))</f>
        <v>0</v>
      </c>
      <c r="AL211">
        <f>sumifs(al:al,A:A,"总成",B:B,"952-221000-100")*INDIRECT(ADDRESS(211,5))</f>
        <v>0</v>
      </c>
      <c r="AM211">
        <f>sumifs(am:am,A:A,"总成",B:B,"952-221000-100")*INDIRECT(ADDRESS(211,5))</f>
        <v>0</v>
      </c>
      <c r="AN211">
        <f>sumifs(an:an,A:A,"总成",B:B,"952-221000-100")*INDIRECT(ADDRESS(211,5))</f>
        <v>0</v>
      </c>
      <c r="AO211">
        <f>sumifs(ao:ao,A:A,"总成",B:B,"952-221000-100")*INDIRECT(ADDRESS(211,5))</f>
        <v>0</v>
      </c>
      <c r="AP211">
        <f>sumifs(ap:ap,A:A,"总成",B:B,"952-221000-100")*INDIRECT(ADDRESS(211,5))</f>
        <v>0</v>
      </c>
      <c r="AQ211">
        <f>sumifs(aq:aq,A:A,"总成",B:B,"952-221000-100")*INDIRECT(ADDRESS(211,5))</f>
        <v>0</v>
      </c>
      <c r="AR211">
        <f>sumifs(ar:ar,A:A,"总成",B:B,"952-221000-100")*INDIRECT(ADDRESS(211,5))</f>
        <v>0</v>
      </c>
    </row>
    <row r="212" spans="1:44">
      <c r="A212" t="s">
        <v>14</v>
      </c>
      <c r="B212" t="s">
        <v>442</v>
      </c>
      <c r="C212" t="s">
        <v>443</v>
      </c>
      <c r="E212" t="s">
        <v>444</v>
      </c>
      <c r="F212" t="s">
        <v>445</v>
      </c>
      <c r="K212" t="s">
        <v>437</v>
      </c>
      <c r="L212" t="s">
        <v>21</v>
      </c>
      <c r="M212">
        <f>vlookup("952-222000-100",生产发行表!B:AZ,column(l1),0)</f>
        <v>0</v>
      </c>
      <c r="N212">
        <f>vlookup("952-222000-100",生产发行表!B:AZ,column(m1),0)</f>
        <v>0</v>
      </c>
      <c r="O212">
        <f>vlookup("952-222000-100",生产发行表!B:AZ,column(n1),0)</f>
        <v>0</v>
      </c>
      <c r="P212">
        <f>vlookup("952-222000-100",生产发行表!B:AZ,column(o1),0)</f>
        <v>0</v>
      </c>
      <c r="Q212">
        <f>vlookup("952-222000-100",生产发行表!B:AZ,column(p1),0)</f>
        <v>0</v>
      </c>
      <c r="R212">
        <f>vlookup("952-222000-100",生产发行表!B:AZ,column(q1),0)</f>
        <v>0</v>
      </c>
      <c r="S212">
        <f>vlookup("952-222000-100",生产发行表!B:AZ,column(r1),0)</f>
        <v>0</v>
      </c>
      <c r="T212">
        <f>vlookup("952-222000-100",生产发行表!B:AZ,column(s1),0)</f>
        <v>0</v>
      </c>
      <c r="U212">
        <f>vlookup("952-222000-100",生产发行表!B:AZ,column(t1),0)</f>
        <v>0</v>
      </c>
      <c r="V212">
        <f>vlookup("952-222000-100",生产发行表!B:AZ,column(u1),0)</f>
        <v>0</v>
      </c>
      <c r="W212">
        <f>vlookup("952-222000-100",生产发行表!B:AZ,column(v1),0)</f>
        <v>0</v>
      </c>
      <c r="X212">
        <f>vlookup("952-222000-100",生产发行表!B:AZ,column(w1),0)</f>
        <v>0</v>
      </c>
      <c r="Y212">
        <f>vlookup("952-222000-100",生产发行表!B:AZ,column(x1),0)</f>
        <v>0</v>
      </c>
      <c r="Z212">
        <f>vlookup("952-222000-100",生产发行表!B:AZ,column(y1),0)</f>
        <v>0</v>
      </c>
      <c r="AA212">
        <f>vlookup("952-222000-100",生产发行表!B:AZ,column(z1),0)</f>
        <v>0</v>
      </c>
      <c r="AB212">
        <f>vlookup("952-222000-100",生产发行表!B:AZ,column(aa1),0)</f>
        <v>0</v>
      </c>
      <c r="AC212">
        <f>vlookup("952-222000-100",生产发行表!B:AZ,column(ab1),0)</f>
        <v>0</v>
      </c>
      <c r="AD212">
        <f>vlookup("952-222000-100",生产发行表!B:AZ,column(ac1),0)</f>
        <v>0</v>
      </c>
      <c r="AE212">
        <f>vlookup("952-222000-100",生产发行表!B:AZ,column(ad1),0)</f>
        <v>0</v>
      </c>
      <c r="AF212">
        <f>vlookup("952-222000-100",生产发行表!B:AZ,column(ae1),0)</f>
        <v>0</v>
      </c>
      <c r="AG212">
        <f>vlookup("952-222000-100",生产发行表!B:AZ,column(af1),0)</f>
        <v>0</v>
      </c>
      <c r="AH212">
        <f>vlookup("952-222000-100",生产发行表!B:AZ,column(ag1),0)</f>
        <v>0</v>
      </c>
      <c r="AI212">
        <f>vlookup("952-222000-100",生产发行表!B:AZ,column(ah1),0)</f>
        <v>0</v>
      </c>
      <c r="AJ212">
        <f>vlookup("952-222000-100",生产发行表!B:AZ,column(ai1),0)</f>
        <v>0</v>
      </c>
      <c r="AK212">
        <f>vlookup("952-222000-100",生产发行表!B:AZ,column(aj1),0)</f>
        <v>0</v>
      </c>
      <c r="AL212">
        <f>vlookup("952-222000-100",生产发行表!B:AZ,column(ak1),0)</f>
        <v>0</v>
      </c>
      <c r="AM212">
        <f>vlookup("952-222000-100",生产发行表!B:AZ,column(al1),0)</f>
        <v>0</v>
      </c>
      <c r="AN212">
        <f>vlookup("952-222000-100",生产发行表!B:AZ,column(am1),0)</f>
        <v>0</v>
      </c>
      <c r="AO212">
        <f>vlookup("952-222000-100",生产发行表!B:AZ,column(an1),0)</f>
        <v>0</v>
      </c>
      <c r="AP212">
        <f>vlookup("952-222000-100",生产发行表!B:AZ,column(ao1),0)</f>
        <v>0</v>
      </c>
      <c r="AQ212">
        <f>vlookup("952-222000-100",生产发行表!B:AZ,column(ap1),0)</f>
        <v>0</v>
      </c>
      <c r="AR212">
        <f>vlookup("952-222000-100",生产发行表!B:AZ,column(aq1),0)</f>
        <v>0</v>
      </c>
    </row>
    <row r="213" spans="1:44">
      <c r="A213" t="s">
        <v>31</v>
      </c>
      <c r="B213" t="s">
        <v>446</v>
      </c>
      <c r="C213" t="s">
        <v>447</v>
      </c>
      <c r="D213" t="s">
        <v>448</v>
      </c>
      <c r="E213">
        <v>1</v>
      </c>
      <c r="F213" t="s">
        <v>449</v>
      </c>
      <c r="K213" t="s">
        <v>437</v>
      </c>
      <c r="L213" t="s">
        <v>37</v>
      </c>
      <c r="M213">
        <f>sumifs(m:m,A:A,"总成",B:B,"952-222000-100")*INDIRECT(ADDRESS(213,5))</f>
        <v>0</v>
      </c>
      <c r="N213">
        <f>sumifs(n:n,A:A,"总成",B:B,"952-222000-100")*INDIRECT(ADDRESS(213,5))</f>
        <v>0</v>
      </c>
      <c r="O213">
        <f>sumifs(o:o,A:A,"总成",B:B,"952-222000-100")*INDIRECT(ADDRESS(213,5))</f>
        <v>0</v>
      </c>
      <c r="P213">
        <f>sumifs(p:p,A:A,"总成",B:B,"952-222000-100")*INDIRECT(ADDRESS(213,5))</f>
        <v>0</v>
      </c>
      <c r="Q213">
        <f>sumifs(q:q,A:A,"总成",B:B,"952-222000-100")*INDIRECT(ADDRESS(213,5))</f>
        <v>0</v>
      </c>
      <c r="R213">
        <f>sumifs(r:r,A:A,"总成",B:B,"952-222000-100")*INDIRECT(ADDRESS(213,5))</f>
        <v>0</v>
      </c>
      <c r="S213">
        <f>sumifs(s:s,A:A,"总成",B:B,"952-222000-100")*INDIRECT(ADDRESS(213,5))</f>
        <v>0</v>
      </c>
      <c r="T213">
        <f>sumifs(t:t,A:A,"总成",B:B,"952-222000-100")*INDIRECT(ADDRESS(213,5))</f>
        <v>0</v>
      </c>
      <c r="U213">
        <f>sumifs(u:u,A:A,"总成",B:B,"952-222000-100")*INDIRECT(ADDRESS(213,5))</f>
        <v>0</v>
      </c>
      <c r="V213">
        <f>sumifs(v:v,A:A,"总成",B:B,"952-222000-100")*INDIRECT(ADDRESS(213,5))</f>
        <v>0</v>
      </c>
      <c r="W213">
        <f>sumifs(w:w,A:A,"总成",B:B,"952-222000-100")*INDIRECT(ADDRESS(213,5))</f>
        <v>0</v>
      </c>
      <c r="X213">
        <f>sumifs(x:x,A:A,"总成",B:B,"952-222000-100")*INDIRECT(ADDRESS(213,5))</f>
        <v>0</v>
      </c>
      <c r="Y213">
        <f>sumifs(y:y,A:A,"总成",B:B,"952-222000-100")*INDIRECT(ADDRESS(213,5))</f>
        <v>0</v>
      </c>
      <c r="Z213">
        <f>sumifs(z:z,A:A,"总成",B:B,"952-222000-100")*INDIRECT(ADDRESS(213,5))</f>
        <v>0</v>
      </c>
      <c r="AA213">
        <f>sumifs(aa:aa,A:A,"总成",B:B,"952-222000-100")*INDIRECT(ADDRESS(213,5))</f>
        <v>0</v>
      </c>
      <c r="AB213">
        <f>sumifs(ab:ab,A:A,"总成",B:B,"952-222000-100")*INDIRECT(ADDRESS(213,5))</f>
        <v>0</v>
      </c>
      <c r="AC213">
        <f>sumifs(ac:ac,A:A,"总成",B:B,"952-222000-100")*INDIRECT(ADDRESS(213,5))</f>
        <v>0</v>
      </c>
      <c r="AD213">
        <f>sumifs(ad:ad,A:A,"总成",B:B,"952-222000-100")*INDIRECT(ADDRESS(213,5))</f>
        <v>0</v>
      </c>
      <c r="AE213">
        <f>sumifs(ae:ae,A:A,"总成",B:B,"952-222000-100")*INDIRECT(ADDRESS(213,5))</f>
        <v>0</v>
      </c>
      <c r="AF213">
        <f>sumifs(af:af,A:A,"总成",B:B,"952-222000-100")*INDIRECT(ADDRESS(213,5))</f>
        <v>0</v>
      </c>
      <c r="AG213">
        <f>sumifs(ag:ag,A:A,"总成",B:B,"952-222000-100")*INDIRECT(ADDRESS(213,5))</f>
        <v>0</v>
      </c>
      <c r="AH213">
        <f>sumifs(ah:ah,A:A,"总成",B:B,"952-222000-100")*INDIRECT(ADDRESS(213,5))</f>
        <v>0</v>
      </c>
      <c r="AI213">
        <f>sumifs(ai:ai,A:A,"总成",B:B,"952-222000-100")*INDIRECT(ADDRESS(213,5))</f>
        <v>0</v>
      </c>
      <c r="AJ213">
        <f>sumifs(aj:aj,A:A,"总成",B:B,"952-222000-100")*INDIRECT(ADDRESS(213,5))</f>
        <v>0</v>
      </c>
      <c r="AK213">
        <f>sumifs(ak:ak,A:A,"总成",B:B,"952-222000-100")*INDIRECT(ADDRESS(213,5))</f>
        <v>0</v>
      </c>
      <c r="AL213">
        <f>sumifs(al:al,A:A,"总成",B:B,"952-222000-100")*INDIRECT(ADDRESS(213,5))</f>
        <v>0</v>
      </c>
      <c r="AM213">
        <f>sumifs(am:am,A:A,"总成",B:B,"952-222000-100")*INDIRECT(ADDRESS(213,5))</f>
        <v>0</v>
      </c>
      <c r="AN213">
        <f>sumifs(an:an,A:A,"总成",B:B,"952-222000-100")*INDIRECT(ADDRESS(213,5))</f>
        <v>0</v>
      </c>
      <c r="AO213">
        <f>sumifs(ao:ao,A:A,"总成",B:B,"952-222000-100")*INDIRECT(ADDRESS(213,5))</f>
        <v>0</v>
      </c>
      <c r="AP213">
        <f>sumifs(ap:ap,A:A,"总成",B:B,"952-222000-100")*INDIRECT(ADDRESS(213,5))</f>
        <v>0</v>
      </c>
      <c r="AQ213">
        <f>sumifs(aq:aq,A:A,"总成",B:B,"952-222000-100")*INDIRECT(ADDRESS(213,5))</f>
        <v>0</v>
      </c>
      <c r="AR213">
        <f>sumifs(ar:ar,A:A,"总成",B:B,"952-222000-100")*INDIRECT(ADDRESS(213,5))</f>
        <v>0</v>
      </c>
    </row>
    <row r="214" spans="1:44">
      <c r="A214" t="s">
        <v>31</v>
      </c>
      <c r="B214" t="s">
        <v>450</v>
      </c>
      <c r="C214" t="s">
        <v>451</v>
      </c>
      <c r="D214" t="s">
        <v>452</v>
      </c>
      <c r="E214" t="s">
        <v>453</v>
      </c>
      <c r="F214" t="s">
        <v>454</v>
      </c>
      <c r="K214" t="s">
        <v>437</v>
      </c>
      <c r="L214" t="s">
        <v>37</v>
      </c>
      <c r="M214">
        <f>sumifs(m:m,A:A,"总成",B:B,"952-222000-100")*INDIRECT(ADDRESS(214,5))</f>
        <v>0</v>
      </c>
      <c r="N214">
        <f>sumifs(n:n,A:A,"总成",B:B,"952-222000-100")*INDIRECT(ADDRESS(214,5))</f>
        <v>0</v>
      </c>
      <c r="O214">
        <f>sumifs(o:o,A:A,"总成",B:B,"952-222000-100")*INDIRECT(ADDRESS(214,5))</f>
        <v>0</v>
      </c>
      <c r="P214">
        <f>sumifs(p:p,A:A,"总成",B:B,"952-222000-100")*INDIRECT(ADDRESS(214,5))</f>
        <v>0</v>
      </c>
      <c r="Q214">
        <f>sumifs(q:q,A:A,"总成",B:B,"952-222000-100")*INDIRECT(ADDRESS(214,5))</f>
        <v>0</v>
      </c>
      <c r="R214">
        <f>sumifs(r:r,A:A,"总成",B:B,"952-222000-100")*INDIRECT(ADDRESS(214,5))</f>
        <v>0</v>
      </c>
      <c r="S214">
        <f>sumifs(s:s,A:A,"总成",B:B,"952-222000-100")*INDIRECT(ADDRESS(214,5))</f>
        <v>0</v>
      </c>
      <c r="T214">
        <f>sumifs(t:t,A:A,"总成",B:B,"952-222000-100")*INDIRECT(ADDRESS(214,5))</f>
        <v>0</v>
      </c>
      <c r="U214">
        <f>sumifs(u:u,A:A,"总成",B:B,"952-222000-100")*INDIRECT(ADDRESS(214,5))</f>
        <v>0</v>
      </c>
      <c r="V214">
        <f>sumifs(v:v,A:A,"总成",B:B,"952-222000-100")*INDIRECT(ADDRESS(214,5))</f>
        <v>0</v>
      </c>
      <c r="W214">
        <f>sumifs(w:w,A:A,"总成",B:B,"952-222000-100")*INDIRECT(ADDRESS(214,5))</f>
        <v>0</v>
      </c>
      <c r="X214">
        <f>sumifs(x:x,A:A,"总成",B:B,"952-222000-100")*INDIRECT(ADDRESS(214,5))</f>
        <v>0</v>
      </c>
      <c r="Y214">
        <f>sumifs(y:y,A:A,"总成",B:B,"952-222000-100")*INDIRECT(ADDRESS(214,5))</f>
        <v>0</v>
      </c>
      <c r="Z214">
        <f>sumifs(z:z,A:A,"总成",B:B,"952-222000-100")*INDIRECT(ADDRESS(214,5))</f>
        <v>0</v>
      </c>
      <c r="AA214">
        <f>sumifs(aa:aa,A:A,"总成",B:B,"952-222000-100")*INDIRECT(ADDRESS(214,5))</f>
        <v>0</v>
      </c>
      <c r="AB214">
        <f>sumifs(ab:ab,A:A,"总成",B:B,"952-222000-100")*INDIRECT(ADDRESS(214,5))</f>
        <v>0</v>
      </c>
      <c r="AC214">
        <f>sumifs(ac:ac,A:A,"总成",B:B,"952-222000-100")*INDIRECT(ADDRESS(214,5))</f>
        <v>0</v>
      </c>
      <c r="AD214">
        <f>sumifs(ad:ad,A:A,"总成",B:B,"952-222000-100")*INDIRECT(ADDRESS(214,5))</f>
        <v>0</v>
      </c>
      <c r="AE214">
        <f>sumifs(ae:ae,A:A,"总成",B:B,"952-222000-100")*INDIRECT(ADDRESS(214,5))</f>
        <v>0</v>
      </c>
      <c r="AF214">
        <f>sumifs(af:af,A:A,"总成",B:B,"952-222000-100")*INDIRECT(ADDRESS(214,5))</f>
        <v>0</v>
      </c>
      <c r="AG214">
        <f>sumifs(ag:ag,A:A,"总成",B:B,"952-222000-100")*INDIRECT(ADDRESS(214,5))</f>
        <v>0</v>
      </c>
      <c r="AH214">
        <f>sumifs(ah:ah,A:A,"总成",B:B,"952-222000-100")*INDIRECT(ADDRESS(214,5))</f>
        <v>0</v>
      </c>
      <c r="AI214">
        <f>sumifs(ai:ai,A:A,"总成",B:B,"952-222000-100")*INDIRECT(ADDRESS(214,5))</f>
        <v>0</v>
      </c>
      <c r="AJ214">
        <f>sumifs(aj:aj,A:A,"总成",B:B,"952-222000-100")*INDIRECT(ADDRESS(214,5))</f>
        <v>0</v>
      </c>
      <c r="AK214">
        <f>sumifs(ak:ak,A:A,"总成",B:B,"952-222000-100")*INDIRECT(ADDRESS(214,5))</f>
        <v>0</v>
      </c>
      <c r="AL214">
        <f>sumifs(al:al,A:A,"总成",B:B,"952-222000-100")*INDIRECT(ADDRESS(214,5))</f>
        <v>0</v>
      </c>
      <c r="AM214">
        <f>sumifs(am:am,A:A,"总成",B:B,"952-222000-100")*INDIRECT(ADDRESS(214,5))</f>
        <v>0</v>
      </c>
      <c r="AN214">
        <f>sumifs(an:an,A:A,"总成",B:B,"952-222000-100")*INDIRECT(ADDRESS(214,5))</f>
        <v>0</v>
      </c>
      <c r="AO214">
        <f>sumifs(ao:ao,A:A,"总成",B:B,"952-222000-100")*INDIRECT(ADDRESS(214,5))</f>
        <v>0</v>
      </c>
      <c r="AP214">
        <f>sumifs(ap:ap,A:A,"总成",B:B,"952-222000-100")*INDIRECT(ADDRESS(214,5))</f>
        <v>0</v>
      </c>
      <c r="AQ214">
        <f>sumifs(aq:aq,A:A,"总成",B:B,"952-222000-100")*INDIRECT(ADDRESS(214,5))</f>
        <v>0</v>
      </c>
      <c r="AR214">
        <f>sumifs(ar:ar,A:A,"总成",B:B,"952-222000-100")*INDIRECT(ADDRESS(214,5))</f>
        <v>0</v>
      </c>
    </row>
    <row r="215" spans="1:44">
      <c r="A215" t="s">
        <v>14</v>
      </c>
      <c r="B215" t="s">
        <v>455</v>
      </c>
      <c r="C215" t="s">
        <v>456</v>
      </c>
      <c r="E215">
        <v>1</v>
      </c>
      <c r="F215" t="s">
        <v>457</v>
      </c>
      <c r="K215" t="s">
        <v>437</v>
      </c>
      <c r="L215" t="s">
        <v>21</v>
      </c>
      <c r="M215">
        <f>vlookup("952-222000-200",生产发行表!B:AZ,column(l1),0)</f>
        <v>0</v>
      </c>
      <c r="N215">
        <f>vlookup("952-222000-200",生产发行表!B:AZ,column(m1),0)</f>
        <v>0</v>
      </c>
      <c r="O215">
        <f>vlookup("952-222000-200",生产发行表!B:AZ,column(n1),0)</f>
        <v>0</v>
      </c>
      <c r="P215">
        <f>vlookup("952-222000-200",生产发行表!B:AZ,column(o1),0)</f>
        <v>0</v>
      </c>
      <c r="Q215">
        <f>vlookup("952-222000-200",生产发行表!B:AZ,column(p1),0)</f>
        <v>0</v>
      </c>
      <c r="R215">
        <f>vlookup("952-222000-200",生产发行表!B:AZ,column(q1),0)</f>
        <v>0</v>
      </c>
      <c r="S215">
        <f>vlookup("952-222000-200",生产发行表!B:AZ,column(r1),0)</f>
        <v>0</v>
      </c>
      <c r="T215">
        <f>vlookup("952-222000-200",生产发行表!B:AZ,column(s1),0)</f>
        <v>0</v>
      </c>
      <c r="U215">
        <f>vlookup("952-222000-200",生产发行表!B:AZ,column(t1),0)</f>
        <v>0</v>
      </c>
      <c r="V215">
        <f>vlookup("952-222000-200",生产发行表!B:AZ,column(u1),0)</f>
        <v>0</v>
      </c>
      <c r="W215">
        <f>vlookup("952-222000-200",生产发行表!B:AZ,column(v1),0)</f>
        <v>0</v>
      </c>
      <c r="X215">
        <f>vlookup("952-222000-200",生产发行表!B:AZ,column(w1),0)</f>
        <v>0</v>
      </c>
      <c r="Y215">
        <f>vlookup("952-222000-200",生产发行表!B:AZ,column(x1),0)</f>
        <v>0</v>
      </c>
      <c r="Z215">
        <f>vlookup("952-222000-200",生产发行表!B:AZ,column(y1),0)</f>
        <v>0</v>
      </c>
      <c r="AA215">
        <f>vlookup("952-222000-200",生产发行表!B:AZ,column(z1),0)</f>
        <v>0</v>
      </c>
      <c r="AB215">
        <f>vlookup("952-222000-200",生产发行表!B:AZ,column(aa1),0)</f>
        <v>0</v>
      </c>
      <c r="AC215">
        <f>vlookup("952-222000-200",生产发行表!B:AZ,column(ab1),0)</f>
        <v>0</v>
      </c>
      <c r="AD215">
        <f>vlookup("952-222000-200",生产发行表!B:AZ,column(ac1),0)</f>
        <v>0</v>
      </c>
      <c r="AE215">
        <f>vlookup("952-222000-200",生产发行表!B:AZ,column(ad1),0)</f>
        <v>0</v>
      </c>
      <c r="AF215">
        <f>vlookup("952-222000-200",生产发行表!B:AZ,column(ae1),0)</f>
        <v>0</v>
      </c>
      <c r="AG215">
        <f>vlookup("952-222000-200",生产发行表!B:AZ,column(af1),0)</f>
        <v>0</v>
      </c>
      <c r="AH215">
        <f>vlookup("952-222000-200",生产发行表!B:AZ,column(ag1),0)</f>
        <v>0</v>
      </c>
      <c r="AI215">
        <f>vlookup("952-222000-200",生产发行表!B:AZ,column(ah1),0)</f>
        <v>0</v>
      </c>
      <c r="AJ215">
        <f>vlookup("952-222000-200",生产发行表!B:AZ,column(ai1),0)</f>
        <v>0</v>
      </c>
      <c r="AK215">
        <f>vlookup("952-222000-200",生产发行表!B:AZ,column(aj1),0)</f>
        <v>0</v>
      </c>
      <c r="AL215">
        <f>vlookup("952-222000-200",生产发行表!B:AZ,column(ak1),0)</f>
        <v>0</v>
      </c>
      <c r="AM215">
        <f>vlookup("952-222000-200",生产发行表!B:AZ,column(al1),0)</f>
        <v>0</v>
      </c>
      <c r="AN215">
        <f>vlookup("952-222000-200",生产发行表!B:AZ,column(am1),0)</f>
        <v>0</v>
      </c>
      <c r="AO215">
        <f>vlookup("952-222000-200",生产发行表!B:AZ,column(an1),0)</f>
        <v>0</v>
      </c>
      <c r="AP215">
        <f>vlookup("952-222000-200",生产发行表!B:AZ,column(ao1),0)</f>
        <v>0</v>
      </c>
      <c r="AQ215">
        <f>vlookup("952-222000-200",生产发行表!B:AZ,column(ap1),0)</f>
        <v>0</v>
      </c>
      <c r="AR215">
        <f>vlookup("952-222000-200",生产发行表!B:AZ,column(aq1),0)</f>
        <v>0</v>
      </c>
    </row>
    <row r="216" spans="1:44">
      <c r="A216" t="s">
        <v>31</v>
      </c>
      <c r="B216" t="s">
        <v>458</v>
      </c>
      <c r="C216" t="s">
        <v>459</v>
      </c>
      <c r="D216" t="s">
        <v>448</v>
      </c>
      <c r="E216">
        <v>1</v>
      </c>
      <c r="F216" t="s">
        <v>460</v>
      </c>
      <c r="K216" t="s">
        <v>437</v>
      </c>
      <c r="L216" t="s">
        <v>37</v>
      </c>
      <c r="M216">
        <f>sumifs(m:m,A:A,"总成",B:B,"952-222000-200")*INDIRECT(ADDRESS(216,5))</f>
        <v>0</v>
      </c>
      <c r="N216">
        <f>sumifs(n:n,A:A,"总成",B:B,"952-222000-200")*INDIRECT(ADDRESS(216,5))</f>
        <v>0</v>
      </c>
      <c r="O216">
        <f>sumifs(o:o,A:A,"总成",B:B,"952-222000-200")*INDIRECT(ADDRESS(216,5))</f>
        <v>0</v>
      </c>
      <c r="P216">
        <f>sumifs(p:p,A:A,"总成",B:B,"952-222000-200")*INDIRECT(ADDRESS(216,5))</f>
        <v>0</v>
      </c>
      <c r="Q216">
        <f>sumifs(q:q,A:A,"总成",B:B,"952-222000-200")*INDIRECT(ADDRESS(216,5))</f>
        <v>0</v>
      </c>
      <c r="R216">
        <f>sumifs(r:r,A:A,"总成",B:B,"952-222000-200")*INDIRECT(ADDRESS(216,5))</f>
        <v>0</v>
      </c>
      <c r="S216">
        <f>sumifs(s:s,A:A,"总成",B:B,"952-222000-200")*INDIRECT(ADDRESS(216,5))</f>
        <v>0</v>
      </c>
      <c r="T216">
        <f>sumifs(t:t,A:A,"总成",B:B,"952-222000-200")*INDIRECT(ADDRESS(216,5))</f>
        <v>0</v>
      </c>
      <c r="U216">
        <f>sumifs(u:u,A:A,"总成",B:B,"952-222000-200")*INDIRECT(ADDRESS(216,5))</f>
        <v>0</v>
      </c>
      <c r="V216">
        <f>sumifs(v:v,A:A,"总成",B:B,"952-222000-200")*INDIRECT(ADDRESS(216,5))</f>
        <v>0</v>
      </c>
      <c r="W216">
        <f>sumifs(w:w,A:A,"总成",B:B,"952-222000-200")*INDIRECT(ADDRESS(216,5))</f>
        <v>0</v>
      </c>
      <c r="X216">
        <f>sumifs(x:x,A:A,"总成",B:B,"952-222000-200")*INDIRECT(ADDRESS(216,5))</f>
        <v>0</v>
      </c>
      <c r="Y216">
        <f>sumifs(y:y,A:A,"总成",B:B,"952-222000-200")*INDIRECT(ADDRESS(216,5))</f>
        <v>0</v>
      </c>
      <c r="Z216">
        <f>sumifs(z:z,A:A,"总成",B:B,"952-222000-200")*INDIRECT(ADDRESS(216,5))</f>
        <v>0</v>
      </c>
      <c r="AA216">
        <f>sumifs(aa:aa,A:A,"总成",B:B,"952-222000-200")*INDIRECT(ADDRESS(216,5))</f>
        <v>0</v>
      </c>
      <c r="AB216">
        <f>sumifs(ab:ab,A:A,"总成",B:B,"952-222000-200")*INDIRECT(ADDRESS(216,5))</f>
        <v>0</v>
      </c>
      <c r="AC216">
        <f>sumifs(ac:ac,A:A,"总成",B:B,"952-222000-200")*INDIRECT(ADDRESS(216,5))</f>
        <v>0</v>
      </c>
      <c r="AD216">
        <f>sumifs(ad:ad,A:A,"总成",B:B,"952-222000-200")*INDIRECT(ADDRESS(216,5))</f>
        <v>0</v>
      </c>
      <c r="AE216">
        <f>sumifs(ae:ae,A:A,"总成",B:B,"952-222000-200")*INDIRECT(ADDRESS(216,5))</f>
        <v>0</v>
      </c>
      <c r="AF216">
        <f>sumifs(af:af,A:A,"总成",B:B,"952-222000-200")*INDIRECT(ADDRESS(216,5))</f>
        <v>0</v>
      </c>
      <c r="AG216">
        <f>sumifs(ag:ag,A:A,"总成",B:B,"952-222000-200")*INDIRECT(ADDRESS(216,5))</f>
        <v>0</v>
      </c>
      <c r="AH216">
        <f>sumifs(ah:ah,A:A,"总成",B:B,"952-222000-200")*INDIRECT(ADDRESS(216,5))</f>
        <v>0</v>
      </c>
      <c r="AI216">
        <f>sumifs(ai:ai,A:A,"总成",B:B,"952-222000-200")*INDIRECT(ADDRESS(216,5))</f>
        <v>0</v>
      </c>
      <c r="AJ216">
        <f>sumifs(aj:aj,A:A,"总成",B:B,"952-222000-200")*INDIRECT(ADDRESS(216,5))</f>
        <v>0</v>
      </c>
      <c r="AK216">
        <f>sumifs(ak:ak,A:A,"总成",B:B,"952-222000-200")*INDIRECT(ADDRESS(216,5))</f>
        <v>0</v>
      </c>
      <c r="AL216">
        <f>sumifs(al:al,A:A,"总成",B:B,"952-222000-200")*INDIRECT(ADDRESS(216,5))</f>
        <v>0</v>
      </c>
      <c r="AM216">
        <f>sumifs(am:am,A:A,"总成",B:B,"952-222000-200")*INDIRECT(ADDRESS(216,5))</f>
        <v>0</v>
      </c>
      <c r="AN216">
        <f>sumifs(an:an,A:A,"总成",B:B,"952-222000-200")*INDIRECT(ADDRESS(216,5))</f>
        <v>0</v>
      </c>
      <c r="AO216">
        <f>sumifs(ao:ao,A:A,"总成",B:B,"952-222000-200")*INDIRECT(ADDRESS(216,5))</f>
        <v>0</v>
      </c>
      <c r="AP216">
        <f>sumifs(ap:ap,A:A,"总成",B:B,"952-222000-200")*INDIRECT(ADDRESS(216,5))</f>
        <v>0</v>
      </c>
      <c r="AQ216">
        <f>sumifs(aq:aq,A:A,"总成",B:B,"952-222000-200")*INDIRECT(ADDRESS(216,5))</f>
        <v>0</v>
      </c>
      <c r="AR216">
        <f>sumifs(ar:ar,A:A,"总成",B:B,"952-222000-200")*INDIRECT(ADDRESS(216,5))</f>
        <v>0</v>
      </c>
    </row>
    <row r="217" spans="1:44">
      <c r="A217" t="s">
        <v>31</v>
      </c>
      <c r="B217" t="s">
        <v>461</v>
      </c>
      <c r="C217" t="s">
        <v>462</v>
      </c>
      <c r="D217" t="s">
        <v>452</v>
      </c>
      <c r="E217" t="s">
        <v>453</v>
      </c>
      <c r="F217" t="s">
        <v>463</v>
      </c>
      <c r="K217" t="s">
        <v>437</v>
      </c>
      <c r="L217" t="s">
        <v>37</v>
      </c>
      <c r="M217">
        <f>sumifs(m:m,A:A,"总成",B:B,"952-222000-200")*INDIRECT(ADDRESS(217,5))</f>
        <v>0</v>
      </c>
      <c r="N217">
        <f>sumifs(n:n,A:A,"总成",B:B,"952-222000-200")*INDIRECT(ADDRESS(217,5))</f>
        <v>0</v>
      </c>
      <c r="O217">
        <f>sumifs(o:o,A:A,"总成",B:B,"952-222000-200")*INDIRECT(ADDRESS(217,5))</f>
        <v>0</v>
      </c>
      <c r="P217">
        <f>sumifs(p:p,A:A,"总成",B:B,"952-222000-200")*INDIRECT(ADDRESS(217,5))</f>
        <v>0</v>
      </c>
      <c r="Q217">
        <f>sumifs(q:q,A:A,"总成",B:B,"952-222000-200")*INDIRECT(ADDRESS(217,5))</f>
        <v>0</v>
      </c>
      <c r="R217">
        <f>sumifs(r:r,A:A,"总成",B:B,"952-222000-200")*INDIRECT(ADDRESS(217,5))</f>
        <v>0</v>
      </c>
      <c r="S217">
        <f>sumifs(s:s,A:A,"总成",B:B,"952-222000-200")*INDIRECT(ADDRESS(217,5))</f>
        <v>0</v>
      </c>
      <c r="T217">
        <f>sumifs(t:t,A:A,"总成",B:B,"952-222000-200")*INDIRECT(ADDRESS(217,5))</f>
        <v>0</v>
      </c>
      <c r="U217">
        <f>sumifs(u:u,A:A,"总成",B:B,"952-222000-200")*INDIRECT(ADDRESS(217,5))</f>
        <v>0</v>
      </c>
      <c r="V217">
        <f>sumifs(v:v,A:A,"总成",B:B,"952-222000-200")*INDIRECT(ADDRESS(217,5))</f>
        <v>0</v>
      </c>
      <c r="W217">
        <f>sumifs(w:w,A:A,"总成",B:B,"952-222000-200")*INDIRECT(ADDRESS(217,5))</f>
        <v>0</v>
      </c>
      <c r="X217">
        <f>sumifs(x:x,A:A,"总成",B:B,"952-222000-200")*INDIRECT(ADDRESS(217,5))</f>
        <v>0</v>
      </c>
      <c r="Y217">
        <f>sumifs(y:y,A:A,"总成",B:B,"952-222000-200")*INDIRECT(ADDRESS(217,5))</f>
        <v>0</v>
      </c>
      <c r="Z217">
        <f>sumifs(z:z,A:A,"总成",B:B,"952-222000-200")*INDIRECT(ADDRESS(217,5))</f>
        <v>0</v>
      </c>
      <c r="AA217">
        <f>sumifs(aa:aa,A:A,"总成",B:B,"952-222000-200")*INDIRECT(ADDRESS(217,5))</f>
        <v>0</v>
      </c>
      <c r="AB217">
        <f>sumifs(ab:ab,A:A,"总成",B:B,"952-222000-200")*INDIRECT(ADDRESS(217,5))</f>
        <v>0</v>
      </c>
      <c r="AC217">
        <f>sumifs(ac:ac,A:A,"总成",B:B,"952-222000-200")*INDIRECT(ADDRESS(217,5))</f>
        <v>0</v>
      </c>
      <c r="AD217">
        <f>sumifs(ad:ad,A:A,"总成",B:B,"952-222000-200")*INDIRECT(ADDRESS(217,5))</f>
        <v>0</v>
      </c>
      <c r="AE217">
        <f>sumifs(ae:ae,A:A,"总成",B:B,"952-222000-200")*INDIRECT(ADDRESS(217,5))</f>
        <v>0</v>
      </c>
      <c r="AF217">
        <f>sumifs(af:af,A:A,"总成",B:B,"952-222000-200")*INDIRECT(ADDRESS(217,5))</f>
        <v>0</v>
      </c>
      <c r="AG217">
        <f>sumifs(ag:ag,A:A,"总成",B:B,"952-222000-200")*INDIRECT(ADDRESS(217,5))</f>
        <v>0</v>
      </c>
      <c r="AH217">
        <f>sumifs(ah:ah,A:A,"总成",B:B,"952-222000-200")*INDIRECT(ADDRESS(217,5))</f>
        <v>0</v>
      </c>
      <c r="AI217">
        <f>sumifs(ai:ai,A:A,"总成",B:B,"952-222000-200")*INDIRECT(ADDRESS(217,5))</f>
        <v>0</v>
      </c>
      <c r="AJ217">
        <f>sumifs(aj:aj,A:A,"总成",B:B,"952-222000-200")*INDIRECT(ADDRESS(217,5))</f>
        <v>0</v>
      </c>
      <c r="AK217">
        <f>sumifs(ak:ak,A:A,"总成",B:B,"952-222000-200")*INDIRECT(ADDRESS(217,5))</f>
        <v>0</v>
      </c>
      <c r="AL217">
        <f>sumifs(al:al,A:A,"总成",B:B,"952-222000-200")*INDIRECT(ADDRESS(217,5))</f>
        <v>0</v>
      </c>
      <c r="AM217">
        <f>sumifs(am:am,A:A,"总成",B:B,"952-222000-200")*INDIRECT(ADDRESS(217,5))</f>
        <v>0</v>
      </c>
      <c r="AN217">
        <f>sumifs(an:an,A:A,"总成",B:B,"952-222000-200")*INDIRECT(ADDRESS(217,5))</f>
        <v>0</v>
      </c>
      <c r="AO217">
        <f>sumifs(ao:ao,A:A,"总成",B:B,"952-222000-200")*INDIRECT(ADDRESS(217,5))</f>
        <v>0</v>
      </c>
      <c r="AP217">
        <f>sumifs(ap:ap,A:A,"总成",B:B,"952-222000-200")*INDIRECT(ADDRESS(217,5))</f>
        <v>0</v>
      </c>
      <c r="AQ217">
        <f>sumifs(aq:aq,A:A,"总成",B:B,"952-222000-200")*INDIRECT(ADDRESS(217,5))</f>
        <v>0</v>
      </c>
      <c r="AR217">
        <f>sumifs(ar:ar,A:A,"总成",B:B,"952-222000-200")*INDIRECT(ADDRESS(217,5))</f>
        <v>0</v>
      </c>
    </row>
    <row r="218" spans="1:44">
      <c r="A218" t="s">
        <v>14</v>
      </c>
      <c r="B218" t="s">
        <v>464</v>
      </c>
      <c r="C218" t="s">
        <v>465</v>
      </c>
      <c r="E218" t="s">
        <v>444</v>
      </c>
      <c r="F218" t="s">
        <v>466</v>
      </c>
      <c r="K218" t="s">
        <v>437</v>
      </c>
      <c r="L218" t="s">
        <v>21</v>
      </c>
      <c r="M218">
        <f>vlookup("952-220000-100",生产发行表!B:AZ,column(l1),0)</f>
        <v>0</v>
      </c>
      <c r="N218">
        <f>vlookup("952-220000-100",生产发行表!B:AZ,column(m1),0)</f>
        <v>0</v>
      </c>
      <c r="O218">
        <f>vlookup("952-220000-100",生产发行表!B:AZ,column(n1),0)</f>
        <v>0</v>
      </c>
      <c r="P218">
        <f>vlookup("952-220000-100",生产发行表!B:AZ,column(o1),0)</f>
        <v>0</v>
      </c>
      <c r="Q218">
        <f>vlookup("952-220000-100",生产发行表!B:AZ,column(p1),0)</f>
        <v>0</v>
      </c>
      <c r="R218">
        <f>vlookup("952-220000-100",生产发行表!B:AZ,column(q1),0)</f>
        <v>0</v>
      </c>
      <c r="S218">
        <f>vlookup("952-220000-100",生产发行表!B:AZ,column(r1),0)</f>
        <v>0</v>
      </c>
      <c r="T218">
        <f>vlookup("952-220000-100",生产发行表!B:AZ,column(s1),0)</f>
        <v>0</v>
      </c>
      <c r="U218">
        <f>vlookup("952-220000-100",生产发行表!B:AZ,column(t1),0)</f>
        <v>0</v>
      </c>
      <c r="V218">
        <f>vlookup("952-220000-100",生产发行表!B:AZ,column(u1),0)</f>
        <v>0</v>
      </c>
      <c r="W218">
        <f>vlookup("952-220000-100",生产发行表!B:AZ,column(v1),0)</f>
        <v>0</v>
      </c>
      <c r="X218">
        <f>vlookup("952-220000-100",生产发行表!B:AZ,column(w1),0)</f>
        <v>0</v>
      </c>
      <c r="Y218">
        <f>vlookup("952-220000-100",生产发行表!B:AZ,column(x1),0)</f>
        <v>0</v>
      </c>
      <c r="Z218">
        <f>vlookup("952-220000-100",生产发行表!B:AZ,column(y1),0)</f>
        <v>0</v>
      </c>
      <c r="AA218">
        <f>vlookup("952-220000-100",生产发行表!B:AZ,column(z1),0)</f>
        <v>0</v>
      </c>
      <c r="AB218">
        <f>vlookup("952-220000-100",生产发行表!B:AZ,column(aa1),0)</f>
        <v>0</v>
      </c>
      <c r="AC218">
        <f>vlookup("952-220000-100",生产发行表!B:AZ,column(ab1),0)</f>
        <v>0</v>
      </c>
      <c r="AD218">
        <f>vlookup("952-220000-100",生产发行表!B:AZ,column(ac1),0)</f>
        <v>0</v>
      </c>
      <c r="AE218">
        <f>vlookup("952-220000-100",生产发行表!B:AZ,column(ad1),0)</f>
        <v>0</v>
      </c>
      <c r="AF218">
        <f>vlookup("952-220000-100",生产发行表!B:AZ,column(ae1),0)</f>
        <v>0</v>
      </c>
      <c r="AG218">
        <f>vlookup("952-220000-100",生产发行表!B:AZ,column(af1),0)</f>
        <v>0</v>
      </c>
      <c r="AH218">
        <f>vlookup("952-220000-100",生产发行表!B:AZ,column(ag1),0)</f>
        <v>0</v>
      </c>
      <c r="AI218">
        <f>vlookup("952-220000-100",生产发行表!B:AZ,column(ah1),0)</f>
        <v>0</v>
      </c>
      <c r="AJ218">
        <f>vlookup("952-220000-100",生产发行表!B:AZ,column(ai1),0)</f>
        <v>0</v>
      </c>
      <c r="AK218">
        <f>vlookup("952-220000-100",生产发行表!B:AZ,column(aj1),0)</f>
        <v>0</v>
      </c>
      <c r="AL218">
        <f>vlookup("952-220000-100",生产发行表!B:AZ,column(ak1),0)</f>
        <v>0</v>
      </c>
      <c r="AM218">
        <f>vlookup("952-220000-100",生产发行表!B:AZ,column(al1),0)</f>
        <v>0</v>
      </c>
      <c r="AN218">
        <f>vlookup("952-220000-100",生产发行表!B:AZ,column(am1),0)</f>
        <v>0</v>
      </c>
      <c r="AO218">
        <f>vlookup("952-220000-100",生产发行表!B:AZ,column(an1),0)</f>
        <v>0</v>
      </c>
      <c r="AP218">
        <f>vlookup("952-220000-100",生产发行表!B:AZ,column(ao1),0)</f>
        <v>0</v>
      </c>
      <c r="AQ218">
        <f>vlookup("952-220000-100",生产发行表!B:AZ,column(ap1),0)</f>
        <v>0</v>
      </c>
      <c r="AR218">
        <f>vlookup("952-220000-100",生产发行表!B:AZ,column(aq1),0)</f>
        <v>0</v>
      </c>
    </row>
    <row r="219" spans="1:44">
      <c r="A219" t="s">
        <v>31</v>
      </c>
      <c r="B219" t="s">
        <v>467</v>
      </c>
      <c r="C219" t="s">
        <v>468</v>
      </c>
      <c r="D219" t="s">
        <v>469</v>
      </c>
      <c r="E219" t="s">
        <v>444</v>
      </c>
      <c r="F219" t="s">
        <v>470</v>
      </c>
      <c r="K219" t="s">
        <v>437</v>
      </c>
      <c r="L219" t="s">
        <v>37</v>
      </c>
      <c r="M219">
        <f>sumifs(m:m,A:A,"总成",B:B,"952-220000-100")*INDIRECT(ADDRESS(219,5))</f>
        <v>0</v>
      </c>
      <c r="N219">
        <f>sumifs(n:n,A:A,"总成",B:B,"952-220000-100")*INDIRECT(ADDRESS(219,5))</f>
        <v>0</v>
      </c>
      <c r="O219">
        <f>sumifs(o:o,A:A,"总成",B:B,"952-220000-100")*INDIRECT(ADDRESS(219,5))</f>
        <v>0</v>
      </c>
      <c r="P219">
        <f>sumifs(p:p,A:A,"总成",B:B,"952-220000-100")*INDIRECT(ADDRESS(219,5))</f>
        <v>0</v>
      </c>
      <c r="Q219">
        <f>sumifs(q:q,A:A,"总成",B:B,"952-220000-100")*INDIRECT(ADDRESS(219,5))</f>
        <v>0</v>
      </c>
      <c r="R219">
        <f>sumifs(r:r,A:A,"总成",B:B,"952-220000-100")*INDIRECT(ADDRESS(219,5))</f>
        <v>0</v>
      </c>
      <c r="S219">
        <f>sumifs(s:s,A:A,"总成",B:B,"952-220000-100")*INDIRECT(ADDRESS(219,5))</f>
        <v>0</v>
      </c>
      <c r="T219">
        <f>sumifs(t:t,A:A,"总成",B:B,"952-220000-100")*INDIRECT(ADDRESS(219,5))</f>
        <v>0</v>
      </c>
      <c r="U219">
        <f>sumifs(u:u,A:A,"总成",B:B,"952-220000-100")*INDIRECT(ADDRESS(219,5))</f>
        <v>0</v>
      </c>
      <c r="V219">
        <f>sumifs(v:v,A:A,"总成",B:B,"952-220000-100")*INDIRECT(ADDRESS(219,5))</f>
        <v>0</v>
      </c>
      <c r="W219">
        <f>sumifs(w:w,A:A,"总成",B:B,"952-220000-100")*INDIRECT(ADDRESS(219,5))</f>
        <v>0</v>
      </c>
      <c r="X219">
        <f>sumifs(x:x,A:A,"总成",B:B,"952-220000-100")*INDIRECT(ADDRESS(219,5))</f>
        <v>0</v>
      </c>
      <c r="Y219">
        <f>sumifs(y:y,A:A,"总成",B:B,"952-220000-100")*INDIRECT(ADDRESS(219,5))</f>
        <v>0</v>
      </c>
      <c r="Z219">
        <f>sumifs(z:z,A:A,"总成",B:B,"952-220000-100")*INDIRECT(ADDRESS(219,5))</f>
        <v>0</v>
      </c>
      <c r="AA219">
        <f>sumifs(aa:aa,A:A,"总成",B:B,"952-220000-100")*INDIRECT(ADDRESS(219,5))</f>
        <v>0</v>
      </c>
      <c r="AB219">
        <f>sumifs(ab:ab,A:A,"总成",B:B,"952-220000-100")*INDIRECT(ADDRESS(219,5))</f>
        <v>0</v>
      </c>
      <c r="AC219">
        <f>sumifs(ac:ac,A:A,"总成",B:B,"952-220000-100")*INDIRECT(ADDRESS(219,5))</f>
        <v>0</v>
      </c>
      <c r="AD219">
        <f>sumifs(ad:ad,A:A,"总成",B:B,"952-220000-100")*INDIRECT(ADDRESS(219,5))</f>
        <v>0</v>
      </c>
      <c r="AE219">
        <f>sumifs(ae:ae,A:A,"总成",B:B,"952-220000-100")*INDIRECT(ADDRESS(219,5))</f>
        <v>0</v>
      </c>
      <c r="AF219">
        <f>sumifs(af:af,A:A,"总成",B:B,"952-220000-100")*INDIRECT(ADDRESS(219,5))</f>
        <v>0</v>
      </c>
      <c r="AG219">
        <f>sumifs(ag:ag,A:A,"总成",B:B,"952-220000-100")*INDIRECT(ADDRESS(219,5))</f>
        <v>0</v>
      </c>
      <c r="AH219">
        <f>sumifs(ah:ah,A:A,"总成",B:B,"952-220000-100")*INDIRECT(ADDRESS(219,5))</f>
        <v>0</v>
      </c>
      <c r="AI219">
        <f>sumifs(ai:ai,A:A,"总成",B:B,"952-220000-100")*INDIRECT(ADDRESS(219,5))</f>
        <v>0</v>
      </c>
      <c r="AJ219">
        <f>sumifs(aj:aj,A:A,"总成",B:B,"952-220000-100")*INDIRECT(ADDRESS(219,5))</f>
        <v>0</v>
      </c>
      <c r="AK219">
        <f>sumifs(ak:ak,A:A,"总成",B:B,"952-220000-100")*INDIRECT(ADDRESS(219,5))</f>
        <v>0</v>
      </c>
      <c r="AL219">
        <f>sumifs(al:al,A:A,"总成",B:B,"952-220000-100")*INDIRECT(ADDRESS(219,5))</f>
        <v>0</v>
      </c>
      <c r="AM219">
        <f>sumifs(am:am,A:A,"总成",B:B,"952-220000-100")*INDIRECT(ADDRESS(219,5))</f>
        <v>0</v>
      </c>
      <c r="AN219">
        <f>sumifs(an:an,A:A,"总成",B:B,"952-220000-100")*INDIRECT(ADDRESS(219,5))</f>
        <v>0</v>
      </c>
      <c r="AO219">
        <f>sumifs(ao:ao,A:A,"总成",B:B,"952-220000-100")*INDIRECT(ADDRESS(219,5))</f>
        <v>0</v>
      </c>
      <c r="AP219">
        <f>sumifs(ap:ap,A:A,"总成",B:B,"952-220000-100")*INDIRECT(ADDRESS(219,5))</f>
        <v>0</v>
      </c>
      <c r="AQ219">
        <f>sumifs(aq:aq,A:A,"总成",B:B,"952-220000-100")*INDIRECT(ADDRESS(219,5))</f>
        <v>0</v>
      </c>
      <c r="AR219">
        <f>sumifs(ar:ar,A:A,"总成",B:B,"952-220000-100")*INDIRECT(ADDRESS(219,5))</f>
        <v>0</v>
      </c>
    </row>
    <row r="220" spans="1:44">
      <c r="A220" t="s">
        <v>31</v>
      </c>
      <c r="B220" t="s">
        <v>471</v>
      </c>
      <c r="C220" t="s">
        <v>472</v>
      </c>
      <c r="D220" t="s">
        <v>473</v>
      </c>
      <c r="E220">
        <v>1</v>
      </c>
      <c r="F220" t="s">
        <v>474</v>
      </c>
      <c r="K220" t="s">
        <v>437</v>
      </c>
      <c r="L220" t="s">
        <v>37</v>
      </c>
      <c r="M220">
        <f>sumifs(m:m,A:A,"总成",B:B,"952-220000-100")*INDIRECT(ADDRESS(220,5))</f>
        <v>0</v>
      </c>
      <c r="N220">
        <f>sumifs(n:n,A:A,"总成",B:B,"952-220000-100")*INDIRECT(ADDRESS(220,5))</f>
        <v>0</v>
      </c>
      <c r="O220">
        <f>sumifs(o:o,A:A,"总成",B:B,"952-220000-100")*INDIRECT(ADDRESS(220,5))</f>
        <v>0</v>
      </c>
      <c r="P220">
        <f>sumifs(p:p,A:A,"总成",B:B,"952-220000-100")*INDIRECT(ADDRESS(220,5))</f>
        <v>0</v>
      </c>
      <c r="Q220">
        <f>sumifs(q:q,A:A,"总成",B:B,"952-220000-100")*INDIRECT(ADDRESS(220,5))</f>
        <v>0</v>
      </c>
      <c r="R220">
        <f>sumifs(r:r,A:A,"总成",B:B,"952-220000-100")*INDIRECT(ADDRESS(220,5))</f>
        <v>0</v>
      </c>
      <c r="S220">
        <f>sumifs(s:s,A:A,"总成",B:B,"952-220000-100")*INDIRECT(ADDRESS(220,5))</f>
        <v>0</v>
      </c>
      <c r="T220">
        <f>sumifs(t:t,A:A,"总成",B:B,"952-220000-100")*INDIRECT(ADDRESS(220,5))</f>
        <v>0</v>
      </c>
      <c r="U220">
        <f>sumifs(u:u,A:A,"总成",B:B,"952-220000-100")*INDIRECT(ADDRESS(220,5))</f>
        <v>0</v>
      </c>
      <c r="V220">
        <f>sumifs(v:v,A:A,"总成",B:B,"952-220000-100")*INDIRECT(ADDRESS(220,5))</f>
        <v>0</v>
      </c>
      <c r="W220">
        <f>sumifs(w:w,A:A,"总成",B:B,"952-220000-100")*INDIRECT(ADDRESS(220,5))</f>
        <v>0</v>
      </c>
      <c r="X220">
        <f>sumifs(x:x,A:A,"总成",B:B,"952-220000-100")*INDIRECT(ADDRESS(220,5))</f>
        <v>0</v>
      </c>
      <c r="Y220">
        <f>sumifs(y:y,A:A,"总成",B:B,"952-220000-100")*INDIRECT(ADDRESS(220,5))</f>
        <v>0</v>
      </c>
      <c r="Z220">
        <f>sumifs(z:z,A:A,"总成",B:B,"952-220000-100")*INDIRECT(ADDRESS(220,5))</f>
        <v>0</v>
      </c>
      <c r="AA220">
        <f>sumifs(aa:aa,A:A,"总成",B:B,"952-220000-100")*INDIRECT(ADDRESS(220,5))</f>
        <v>0</v>
      </c>
      <c r="AB220">
        <f>sumifs(ab:ab,A:A,"总成",B:B,"952-220000-100")*INDIRECT(ADDRESS(220,5))</f>
        <v>0</v>
      </c>
      <c r="AC220">
        <f>sumifs(ac:ac,A:A,"总成",B:B,"952-220000-100")*INDIRECT(ADDRESS(220,5))</f>
        <v>0</v>
      </c>
      <c r="AD220">
        <f>sumifs(ad:ad,A:A,"总成",B:B,"952-220000-100")*INDIRECT(ADDRESS(220,5))</f>
        <v>0</v>
      </c>
      <c r="AE220">
        <f>sumifs(ae:ae,A:A,"总成",B:B,"952-220000-100")*INDIRECT(ADDRESS(220,5))</f>
        <v>0</v>
      </c>
      <c r="AF220">
        <f>sumifs(af:af,A:A,"总成",B:B,"952-220000-100")*INDIRECT(ADDRESS(220,5))</f>
        <v>0</v>
      </c>
      <c r="AG220">
        <f>sumifs(ag:ag,A:A,"总成",B:B,"952-220000-100")*INDIRECT(ADDRESS(220,5))</f>
        <v>0</v>
      </c>
      <c r="AH220">
        <f>sumifs(ah:ah,A:A,"总成",B:B,"952-220000-100")*INDIRECT(ADDRESS(220,5))</f>
        <v>0</v>
      </c>
      <c r="AI220">
        <f>sumifs(ai:ai,A:A,"总成",B:B,"952-220000-100")*INDIRECT(ADDRESS(220,5))</f>
        <v>0</v>
      </c>
      <c r="AJ220">
        <f>sumifs(aj:aj,A:A,"总成",B:B,"952-220000-100")*INDIRECT(ADDRESS(220,5))</f>
        <v>0</v>
      </c>
      <c r="AK220">
        <f>sumifs(ak:ak,A:A,"总成",B:B,"952-220000-100")*INDIRECT(ADDRESS(220,5))</f>
        <v>0</v>
      </c>
      <c r="AL220">
        <f>sumifs(al:al,A:A,"总成",B:B,"952-220000-100")*INDIRECT(ADDRESS(220,5))</f>
        <v>0</v>
      </c>
      <c r="AM220">
        <f>sumifs(am:am,A:A,"总成",B:B,"952-220000-100")*INDIRECT(ADDRESS(220,5))</f>
        <v>0</v>
      </c>
      <c r="AN220">
        <f>sumifs(an:an,A:A,"总成",B:B,"952-220000-100")*INDIRECT(ADDRESS(220,5))</f>
        <v>0</v>
      </c>
      <c r="AO220">
        <f>sumifs(ao:ao,A:A,"总成",B:B,"952-220000-100")*INDIRECT(ADDRESS(220,5))</f>
        <v>0</v>
      </c>
      <c r="AP220">
        <f>sumifs(ap:ap,A:A,"总成",B:B,"952-220000-100")*INDIRECT(ADDRESS(220,5))</f>
        <v>0</v>
      </c>
      <c r="AQ220">
        <f>sumifs(aq:aq,A:A,"总成",B:B,"952-220000-100")*INDIRECT(ADDRESS(220,5))</f>
        <v>0</v>
      </c>
      <c r="AR220">
        <f>sumifs(ar:ar,A:A,"总成",B:B,"952-220000-100")*INDIRECT(ADDRESS(220,5))</f>
        <v>0</v>
      </c>
    </row>
    <row r="221" spans="1:44">
      <c r="A221" t="s">
        <v>14</v>
      </c>
      <c r="B221" t="s">
        <v>475</v>
      </c>
      <c r="C221" t="s">
        <v>476</v>
      </c>
      <c r="F221" t="s">
        <v>477</v>
      </c>
      <c r="K221" t="s">
        <v>437</v>
      </c>
      <c r="L221" t="s">
        <v>21</v>
      </c>
      <c r="M221">
        <f>vlookup("952-211000-100",生产发行表!B:AZ,column(l1),0)</f>
        <v>0</v>
      </c>
      <c r="N221">
        <f>vlookup("952-211000-100",生产发行表!B:AZ,column(m1),0)</f>
        <v>0</v>
      </c>
      <c r="O221">
        <f>vlookup("952-211000-100",生产发行表!B:AZ,column(n1),0)</f>
        <v>0</v>
      </c>
      <c r="P221">
        <f>vlookup("952-211000-100",生产发行表!B:AZ,column(o1),0)</f>
        <v>0</v>
      </c>
      <c r="Q221">
        <f>vlookup("952-211000-100",生产发行表!B:AZ,column(p1),0)</f>
        <v>0</v>
      </c>
      <c r="R221">
        <f>vlookup("952-211000-100",生产发行表!B:AZ,column(q1),0)</f>
        <v>0</v>
      </c>
      <c r="S221">
        <f>vlookup("952-211000-100",生产发行表!B:AZ,column(r1),0)</f>
        <v>0</v>
      </c>
      <c r="T221">
        <f>vlookup("952-211000-100",生产发行表!B:AZ,column(s1),0)</f>
        <v>0</v>
      </c>
      <c r="U221">
        <f>vlookup("952-211000-100",生产发行表!B:AZ,column(t1),0)</f>
        <v>0</v>
      </c>
      <c r="V221">
        <f>vlookup("952-211000-100",生产发行表!B:AZ,column(u1),0)</f>
        <v>0</v>
      </c>
      <c r="W221">
        <f>vlookup("952-211000-100",生产发行表!B:AZ,column(v1),0)</f>
        <v>0</v>
      </c>
      <c r="X221">
        <f>vlookup("952-211000-100",生产发行表!B:AZ,column(w1),0)</f>
        <v>0</v>
      </c>
      <c r="Y221">
        <f>vlookup("952-211000-100",生产发行表!B:AZ,column(x1),0)</f>
        <v>0</v>
      </c>
      <c r="Z221">
        <f>vlookup("952-211000-100",生产发行表!B:AZ,column(y1),0)</f>
        <v>0</v>
      </c>
      <c r="AA221">
        <f>vlookup("952-211000-100",生产发行表!B:AZ,column(z1),0)</f>
        <v>0</v>
      </c>
      <c r="AB221">
        <f>vlookup("952-211000-100",生产发行表!B:AZ,column(aa1),0)</f>
        <v>0</v>
      </c>
      <c r="AC221">
        <f>vlookup("952-211000-100",生产发行表!B:AZ,column(ab1),0)</f>
        <v>0</v>
      </c>
      <c r="AD221">
        <f>vlookup("952-211000-100",生产发行表!B:AZ,column(ac1),0)</f>
        <v>0</v>
      </c>
      <c r="AE221">
        <f>vlookup("952-211000-100",生产发行表!B:AZ,column(ad1),0)</f>
        <v>0</v>
      </c>
      <c r="AF221">
        <f>vlookup("952-211000-100",生产发行表!B:AZ,column(ae1),0)</f>
        <v>0</v>
      </c>
      <c r="AG221">
        <f>vlookup("952-211000-100",生产发行表!B:AZ,column(af1),0)</f>
        <v>0</v>
      </c>
      <c r="AH221">
        <f>vlookup("952-211000-100",生产发行表!B:AZ,column(ag1),0)</f>
        <v>0</v>
      </c>
      <c r="AI221">
        <f>vlookup("952-211000-100",生产发行表!B:AZ,column(ah1),0)</f>
        <v>0</v>
      </c>
      <c r="AJ221">
        <f>vlookup("952-211000-100",生产发行表!B:AZ,column(ai1),0)</f>
        <v>0</v>
      </c>
      <c r="AK221">
        <f>vlookup("952-211000-100",生产发行表!B:AZ,column(aj1),0)</f>
        <v>0</v>
      </c>
      <c r="AL221">
        <f>vlookup("952-211000-100",生产发行表!B:AZ,column(ak1),0)</f>
        <v>0</v>
      </c>
      <c r="AM221">
        <f>vlookup("952-211000-100",生产发行表!B:AZ,column(al1),0)</f>
        <v>0</v>
      </c>
      <c r="AN221">
        <f>vlookup("952-211000-100",生产发行表!B:AZ,column(am1),0)</f>
        <v>0</v>
      </c>
      <c r="AO221">
        <f>vlookup("952-211000-100",生产发行表!B:AZ,column(an1),0)</f>
        <v>0</v>
      </c>
      <c r="AP221">
        <f>vlookup("952-211000-100",生产发行表!B:AZ,column(ao1),0)</f>
        <v>0</v>
      </c>
      <c r="AQ221">
        <f>vlookup("952-211000-100",生产发行表!B:AZ,column(ap1),0)</f>
        <v>0</v>
      </c>
      <c r="AR221">
        <f>vlookup("952-211000-100",生产发行表!B:AZ,column(aq1),0)</f>
        <v>0</v>
      </c>
    </row>
    <row r="222" spans="1:44">
      <c r="A222" t="s">
        <v>31</v>
      </c>
      <c r="B222" t="s">
        <v>478</v>
      </c>
      <c r="C222" t="s">
        <v>479</v>
      </c>
      <c r="D222" t="s">
        <v>480</v>
      </c>
      <c r="E222" t="s">
        <v>444</v>
      </c>
      <c r="F222" t="s">
        <v>481</v>
      </c>
      <c r="K222" t="s">
        <v>437</v>
      </c>
      <c r="L222" t="s">
        <v>37</v>
      </c>
      <c r="M222">
        <f>sumifs(m:m,A:A,"总成",B:B,"952-211000-100")*INDIRECT(ADDRESS(222,5))</f>
        <v>0</v>
      </c>
      <c r="N222">
        <f>sumifs(n:n,A:A,"总成",B:B,"952-211000-100")*INDIRECT(ADDRESS(222,5))</f>
        <v>0</v>
      </c>
      <c r="O222">
        <f>sumifs(o:o,A:A,"总成",B:B,"952-211000-100")*INDIRECT(ADDRESS(222,5))</f>
        <v>0</v>
      </c>
      <c r="P222">
        <f>sumifs(p:p,A:A,"总成",B:B,"952-211000-100")*INDIRECT(ADDRESS(222,5))</f>
        <v>0</v>
      </c>
      <c r="Q222">
        <f>sumifs(q:q,A:A,"总成",B:B,"952-211000-100")*INDIRECT(ADDRESS(222,5))</f>
        <v>0</v>
      </c>
      <c r="R222">
        <f>sumifs(r:r,A:A,"总成",B:B,"952-211000-100")*INDIRECT(ADDRESS(222,5))</f>
        <v>0</v>
      </c>
      <c r="S222">
        <f>sumifs(s:s,A:A,"总成",B:B,"952-211000-100")*INDIRECT(ADDRESS(222,5))</f>
        <v>0</v>
      </c>
      <c r="T222">
        <f>sumifs(t:t,A:A,"总成",B:B,"952-211000-100")*INDIRECT(ADDRESS(222,5))</f>
        <v>0</v>
      </c>
      <c r="U222">
        <f>sumifs(u:u,A:A,"总成",B:B,"952-211000-100")*INDIRECT(ADDRESS(222,5))</f>
        <v>0</v>
      </c>
      <c r="V222">
        <f>sumifs(v:v,A:A,"总成",B:B,"952-211000-100")*INDIRECT(ADDRESS(222,5))</f>
        <v>0</v>
      </c>
      <c r="W222">
        <f>sumifs(w:w,A:A,"总成",B:B,"952-211000-100")*INDIRECT(ADDRESS(222,5))</f>
        <v>0</v>
      </c>
      <c r="X222">
        <f>sumifs(x:x,A:A,"总成",B:B,"952-211000-100")*INDIRECT(ADDRESS(222,5))</f>
        <v>0</v>
      </c>
      <c r="Y222">
        <f>sumifs(y:y,A:A,"总成",B:B,"952-211000-100")*INDIRECT(ADDRESS(222,5))</f>
        <v>0</v>
      </c>
      <c r="Z222">
        <f>sumifs(z:z,A:A,"总成",B:B,"952-211000-100")*INDIRECT(ADDRESS(222,5))</f>
        <v>0</v>
      </c>
      <c r="AA222">
        <f>sumifs(aa:aa,A:A,"总成",B:B,"952-211000-100")*INDIRECT(ADDRESS(222,5))</f>
        <v>0</v>
      </c>
      <c r="AB222">
        <f>sumifs(ab:ab,A:A,"总成",B:B,"952-211000-100")*INDIRECT(ADDRESS(222,5))</f>
        <v>0</v>
      </c>
      <c r="AC222">
        <f>sumifs(ac:ac,A:A,"总成",B:B,"952-211000-100")*INDIRECT(ADDRESS(222,5))</f>
        <v>0</v>
      </c>
      <c r="AD222">
        <f>sumifs(ad:ad,A:A,"总成",B:B,"952-211000-100")*INDIRECT(ADDRESS(222,5))</f>
        <v>0</v>
      </c>
      <c r="AE222">
        <f>sumifs(ae:ae,A:A,"总成",B:B,"952-211000-100")*INDIRECT(ADDRESS(222,5))</f>
        <v>0</v>
      </c>
      <c r="AF222">
        <f>sumifs(af:af,A:A,"总成",B:B,"952-211000-100")*INDIRECT(ADDRESS(222,5))</f>
        <v>0</v>
      </c>
      <c r="AG222">
        <f>sumifs(ag:ag,A:A,"总成",B:B,"952-211000-100")*INDIRECT(ADDRESS(222,5))</f>
        <v>0</v>
      </c>
      <c r="AH222">
        <f>sumifs(ah:ah,A:A,"总成",B:B,"952-211000-100")*INDIRECT(ADDRESS(222,5))</f>
        <v>0</v>
      </c>
      <c r="AI222">
        <f>sumifs(ai:ai,A:A,"总成",B:B,"952-211000-100")*INDIRECT(ADDRESS(222,5))</f>
        <v>0</v>
      </c>
      <c r="AJ222">
        <f>sumifs(aj:aj,A:A,"总成",B:B,"952-211000-100")*INDIRECT(ADDRESS(222,5))</f>
        <v>0</v>
      </c>
      <c r="AK222">
        <f>sumifs(ak:ak,A:A,"总成",B:B,"952-211000-100")*INDIRECT(ADDRESS(222,5))</f>
        <v>0</v>
      </c>
      <c r="AL222">
        <f>sumifs(al:al,A:A,"总成",B:B,"952-211000-100")*INDIRECT(ADDRESS(222,5))</f>
        <v>0</v>
      </c>
      <c r="AM222">
        <f>sumifs(am:am,A:A,"总成",B:B,"952-211000-100")*INDIRECT(ADDRESS(222,5))</f>
        <v>0</v>
      </c>
      <c r="AN222">
        <f>sumifs(an:an,A:A,"总成",B:B,"952-211000-100")*INDIRECT(ADDRESS(222,5))</f>
        <v>0</v>
      </c>
      <c r="AO222">
        <f>sumifs(ao:ao,A:A,"总成",B:B,"952-211000-100")*INDIRECT(ADDRESS(222,5))</f>
        <v>0</v>
      </c>
      <c r="AP222">
        <f>sumifs(ap:ap,A:A,"总成",B:B,"952-211000-100")*INDIRECT(ADDRESS(222,5))</f>
        <v>0</v>
      </c>
      <c r="AQ222">
        <f>sumifs(aq:aq,A:A,"总成",B:B,"952-211000-100")*INDIRECT(ADDRESS(222,5))</f>
        <v>0</v>
      </c>
      <c r="AR222">
        <f>sumifs(ar:ar,A:A,"总成",B:B,"952-211000-100")*INDIRECT(ADDRESS(222,5))</f>
        <v>0</v>
      </c>
    </row>
    <row r="223" spans="1:44">
      <c r="A223" t="s">
        <v>31</v>
      </c>
      <c r="B223" t="s">
        <v>482</v>
      </c>
      <c r="C223" t="s">
        <v>483</v>
      </c>
      <c r="D223" t="s">
        <v>452</v>
      </c>
      <c r="E223" t="s">
        <v>444</v>
      </c>
      <c r="F223" t="s">
        <v>484</v>
      </c>
      <c r="K223" t="s">
        <v>437</v>
      </c>
      <c r="L223" t="s">
        <v>37</v>
      </c>
      <c r="M223">
        <f>sumifs(m:m,A:A,"总成",B:B,"952-211000-100")*INDIRECT(ADDRESS(223,5))</f>
        <v>0</v>
      </c>
      <c r="N223">
        <f>sumifs(n:n,A:A,"总成",B:B,"952-211000-100")*INDIRECT(ADDRESS(223,5))</f>
        <v>0</v>
      </c>
      <c r="O223">
        <f>sumifs(o:o,A:A,"总成",B:B,"952-211000-100")*INDIRECT(ADDRESS(223,5))</f>
        <v>0</v>
      </c>
      <c r="P223">
        <f>sumifs(p:p,A:A,"总成",B:B,"952-211000-100")*INDIRECT(ADDRESS(223,5))</f>
        <v>0</v>
      </c>
      <c r="Q223">
        <f>sumifs(q:q,A:A,"总成",B:B,"952-211000-100")*INDIRECT(ADDRESS(223,5))</f>
        <v>0</v>
      </c>
      <c r="R223">
        <f>sumifs(r:r,A:A,"总成",B:B,"952-211000-100")*INDIRECT(ADDRESS(223,5))</f>
        <v>0</v>
      </c>
      <c r="S223">
        <f>sumifs(s:s,A:A,"总成",B:B,"952-211000-100")*INDIRECT(ADDRESS(223,5))</f>
        <v>0</v>
      </c>
      <c r="T223">
        <f>sumifs(t:t,A:A,"总成",B:B,"952-211000-100")*INDIRECT(ADDRESS(223,5))</f>
        <v>0</v>
      </c>
      <c r="U223">
        <f>sumifs(u:u,A:A,"总成",B:B,"952-211000-100")*INDIRECT(ADDRESS(223,5))</f>
        <v>0</v>
      </c>
      <c r="V223">
        <f>sumifs(v:v,A:A,"总成",B:B,"952-211000-100")*INDIRECT(ADDRESS(223,5))</f>
        <v>0</v>
      </c>
      <c r="W223">
        <f>sumifs(w:w,A:A,"总成",B:B,"952-211000-100")*INDIRECT(ADDRESS(223,5))</f>
        <v>0</v>
      </c>
      <c r="X223">
        <f>sumifs(x:x,A:A,"总成",B:B,"952-211000-100")*INDIRECT(ADDRESS(223,5))</f>
        <v>0</v>
      </c>
      <c r="Y223">
        <f>sumifs(y:y,A:A,"总成",B:B,"952-211000-100")*INDIRECT(ADDRESS(223,5))</f>
        <v>0</v>
      </c>
      <c r="Z223">
        <f>sumifs(z:z,A:A,"总成",B:B,"952-211000-100")*INDIRECT(ADDRESS(223,5))</f>
        <v>0</v>
      </c>
      <c r="AA223">
        <f>sumifs(aa:aa,A:A,"总成",B:B,"952-211000-100")*INDIRECT(ADDRESS(223,5))</f>
        <v>0</v>
      </c>
      <c r="AB223">
        <f>sumifs(ab:ab,A:A,"总成",B:B,"952-211000-100")*INDIRECT(ADDRESS(223,5))</f>
        <v>0</v>
      </c>
      <c r="AC223">
        <f>sumifs(ac:ac,A:A,"总成",B:B,"952-211000-100")*INDIRECT(ADDRESS(223,5))</f>
        <v>0</v>
      </c>
      <c r="AD223">
        <f>sumifs(ad:ad,A:A,"总成",B:B,"952-211000-100")*INDIRECT(ADDRESS(223,5))</f>
        <v>0</v>
      </c>
      <c r="AE223">
        <f>sumifs(ae:ae,A:A,"总成",B:B,"952-211000-100")*INDIRECT(ADDRESS(223,5))</f>
        <v>0</v>
      </c>
      <c r="AF223">
        <f>sumifs(af:af,A:A,"总成",B:B,"952-211000-100")*INDIRECT(ADDRESS(223,5))</f>
        <v>0</v>
      </c>
      <c r="AG223">
        <f>sumifs(ag:ag,A:A,"总成",B:B,"952-211000-100")*INDIRECT(ADDRESS(223,5))</f>
        <v>0</v>
      </c>
      <c r="AH223">
        <f>sumifs(ah:ah,A:A,"总成",B:B,"952-211000-100")*INDIRECT(ADDRESS(223,5))</f>
        <v>0</v>
      </c>
      <c r="AI223">
        <f>sumifs(ai:ai,A:A,"总成",B:B,"952-211000-100")*INDIRECT(ADDRESS(223,5))</f>
        <v>0</v>
      </c>
      <c r="AJ223">
        <f>sumifs(aj:aj,A:A,"总成",B:B,"952-211000-100")*INDIRECT(ADDRESS(223,5))</f>
        <v>0</v>
      </c>
      <c r="AK223">
        <f>sumifs(ak:ak,A:A,"总成",B:B,"952-211000-100")*INDIRECT(ADDRESS(223,5))</f>
        <v>0</v>
      </c>
      <c r="AL223">
        <f>sumifs(al:al,A:A,"总成",B:B,"952-211000-100")*INDIRECT(ADDRESS(223,5))</f>
        <v>0</v>
      </c>
      <c r="AM223">
        <f>sumifs(am:am,A:A,"总成",B:B,"952-211000-100")*INDIRECT(ADDRESS(223,5))</f>
        <v>0</v>
      </c>
      <c r="AN223">
        <f>sumifs(an:an,A:A,"总成",B:B,"952-211000-100")*INDIRECT(ADDRESS(223,5))</f>
        <v>0</v>
      </c>
      <c r="AO223">
        <f>sumifs(ao:ao,A:A,"总成",B:B,"952-211000-100")*INDIRECT(ADDRESS(223,5))</f>
        <v>0</v>
      </c>
      <c r="AP223">
        <f>sumifs(ap:ap,A:A,"总成",B:B,"952-211000-100")*INDIRECT(ADDRESS(223,5))</f>
        <v>0</v>
      </c>
      <c r="AQ223">
        <f>sumifs(aq:aq,A:A,"总成",B:B,"952-211000-100")*INDIRECT(ADDRESS(223,5))</f>
        <v>0</v>
      </c>
      <c r="AR223">
        <f>sumifs(ar:ar,A:A,"总成",B:B,"952-211000-100")*INDIRECT(ADDRESS(223,5))</f>
        <v>0</v>
      </c>
    </row>
    <row r="224" spans="1:44">
      <c r="A224" t="s">
        <v>14</v>
      </c>
      <c r="B224" t="s">
        <v>485</v>
      </c>
      <c r="C224" t="s">
        <v>486</v>
      </c>
      <c r="D224" t="s">
        <v>452</v>
      </c>
      <c r="E224" t="s">
        <v>444</v>
      </c>
      <c r="F224" t="s">
        <v>487</v>
      </c>
      <c r="K224" t="s">
        <v>437</v>
      </c>
      <c r="L224" t="s">
        <v>21</v>
      </c>
      <c r="M224">
        <f>vlookup("952-227000-100",生产发行表!B:AZ,column(l1),0)</f>
        <v>0</v>
      </c>
      <c r="N224">
        <f>vlookup("952-227000-100",生产发行表!B:AZ,column(m1),0)</f>
        <v>0</v>
      </c>
      <c r="O224">
        <f>vlookup("952-227000-100",生产发行表!B:AZ,column(n1),0)</f>
        <v>0</v>
      </c>
      <c r="P224">
        <f>vlookup("952-227000-100",生产发行表!B:AZ,column(o1),0)</f>
        <v>0</v>
      </c>
      <c r="Q224">
        <f>vlookup("952-227000-100",生产发行表!B:AZ,column(p1),0)</f>
        <v>0</v>
      </c>
      <c r="R224">
        <f>vlookup("952-227000-100",生产发行表!B:AZ,column(q1),0)</f>
        <v>0</v>
      </c>
      <c r="S224">
        <f>vlookup("952-227000-100",生产发行表!B:AZ,column(r1),0)</f>
        <v>0</v>
      </c>
      <c r="T224">
        <f>vlookup("952-227000-100",生产发行表!B:AZ,column(s1),0)</f>
        <v>0</v>
      </c>
      <c r="U224">
        <f>vlookup("952-227000-100",生产发行表!B:AZ,column(t1),0)</f>
        <v>0</v>
      </c>
      <c r="V224">
        <f>vlookup("952-227000-100",生产发行表!B:AZ,column(u1),0)</f>
        <v>0</v>
      </c>
      <c r="W224">
        <f>vlookup("952-227000-100",生产发行表!B:AZ,column(v1),0)</f>
        <v>0</v>
      </c>
      <c r="X224">
        <f>vlookup("952-227000-100",生产发行表!B:AZ,column(w1),0)</f>
        <v>0</v>
      </c>
      <c r="Y224">
        <f>vlookup("952-227000-100",生产发行表!B:AZ,column(x1),0)</f>
        <v>0</v>
      </c>
      <c r="Z224">
        <f>vlookup("952-227000-100",生产发行表!B:AZ,column(y1),0)</f>
        <v>0</v>
      </c>
      <c r="AA224">
        <f>vlookup("952-227000-100",生产发行表!B:AZ,column(z1),0)</f>
        <v>0</v>
      </c>
      <c r="AB224">
        <f>vlookup("952-227000-100",生产发行表!B:AZ,column(aa1),0)</f>
        <v>0</v>
      </c>
      <c r="AC224">
        <f>vlookup("952-227000-100",生产发行表!B:AZ,column(ab1),0)</f>
        <v>0</v>
      </c>
      <c r="AD224">
        <f>vlookup("952-227000-100",生产发行表!B:AZ,column(ac1),0)</f>
        <v>0</v>
      </c>
      <c r="AE224">
        <f>vlookup("952-227000-100",生产发行表!B:AZ,column(ad1),0)</f>
        <v>0</v>
      </c>
      <c r="AF224">
        <f>vlookup("952-227000-100",生产发行表!B:AZ,column(ae1),0)</f>
        <v>0</v>
      </c>
      <c r="AG224">
        <f>vlookup("952-227000-100",生产发行表!B:AZ,column(af1),0)</f>
        <v>0</v>
      </c>
      <c r="AH224">
        <f>vlookup("952-227000-100",生产发行表!B:AZ,column(ag1),0)</f>
        <v>0</v>
      </c>
      <c r="AI224">
        <f>vlookup("952-227000-100",生产发行表!B:AZ,column(ah1),0)</f>
        <v>0</v>
      </c>
      <c r="AJ224">
        <f>vlookup("952-227000-100",生产发行表!B:AZ,column(ai1),0)</f>
        <v>0</v>
      </c>
      <c r="AK224">
        <f>vlookup("952-227000-100",生产发行表!B:AZ,column(aj1),0)</f>
        <v>0</v>
      </c>
      <c r="AL224">
        <f>vlookup("952-227000-100",生产发行表!B:AZ,column(ak1),0)</f>
        <v>0</v>
      </c>
      <c r="AM224">
        <f>vlookup("952-227000-100",生产发行表!B:AZ,column(al1),0)</f>
        <v>0</v>
      </c>
      <c r="AN224">
        <f>vlookup("952-227000-100",生产发行表!B:AZ,column(am1),0)</f>
        <v>0</v>
      </c>
      <c r="AO224">
        <f>vlookup("952-227000-100",生产发行表!B:AZ,column(an1),0)</f>
        <v>0</v>
      </c>
      <c r="AP224">
        <f>vlookup("952-227000-100",生产发行表!B:AZ,column(ao1),0)</f>
        <v>0</v>
      </c>
      <c r="AQ224">
        <f>vlookup("952-227000-100",生产发行表!B:AZ,column(ap1),0)</f>
        <v>0</v>
      </c>
      <c r="AR224">
        <f>vlookup("952-227000-100",生产发行表!B:AZ,column(aq1),0)</f>
        <v>0</v>
      </c>
    </row>
    <row r="225" spans="1:44">
      <c r="A225" t="s">
        <v>14</v>
      </c>
      <c r="B225" t="s">
        <v>488</v>
      </c>
      <c r="C225" t="s">
        <v>489</v>
      </c>
      <c r="E225" t="s">
        <v>444</v>
      </c>
      <c r="F225" t="s">
        <v>490</v>
      </c>
      <c r="K225" t="s">
        <v>437</v>
      </c>
      <c r="L225" t="s">
        <v>21</v>
      </c>
      <c r="M225">
        <f>vlookup("952-220000-200",生产发行表!B:AZ,column(l1),0)</f>
        <v>0</v>
      </c>
      <c r="N225">
        <f>vlookup("952-220000-200",生产发行表!B:AZ,column(m1),0)</f>
        <v>0</v>
      </c>
      <c r="O225">
        <f>vlookup("952-220000-200",生产发行表!B:AZ,column(n1),0)</f>
        <v>0</v>
      </c>
      <c r="P225">
        <f>vlookup("952-220000-200",生产发行表!B:AZ,column(o1),0)</f>
        <v>0</v>
      </c>
      <c r="Q225">
        <f>vlookup("952-220000-200",生产发行表!B:AZ,column(p1),0)</f>
        <v>0</v>
      </c>
      <c r="R225">
        <f>vlookup("952-220000-200",生产发行表!B:AZ,column(q1),0)</f>
        <v>0</v>
      </c>
      <c r="S225">
        <f>vlookup("952-220000-200",生产发行表!B:AZ,column(r1),0)</f>
        <v>0</v>
      </c>
      <c r="T225">
        <f>vlookup("952-220000-200",生产发行表!B:AZ,column(s1),0)</f>
        <v>0</v>
      </c>
      <c r="U225">
        <f>vlookup("952-220000-200",生产发行表!B:AZ,column(t1),0)</f>
        <v>0</v>
      </c>
      <c r="V225">
        <f>vlookup("952-220000-200",生产发行表!B:AZ,column(u1),0)</f>
        <v>0</v>
      </c>
      <c r="W225">
        <f>vlookup("952-220000-200",生产发行表!B:AZ,column(v1),0)</f>
        <v>0</v>
      </c>
      <c r="X225">
        <f>vlookup("952-220000-200",生产发行表!B:AZ,column(w1),0)</f>
        <v>0</v>
      </c>
      <c r="Y225">
        <f>vlookup("952-220000-200",生产发行表!B:AZ,column(x1),0)</f>
        <v>0</v>
      </c>
      <c r="Z225">
        <f>vlookup("952-220000-200",生产发行表!B:AZ,column(y1),0)</f>
        <v>0</v>
      </c>
      <c r="AA225">
        <f>vlookup("952-220000-200",生产发行表!B:AZ,column(z1),0)</f>
        <v>0</v>
      </c>
      <c r="AB225">
        <f>vlookup("952-220000-200",生产发行表!B:AZ,column(aa1),0)</f>
        <v>0</v>
      </c>
      <c r="AC225">
        <f>vlookup("952-220000-200",生产发行表!B:AZ,column(ab1),0)</f>
        <v>0</v>
      </c>
      <c r="AD225">
        <f>vlookup("952-220000-200",生产发行表!B:AZ,column(ac1),0)</f>
        <v>0</v>
      </c>
      <c r="AE225">
        <f>vlookup("952-220000-200",生产发行表!B:AZ,column(ad1),0)</f>
        <v>0</v>
      </c>
      <c r="AF225">
        <f>vlookup("952-220000-200",生产发行表!B:AZ,column(ae1),0)</f>
        <v>0</v>
      </c>
      <c r="AG225">
        <f>vlookup("952-220000-200",生产发行表!B:AZ,column(af1),0)</f>
        <v>0</v>
      </c>
      <c r="AH225">
        <f>vlookup("952-220000-200",生产发行表!B:AZ,column(ag1),0)</f>
        <v>0</v>
      </c>
      <c r="AI225">
        <f>vlookup("952-220000-200",生产发行表!B:AZ,column(ah1),0)</f>
        <v>0</v>
      </c>
      <c r="AJ225">
        <f>vlookup("952-220000-200",生产发行表!B:AZ,column(ai1),0)</f>
        <v>0</v>
      </c>
      <c r="AK225">
        <f>vlookup("952-220000-200",生产发行表!B:AZ,column(aj1),0)</f>
        <v>0</v>
      </c>
      <c r="AL225">
        <f>vlookup("952-220000-200",生产发行表!B:AZ,column(ak1),0)</f>
        <v>0</v>
      </c>
      <c r="AM225">
        <f>vlookup("952-220000-200",生产发行表!B:AZ,column(al1),0)</f>
        <v>0</v>
      </c>
      <c r="AN225">
        <f>vlookup("952-220000-200",生产发行表!B:AZ,column(am1),0)</f>
        <v>0</v>
      </c>
      <c r="AO225">
        <f>vlookup("952-220000-200",生产发行表!B:AZ,column(an1),0)</f>
        <v>0</v>
      </c>
      <c r="AP225">
        <f>vlookup("952-220000-200",生产发行表!B:AZ,column(ao1),0)</f>
        <v>0</v>
      </c>
      <c r="AQ225">
        <f>vlookup("952-220000-200",生产发行表!B:AZ,column(ap1),0)</f>
        <v>0</v>
      </c>
      <c r="AR225">
        <f>vlookup("952-220000-200",生产发行表!B:AZ,column(aq1),0)</f>
        <v>0</v>
      </c>
    </row>
    <row r="226" spans="1:44">
      <c r="A226" t="s">
        <v>31</v>
      </c>
      <c r="B226" t="s">
        <v>467</v>
      </c>
      <c r="C226" t="s">
        <v>468</v>
      </c>
      <c r="D226" t="s">
        <v>469</v>
      </c>
      <c r="E226" t="s">
        <v>444</v>
      </c>
      <c r="F226" t="s">
        <v>470</v>
      </c>
      <c r="K226" t="s">
        <v>437</v>
      </c>
      <c r="L226" t="s">
        <v>37</v>
      </c>
      <c r="M226">
        <f>sumifs(m:m,A:A,"总成",B:B,"952-220000-200")*INDIRECT(ADDRESS(226,5))</f>
        <v>0</v>
      </c>
      <c r="N226">
        <f>sumifs(n:n,A:A,"总成",B:B,"952-220000-200")*INDIRECT(ADDRESS(226,5))</f>
        <v>0</v>
      </c>
      <c r="O226">
        <f>sumifs(o:o,A:A,"总成",B:B,"952-220000-200")*INDIRECT(ADDRESS(226,5))</f>
        <v>0</v>
      </c>
      <c r="P226">
        <f>sumifs(p:p,A:A,"总成",B:B,"952-220000-200")*INDIRECT(ADDRESS(226,5))</f>
        <v>0</v>
      </c>
      <c r="Q226">
        <f>sumifs(q:q,A:A,"总成",B:B,"952-220000-200")*INDIRECT(ADDRESS(226,5))</f>
        <v>0</v>
      </c>
      <c r="R226">
        <f>sumifs(r:r,A:A,"总成",B:B,"952-220000-200")*INDIRECT(ADDRESS(226,5))</f>
        <v>0</v>
      </c>
      <c r="S226">
        <f>sumifs(s:s,A:A,"总成",B:B,"952-220000-200")*INDIRECT(ADDRESS(226,5))</f>
        <v>0</v>
      </c>
      <c r="T226">
        <f>sumifs(t:t,A:A,"总成",B:B,"952-220000-200")*INDIRECT(ADDRESS(226,5))</f>
        <v>0</v>
      </c>
      <c r="U226">
        <f>sumifs(u:u,A:A,"总成",B:B,"952-220000-200")*INDIRECT(ADDRESS(226,5))</f>
        <v>0</v>
      </c>
      <c r="V226">
        <f>sumifs(v:v,A:A,"总成",B:B,"952-220000-200")*INDIRECT(ADDRESS(226,5))</f>
        <v>0</v>
      </c>
      <c r="W226">
        <f>sumifs(w:w,A:A,"总成",B:B,"952-220000-200")*INDIRECT(ADDRESS(226,5))</f>
        <v>0</v>
      </c>
      <c r="X226">
        <f>sumifs(x:x,A:A,"总成",B:B,"952-220000-200")*INDIRECT(ADDRESS(226,5))</f>
        <v>0</v>
      </c>
      <c r="Y226">
        <f>sumifs(y:y,A:A,"总成",B:B,"952-220000-200")*INDIRECT(ADDRESS(226,5))</f>
        <v>0</v>
      </c>
      <c r="Z226">
        <f>sumifs(z:z,A:A,"总成",B:B,"952-220000-200")*INDIRECT(ADDRESS(226,5))</f>
        <v>0</v>
      </c>
      <c r="AA226">
        <f>sumifs(aa:aa,A:A,"总成",B:B,"952-220000-200")*INDIRECT(ADDRESS(226,5))</f>
        <v>0</v>
      </c>
      <c r="AB226">
        <f>sumifs(ab:ab,A:A,"总成",B:B,"952-220000-200")*INDIRECT(ADDRESS(226,5))</f>
        <v>0</v>
      </c>
      <c r="AC226">
        <f>sumifs(ac:ac,A:A,"总成",B:B,"952-220000-200")*INDIRECT(ADDRESS(226,5))</f>
        <v>0</v>
      </c>
      <c r="AD226">
        <f>sumifs(ad:ad,A:A,"总成",B:B,"952-220000-200")*INDIRECT(ADDRESS(226,5))</f>
        <v>0</v>
      </c>
      <c r="AE226">
        <f>sumifs(ae:ae,A:A,"总成",B:B,"952-220000-200")*INDIRECT(ADDRESS(226,5))</f>
        <v>0</v>
      </c>
      <c r="AF226">
        <f>sumifs(af:af,A:A,"总成",B:B,"952-220000-200")*INDIRECT(ADDRESS(226,5))</f>
        <v>0</v>
      </c>
      <c r="AG226">
        <f>sumifs(ag:ag,A:A,"总成",B:B,"952-220000-200")*INDIRECT(ADDRESS(226,5))</f>
        <v>0</v>
      </c>
      <c r="AH226">
        <f>sumifs(ah:ah,A:A,"总成",B:B,"952-220000-200")*INDIRECT(ADDRESS(226,5))</f>
        <v>0</v>
      </c>
      <c r="AI226">
        <f>sumifs(ai:ai,A:A,"总成",B:B,"952-220000-200")*INDIRECT(ADDRESS(226,5))</f>
        <v>0</v>
      </c>
      <c r="AJ226">
        <f>sumifs(aj:aj,A:A,"总成",B:B,"952-220000-200")*INDIRECT(ADDRESS(226,5))</f>
        <v>0</v>
      </c>
      <c r="AK226">
        <f>sumifs(ak:ak,A:A,"总成",B:B,"952-220000-200")*INDIRECT(ADDRESS(226,5))</f>
        <v>0</v>
      </c>
      <c r="AL226">
        <f>sumifs(al:al,A:A,"总成",B:B,"952-220000-200")*INDIRECT(ADDRESS(226,5))</f>
        <v>0</v>
      </c>
      <c r="AM226">
        <f>sumifs(am:am,A:A,"总成",B:B,"952-220000-200")*INDIRECT(ADDRESS(226,5))</f>
        <v>0</v>
      </c>
      <c r="AN226">
        <f>sumifs(an:an,A:A,"总成",B:B,"952-220000-200")*INDIRECT(ADDRESS(226,5))</f>
        <v>0</v>
      </c>
      <c r="AO226">
        <f>sumifs(ao:ao,A:A,"总成",B:B,"952-220000-200")*INDIRECT(ADDRESS(226,5))</f>
        <v>0</v>
      </c>
      <c r="AP226">
        <f>sumifs(ap:ap,A:A,"总成",B:B,"952-220000-200")*INDIRECT(ADDRESS(226,5))</f>
        <v>0</v>
      </c>
      <c r="AQ226">
        <f>sumifs(aq:aq,A:A,"总成",B:B,"952-220000-200")*INDIRECT(ADDRESS(226,5))</f>
        <v>0</v>
      </c>
      <c r="AR226">
        <f>sumifs(ar:ar,A:A,"总成",B:B,"952-220000-200")*INDIRECT(ADDRESS(226,5))</f>
        <v>0</v>
      </c>
    </row>
    <row r="227" spans="1:44">
      <c r="A227" t="s">
        <v>31</v>
      </c>
      <c r="B227" t="s">
        <v>471</v>
      </c>
      <c r="C227" t="s">
        <v>472</v>
      </c>
      <c r="D227" t="s">
        <v>473</v>
      </c>
      <c r="E227">
        <v>1</v>
      </c>
      <c r="F227" t="s">
        <v>474</v>
      </c>
      <c r="K227" t="s">
        <v>437</v>
      </c>
      <c r="L227" t="s">
        <v>37</v>
      </c>
      <c r="M227">
        <f>sumifs(m:m,A:A,"总成",B:B,"952-220000-200")*INDIRECT(ADDRESS(227,5))</f>
        <v>0</v>
      </c>
      <c r="N227">
        <f>sumifs(n:n,A:A,"总成",B:B,"952-220000-200")*INDIRECT(ADDRESS(227,5))</f>
        <v>0</v>
      </c>
      <c r="O227">
        <f>sumifs(o:o,A:A,"总成",B:B,"952-220000-200")*INDIRECT(ADDRESS(227,5))</f>
        <v>0</v>
      </c>
      <c r="P227">
        <f>sumifs(p:p,A:A,"总成",B:B,"952-220000-200")*INDIRECT(ADDRESS(227,5))</f>
        <v>0</v>
      </c>
      <c r="Q227">
        <f>sumifs(q:q,A:A,"总成",B:B,"952-220000-200")*INDIRECT(ADDRESS(227,5))</f>
        <v>0</v>
      </c>
      <c r="R227">
        <f>sumifs(r:r,A:A,"总成",B:B,"952-220000-200")*INDIRECT(ADDRESS(227,5))</f>
        <v>0</v>
      </c>
      <c r="S227">
        <f>sumifs(s:s,A:A,"总成",B:B,"952-220000-200")*INDIRECT(ADDRESS(227,5))</f>
        <v>0</v>
      </c>
      <c r="T227">
        <f>sumifs(t:t,A:A,"总成",B:B,"952-220000-200")*INDIRECT(ADDRESS(227,5))</f>
        <v>0</v>
      </c>
      <c r="U227">
        <f>sumifs(u:u,A:A,"总成",B:B,"952-220000-200")*INDIRECT(ADDRESS(227,5))</f>
        <v>0</v>
      </c>
      <c r="V227">
        <f>sumifs(v:v,A:A,"总成",B:B,"952-220000-200")*INDIRECT(ADDRESS(227,5))</f>
        <v>0</v>
      </c>
      <c r="W227">
        <f>sumifs(w:w,A:A,"总成",B:B,"952-220000-200")*INDIRECT(ADDRESS(227,5))</f>
        <v>0</v>
      </c>
      <c r="X227">
        <f>sumifs(x:x,A:A,"总成",B:B,"952-220000-200")*INDIRECT(ADDRESS(227,5))</f>
        <v>0</v>
      </c>
      <c r="Y227">
        <f>sumifs(y:y,A:A,"总成",B:B,"952-220000-200")*INDIRECT(ADDRESS(227,5))</f>
        <v>0</v>
      </c>
      <c r="Z227">
        <f>sumifs(z:z,A:A,"总成",B:B,"952-220000-200")*INDIRECT(ADDRESS(227,5))</f>
        <v>0</v>
      </c>
      <c r="AA227">
        <f>sumifs(aa:aa,A:A,"总成",B:B,"952-220000-200")*INDIRECT(ADDRESS(227,5))</f>
        <v>0</v>
      </c>
      <c r="AB227">
        <f>sumifs(ab:ab,A:A,"总成",B:B,"952-220000-200")*INDIRECT(ADDRESS(227,5))</f>
        <v>0</v>
      </c>
      <c r="AC227">
        <f>sumifs(ac:ac,A:A,"总成",B:B,"952-220000-200")*INDIRECT(ADDRESS(227,5))</f>
        <v>0</v>
      </c>
      <c r="AD227">
        <f>sumifs(ad:ad,A:A,"总成",B:B,"952-220000-200")*INDIRECT(ADDRESS(227,5))</f>
        <v>0</v>
      </c>
      <c r="AE227">
        <f>sumifs(ae:ae,A:A,"总成",B:B,"952-220000-200")*INDIRECT(ADDRESS(227,5))</f>
        <v>0</v>
      </c>
      <c r="AF227">
        <f>sumifs(af:af,A:A,"总成",B:B,"952-220000-200")*INDIRECT(ADDRESS(227,5))</f>
        <v>0</v>
      </c>
      <c r="AG227">
        <f>sumifs(ag:ag,A:A,"总成",B:B,"952-220000-200")*INDIRECT(ADDRESS(227,5))</f>
        <v>0</v>
      </c>
      <c r="AH227">
        <f>sumifs(ah:ah,A:A,"总成",B:B,"952-220000-200")*INDIRECT(ADDRESS(227,5))</f>
        <v>0</v>
      </c>
      <c r="AI227">
        <f>sumifs(ai:ai,A:A,"总成",B:B,"952-220000-200")*INDIRECT(ADDRESS(227,5))</f>
        <v>0</v>
      </c>
      <c r="AJ227">
        <f>sumifs(aj:aj,A:A,"总成",B:B,"952-220000-200")*INDIRECT(ADDRESS(227,5))</f>
        <v>0</v>
      </c>
      <c r="AK227">
        <f>sumifs(ak:ak,A:A,"总成",B:B,"952-220000-200")*INDIRECT(ADDRESS(227,5))</f>
        <v>0</v>
      </c>
      <c r="AL227">
        <f>sumifs(al:al,A:A,"总成",B:B,"952-220000-200")*INDIRECT(ADDRESS(227,5))</f>
        <v>0</v>
      </c>
      <c r="AM227">
        <f>sumifs(am:am,A:A,"总成",B:B,"952-220000-200")*INDIRECT(ADDRESS(227,5))</f>
        <v>0</v>
      </c>
      <c r="AN227">
        <f>sumifs(an:an,A:A,"总成",B:B,"952-220000-200")*INDIRECT(ADDRESS(227,5))</f>
        <v>0</v>
      </c>
      <c r="AO227">
        <f>sumifs(ao:ao,A:A,"总成",B:B,"952-220000-200")*INDIRECT(ADDRESS(227,5))</f>
        <v>0</v>
      </c>
      <c r="AP227">
        <f>sumifs(ap:ap,A:A,"总成",B:B,"952-220000-200")*INDIRECT(ADDRESS(227,5))</f>
        <v>0</v>
      </c>
      <c r="AQ227">
        <f>sumifs(aq:aq,A:A,"总成",B:B,"952-220000-200")*INDIRECT(ADDRESS(227,5))</f>
        <v>0</v>
      </c>
      <c r="AR227">
        <f>sumifs(ar:ar,A:A,"总成",B:B,"952-220000-200")*INDIRECT(ADDRESS(227,5))</f>
        <v>0</v>
      </c>
    </row>
    <row r="228" spans="1:44">
      <c r="A228" t="s">
        <v>14</v>
      </c>
      <c r="B228" t="s">
        <v>491</v>
      </c>
      <c r="C228" t="s">
        <v>492</v>
      </c>
      <c r="E228" t="s">
        <v>444</v>
      </c>
      <c r="F228" t="s">
        <v>493</v>
      </c>
      <c r="K228" t="s">
        <v>437</v>
      </c>
      <c r="L228" t="s">
        <v>21</v>
      </c>
      <c r="M228">
        <f>vlookup("952-225000-200",生产发行表!B:AZ,column(l1),0)</f>
        <v>0</v>
      </c>
      <c r="N228">
        <f>vlookup("952-225000-200",生产发行表!B:AZ,column(m1),0)</f>
        <v>0</v>
      </c>
      <c r="O228">
        <f>vlookup("952-225000-200",生产发行表!B:AZ,column(n1),0)</f>
        <v>0</v>
      </c>
      <c r="P228">
        <f>vlookup("952-225000-200",生产发行表!B:AZ,column(o1),0)</f>
        <v>0</v>
      </c>
      <c r="Q228">
        <f>vlookup("952-225000-200",生产发行表!B:AZ,column(p1),0)</f>
        <v>0</v>
      </c>
      <c r="R228">
        <f>vlookup("952-225000-200",生产发行表!B:AZ,column(q1),0)</f>
        <v>0</v>
      </c>
      <c r="S228">
        <f>vlookup("952-225000-200",生产发行表!B:AZ,column(r1),0)</f>
        <v>0</v>
      </c>
      <c r="T228">
        <f>vlookup("952-225000-200",生产发行表!B:AZ,column(s1),0)</f>
        <v>0</v>
      </c>
      <c r="U228">
        <f>vlookup("952-225000-200",生产发行表!B:AZ,column(t1),0)</f>
        <v>0</v>
      </c>
      <c r="V228">
        <f>vlookup("952-225000-200",生产发行表!B:AZ,column(u1),0)</f>
        <v>0</v>
      </c>
      <c r="W228">
        <f>vlookup("952-225000-200",生产发行表!B:AZ,column(v1),0)</f>
        <v>0</v>
      </c>
      <c r="X228">
        <f>vlookup("952-225000-200",生产发行表!B:AZ,column(w1),0)</f>
        <v>0</v>
      </c>
      <c r="Y228">
        <f>vlookup("952-225000-200",生产发行表!B:AZ,column(x1),0)</f>
        <v>0</v>
      </c>
      <c r="Z228">
        <f>vlookup("952-225000-200",生产发行表!B:AZ,column(y1),0)</f>
        <v>0</v>
      </c>
      <c r="AA228">
        <f>vlookup("952-225000-200",生产发行表!B:AZ,column(z1),0)</f>
        <v>0</v>
      </c>
      <c r="AB228">
        <f>vlookup("952-225000-200",生产发行表!B:AZ,column(aa1),0)</f>
        <v>0</v>
      </c>
      <c r="AC228">
        <f>vlookup("952-225000-200",生产发行表!B:AZ,column(ab1),0)</f>
        <v>0</v>
      </c>
      <c r="AD228">
        <f>vlookup("952-225000-200",生产发行表!B:AZ,column(ac1),0)</f>
        <v>0</v>
      </c>
      <c r="AE228">
        <f>vlookup("952-225000-200",生产发行表!B:AZ,column(ad1),0)</f>
        <v>0</v>
      </c>
      <c r="AF228">
        <f>vlookup("952-225000-200",生产发行表!B:AZ,column(ae1),0)</f>
        <v>0</v>
      </c>
      <c r="AG228">
        <f>vlookup("952-225000-200",生产发行表!B:AZ,column(af1),0)</f>
        <v>0</v>
      </c>
      <c r="AH228">
        <f>vlookup("952-225000-200",生产发行表!B:AZ,column(ag1),0)</f>
        <v>0</v>
      </c>
      <c r="AI228">
        <f>vlookup("952-225000-200",生产发行表!B:AZ,column(ah1),0)</f>
        <v>0</v>
      </c>
      <c r="AJ228">
        <f>vlookup("952-225000-200",生产发行表!B:AZ,column(ai1),0)</f>
        <v>0</v>
      </c>
      <c r="AK228">
        <f>vlookup("952-225000-200",生产发行表!B:AZ,column(aj1),0)</f>
        <v>0</v>
      </c>
      <c r="AL228">
        <f>vlookup("952-225000-200",生产发行表!B:AZ,column(ak1),0)</f>
        <v>0</v>
      </c>
      <c r="AM228">
        <f>vlookup("952-225000-200",生产发行表!B:AZ,column(al1),0)</f>
        <v>0</v>
      </c>
      <c r="AN228">
        <f>vlookup("952-225000-200",生产发行表!B:AZ,column(am1),0)</f>
        <v>0</v>
      </c>
      <c r="AO228">
        <f>vlookup("952-225000-200",生产发行表!B:AZ,column(an1),0)</f>
        <v>0</v>
      </c>
      <c r="AP228">
        <f>vlookup("952-225000-200",生产发行表!B:AZ,column(ao1),0)</f>
        <v>0</v>
      </c>
      <c r="AQ228">
        <f>vlookup("952-225000-200",生产发行表!B:AZ,column(ap1),0)</f>
        <v>0</v>
      </c>
      <c r="AR228">
        <f>vlookup("952-225000-200",生产发行表!B:AZ,column(aq1),0)</f>
        <v>0</v>
      </c>
    </row>
    <row r="229" spans="1:44">
      <c r="A229" t="s">
        <v>31</v>
      </c>
      <c r="B229" t="s">
        <v>494</v>
      </c>
      <c r="C229" t="s">
        <v>495</v>
      </c>
      <c r="D229" t="s">
        <v>480</v>
      </c>
      <c r="E229" t="s">
        <v>444</v>
      </c>
      <c r="F229" t="s">
        <v>496</v>
      </c>
      <c r="K229" t="s">
        <v>437</v>
      </c>
      <c r="L229" t="s">
        <v>37</v>
      </c>
      <c r="M229">
        <f>sumifs(m:m,A:A,"总成",B:B,"952-225000-200")*INDIRECT(ADDRESS(229,5))</f>
        <v>0</v>
      </c>
      <c r="N229">
        <f>sumifs(n:n,A:A,"总成",B:B,"952-225000-200")*INDIRECT(ADDRESS(229,5))</f>
        <v>0</v>
      </c>
      <c r="O229">
        <f>sumifs(o:o,A:A,"总成",B:B,"952-225000-200")*INDIRECT(ADDRESS(229,5))</f>
        <v>0</v>
      </c>
      <c r="P229">
        <f>sumifs(p:p,A:A,"总成",B:B,"952-225000-200")*INDIRECT(ADDRESS(229,5))</f>
        <v>0</v>
      </c>
      <c r="Q229">
        <f>sumifs(q:q,A:A,"总成",B:B,"952-225000-200")*INDIRECT(ADDRESS(229,5))</f>
        <v>0</v>
      </c>
      <c r="R229">
        <f>sumifs(r:r,A:A,"总成",B:B,"952-225000-200")*INDIRECT(ADDRESS(229,5))</f>
        <v>0</v>
      </c>
      <c r="S229">
        <f>sumifs(s:s,A:A,"总成",B:B,"952-225000-200")*INDIRECT(ADDRESS(229,5))</f>
        <v>0</v>
      </c>
      <c r="T229">
        <f>sumifs(t:t,A:A,"总成",B:B,"952-225000-200")*INDIRECT(ADDRESS(229,5))</f>
        <v>0</v>
      </c>
      <c r="U229">
        <f>sumifs(u:u,A:A,"总成",B:B,"952-225000-200")*INDIRECT(ADDRESS(229,5))</f>
        <v>0</v>
      </c>
      <c r="V229">
        <f>sumifs(v:v,A:A,"总成",B:B,"952-225000-200")*INDIRECT(ADDRESS(229,5))</f>
        <v>0</v>
      </c>
      <c r="W229">
        <f>sumifs(w:w,A:A,"总成",B:B,"952-225000-200")*INDIRECT(ADDRESS(229,5))</f>
        <v>0</v>
      </c>
      <c r="X229">
        <f>sumifs(x:x,A:A,"总成",B:B,"952-225000-200")*INDIRECT(ADDRESS(229,5))</f>
        <v>0</v>
      </c>
      <c r="Y229">
        <f>sumifs(y:y,A:A,"总成",B:B,"952-225000-200")*INDIRECT(ADDRESS(229,5))</f>
        <v>0</v>
      </c>
      <c r="Z229">
        <f>sumifs(z:z,A:A,"总成",B:B,"952-225000-200")*INDIRECT(ADDRESS(229,5))</f>
        <v>0</v>
      </c>
      <c r="AA229">
        <f>sumifs(aa:aa,A:A,"总成",B:B,"952-225000-200")*INDIRECT(ADDRESS(229,5))</f>
        <v>0</v>
      </c>
      <c r="AB229">
        <f>sumifs(ab:ab,A:A,"总成",B:B,"952-225000-200")*INDIRECT(ADDRESS(229,5))</f>
        <v>0</v>
      </c>
      <c r="AC229">
        <f>sumifs(ac:ac,A:A,"总成",B:B,"952-225000-200")*INDIRECT(ADDRESS(229,5))</f>
        <v>0</v>
      </c>
      <c r="AD229">
        <f>sumifs(ad:ad,A:A,"总成",B:B,"952-225000-200")*INDIRECT(ADDRESS(229,5))</f>
        <v>0</v>
      </c>
      <c r="AE229">
        <f>sumifs(ae:ae,A:A,"总成",B:B,"952-225000-200")*INDIRECT(ADDRESS(229,5))</f>
        <v>0</v>
      </c>
      <c r="AF229">
        <f>sumifs(af:af,A:A,"总成",B:B,"952-225000-200")*INDIRECT(ADDRESS(229,5))</f>
        <v>0</v>
      </c>
      <c r="AG229">
        <f>sumifs(ag:ag,A:A,"总成",B:B,"952-225000-200")*INDIRECT(ADDRESS(229,5))</f>
        <v>0</v>
      </c>
      <c r="AH229">
        <f>sumifs(ah:ah,A:A,"总成",B:B,"952-225000-200")*INDIRECT(ADDRESS(229,5))</f>
        <v>0</v>
      </c>
      <c r="AI229">
        <f>sumifs(ai:ai,A:A,"总成",B:B,"952-225000-200")*INDIRECT(ADDRESS(229,5))</f>
        <v>0</v>
      </c>
      <c r="AJ229">
        <f>sumifs(aj:aj,A:A,"总成",B:B,"952-225000-200")*INDIRECT(ADDRESS(229,5))</f>
        <v>0</v>
      </c>
      <c r="AK229">
        <f>sumifs(ak:ak,A:A,"总成",B:B,"952-225000-200")*INDIRECT(ADDRESS(229,5))</f>
        <v>0</v>
      </c>
      <c r="AL229">
        <f>sumifs(al:al,A:A,"总成",B:B,"952-225000-200")*INDIRECT(ADDRESS(229,5))</f>
        <v>0</v>
      </c>
      <c r="AM229">
        <f>sumifs(am:am,A:A,"总成",B:B,"952-225000-200")*INDIRECT(ADDRESS(229,5))</f>
        <v>0</v>
      </c>
      <c r="AN229">
        <f>sumifs(an:an,A:A,"总成",B:B,"952-225000-200")*INDIRECT(ADDRESS(229,5))</f>
        <v>0</v>
      </c>
      <c r="AO229">
        <f>sumifs(ao:ao,A:A,"总成",B:B,"952-225000-200")*INDIRECT(ADDRESS(229,5))</f>
        <v>0</v>
      </c>
      <c r="AP229">
        <f>sumifs(ap:ap,A:A,"总成",B:B,"952-225000-200")*INDIRECT(ADDRESS(229,5))</f>
        <v>0</v>
      </c>
      <c r="AQ229">
        <f>sumifs(aq:aq,A:A,"总成",B:B,"952-225000-200")*INDIRECT(ADDRESS(229,5))</f>
        <v>0</v>
      </c>
      <c r="AR229">
        <f>sumifs(ar:ar,A:A,"总成",B:B,"952-225000-200")*INDIRECT(ADDRESS(229,5))</f>
        <v>0</v>
      </c>
    </row>
    <row r="230" spans="1:44">
      <c r="A230" t="s">
        <v>31</v>
      </c>
      <c r="B230" t="s">
        <v>482</v>
      </c>
      <c r="C230" t="s">
        <v>483</v>
      </c>
      <c r="D230" t="s">
        <v>452</v>
      </c>
      <c r="E230" t="s">
        <v>444</v>
      </c>
      <c r="F230" t="s">
        <v>484</v>
      </c>
      <c r="K230" t="s">
        <v>437</v>
      </c>
      <c r="L230" t="s">
        <v>37</v>
      </c>
      <c r="M230">
        <f>sumifs(m:m,A:A,"总成",B:B,"952-225000-200")*INDIRECT(ADDRESS(230,5))</f>
        <v>0</v>
      </c>
      <c r="N230">
        <f>sumifs(n:n,A:A,"总成",B:B,"952-225000-200")*INDIRECT(ADDRESS(230,5))</f>
        <v>0</v>
      </c>
      <c r="O230">
        <f>sumifs(o:o,A:A,"总成",B:B,"952-225000-200")*INDIRECT(ADDRESS(230,5))</f>
        <v>0</v>
      </c>
      <c r="P230">
        <f>sumifs(p:p,A:A,"总成",B:B,"952-225000-200")*INDIRECT(ADDRESS(230,5))</f>
        <v>0</v>
      </c>
      <c r="Q230">
        <f>sumifs(q:q,A:A,"总成",B:B,"952-225000-200")*INDIRECT(ADDRESS(230,5))</f>
        <v>0</v>
      </c>
      <c r="R230">
        <f>sumifs(r:r,A:A,"总成",B:B,"952-225000-200")*INDIRECT(ADDRESS(230,5))</f>
        <v>0</v>
      </c>
      <c r="S230">
        <f>sumifs(s:s,A:A,"总成",B:B,"952-225000-200")*INDIRECT(ADDRESS(230,5))</f>
        <v>0</v>
      </c>
      <c r="T230">
        <f>sumifs(t:t,A:A,"总成",B:B,"952-225000-200")*INDIRECT(ADDRESS(230,5))</f>
        <v>0</v>
      </c>
      <c r="U230">
        <f>sumifs(u:u,A:A,"总成",B:B,"952-225000-200")*INDIRECT(ADDRESS(230,5))</f>
        <v>0</v>
      </c>
      <c r="V230">
        <f>sumifs(v:v,A:A,"总成",B:B,"952-225000-200")*INDIRECT(ADDRESS(230,5))</f>
        <v>0</v>
      </c>
      <c r="W230">
        <f>sumifs(w:w,A:A,"总成",B:B,"952-225000-200")*INDIRECT(ADDRESS(230,5))</f>
        <v>0</v>
      </c>
      <c r="X230">
        <f>sumifs(x:x,A:A,"总成",B:B,"952-225000-200")*INDIRECT(ADDRESS(230,5))</f>
        <v>0</v>
      </c>
      <c r="Y230">
        <f>sumifs(y:y,A:A,"总成",B:B,"952-225000-200")*INDIRECT(ADDRESS(230,5))</f>
        <v>0</v>
      </c>
      <c r="Z230">
        <f>sumifs(z:z,A:A,"总成",B:B,"952-225000-200")*INDIRECT(ADDRESS(230,5))</f>
        <v>0</v>
      </c>
      <c r="AA230">
        <f>sumifs(aa:aa,A:A,"总成",B:B,"952-225000-200")*INDIRECT(ADDRESS(230,5))</f>
        <v>0</v>
      </c>
      <c r="AB230">
        <f>sumifs(ab:ab,A:A,"总成",B:B,"952-225000-200")*INDIRECT(ADDRESS(230,5))</f>
        <v>0</v>
      </c>
      <c r="AC230">
        <f>sumifs(ac:ac,A:A,"总成",B:B,"952-225000-200")*INDIRECT(ADDRESS(230,5))</f>
        <v>0</v>
      </c>
      <c r="AD230">
        <f>sumifs(ad:ad,A:A,"总成",B:B,"952-225000-200")*INDIRECT(ADDRESS(230,5))</f>
        <v>0</v>
      </c>
      <c r="AE230">
        <f>sumifs(ae:ae,A:A,"总成",B:B,"952-225000-200")*INDIRECT(ADDRESS(230,5))</f>
        <v>0</v>
      </c>
      <c r="AF230">
        <f>sumifs(af:af,A:A,"总成",B:B,"952-225000-200")*INDIRECT(ADDRESS(230,5))</f>
        <v>0</v>
      </c>
      <c r="AG230">
        <f>sumifs(ag:ag,A:A,"总成",B:B,"952-225000-200")*INDIRECT(ADDRESS(230,5))</f>
        <v>0</v>
      </c>
      <c r="AH230">
        <f>sumifs(ah:ah,A:A,"总成",B:B,"952-225000-200")*INDIRECT(ADDRESS(230,5))</f>
        <v>0</v>
      </c>
      <c r="AI230">
        <f>sumifs(ai:ai,A:A,"总成",B:B,"952-225000-200")*INDIRECT(ADDRESS(230,5))</f>
        <v>0</v>
      </c>
      <c r="AJ230">
        <f>sumifs(aj:aj,A:A,"总成",B:B,"952-225000-200")*INDIRECT(ADDRESS(230,5))</f>
        <v>0</v>
      </c>
      <c r="AK230">
        <f>sumifs(ak:ak,A:A,"总成",B:B,"952-225000-200")*INDIRECT(ADDRESS(230,5))</f>
        <v>0</v>
      </c>
      <c r="AL230">
        <f>sumifs(al:al,A:A,"总成",B:B,"952-225000-200")*INDIRECT(ADDRESS(230,5))</f>
        <v>0</v>
      </c>
      <c r="AM230">
        <f>sumifs(am:am,A:A,"总成",B:B,"952-225000-200")*INDIRECT(ADDRESS(230,5))</f>
        <v>0</v>
      </c>
      <c r="AN230">
        <f>sumifs(an:an,A:A,"总成",B:B,"952-225000-200")*INDIRECT(ADDRESS(230,5))</f>
        <v>0</v>
      </c>
      <c r="AO230">
        <f>sumifs(ao:ao,A:A,"总成",B:B,"952-225000-200")*INDIRECT(ADDRESS(230,5))</f>
        <v>0</v>
      </c>
      <c r="AP230">
        <f>sumifs(ap:ap,A:A,"总成",B:B,"952-225000-200")*INDIRECT(ADDRESS(230,5))</f>
        <v>0</v>
      </c>
      <c r="AQ230">
        <f>sumifs(aq:aq,A:A,"总成",B:B,"952-225000-200")*INDIRECT(ADDRESS(230,5))</f>
        <v>0</v>
      </c>
      <c r="AR230">
        <f>sumifs(ar:ar,A:A,"总成",B:B,"952-225000-200")*INDIRECT(ADDRESS(230,5))</f>
        <v>0</v>
      </c>
    </row>
    <row r="231" spans="1:44">
      <c r="A231" t="s">
        <v>14</v>
      </c>
      <c r="B231" t="s">
        <v>438</v>
      </c>
      <c r="C231" t="s">
        <v>441</v>
      </c>
      <c r="D231" t="s">
        <v>440</v>
      </c>
      <c r="E231">
        <v>1</v>
      </c>
      <c r="F231" t="s">
        <v>441</v>
      </c>
      <c r="K231" t="s">
        <v>497</v>
      </c>
      <c r="L231" t="s">
        <v>21</v>
      </c>
      <c r="M231">
        <f>vlookup("852-221000-100",生产发行表!B:AZ,column(l1),0)</f>
        <v>0</v>
      </c>
      <c r="N231">
        <f>vlookup("852-221000-100",生产发行表!B:AZ,column(m1),0)</f>
        <v>0</v>
      </c>
      <c r="O231">
        <f>vlookup("852-221000-100",生产发行表!B:AZ,column(n1),0)</f>
        <v>0</v>
      </c>
      <c r="P231">
        <f>vlookup("852-221000-100",生产发行表!B:AZ,column(o1),0)</f>
        <v>0</v>
      </c>
      <c r="Q231">
        <f>vlookup("852-221000-100",生产发行表!B:AZ,column(p1),0)</f>
        <v>0</v>
      </c>
      <c r="R231">
        <f>vlookup("852-221000-100",生产发行表!B:AZ,column(q1),0)</f>
        <v>0</v>
      </c>
      <c r="S231">
        <f>vlookup("852-221000-100",生产发行表!B:AZ,column(r1),0)</f>
        <v>0</v>
      </c>
      <c r="T231">
        <f>vlookup("852-221000-100",生产发行表!B:AZ,column(s1),0)</f>
        <v>0</v>
      </c>
      <c r="U231">
        <f>vlookup("852-221000-100",生产发行表!B:AZ,column(t1),0)</f>
        <v>0</v>
      </c>
      <c r="V231">
        <f>vlookup("852-221000-100",生产发行表!B:AZ,column(u1),0)</f>
        <v>0</v>
      </c>
      <c r="W231">
        <f>vlookup("852-221000-100",生产发行表!B:AZ,column(v1),0)</f>
        <v>0</v>
      </c>
      <c r="X231">
        <f>vlookup("852-221000-100",生产发行表!B:AZ,column(w1),0)</f>
        <v>0</v>
      </c>
      <c r="Y231">
        <f>vlookup("852-221000-100",生产发行表!B:AZ,column(x1),0)</f>
        <v>0</v>
      </c>
      <c r="Z231">
        <f>vlookup("852-221000-100",生产发行表!B:AZ,column(y1),0)</f>
        <v>0</v>
      </c>
      <c r="AA231">
        <f>vlookup("852-221000-100",生产发行表!B:AZ,column(z1),0)</f>
        <v>0</v>
      </c>
      <c r="AB231">
        <f>vlookup("852-221000-100",生产发行表!B:AZ,column(aa1),0)</f>
        <v>0</v>
      </c>
      <c r="AC231">
        <f>vlookup("852-221000-100",生产发行表!B:AZ,column(ab1),0)</f>
        <v>0</v>
      </c>
      <c r="AD231">
        <f>vlookup("852-221000-100",生产发行表!B:AZ,column(ac1),0)</f>
        <v>0</v>
      </c>
      <c r="AE231">
        <f>vlookup("852-221000-100",生产发行表!B:AZ,column(ad1),0)</f>
        <v>0</v>
      </c>
      <c r="AF231">
        <f>vlookup("852-221000-100",生产发行表!B:AZ,column(ae1),0)</f>
        <v>0</v>
      </c>
      <c r="AG231">
        <f>vlookup("852-221000-100",生产发行表!B:AZ,column(af1),0)</f>
        <v>0</v>
      </c>
      <c r="AH231">
        <f>vlookup("852-221000-100",生产发行表!B:AZ,column(ag1),0)</f>
        <v>0</v>
      </c>
      <c r="AI231">
        <f>vlookup("852-221000-100",生产发行表!B:AZ,column(ah1),0)</f>
        <v>0</v>
      </c>
      <c r="AJ231">
        <f>vlookup("852-221000-100",生产发行表!B:AZ,column(ai1),0)</f>
        <v>0</v>
      </c>
      <c r="AK231">
        <f>vlookup("852-221000-100",生产发行表!B:AZ,column(aj1),0)</f>
        <v>0</v>
      </c>
      <c r="AL231">
        <f>vlookup("852-221000-100",生产发行表!B:AZ,column(ak1),0)</f>
        <v>0</v>
      </c>
      <c r="AM231">
        <f>vlookup("852-221000-100",生产发行表!B:AZ,column(al1),0)</f>
        <v>0</v>
      </c>
      <c r="AN231">
        <f>vlookup("852-221000-100",生产发行表!B:AZ,column(am1),0)</f>
        <v>0</v>
      </c>
      <c r="AO231">
        <f>vlookup("852-221000-100",生产发行表!B:AZ,column(an1),0)</f>
        <v>0</v>
      </c>
      <c r="AP231">
        <f>vlookup("852-221000-100",生产发行表!B:AZ,column(ao1),0)</f>
        <v>0</v>
      </c>
      <c r="AQ231">
        <f>vlookup("852-221000-100",生产发行表!B:AZ,column(ap1),0)</f>
        <v>0</v>
      </c>
      <c r="AR231">
        <f>vlookup("852-221000-100",生产发行表!B:AZ,column(aq1),0)</f>
        <v>0</v>
      </c>
    </row>
    <row r="232" spans="1:44">
      <c r="A232" t="s">
        <v>31</v>
      </c>
      <c r="B232" t="s">
        <v>321</v>
      </c>
      <c r="C232" t="s">
        <v>323</v>
      </c>
      <c r="E232" t="s">
        <v>498</v>
      </c>
      <c r="F232" t="s">
        <v>323</v>
      </c>
      <c r="K232" t="s">
        <v>499</v>
      </c>
      <c r="L232" t="s">
        <v>37</v>
      </c>
      <c r="M232">
        <f>sumifs(m:m,A:A,"总成",B:B,"852-221000-100")*INDIRECT(ADDRESS(232,5))</f>
        <v>0</v>
      </c>
      <c r="N232">
        <f>sumifs(n:n,A:A,"总成",B:B,"852-221000-100")*INDIRECT(ADDRESS(232,5))</f>
        <v>0</v>
      </c>
      <c r="O232">
        <f>sumifs(o:o,A:A,"总成",B:B,"852-221000-100")*INDIRECT(ADDRESS(232,5))</f>
        <v>0</v>
      </c>
      <c r="P232">
        <f>sumifs(p:p,A:A,"总成",B:B,"852-221000-100")*INDIRECT(ADDRESS(232,5))</f>
        <v>0</v>
      </c>
      <c r="Q232">
        <f>sumifs(q:q,A:A,"总成",B:B,"852-221000-100")*INDIRECT(ADDRESS(232,5))</f>
        <v>0</v>
      </c>
      <c r="R232">
        <f>sumifs(r:r,A:A,"总成",B:B,"852-221000-100")*INDIRECT(ADDRESS(232,5))</f>
        <v>0</v>
      </c>
      <c r="S232">
        <f>sumifs(s:s,A:A,"总成",B:B,"852-221000-100")*INDIRECT(ADDRESS(232,5))</f>
        <v>0</v>
      </c>
      <c r="T232">
        <f>sumifs(t:t,A:A,"总成",B:B,"852-221000-100")*INDIRECT(ADDRESS(232,5))</f>
        <v>0</v>
      </c>
      <c r="U232">
        <f>sumifs(u:u,A:A,"总成",B:B,"852-221000-100")*INDIRECT(ADDRESS(232,5))</f>
        <v>0</v>
      </c>
      <c r="V232">
        <f>sumifs(v:v,A:A,"总成",B:B,"852-221000-100")*INDIRECT(ADDRESS(232,5))</f>
        <v>0</v>
      </c>
      <c r="W232">
        <f>sumifs(w:w,A:A,"总成",B:B,"852-221000-100")*INDIRECT(ADDRESS(232,5))</f>
        <v>0</v>
      </c>
      <c r="X232">
        <f>sumifs(x:x,A:A,"总成",B:B,"852-221000-100")*INDIRECT(ADDRESS(232,5))</f>
        <v>0</v>
      </c>
      <c r="Y232">
        <f>sumifs(y:y,A:A,"总成",B:B,"852-221000-100")*INDIRECT(ADDRESS(232,5))</f>
        <v>0</v>
      </c>
      <c r="Z232">
        <f>sumifs(z:z,A:A,"总成",B:B,"852-221000-100")*INDIRECT(ADDRESS(232,5))</f>
        <v>0</v>
      </c>
      <c r="AA232">
        <f>sumifs(aa:aa,A:A,"总成",B:B,"852-221000-100")*INDIRECT(ADDRESS(232,5))</f>
        <v>0</v>
      </c>
      <c r="AB232">
        <f>sumifs(ab:ab,A:A,"总成",B:B,"852-221000-100")*INDIRECT(ADDRESS(232,5))</f>
        <v>0</v>
      </c>
      <c r="AC232">
        <f>sumifs(ac:ac,A:A,"总成",B:B,"852-221000-100")*INDIRECT(ADDRESS(232,5))</f>
        <v>0</v>
      </c>
      <c r="AD232">
        <f>sumifs(ad:ad,A:A,"总成",B:B,"852-221000-100")*INDIRECT(ADDRESS(232,5))</f>
        <v>0</v>
      </c>
      <c r="AE232">
        <f>sumifs(ae:ae,A:A,"总成",B:B,"852-221000-100")*INDIRECT(ADDRESS(232,5))</f>
        <v>0</v>
      </c>
      <c r="AF232">
        <f>sumifs(af:af,A:A,"总成",B:B,"852-221000-100")*INDIRECT(ADDRESS(232,5))</f>
        <v>0</v>
      </c>
      <c r="AG232">
        <f>sumifs(ag:ag,A:A,"总成",B:B,"852-221000-100")*INDIRECT(ADDRESS(232,5))</f>
        <v>0</v>
      </c>
      <c r="AH232">
        <f>sumifs(ah:ah,A:A,"总成",B:B,"852-221000-100")*INDIRECT(ADDRESS(232,5))</f>
        <v>0</v>
      </c>
      <c r="AI232">
        <f>sumifs(ai:ai,A:A,"总成",B:B,"852-221000-100")*INDIRECT(ADDRESS(232,5))</f>
        <v>0</v>
      </c>
      <c r="AJ232">
        <f>sumifs(aj:aj,A:A,"总成",B:B,"852-221000-100")*INDIRECT(ADDRESS(232,5))</f>
        <v>0</v>
      </c>
      <c r="AK232">
        <f>sumifs(ak:ak,A:A,"总成",B:B,"852-221000-100")*INDIRECT(ADDRESS(232,5))</f>
        <v>0</v>
      </c>
      <c r="AL232">
        <f>sumifs(al:al,A:A,"总成",B:B,"852-221000-100")*INDIRECT(ADDRESS(232,5))</f>
        <v>0</v>
      </c>
      <c r="AM232">
        <f>sumifs(am:am,A:A,"总成",B:B,"852-221000-100")*INDIRECT(ADDRESS(232,5))</f>
        <v>0</v>
      </c>
      <c r="AN232">
        <f>sumifs(an:an,A:A,"总成",B:B,"852-221000-100")*INDIRECT(ADDRESS(232,5))</f>
        <v>0</v>
      </c>
      <c r="AO232">
        <f>sumifs(ao:ao,A:A,"总成",B:B,"852-221000-100")*INDIRECT(ADDRESS(232,5))</f>
        <v>0</v>
      </c>
      <c r="AP232">
        <f>sumifs(ap:ap,A:A,"总成",B:B,"852-221000-100")*INDIRECT(ADDRESS(232,5))</f>
        <v>0</v>
      </c>
      <c r="AQ232">
        <f>sumifs(aq:aq,A:A,"总成",B:B,"852-221000-100")*INDIRECT(ADDRESS(232,5))</f>
        <v>0</v>
      </c>
      <c r="AR232">
        <f>sumifs(ar:ar,A:A,"总成",B:B,"852-221000-100")*INDIRECT(ADDRESS(232,5))</f>
        <v>0</v>
      </c>
    </row>
    <row r="233" spans="1:44">
      <c r="A233" t="s">
        <v>31</v>
      </c>
      <c r="B233" t="s">
        <v>500</v>
      </c>
      <c r="C233" t="s">
        <v>501</v>
      </c>
      <c r="E233" t="s">
        <v>498</v>
      </c>
      <c r="F233" t="s">
        <v>501</v>
      </c>
      <c r="K233" t="s">
        <v>499</v>
      </c>
      <c r="L233" t="s">
        <v>37</v>
      </c>
      <c r="M233">
        <f>sumifs(m:m,A:A,"总成",B:B,"852-221000-100")*INDIRECT(ADDRESS(233,5))</f>
        <v>0</v>
      </c>
      <c r="N233">
        <f>sumifs(n:n,A:A,"总成",B:B,"852-221000-100")*INDIRECT(ADDRESS(233,5))</f>
        <v>0</v>
      </c>
      <c r="O233">
        <f>sumifs(o:o,A:A,"总成",B:B,"852-221000-100")*INDIRECT(ADDRESS(233,5))</f>
        <v>0</v>
      </c>
      <c r="P233">
        <f>sumifs(p:p,A:A,"总成",B:B,"852-221000-100")*INDIRECT(ADDRESS(233,5))</f>
        <v>0</v>
      </c>
      <c r="Q233">
        <f>sumifs(q:q,A:A,"总成",B:B,"852-221000-100")*INDIRECT(ADDRESS(233,5))</f>
        <v>0</v>
      </c>
      <c r="R233">
        <f>sumifs(r:r,A:A,"总成",B:B,"852-221000-100")*INDIRECT(ADDRESS(233,5))</f>
        <v>0</v>
      </c>
      <c r="S233">
        <f>sumifs(s:s,A:A,"总成",B:B,"852-221000-100")*INDIRECT(ADDRESS(233,5))</f>
        <v>0</v>
      </c>
      <c r="T233">
        <f>sumifs(t:t,A:A,"总成",B:B,"852-221000-100")*INDIRECT(ADDRESS(233,5))</f>
        <v>0</v>
      </c>
      <c r="U233">
        <f>sumifs(u:u,A:A,"总成",B:B,"852-221000-100")*INDIRECT(ADDRESS(233,5))</f>
        <v>0</v>
      </c>
      <c r="V233">
        <f>sumifs(v:v,A:A,"总成",B:B,"852-221000-100")*INDIRECT(ADDRESS(233,5))</f>
        <v>0</v>
      </c>
      <c r="W233">
        <f>sumifs(w:w,A:A,"总成",B:B,"852-221000-100")*INDIRECT(ADDRESS(233,5))</f>
        <v>0</v>
      </c>
      <c r="X233">
        <f>sumifs(x:x,A:A,"总成",B:B,"852-221000-100")*INDIRECT(ADDRESS(233,5))</f>
        <v>0</v>
      </c>
      <c r="Y233">
        <f>sumifs(y:y,A:A,"总成",B:B,"852-221000-100")*INDIRECT(ADDRESS(233,5))</f>
        <v>0</v>
      </c>
      <c r="Z233">
        <f>sumifs(z:z,A:A,"总成",B:B,"852-221000-100")*INDIRECT(ADDRESS(233,5))</f>
        <v>0</v>
      </c>
      <c r="AA233">
        <f>sumifs(aa:aa,A:A,"总成",B:B,"852-221000-100")*INDIRECT(ADDRESS(233,5))</f>
        <v>0</v>
      </c>
      <c r="AB233">
        <f>sumifs(ab:ab,A:A,"总成",B:B,"852-221000-100")*INDIRECT(ADDRESS(233,5))</f>
        <v>0</v>
      </c>
      <c r="AC233">
        <f>sumifs(ac:ac,A:A,"总成",B:B,"852-221000-100")*INDIRECT(ADDRESS(233,5))</f>
        <v>0</v>
      </c>
      <c r="AD233">
        <f>sumifs(ad:ad,A:A,"总成",B:B,"852-221000-100")*INDIRECT(ADDRESS(233,5))</f>
        <v>0</v>
      </c>
      <c r="AE233">
        <f>sumifs(ae:ae,A:A,"总成",B:B,"852-221000-100")*INDIRECT(ADDRESS(233,5))</f>
        <v>0</v>
      </c>
      <c r="AF233">
        <f>sumifs(af:af,A:A,"总成",B:B,"852-221000-100")*INDIRECT(ADDRESS(233,5))</f>
        <v>0</v>
      </c>
      <c r="AG233">
        <f>sumifs(ag:ag,A:A,"总成",B:B,"852-221000-100")*INDIRECT(ADDRESS(233,5))</f>
        <v>0</v>
      </c>
      <c r="AH233">
        <f>sumifs(ah:ah,A:A,"总成",B:B,"852-221000-100")*INDIRECT(ADDRESS(233,5))</f>
        <v>0</v>
      </c>
      <c r="AI233">
        <f>sumifs(ai:ai,A:A,"总成",B:B,"852-221000-100")*INDIRECT(ADDRESS(233,5))</f>
        <v>0</v>
      </c>
      <c r="AJ233">
        <f>sumifs(aj:aj,A:A,"总成",B:B,"852-221000-100")*INDIRECT(ADDRESS(233,5))</f>
        <v>0</v>
      </c>
      <c r="AK233">
        <f>sumifs(ak:ak,A:A,"总成",B:B,"852-221000-100")*INDIRECT(ADDRESS(233,5))</f>
        <v>0</v>
      </c>
      <c r="AL233">
        <f>sumifs(al:al,A:A,"总成",B:B,"852-221000-100")*INDIRECT(ADDRESS(233,5))</f>
        <v>0</v>
      </c>
      <c r="AM233">
        <f>sumifs(am:am,A:A,"总成",B:B,"852-221000-100")*INDIRECT(ADDRESS(233,5))</f>
        <v>0</v>
      </c>
      <c r="AN233">
        <f>sumifs(an:an,A:A,"总成",B:B,"852-221000-100")*INDIRECT(ADDRESS(233,5))</f>
        <v>0</v>
      </c>
      <c r="AO233">
        <f>sumifs(ao:ao,A:A,"总成",B:B,"852-221000-100")*INDIRECT(ADDRESS(233,5))</f>
        <v>0</v>
      </c>
      <c r="AP233">
        <f>sumifs(ap:ap,A:A,"总成",B:B,"852-221000-100")*INDIRECT(ADDRESS(233,5))</f>
        <v>0</v>
      </c>
      <c r="AQ233">
        <f>sumifs(aq:aq,A:A,"总成",B:B,"852-221000-100")*INDIRECT(ADDRESS(233,5))</f>
        <v>0</v>
      </c>
      <c r="AR233">
        <f>sumifs(ar:ar,A:A,"总成",B:B,"852-221000-100")*INDIRECT(ADDRESS(233,5))</f>
        <v>0</v>
      </c>
    </row>
    <row r="234" spans="1:44">
      <c r="A234" t="s">
        <v>14</v>
      </c>
      <c r="B234" t="s">
        <v>446</v>
      </c>
      <c r="C234" t="s">
        <v>449</v>
      </c>
      <c r="D234" t="s">
        <v>448</v>
      </c>
      <c r="E234">
        <v>1</v>
      </c>
      <c r="F234" t="s">
        <v>449</v>
      </c>
      <c r="K234" t="s">
        <v>497</v>
      </c>
      <c r="L234" t="s">
        <v>21</v>
      </c>
      <c r="M234">
        <f>vlookup("852-222000-100",生产发行表!B:AZ,column(l1),0)</f>
        <v>0</v>
      </c>
      <c r="N234">
        <f>vlookup("852-222000-100",生产发行表!B:AZ,column(m1),0)</f>
        <v>0</v>
      </c>
      <c r="O234">
        <f>vlookup("852-222000-100",生产发行表!B:AZ,column(n1),0)</f>
        <v>0</v>
      </c>
      <c r="P234">
        <f>vlookup("852-222000-100",生产发行表!B:AZ,column(o1),0)</f>
        <v>0</v>
      </c>
      <c r="Q234">
        <f>vlookup("852-222000-100",生产发行表!B:AZ,column(p1),0)</f>
        <v>0</v>
      </c>
      <c r="R234">
        <f>vlookup("852-222000-100",生产发行表!B:AZ,column(q1),0)</f>
        <v>0</v>
      </c>
      <c r="S234">
        <f>vlookup("852-222000-100",生产发行表!B:AZ,column(r1),0)</f>
        <v>0</v>
      </c>
      <c r="T234">
        <f>vlookup("852-222000-100",生产发行表!B:AZ,column(s1),0)</f>
        <v>0</v>
      </c>
      <c r="U234">
        <f>vlookup("852-222000-100",生产发行表!B:AZ,column(t1),0)</f>
        <v>0</v>
      </c>
      <c r="V234">
        <f>vlookup("852-222000-100",生产发行表!B:AZ,column(u1),0)</f>
        <v>0</v>
      </c>
      <c r="W234">
        <f>vlookup("852-222000-100",生产发行表!B:AZ,column(v1),0)</f>
        <v>0</v>
      </c>
      <c r="X234">
        <f>vlookup("852-222000-100",生产发行表!B:AZ,column(w1),0)</f>
        <v>0</v>
      </c>
      <c r="Y234">
        <f>vlookup("852-222000-100",生产发行表!B:AZ,column(x1),0)</f>
        <v>0</v>
      </c>
      <c r="Z234">
        <f>vlookup("852-222000-100",生产发行表!B:AZ,column(y1),0)</f>
        <v>0</v>
      </c>
      <c r="AA234">
        <f>vlookup("852-222000-100",生产发行表!B:AZ,column(z1),0)</f>
        <v>0</v>
      </c>
      <c r="AB234">
        <f>vlookup("852-222000-100",生产发行表!B:AZ,column(aa1),0)</f>
        <v>0</v>
      </c>
      <c r="AC234">
        <f>vlookup("852-222000-100",生产发行表!B:AZ,column(ab1),0)</f>
        <v>0</v>
      </c>
      <c r="AD234">
        <f>vlookup("852-222000-100",生产发行表!B:AZ,column(ac1),0)</f>
        <v>0</v>
      </c>
      <c r="AE234">
        <f>vlookup("852-222000-100",生产发行表!B:AZ,column(ad1),0)</f>
        <v>0</v>
      </c>
      <c r="AF234">
        <f>vlookup("852-222000-100",生产发行表!B:AZ,column(ae1),0)</f>
        <v>0</v>
      </c>
      <c r="AG234">
        <f>vlookup("852-222000-100",生产发行表!B:AZ,column(af1),0)</f>
        <v>0</v>
      </c>
      <c r="AH234">
        <f>vlookup("852-222000-100",生产发行表!B:AZ,column(ag1),0)</f>
        <v>0</v>
      </c>
      <c r="AI234">
        <f>vlookup("852-222000-100",生产发行表!B:AZ,column(ah1),0)</f>
        <v>0</v>
      </c>
      <c r="AJ234">
        <f>vlookup("852-222000-100",生产发行表!B:AZ,column(ai1),0)</f>
        <v>0</v>
      </c>
      <c r="AK234">
        <f>vlookup("852-222000-100",生产发行表!B:AZ,column(aj1),0)</f>
        <v>0</v>
      </c>
      <c r="AL234">
        <f>vlookup("852-222000-100",生产发行表!B:AZ,column(ak1),0)</f>
        <v>0</v>
      </c>
      <c r="AM234">
        <f>vlookup("852-222000-100",生产发行表!B:AZ,column(al1),0)</f>
        <v>0</v>
      </c>
      <c r="AN234">
        <f>vlookup("852-222000-100",生产发行表!B:AZ,column(am1),0)</f>
        <v>0</v>
      </c>
      <c r="AO234">
        <f>vlookup("852-222000-100",生产发行表!B:AZ,column(an1),0)</f>
        <v>0</v>
      </c>
      <c r="AP234">
        <f>vlookup("852-222000-100",生产发行表!B:AZ,column(ao1),0)</f>
        <v>0</v>
      </c>
      <c r="AQ234">
        <f>vlookup("852-222000-100",生产发行表!B:AZ,column(ap1),0)</f>
        <v>0</v>
      </c>
      <c r="AR234">
        <f>vlookup("852-222000-100",生产发行表!B:AZ,column(aq1),0)</f>
        <v>0</v>
      </c>
    </row>
    <row r="235" spans="1:44">
      <c r="A235" t="s">
        <v>14</v>
      </c>
      <c r="B235" t="s">
        <v>450</v>
      </c>
      <c r="C235" t="s">
        <v>454</v>
      </c>
      <c r="D235" t="s">
        <v>452</v>
      </c>
      <c r="E235" t="s">
        <v>453</v>
      </c>
      <c r="F235" t="s">
        <v>454</v>
      </c>
      <c r="K235" t="s">
        <v>497</v>
      </c>
      <c r="L235" t="s">
        <v>21</v>
      </c>
      <c r="M235">
        <f>vlookup("852-223000-100",生产发行表!B:AZ,column(l1),0)</f>
        <v>0</v>
      </c>
      <c r="N235">
        <f>vlookup("852-223000-100",生产发行表!B:AZ,column(m1),0)</f>
        <v>0</v>
      </c>
      <c r="O235">
        <f>vlookup("852-223000-100",生产发行表!B:AZ,column(n1),0)</f>
        <v>0</v>
      </c>
      <c r="P235">
        <f>vlookup("852-223000-100",生产发行表!B:AZ,column(o1),0)</f>
        <v>0</v>
      </c>
      <c r="Q235">
        <f>vlookup("852-223000-100",生产发行表!B:AZ,column(p1),0)</f>
        <v>0</v>
      </c>
      <c r="R235">
        <f>vlookup("852-223000-100",生产发行表!B:AZ,column(q1),0)</f>
        <v>0</v>
      </c>
      <c r="S235">
        <f>vlookup("852-223000-100",生产发行表!B:AZ,column(r1),0)</f>
        <v>0</v>
      </c>
      <c r="T235">
        <f>vlookup("852-223000-100",生产发行表!B:AZ,column(s1),0)</f>
        <v>0</v>
      </c>
      <c r="U235">
        <f>vlookup("852-223000-100",生产发行表!B:AZ,column(t1),0)</f>
        <v>0</v>
      </c>
      <c r="V235">
        <f>vlookup("852-223000-100",生产发行表!B:AZ,column(u1),0)</f>
        <v>0</v>
      </c>
      <c r="W235">
        <f>vlookup("852-223000-100",生产发行表!B:AZ,column(v1),0)</f>
        <v>0</v>
      </c>
      <c r="X235">
        <f>vlookup("852-223000-100",生产发行表!B:AZ,column(w1),0)</f>
        <v>0</v>
      </c>
      <c r="Y235">
        <f>vlookup("852-223000-100",生产发行表!B:AZ,column(x1),0)</f>
        <v>0</v>
      </c>
      <c r="Z235">
        <f>vlookup("852-223000-100",生产发行表!B:AZ,column(y1),0)</f>
        <v>0</v>
      </c>
      <c r="AA235">
        <f>vlookup("852-223000-100",生产发行表!B:AZ,column(z1),0)</f>
        <v>0</v>
      </c>
      <c r="AB235">
        <f>vlookup("852-223000-100",生产发行表!B:AZ,column(aa1),0)</f>
        <v>0</v>
      </c>
      <c r="AC235">
        <f>vlookup("852-223000-100",生产发行表!B:AZ,column(ab1),0)</f>
        <v>0</v>
      </c>
      <c r="AD235">
        <f>vlookup("852-223000-100",生产发行表!B:AZ,column(ac1),0)</f>
        <v>0</v>
      </c>
      <c r="AE235">
        <f>vlookup("852-223000-100",生产发行表!B:AZ,column(ad1),0)</f>
        <v>0</v>
      </c>
      <c r="AF235">
        <f>vlookup("852-223000-100",生产发行表!B:AZ,column(ae1),0)</f>
        <v>0</v>
      </c>
      <c r="AG235">
        <f>vlookup("852-223000-100",生产发行表!B:AZ,column(af1),0)</f>
        <v>0</v>
      </c>
      <c r="AH235">
        <f>vlookup("852-223000-100",生产发行表!B:AZ,column(ag1),0)</f>
        <v>0</v>
      </c>
      <c r="AI235">
        <f>vlookup("852-223000-100",生产发行表!B:AZ,column(ah1),0)</f>
        <v>0</v>
      </c>
      <c r="AJ235">
        <f>vlookup("852-223000-100",生产发行表!B:AZ,column(ai1),0)</f>
        <v>0</v>
      </c>
      <c r="AK235">
        <f>vlookup("852-223000-100",生产发行表!B:AZ,column(aj1),0)</f>
        <v>0</v>
      </c>
      <c r="AL235">
        <f>vlookup("852-223000-100",生产发行表!B:AZ,column(ak1),0)</f>
        <v>0</v>
      </c>
      <c r="AM235">
        <f>vlookup("852-223000-100",生产发行表!B:AZ,column(al1),0)</f>
        <v>0</v>
      </c>
      <c r="AN235">
        <f>vlookup("852-223000-100",生产发行表!B:AZ,column(am1),0)</f>
        <v>0</v>
      </c>
      <c r="AO235">
        <f>vlookup("852-223000-100",生产发行表!B:AZ,column(an1),0)</f>
        <v>0</v>
      </c>
      <c r="AP235">
        <f>vlookup("852-223000-100",生产发行表!B:AZ,column(ao1),0)</f>
        <v>0</v>
      </c>
      <c r="AQ235">
        <f>vlookup("852-223000-100",生产发行表!B:AZ,column(ap1),0)</f>
        <v>0</v>
      </c>
      <c r="AR235">
        <f>vlookup("852-223000-100",生产发行表!B:AZ,column(aq1),0)</f>
        <v>0</v>
      </c>
    </row>
    <row r="236" spans="1:44">
      <c r="A236" t="s">
        <v>31</v>
      </c>
      <c r="B236" t="s">
        <v>321</v>
      </c>
      <c r="C236" t="s">
        <v>323</v>
      </c>
      <c r="E236" t="s">
        <v>453</v>
      </c>
      <c r="F236" t="s">
        <v>323</v>
      </c>
      <c r="K236" t="s">
        <v>499</v>
      </c>
      <c r="L236" t="s">
        <v>37</v>
      </c>
      <c r="M236">
        <f>sumifs(m:m,A:A,"总成",B:B,"852-223000-100")*INDIRECT(ADDRESS(236,5))</f>
        <v>0</v>
      </c>
      <c r="N236">
        <f>sumifs(n:n,A:A,"总成",B:B,"852-223000-100")*INDIRECT(ADDRESS(236,5))</f>
        <v>0</v>
      </c>
      <c r="O236">
        <f>sumifs(o:o,A:A,"总成",B:B,"852-223000-100")*INDIRECT(ADDRESS(236,5))</f>
        <v>0</v>
      </c>
      <c r="P236">
        <f>sumifs(p:p,A:A,"总成",B:B,"852-223000-100")*INDIRECT(ADDRESS(236,5))</f>
        <v>0</v>
      </c>
      <c r="Q236">
        <f>sumifs(q:q,A:A,"总成",B:B,"852-223000-100")*INDIRECT(ADDRESS(236,5))</f>
        <v>0</v>
      </c>
      <c r="R236">
        <f>sumifs(r:r,A:A,"总成",B:B,"852-223000-100")*INDIRECT(ADDRESS(236,5))</f>
        <v>0</v>
      </c>
      <c r="S236">
        <f>sumifs(s:s,A:A,"总成",B:B,"852-223000-100")*INDIRECT(ADDRESS(236,5))</f>
        <v>0</v>
      </c>
      <c r="T236">
        <f>sumifs(t:t,A:A,"总成",B:B,"852-223000-100")*INDIRECT(ADDRESS(236,5))</f>
        <v>0</v>
      </c>
      <c r="U236">
        <f>sumifs(u:u,A:A,"总成",B:B,"852-223000-100")*INDIRECT(ADDRESS(236,5))</f>
        <v>0</v>
      </c>
      <c r="V236">
        <f>sumifs(v:v,A:A,"总成",B:B,"852-223000-100")*INDIRECT(ADDRESS(236,5))</f>
        <v>0</v>
      </c>
      <c r="W236">
        <f>sumifs(w:w,A:A,"总成",B:B,"852-223000-100")*INDIRECT(ADDRESS(236,5))</f>
        <v>0</v>
      </c>
      <c r="X236">
        <f>sumifs(x:x,A:A,"总成",B:B,"852-223000-100")*INDIRECT(ADDRESS(236,5))</f>
        <v>0</v>
      </c>
      <c r="Y236">
        <f>sumifs(y:y,A:A,"总成",B:B,"852-223000-100")*INDIRECT(ADDRESS(236,5))</f>
        <v>0</v>
      </c>
      <c r="Z236">
        <f>sumifs(z:z,A:A,"总成",B:B,"852-223000-100")*INDIRECT(ADDRESS(236,5))</f>
        <v>0</v>
      </c>
      <c r="AA236">
        <f>sumifs(aa:aa,A:A,"总成",B:B,"852-223000-100")*INDIRECT(ADDRESS(236,5))</f>
        <v>0</v>
      </c>
      <c r="AB236">
        <f>sumifs(ab:ab,A:A,"总成",B:B,"852-223000-100")*INDIRECT(ADDRESS(236,5))</f>
        <v>0</v>
      </c>
      <c r="AC236">
        <f>sumifs(ac:ac,A:A,"总成",B:B,"852-223000-100")*INDIRECT(ADDRESS(236,5))</f>
        <v>0</v>
      </c>
      <c r="AD236">
        <f>sumifs(ad:ad,A:A,"总成",B:B,"852-223000-100")*INDIRECT(ADDRESS(236,5))</f>
        <v>0</v>
      </c>
      <c r="AE236">
        <f>sumifs(ae:ae,A:A,"总成",B:B,"852-223000-100")*INDIRECT(ADDRESS(236,5))</f>
        <v>0</v>
      </c>
      <c r="AF236">
        <f>sumifs(af:af,A:A,"总成",B:B,"852-223000-100")*INDIRECT(ADDRESS(236,5))</f>
        <v>0</v>
      </c>
      <c r="AG236">
        <f>sumifs(ag:ag,A:A,"总成",B:B,"852-223000-100")*INDIRECT(ADDRESS(236,5))</f>
        <v>0</v>
      </c>
      <c r="AH236">
        <f>sumifs(ah:ah,A:A,"总成",B:B,"852-223000-100")*INDIRECT(ADDRESS(236,5))</f>
        <v>0</v>
      </c>
      <c r="AI236">
        <f>sumifs(ai:ai,A:A,"总成",B:B,"852-223000-100")*INDIRECT(ADDRESS(236,5))</f>
        <v>0</v>
      </c>
      <c r="AJ236">
        <f>sumifs(aj:aj,A:A,"总成",B:B,"852-223000-100")*INDIRECT(ADDRESS(236,5))</f>
        <v>0</v>
      </c>
      <c r="AK236">
        <f>sumifs(ak:ak,A:A,"总成",B:B,"852-223000-100")*INDIRECT(ADDRESS(236,5))</f>
        <v>0</v>
      </c>
      <c r="AL236">
        <f>sumifs(al:al,A:A,"总成",B:B,"852-223000-100")*INDIRECT(ADDRESS(236,5))</f>
        <v>0</v>
      </c>
      <c r="AM236">
        <f>sumifs(am:am,A:A,"总成",B:B,"852-223000-100")*INDIRECT(ADDRESS(236,5))</f>
        <v>0</v>
      </c>
      <c r="AN236">
        <f>sumifs(an:an,A:A,"总成",B:B,"852-223000-100")*INDIRECT(ADDRESS(236,5))</f>
        <v>0</v>
      </c>
      <c r="AO236">
        <f>sumifs(ao:ao,A:A,"总成",B:B,"852-223000-100")*INDIRECT(ADDRESS(236,5))</f>
        <v>0</v>
      </c>
      <c r="AP236">
        <f>sumifs(ap:ap,A:A,"总成",B:B,"852-223000-100")*INDIRECT(ADDRESS(236,5))</f>
        <v>0</v>
      </c>
      <c r="AQ236">
        <f>sumifs(aq:aq,A:A,"总成",B:B,"852-223000-100")*INDIRECT(ADDRESS(236,5))</f>
        <v>0</v>
      </c>
      <c r="AR236">
        <f>sumifs(ar:ar,A:A,"总成",B:B,"852-223000-100")*INDIRECT(ADDRESS(236,5))</f>
        <v>0</v>
      </c>
    </row>
    <row r="237" spans="1:44">
      <c r="A237" t="s">
        <v>31</v>
      </c>
      <c r="B237" t="s">
        <v>502</v>
      </c>
      <c r="C237" t="s">
        <v>503</v>
      </c>
      <c r="E237" t="s">
        <v>504</v>
      </c>
      <c r="F237" t="s">
        <v>503</v>
      </c>
      <c r="K237" t="s">
        <v>499</v>
      </c>
      <c r="L237" t="s">
        <v>37</v>
      </c>
      <c r="M237">
        <f>sumifs(m:m,A:A,"总成",B:B,"852-223000-100")*INDIRECT(ADDRESS(237,5))</f>
        <v>0</v>
      </c>
      <c r="N237">
        <f>sumifs(n:n,A:A,"总成",B:B,"852-223000-100")*INDIRECT(ADDRESS(237,5))</f>
        <v>0</v>
      </c>
      <c r="O237">
        <f>sumifs(o:o,A:A,"总成",B:B,"852-223000-100")*INDIRECT(ADDRESS(237,5))</f>
        <v>0</v>
      </c>
      <c r="P237">
        <f>sumifs(p:p,A:A,"总成",B:B,"852-223000-100")*INDIRECT(ADDRESS(237,5))</f>
        <v>0</v>
      </c>
      <c r="Q237">
        <f>sumifs(q:q,A:A,"总成",B:B,"852-223000-100")*INDIRECT(ADDRESS(237,5))</f>
        <v>0</v>
      </c>
      <c r="R237">
        <f>sumifs(r:r,A:A,"总成",B:B,"852-223000-100")*INDIRECT(ADDRESS(237,5))</f>
        <v>0</v>
      </c>
      <c r="S237">
        <f>sumifs(s:s,A:A,"总成",B:B,"852-223000-100")*INDIRECT(ADDRESS(237,5))</f>
        <v>0</v>
      </c>
      <c r="T237">
        <f>sumifs(t:t,A:A,"总成",B:B,"852-223000-100")*INDIRECT(ADDRESS(237,5))</f>
        <v>0</v>
      </c>
      <c r="U237">
        <f>sumifs(u:u,A:A,"总成",B:B,"852-223000-100")*INDIRECT(ADDRESS(237,5))</f>
        <v>0</v>
      </c>
      <c r="V237">
        <f>sumifs(v:v,A:A,"总成",B:B,"852-223000-100")*INDIRECT(ADDRESS(237,5))</f>
        <v>0</v>
      </c>
      <c r="W237">
        <f>sumifs(w:w,A:A,"总成",B:B,"852-223000-100")*INDIRECT(ADDRESS(237,5))</f>
        <v>0</v>
      </c>
      <c r="X237">
        <f>sumifs(x:x,A:A,"总成",B:B,"852-223000-100")*INDIRECT(ADDRESS(237,5))</f>
        <v>0</v>
      </c>
      <c r="Y237">
        <f>sumifs(y:y,A:A,"总成",B:B,"852-223000-100")*INDIRECT(ADDRESS(237,5))</f>
        <v>0</v>
      </c>
      <c r="Z237">
        <f>sumifs(z:z,A:A,"总成",B:B,"852-223000-100")*INDIRECT(ADDRESS(237,5))</f>
        <v>0</v>
      </c>
      <c r="AA237">
        <f>sumifs(aa:aa,A:A,"总成",B:B,"852-223000-100")*INDIRECT(ADDRESS(237,5))</f>
        <v>0</v>
      </c>
      <c r="AB237">
        <f>sumifs(ab:ab,A:A,"总成",B:B,"852-223000-100")*INDIRECT(ADDRESS(237,5))</f>
        <v>0</v>
      </c>
      <c r="AC237">
        <f>sumifs(ac:ac,A:A,"总成",B:B,"852-223000-100")*INDIRECT(ADDRESS(237,5))</f>
        <v>0</v>
      </c>
      <c r="AD237">
        <f>sumifs(ad:ad,A:A,"总成",B:B,"852-223000-100")*INDIRECT(ADDRESS(237,5))</f>
        <v>0</v>
      </c>
      <c r="AE237">
        <f>sumifs(ae:ae,A:A,"总成",B:B,"852-223000-100")*INDIRECT(ADDRESS(237,5))</f>
        <v>0</v>
      </c>
      <c r="AF237">
        <f>sumifs(af:af,A:A,"总成",B:B,"852-223000-100")*INDIRECT(ADDRESS(237,5))</f>
        <v>0</v>
      </c>
      <c r="AG237">
        <f>sumifs(ag:ag,A:A,"总成",B:B,"852-223000-100")*INDIRECT(ADDRESS(237,5))</f>
        <v>0</v>
      </c>
      <c r="AH237">
        <f>sumifs(ah:ah,A:A,"总成",B:B,"852-223000-100")*INDIRECT(ADDRESS(237,5))</f>
        <v>0</v>
      </c>
      <c r="AI237">
        <f>sumifs(ai:ai,A:A,"总成",B:B,"852-223000-100")*INDIRECT(ADDRESS(237,5))</f>
        <v>0</v>
      </c>
      <c r="AJ237">
        <f>sumifs(aj:aj,A:A,"总成",B:B,"852-223000-100")*INDIRECT(ADDRESS(237,5))</f>
        <v>0</v>
      </c>
      <c r="AK237">
        <f>sumifs(ak:ak,A:A,"总成",B:B,"852-223000-100")*INDIRECT(ADDRESS(237,5))</f>
        <v>0</v>
      </c>
      <c r="AL237">
        <f>sumifs(al:al,A:A,"总成",B:B,"852-223000-100")*INDIRECT(ADDRESS(237,5))</f>
        <v>0</v>
      </c>
      <c r="AM237">
        <f>sumifs(am:am,A:A,"总成",B:B,"852-223000-100")*INDIRECT(ADDRESS(237,5))</f>
        <v>0</v>
      </c>
      <c r="AN237">
        <f>sumifs(an:an,A:A,"总成",B:B,"852-223000-100")*INDIRECT(ADDRESS(237,5))</f>
        <v>0</v>
      </c>
      <c r="AO237">
        <f>sumifs(ao:ao,A:A,"总成",B:B,"852-223000-100")*INDIRECT(ADDRESS(237,5))</f>
        <v>0</v>
      </c>
      <c r="AP237">
        <f>sumifs(ap:ap,A:A,"总成",B:B,"852-223000-100")*INDIRECT(ADDRESS(237,5))</f>
        <v>0</v>
      </c>
      <c r="AQ237">
        <f>sumifs(aq:aq,A:A,"总成",B:B,"852-223000-100")*INDIRECT(ADDRESS(237,5))</f>
        <v>0</v>
      </c>
      <c r="AR237">
        <f>sumifs(ar:ar,A:A,"总成",B:B,"852-223000-100")*INDIRECT(ADDRESS(237,5))</f>
        <v>0</v>
      </c>
    </row>
    <row r="238" spans="1:44">
      <c r="A238" t="s">
        <v>14</v>
      </c>
      <c r="B238" t="s">
        <v>458</v>
      </c>
      <c r="C238" t="s">
        <v>460</v>
      </c>
      <c r="D238" t="s">
        <v>448</v>
      </c>
      <c r="E238">
        <v>1</v>
      </c>
      <c r="F238" t="s">
        <v>460</v>
      </c>
      <c r="K238" t="s">
        <v>497</v>
      </c>
      <c r="L238" t="s">
        <v>21</v>
      </c>
      <c r="M238">
        <f>vlookup("852-222000-200",生产发行表!B:AZ,column(l1),0)</f>
        <v>0</v>
      </c>
      <c r="N238">
        <f>vlookup("852-222000-200",生产发行表!B:AZ,column(m1),0)</f>
        <v>0</v>
      </c>
      <c r="O238">
        <f>vlookup("852-222000-200",生产发行表!B:AZ,column(n1),0)</f>
        <v>0</v>
      </c>
      <c r="P238">
        <f>vlookup("852-222000-200",生产发行表!B:AZ,column(o1),0)</f>
        <v>0</v>
      </c>
      <c r="Q238">
        <f>vlookup("852-222000-200",生产发行表!B:AZ,column(p1),0)</f>
        <v>0</v>
      </c>
      <c r="R238">
        <f>vlookup("852-222000-200",生产发行表!B:AZ,column(q1),0)</f>
        <v>0</v>
      </c>
      <c r="S238">
        <f>vlookup("852-222000-200",生产发行表!B:AZ,column(r1),0)</f>
        <v>0</v>
      </c>
      <c r="T238">
        <f>vlookup("852-222000-200",生产发行表!B:AZ,column(s1),0)</f>
        <v>0</v>
      </c>
      <c r="U238">
        <f>vlookup("852-222000-200",生产发行表!B:AZ,column(t1),0)</f>
        <v>0</v>
      </c>
      <c r="V238">
        <f>vlookup("852-222000-200",生产发行表!B:AZ,column(u1),0)</f>
        <v>0</v>
      </c>
      <c r="W238">
        <f>vlookup("852-222000-200",生产发行表!B:AZ,column(v1),0)</f>
        <v>0</v>
      </c>
      <c r="X238">
        <f>vlookup("852-222000-200",生产发行表!B:AZ,column(w1),0)</f>
        <v>0</v>
      </c>
      <c r="Y238">
        <f>vlookup("852-222000-200",生产发行表!B:AZ,column(x1),0)</f>
        <v>0</v>
      </c>
      <c r="Z238">
        <f>vlookup("852-222000-200",生产发行表!B:AZ,column(y1),0)</f>
        <v>0</v>
      </c>
      <c r="AA238">
        <f>vlookup("852-222000-200",生产发行表!B:AZ,column(z1),0)</f>
        <v>0</v>
      </c>
      <c r="AB238">
        <f>vlookup("852-222000-200",生产发行表!B:AZ,column(aa1),0)</f>
        <v>0</v>
      </c>
      <c r="AC238">
        <f>vlookup("852-222000-200",生产发行表!B:AZ,column(ab1),0)</f>
        <v>0</v>
      </c>
      <c r="AD238">
        <f>vlookup("852-222000-200",生产发行表!B:AZ,column(ac1),0)</f>
        <v>0</v>
      </c>
      <c r="AE238">
        <f>vlookup("852-222000-200",生产发行表!B:AZ,column(ad1),0)</f>
        <v>0</v>
      </c>
      <c r="AF238">
        <f>vlookup("852-222000-200",生产发行表!B:AZ,column(ae1),0)</f>
        <v>0</v>
      </c>
      <c r="AG238">
        <f>vlookup("852-222000-200",生产发行表!B:AZ,column(af1),0)</f>
        <v>0</v>
      </c>
      <c r="AH238">
        <f>vlookup("852-222000-200",生产发行表!B:AZ,column(ag1),0)</f>
        <v>0</v>
      </c>
      <c r="AI238">
        <f>vlookup("852-222000-200",生产发行表!B:AZ,column(ah1),0)</f>
        <v>0</v>
      </c>
      <c r="AJ238">
        <f>vlookup("852-222000-200",生产发行表!B:AZ,column(ai1),0)</f>
        <v>0</v>
      </c>
      <c r="AK238">
        <f>vlookup("852-222000-200",生产发行表!B:AZ,column(aj1),0)</f>
        <v>0</v>
      </c>
      <c r="AL238">
        <f>vlookup("852-222000-200",生产发行表!B:AZ,column(ak1),0)</f>
        <v>0</v>
      </c>
      <c r="AM238">
        <f>vlookup("852-222000-200",生产发行表!B:AZ,column(al1),0)</f>
        <v>0</v>
      </c>
      <c r="AN238">
        <f>vlookup("852-222000-200",生产发行表!B:AZ,column(am1),0)</f>
        <v>0</v>
      </c>
      <c r="AO238">
        <f>vlookup("852-222000-200",生产发行表!B:AZ,column(an1),0)</f>
        <v>0</v>
      </c>
      <c r="AP238">
        <f>vlookup("852-222000-200",生产发行表!B:AZ,column(ao1),0)</f>
        <v>0</v>
      </c>
      <c r="AQ238">
        <f>vlookup("852-222000-200",生产发行表!B:AZ,column(ap1),0)</f>
        <v>0</v>
      </c>
      <c r="AR238">
        <f>vlookup("852-222000-200",生产发行表!B:AZ,column(aq1),0)</f>
        <v>0</v>
      </c>
    </row>
    <row r="239" spans="1:44">
      <c r="A239" t="s">
        <v>14</v>
      </c>
      <c r="B239" t="s">
        <v>461</v>
      </c>
      <c r="C239" t="s">
        <v>463</v>
      </c>
      <c r="D239" t="s">
        <v>452</v>
      </c>
      <c r="E239" t="s">
        <v>453</v>
      </c>
      <c r="F239" t="s">
        <v>463</v>
      </c>
      <c r="K239" t="s">
        <v>497</v>
      </c>
      <c r="L239" t="s">
        <v>21</v>
      </c>
      <c r="M239">
        <f>vlookup("852-223000-200",生产发行表!B:AZ,column(l1),0)</f>
        <v>0</v>
      </c>
      <c r="N239">
        <f>vlookup("852-223000-200",生产发行表!B:AZ,column(m1),0)</f>
        <v>0</v>
      </c>
      <c r="O239">
        <f>vlookup("852-223000-200",生产发行表!B:AZ,column(n1),0)</f>
        <v>0</v>
      </c>
      <c r="P239">
        <f>vlookup("852-223000-200",生产发行表!B:AZ,column(o1),0)</f>
        <v>0</v>
      </c>
      <c r="Q239">
        <f>vlookup("852-223000-200",生产发行表!B:AZ,column(p1),0)</f>
        <v>0</v>
      </c>
      <c r="R239">
        <f>vlookup("852-223000-200",生产发行表!B:AZ,column(q1),0)</f>
        <v>0</v>
      </c>
      <c r="S239">
        <f>vlookup("852-223000-200",生产发行表!B:AZ,column(r1),0)</f>
        <v>0</v>
      </c>
      <c r="T239">
        <f>vlookup("852-223000-200",生产发行表!B:AZ,column(s1),0)</f>
        <v>0</v>
      </c>
      <c r="U239">
        <f>vlookup("852-223000-200",生产发行表!B:AZ,column(t1),0)</f>
        <v>0</v>
      </c>
      <c r="V239">
        <f>vlookup("852-223000-200",生产发行表!B:AZ,column(u1),0)</f>
        <v>0</v>
      </c>
      <c r="W239">
        <f>vlookup("852-223000-200",生产发行表!B:AZ,column(v1),0)</f>
        <v>0</v>
      </c>
      <c r="X239">
        <f>vlookup("852-223000-200",生产发行表!B:AZ,column(w1),0)</f>
        <v>0</v>
      </c>
      <c r="Y239">
        <f>vlookup("852-223000-200",生产发行表!B:AZ,column(x1),0)</f>
        <v>0</v>
      </c>
      <c r="Z239">
        <f>vlookup("852-223000-200",生产发行表!B:AZ,column(y1),0)</f>
        <v>0</v>
      </c>
      <c r="AA239">
        <f>vlookup("852-223000-200",生产发行表!B:AZ,column(z1),0)</f>
        <v>0</v>
      </c>
      <c r="AB239">
        <f>vlookup("852-223000-200",生产发行表!B:AZ,column(aa1),0)</f>
        <v>0</v>
      </c>
      <c r="AC239">
        <f>vlookup("852-223000-200",生产发行表!B:AZ,column(ab1),0)</f>
        <v>0</v>
      </c>
      <c r="AD239">
        <f>vlookup("852-223000-200",生产发行表!B:AZ,column(ac1),0)</f>
        <v>0</v>
      </c>
      <c r="AE239">
        <f>vlookup("852-223000-200",生产发行表!B:AZ,column(ad1),0)</f>
        <v>0</v>
      </c>
      <c r="AF239">
        <f>vlookup("852-223000-200",生产发行表!B:AZ,column(ae1),0)</f>
        <v>0</v>
      </c>
      <c r="AG239">
        <f>vlookup("852-223000-200",生产发行表!B:AZ,column(af1),0)</f>
        <v>0</v>
      </c>
      <c r="AH239">
        <f>vlookup("852-223000-200",生产发行表!B:AZ,column(ag1),0)</f>
        <v>0</v>
      </c>
      <c r="AI239">
        <f>vlookup("852-223000-200",生产发行表!B:AZ,column(ah1),0)</f>
        <v>0</v>
      </c>
      <c r="AJ239">
        <f>vlookup("852-223000-200",生产发行表!B:AZ,column(ai1),0)</f>
        <v>0</v>
      </c>
      <c r="AK239">
        <f>vlookup("852-223000-200",生产发行表!B:AZ,column(aj1),0)</f>
        <v>0</v>
      </c>
      <c r="AL239">
        <f>vlookup("852-223000-200",生产发行表!B:AZ,column(ak1),0)</f>
        <v>0</v>
      </c>
      <c r="AM239">
        <f>vlookup("852-223000-200",生产发行表!B:AZ,column(al1),0)</f>
        <v>0</v>
      </c>
      <c r="AN239">
        <f>vlookup("852-223000-200",生产发行表!B:AZ,column(am1),0)</f>
        <v>0</v>
      </c>
      <c r="AO239">
        <f>vlookup("852-223000-200",生产发行表!B:AZ,column(an1),0)</f>
        <v>0</v>
      </c>
      <c r="AP239">
        <f>vlookup("852-223000-200",生产发行表!B:AZ,column(ao1),0)</f>
        <v>0</v>
      </c>
      <c r="AQ239">
        <f>vlookup("852-223000-200",生产发行表!B:AZ,column(ap1),0)</f>
        <v>0</v>
      </c>
      <c r="AR239">
        <f>vlookup("852-223000-200",生产发行表!B:AZ,column(aq1),0)</f>
        <v>0</v>
      </c>
    </row>
    <row r="240" spans="1:44">
      <c r="A240" t="s">
        <v>31</v>
      </c>
      <c r="B240" t="s">
        <v>321</v>
      </c>
      <c r="C240" t="s">
        <v>323</v>
      </c>
      <c r="E240" t="s">
        <v>453</v>
      </c>
      <c r="F240" t="s">
        <v>323</v>
      </c>
      <c r="K240" t="s">
        <v>499</v>
      </c>
      <c r="L240" t="s">
        <v>37</v>
      </c>
      <c r="M240">
        <f>sumifs(m:m,A:A,"总成",B:B,"852-223000-200")*INDIRECT(ADDRESS(240,5))</f>
        <v>0</v>
      </c>
      <c r="N240">
        <f>sumifs(n:n,A:A,"总成",B:B,"852-223000-200")*INDIRECT(ADDRESS(240,5))</f>
        <v>0</v>
      </c>
      <c r="O240">
        <f>sumifs(o:o,A:A,"总成",B:B,"852-223000-200")*INDIRECT(ADDRESS(240,5))</f>
        <v>0</v>
      </c>
      <c r="P240">
        <f>sumifs(p:p,A:A,"总成",B:B,"852-223000-200")*INDIRECT(ADDRESS(240,5))</f>
        <v>0</v>
      </c>
      <c r="Q240">
        <f>sumifs(q:q,A:A,"总成",B:B,"852-223000-200")*INDIRECT(ADDRESS(240,5))</f>
        <v>0</v>
      </c>
      <c r="R240">
        <f>sumifs(r:r,A:A,"总成",B:B,"852-223000-200")*INDIRECT(ADDRESS(240,5))</f>
        <v>0</v>
      </c>
      <c r="S240">
        <f>sumifs(s:s,A:A,"总成",B:B,"852-223000-200")*INDIRECT(ADDRESS(240,5))</f>
        <v>0</v>
      </c>
      <c r="T240">
        <f>sumifs(t:t,A:A,"总成",B:B,"852-223000-200")*INDIRECT(ADDRESS(240,5))</f>
        <v>0</v>
      </c>
      <c r="U240">
        <f>sumifs(u:u,A:A,"总成",B:B,"852-223000-200")*INDIRECT(ADDRESS(240,5))</f>
        <v>0</v>
      </c>
      <c r="V240">
        <f>sumifs(v:v,A:A,"总成",B:B,"852-223000-200")*INDIRECT(ADDRESS(240,5))</f>
        <v>0</v>
      </c>
      <c r="W240">
        <f>sumifs(w:w,A:A,"总成",B:B,"852-223000-200")*INDIRECT(ADDRESS(240,5))</f>
        <v>0</v>
      </c>
      <c r="X240">
        <f>sumifs(x:x,A:A,"总成",B:B,"852-223000-200")*INDIRECT(ADDRESS(240,5))</f>
        <v>0</v>
      </c>
      <c r="Y240">
        <f>sumifs(y:y,A:A,"总成",B:B,"852-223000-200")*INDIRECT(ADDRESS(240,5))</f>
        <v>0</v>
      </c>
      <c r="Z240">
        <f>sumifs(z:z,A:A,"总成",B:B,"852-223000-200")*INDIRECT(ADDRESS(240,5))</f>
        <v>0</v>
      </c>
      <c r="AA240">
        <f>sumifs(aa:aa,A:A,"总成",B:B,"852-223000-200")*INDIRECT(ADDRESS(240,5))</f>
        <v>0</v>
      </c>
      <c r="AB240">
        <f>sumifs(ab:ab,A:A,"总成",B:B,"852-223000-200")*INDIRECT(ADDRESS(240,5))</f>
        <v>0</v>
      </c>
      <c r="AC240">
        <f>sumifs(ac:ac,A:A,"总成",B:B,"852-223000-200")*INDIRECT(ADDRESS(240,5))</f>
        <v>0</v>
      </c>
      <c r="AD240">
        <f>sumifs(ad:ad,A:A,"总成",B:B,"852-223000-200")*INDIRECT(ADDRESS(240,5))</f>
        <v>0</v>
      </c>
      <c r="AE240">
        <f>sumifs(ae:ae,A:A,"总成",B:B,"852-223000-200")*INDIRECT(ADDRESS(240,5))</f>
        <v>0</v>
      </c>
      <c r="AF240">
        <f>sumifs(af:af,A:A,"总成",B:B,"852-223000-200")*INDIRECT(ADDRESS(240,5))</f>
        <v>0</v>
      </c>
      <c r="AG240">
        <f>sumifs(ag:ag,A:A,"总成",B:B,"852-223000-200")*INDIRECT(ADDRESS(240,5))</f>
        <v>0</v>
      </c>
      <c r="AH240">
        <f>sumifs(ah:ah,A:A,"总成",B:B,"852-223000-200")*INDIRECT(ADDRESS(240,5))</f>
        <v>0</v>
      </c>
      <c r="AI240">
        <f>sumifs(ai:ai,A:A,"总成",B:B,"852-223000-200")*INDIRECT(ADDRESS(240,5))</f>
        <v>0</v>
      </c>
      <c r="AJ240">
        <f>sumifs(aj:aj,A:A,"总成",B:B,"852-223000-200")*INDIRECT(ADDRESS(240,5))</f>
        <v>0</v>
      </c>
      <c r="AK240">
        <f>sumifs(ak:ak,A:A,"总成",B:B,"852-223000-200")*INDIRECT(ADDRESS(240,5))</f>
        <v>0</v>
      </c>
      <c r="AL240">
        <f>sumifs(al:al,A:A,"总成",B:B,"852-223000-200")*INDIRECT(ADDRESS(240,5))</f>
        <v>0</v>
      </c>
      <c r="AM240">
        <f>sumifs(am:am,A:A,"总成",B:B,"852-223000-200")*INDIRECT(ADDRESS(240,5))</f>
        <v>0</v>
      </c>
      <c r="AN240">
        <f>sumifs(an:an,A:A,"总成",B:B,"852-223000-200")*INDIRECT(ADDRESS(240,5))</f>
        <v>0</v>
      </c>
      <c r="AO240">
        <f>sumifs(ao:ao,A:A,"总成",B:B,"852-223000-200")*INDIRECT(ADDRESS(240,5))</f>
        <v>0</v>
      </c>
      <c r="AP240">
        <f>sumifs(ap:ap,A:A,"总成",B:B,"852-223000-200")*INDIRECT(ADDRESS(240,5))</f>
        <v>0</v>
      </c>
      <c r="AQ240">
        <f>sumifs(aq:aq,A:A,"总成",B:B,"852-223000-200")*INDIRECT(ADDRESS(240,5))</f>
        <v>0</v>
      </c>
      <c r="AR240">
        <f>sumifs(ar:ar,A:A,"总成",B:B,"852-223000-200")*INDIRECT(ADDRESS(240,5))</f>
        <v>0</v>
      </c>
    </row>
    <row r="241" spans="1:44">
      <c r="A241" t="s">
        <v>31</v>
      </c>
      <c r="B241" t="s">
        <v>502</v>
      </c>
      <c r="C241" t="s">
        <v>503</v>
      </c>
      <c r="E241" t="s">
        <v>504</v>
      </c>
      <c r="F241" t="s">
        <v>503</v>
      </c>
      <c r="K241" t="s">
        <v>499</v>
      </c>
      <c r="L241" t="s">
        <v>37</v>
      </c>
      <c r="M241">
        <f>sumifs(m:m,A:A,"总成",B:B,"852-223000-200")*INDIRECT(ADDRESS(241,5))</f>
        <v>0</v>
      </c>
      <c r="N241">
        <f>sumifs(n:n,A:A,"总成",B:B,"852-223000-200")*INDIRECT(ADDRESS(241,5))</f>
        <v>0</v>
      </c>
      <c r="O241">
        <f>sumifs(o:o,A:A,"总成",B:B,"852-223000-200")*INDIRECT(ADDRESS(241,5))</f>
        <v>0</v>
      </c>
      <c r="P241">
        <f>sumifs(p:p,A:A,"总成",B:B,"852-223000-200")*INDIRECT(ADDRESS(241,5))</f>
        <v>0</v>
      </c>
      <c r="Q241">
        <f>sumifs(q:q,A:A,"总成",B:B,"852-223000-200")*INDIRECT(ADDRESS(241,5))</f>
        <v>0</v>
      </c>
      <c r="R241">
        <f>sumifs(r:r,A:A,"总成",B:B,"852-223000-200")*INDIRECT(ADDRESS(241,5))</f>
        <v>0</v>
      </c>
      <c r="S241">
        <f>sumifs(s:s,A:A,"总成",B:B,"852-223000-200")*INDIRECT(ADDRESS(241,5))</f>
        <v>0</v>
      </c>
      <c r="T241">
        <f>sumifs(t:t,A:A,"总成",B:B,"852-223000-200")*INDIRECT(ADDRESS(241,5))</f>
        <v>0</v>
      </c>
      <c r="U241">
        <f>sumifs(u:u,A:A,"总成",B:B,"852-223000-200")*INDIRECT(ADDRESS(241,5))</f>
        <v>0</v>
      </c>
      <c r="V241">
        <f>sumifs(v:v,A:A,"总成",B:B,"852-223000-200")*INDIRECT(ADDRESS(241,5))</f>
        <v>0</v>
      </c>
      <c r="W241">
        <f>sumifs(w:w,A:A,"总成",B:B,"852-223000-200")*INDIRECT(ADDRESS(241,5))</f>
        <v>0</v>
      </c>
      <c r="X241">
        <f>sumifs(x:x,A:A,"总成",B:B,"852-223000-200")*INDIRECT(ADDRESS(241,5))</f>
        <v>0</v>
      </c>
      <c r="Y241">
        <f>sumifs(y:y,A:A,"总成",B:B,"852-223000-200")*INDIRECT(ADDRESS(241,5))</f>
        <v>0</v>
      </c>
      <c r="Z241">
        <f>sumifs(z:z,A:A,"总成",B:B,"852-223000-200")*INDIRECT(ADDRESS(241,5))</f>
        <v>0</v>
      </c>
      <c r="AA241">
        <f>sumifs(aa:aa,A:A,"总成",B:B,"852-223000-200")*INDIRECT(ADDRESS(241,5))</f>
        <v>0</v>
      </c>
      <c r="AB241">
        <f>sumifs(ab:ab,A:A,"总成",B:B,"852-223000-200")*INDIRECT(ADDRESS(241,5))</f>
        <v>0</v>
      </c>
      <c r="AC241">
        <f>sumifs(ac:ac,A:A,"总成",B:B,"852-223000-200")*INDIRECT(ADDRESS(241,5))</f>
        <v>0</v>
      </c>
      <c r="AD241">
        <f>sumifs(ad:ad,A:A,"总成",B:B,"852-223000-200")*INDIRECT(ADDRESS(241,5))</f>
        <v>0</v>
      </c>
      <c r="AE241">
        <f>sumifs(ae:ae,A:A,"总成",B:B,"852-223000-200")*INDIRECT(ADDRESS(241,5))</f>
        <v>0</v>
      </c>
      <c r="AF241">
        <f>sumifs(af:af,A:A,"总成",B:B,"852-223000-200")*INDIRECT(ADDRESS(241,5))</f>
        <v>0</v>
      </c>
      <c r="AG241">
        <f>sumifs(ag:ag,A:A,"总成",B:B,"852-223000-200")*INDIRECT(ADDRESS(241,5))</f>
        <v>0</v>
      </c>
      <c r="AH241">
        <f>sumifs(ah:ah,A:A,"总成",B:B,"852-223000-200")*INDIRECT(ADDRESS(241,5))</f>
        <v>0</v>
      </c>
      <c r="AI241">
        <f>sumifs(ai:ai,A:A,"总成",B:B,"852-223000-200")*INDIRECT(ADDRESS(241,5))</f>
        <v>0</v>
      </c>
      <c r="AJ241">
        <f>sumifs(aj:aj,A:A,"总成",B:B,"852-223000-200")*INDIRECT(ADDRESS(241,5))</f>
        <v>0</v>
      </c>
      <c r="AK241">
        <f>sumifs(ak:ak,A:A,"总成",B:B,"852-223000-200")*INDIRECT(ADDRESS(241,5))</f>
        <v>0</v>
      </c>
      <c r="AL241">
        <f>sumifs(al:al,A:A,"总成",B:B,"852-223000-200")*INDIRECT(ADDRESS(241,5))</f>
        <v>0</v>
      </c>
      <c r="AM241">
        <f>sumifs(am:am,A:A,"总成",B:B,"852-223000-200")*INDIRECT(ADDRESS(241,5))</f>
        <v>0</v>
      </c>
      <c r="AN241">
        <f>sumifs(an:an,A:A,"总成",B:B,"852-223000-200")*INDIRECT(ADDRESS(241,5))</f>
        <v>0</v>
      </c>
      <c r="AO241">
        <f>sumifs(ao:ao,A:A,"总成",B:B,"852-223000-200")*INDIRECT(ADDRESS(241,5))</f>
        <v>0</v>
      </c>
      <c r="AP241">
        <f>sumifs(ap:ap,A:A,"总成",B:B,"852-223000-200")*INDIRECT(ADDRESS(241,5))</f>
        <v>0</v>
      </c>
      <c r="AQ241">
        <f>sumifs(aq:aq,A:A,"总成",B:B,"852-223000-200")*INDIRECT(ADDRESS(241,5))</f>
        <v>0</v>
      </c>
      <c r="AR241">
        <f>sumifs(ar:ar,A:A,"总成",B:B,"852-223000-200")*INDIRECT(ADDRESS(241,5))</f>
        <v>0</v>
      </c>
    </row>
    <row r="242" spans="1:44">
      <c r="A242" t="s">
        <v>14</v>
      </c>
      <c r="B242" t="s">
        <v>467</v>
      </c>
      <c r="C242" t="s">
        <v>470</v>
      </c>
      <c r="D242" t="s">
        <v>469</v>
      </c>
      <c r="E242" t="s">
        <v>444</v>
      </c>
      <c r="F242" t="s">
        <v>470</v>
      </c>
      <c r="K242" t="s">
        <v>497</v>
      </c>
      <c r="L242" t="s">
        <v>21</v>
      </c>
      <c r="M242">
        <f>vlookup("852-220000-100",生产发行表!B:AZ,column(l1),0)</f>
        <v>0</v>
      </c>
      <c r="N242">
        <f>vlookup("852-220000-100",生产发行表!B:AZ,column(m1),0)</f>
        <v>0</v>
      </c>
      <c r="O242">
        <f>vlookup("852-220000-100",生产发行表!B:AZ,column(n1),0)</f>
        <v>0</v>
      </c>
      <c r="P242">
        <f>vlookup("852-220000-100",生产发行表!B:AZ,column(o1),0)</f>
        <v>0</v>
      </c>
      <c r="Q242">
        <f>vlookup("852-220000-100",生产发行表!B:AZ,column(p1),0)</f>
        <v>0</v>
      </c>
      <c r="R242">
        <f>vlookup("852-220000-100",生产发行表!B:AZ,column(q1),0)</f>
        <v>0</v>
      </c>
      <c r="S242">
        <f>vlookup("852-220000-100",生产发行表!B:AZ,column(r1),0)</f>
        <v>0</v>
      </c>
      <c r="T242">
        <f>vlookup("852-220000-100",生产发行表!B:AZ,column(s1),0)</f>
        <v>0</v>
      </c>
      <c r="U242">
        <f>vlookup("852-220000-100",生产发行表!B:AZ,column(t1),0)</f>
        <v>0</v>
      </c>
      <c r="V242">
        <f>vlookup("852-220000-100",生产发行表!B:AZ,column(u1),0)</f>
        <v>0</v>
      </c>
      <c r="W242">
        <f>vlookup("852-220000-100",生产发行表!B:AZ,column(v1),0)</f>
        <v>0</v>
      </c>
      <c r="X242">
        <f>vlookup("852-220000-100",生产发行表!B:AZ,column(w1),0)</f>
        <v>0</v>
      </c>
      <c r="Y242">
        <f>vlookup("852-220000-100",生产发行表!B:AZ,column(x1),0)</f>
        <v>0</v>
      </c>
      <c r="Z242">
        <f>vlookup("852-220000-100",生产发行表!B:AZ,column(y1),0)</f>
        <v>0</v>
      </c>
      <c r="AA242">
        <f>vlookup("852-220000-100",生产发行表!B:AZ,column(z1),0)</f>
        <v>0</v>
      </c>
      <c r="AB242">
        <f>vlookup("852-220000-100",生产发行表!B:AZ,column(aa1),0)</f>
        <v>0</v>
      </c>
      <c r="AC242">
        <f>vlookup("852-220000-100",生产发行表!B:AZ,column(ab1),0)</f>
        <v>0</v>
      </c>
      <c r="AD242">
        <f>vlookup("852-220000-100",生产发行表!B:AZ,column(ac1),0)</f>
        <v>0</v>
      </c>
      <c r="AE242">
        <f>vlookup("852-220000-100",生产发行表!B:AZ,column(ad1),0)</f>
        <v>0</v>
      </c>
      <c r="AF242">
        <f>vlookup("852-220000-100",生产发行表!B:AZ,column(ae1),0)</f>
        <v>0</v>
      </c>
      <c r="AG242">
        <f>vlookup("852-220000-100",生产发行表!B:AZ,column(af1),0)</f>
        <v>0</v>
      </c>
      <c r="AH242">
        <f>vlookup("852-220000-100",生产发行表!B:AZ,column(ag1),0)</f>
        <v>0</v>
      </c>
      <c r="AI242">
        <f>vlookup("852-220000-100",生产发行表!B:AZ,column(ah1),0)</f>
        <v>0</v>
      </c>
      <c r="AJ242">
        <f>vlookup("852-220000-100",生产发行表!B:AZ,column(ai1),0)</f>
        <v>0</v>
      </c>
      <c r="AK242">
        <f>vlookup("852-220000-100",生产发行表!B:AZ,column(aj1),0)</f>
        <v>0</v>
      </c>
      <c r="AL242">
        <f>vlookup("852-220000-100",生产发行表!B:AZ,column(ak1),0)</f>
        <v>0</v>
      </c>
      <c r="AM242">
        <f>vlookup("852-220000-100",生产发行表!B:AZ,column(al1),0)</f>
        <v>0</v>
      </c>
      <c r="AN242">
        <f>vlookup("852-220000-100",生产发行表!B:AZ,column(am1),0)</f>
        <v>0</v>
      </c>
      <c r="AO242">
        <f>vlookup("852-220000-100",生产发行表!B:AZ,column(an1),0)</f>
        <v>0</v>
      </c>
      <c r="AP242">
        <f>vlookup("852-220000-100",生产发行表!B:AZ,column(ao1),0)</f>
        <v>0</v>
      </c>
      <c r="AQ242">
        <f>vlookup("852-220000-100",生产发行表!B:AZ,column(ap1),0)</f>
        <v>0</v>
      </c>
      <c r="AR242">
        <f>vlookup("852-220000-100",生产发行表!B:AZ,column(aq1),0)</f>
        <v>0</v>
      </c>
    </row>
    <row r="243" spans="1:44">
      <c r="A243" t="s">
        <v>14</v>
      </c>
      <c r="B243" t="s">
        <v>471</v>
      </c>
      <c r="C243" t="s">
        <v>474</v>
      </c>
      <c r="D243" t="s">
        <v>473</v>
      </c>
      <c r="E243">
        <v>1</v>
      </c>
      <c r="F243" t="s">
        <v>474</v>
      </c>
      <c r="K243" t="s">
        <v>497</v>
      </c>
      <c r="L243" t="s">
        <v>21</v>
      </c>
      <c r="M243">
        <f>vlookup("852-224000-100",生产发行表!B:AZ,column(l1),0)</f>
        <v>0</v>
      </c>
      <c r="N243">
        <f>vlookup("852-224000-100",生产发行表!B:AZ,column(m1),0)</f>
        <v>0</v>
      </c>
      <c r="O243">
        <f>vlookup("852-224000-100",生产发行表!B:AZ,column(n1),0)</f>
        <v>0</v>
      </c>
      <c r="P243">
        <f>vlookup("852-224000-100",生产发行表!B:AZ,column(o1),0)</f>
        <v>0</v>
      </c>
      <c r="Q243">
        <f>vlookup("852-224000-100",生产发行表!B:AZ,column(p1),0)</f>
        <v>0</v>
      </c>
      <c r="R243">
        <f>vlookup("852-224000-100",生产发行表!B:AZ,column(q1),0)</f>
        <v>0</v>
      </c>
      <c r="S243">
        <f>vlookup("852-224000-100",生产发行表!B:AZ,column(r1),0)</f>
        <v>0</v>
      </c>
      <c r="T243">
        <f>vlookup("852-224000-100",生产发行表!B:AZ,column(s1),0)</f>
        <v>0</v>
      </c>
      <c r="U243">
        <f>vlookup("852-224000-100",生产发行表!B:AZ,column(t1),0)</f>
        <v>0</v>
      </c>
      <c r="V243">
        <f>vlookup("852-224000-100",生产发行表!B:AZ,column(u1),0)</f>
        <v>0</v>
      </c>
      <c r="W243">
        <f>vlookup("852-224000-100",生产发行表!B:AZ,column(v1),0)</f>
        <v>0</v>
      </c>
      <c r="X243">
        <f>vlookup("852-224000-100",生产发行表!B:AZ,column(w1),0)</f>
        <v>0</v>
      </c>
      <c r="Y243">
        <f>vlookup("852-224000-100",生产发行表!B:AZ,column(x1),0)</f>
        <v>0</v>
      </c>
      <c r="Z243">
        <f>vlookup("852-224000-100",生产发行表!B:AZ,column(y1),0)</f>
        <v>0</v>
      </c>
      <c r="AA243">
        <f>vlookup("852-224000-100",生产发行表!B:AZ,column(z1),0)</f>
        <v>0</v>
      </c>
      <c r="AB243">
        <f>vlookup("852-224000-100",生产发行表!B:AZ,column(aa1),0)</f>
        <v>0</v>
      </c>
      <c r="AC243">
        <f>vlookup("852-224000-100",生产发行表!B:AZ,column(ab1),0)</f>
        <v>0</v>
      </c>
      <c r="AD243">
        <f>vlookup("852-224000-100",生产发行表!B:AZ,column(ac1),0)</f>
        <v>0</v>
      </c>
      <c r="AE243">
        <f>vlookup("852-224000-100",生产发行表!B:AZ,column(ad1),0)</f>
        <v>0</v>
      </c>
      <c r="AF243">
        <f>vlookup("852-224000-100",生产发行表!B:AZ,column(ae1),0)</f>
        <v>0</v>
      </c>
      <c r="AG243">
        <f>vlookup("852-224000-100",生产发行表!B:AZ,column(af1),0)</f>
        <v>0</v>
      </c>
      <c r="AH243">
        <f>vlookup("852-224000-100",生产发行表!B:AZ,column(ag1),0)</f>
        <v>0</v>
      </c>
      <c r="AI243">
        <f>vlookup("852-224000-100",生产发行表!B:AZ,column(ah1),0)</f>
        <v>0</v>
      </c>
      <c r="AJ243">
        <f>vlookup("852-224000-100",生产发行表!B:AZ,column(ai1),0)</f>
        <v>0</v>
      </c>
      <c r="AK243">
        <f>vlookup("852-224000-100",生产发行表!B:AZ,column(aj1),0)</f>
        <v>0</v>
      </c>
      <c r="AL243">
        <f>vlookup("852-224000-100",生产发行表!B:AZ,column(ak1),0)</f>
        <v>0</v>
      </c>
      <c r="AM243">
        <f>vlookup("852-224000-100",生产发行表!B:AZ,column(al1),0)</f>
        <v>0</v>
      </c>
      <c r="AN243">
        <f>vlookup("852-224000-100",生产发行表!B:AZ,column(am1),0)</f>
        <v>0</v>
      </c>
      <c r="AO243">
        <f>vlookup("852-224000-100",生产发行表!B:AZ,column(an1),0)</f>
        <v>0</v>
      </c>
      <c r="AP243">
        <f>vlookup("852-224000-100",生产发行表!B:AZ,column(ao1),0)</f>
        <v>0</v>
      </c>
      <c r="AQ243">
        <f>vlookup("852-224000-100",生产发行表!B:AZ,column(ap1),0)</f>
        <v>0</v>
      </c>
      <c r="AR243">
        <f>vlookup("852-224000-100",生产发行表!B:AZ,column(aq1),0)</f>
        <v>0</v>
      </c>
    </row>
    <row r="244" spans="1:44">
      <c r="A244" t="s">
        <v>31</v>
      </c>
      <c r="B244" t="s">
        <v>321</v>
      </c>
      <c r="C244" t="s">
        <v>323</v>
      </c>
      <c r="E244" t="s">
        <v>505</v>
      </c>
      <c r="F244" t="s">
        <v>323</v>
      </c>
      <c r="K244" t="s">
        <v>499</v>
      </c>
      <c r="L244" t="s">
        <v>37</v>
      </c>
      <c r="M244">
        <f>sumifs(m:m,A:A,"总成",B:B,"852-224000-100")*INDIRECT(ADDRESS(244,5))</f>
        <v>0</v>
      </c>
      <c r="N244">
        <f>sumifs(n:n,A:A,"总成",B:B,"852-224000-100")*INDIRECT(ADDRESS(244,5))</f>
        <v>0</v>
      </c>
      <c r="O244">
        <f>sumifs(o:o,A:A,"总成",B:B,"852-224000-100")*INDIRECT(ADDRESS(244,5))</f>
        <v>0</v>
      </c>
      <c r="P244">
        <f>sumifs(p:p,A:A,"总成",B:B,"852-224000-100")*INDIRECT(ADDRESS(244,5))</f>
        <v>0</v>
      </c>
      <c r="Q244">
        <f>sumifs(q:q,A:A,"总成",B:B,"852-224000-100")*INDIRECT(ADDRESS(244,5))</f>
        <v>0</v>
      </c>
      <c r="R244">
        <f>sumifs(r:r,A:A,"总成",B:B,"852-224000-100")*INDIRECT(ADDRESS(244,5))</f>
        <v>0</v>
      </c>
      <c r="S244">
        <f>sumifs(s:s,A:A,"总成",B:B,"852-224000-100")*INDIRECT(ADDRESS(244,5))</f>
        <v>0</v>
      </c>
      <c r="T244">
        <f>sumifs(t:t,A:A,"总成",B:B,"852-224000-100")*INDIRECT(ADDRESS(244,5))</f>
        <v>0</v>
      </c>
      <c r="U244">
        <f>sumifs(u:u,A:A,"总成",B:B,"852-224000-100")*INDIRECT(ADDRESS(244,5))</f>
        <v>0</v>
      </c>
      <c r="V244">
        <f>sumifs(v:v,A:A,"总成",B:B,"852-224000-100")*INDIRECT(ADDRESS(244,5))</f>
        <v>0</v>
      </c>
      <c r="W244">
        <f>sumifs(w:w,A:A,"总成",B:B,"852-224000-100")*INDIRECT(ADDRESS(244,5))</f>
        <v>0</v>
      </c>
      <c r="X244">
        <f>sumifs(x:x,A:A,"总成",B:B,"852-224000-100")*INDIRECT(ADDRESS(244,5))</f>
        <v>0</v>
      </c>
      <c r="Y244">
        <f>sumifs(y:y,A:A,"总成",B:B,"852-224000-100")*INDIRECT(ADDRESS(244,5))</f>
        <v>0</v>
      </c>
      <c r="Z244">
        <f>sumifs(z:z,A:A,"总成",B:B,"852-224000-100")*INDIRECT(ADDRESS(244,5))</f>
        <v>0</v>
      </c>
      <c r="AA244">
        <f>sumifs(aa:aa,A:A,"总成",B:B,"852-224000-100")*INDIRECT(ADDRESS(244,5))</f>
        <v>0</v>
      </c>
      <c r="AB244">
        <f>sumifs(ab:ab,A:A,"总成",B:B,"852-224000-100")*INDIRECT(ADDRESS(244,5))</f>
        <v>0</v>
      </c>
      <c r="AC244">
        <f>sumifs(ac:ac,A:A,"总成",B:B,"852-224000-100")*INDIRECT(ADDRESS(244,5))</f>
        <v>0</v>
      </c>
      <c r="AD244">
        <f>sumifs(ad:ad,A:A,"总成",B:B,"852-224000-100")*INDIRECT(ADDRESS(244,5))</f>
        <v>0</v>
      </c>
      <c r="AE244">
        <f>sumifs(ae:ae,A:A,"总成",B:B,"852-224000-100")*INDIRECT(ADDRESS(244,5))</f>
        <v>0</v>
      </c>
      <c r="AF244">
        <f>sumifs(af:af,A:A,"总成",B:B,"852-224000-100")*INDIRECT(ADDRESS(244,5))</f>
        <v>0</v>
      </c>
      <c r="AG244">
        <f>sumifs(ag:ag,A:A,"总成",B:B,"852-224000-100")*INDIRECT(ADDRESS(244,5))</f>
        <v>0</v>
      </c>
      <c r="AH244">
        <f>sumifs(ah:ah,A:A,"总成",B:B,"852-224000-100")*INDIRECT(ADDRESS(244,5))</f>
        <v>0</v>
      </c>
      <c r="AI244">
        <f>sumifs(ai:ai,A:A,"总成",B:B,"852-224000-100")*INDIRECT(ADDRESS(244,5))</f>
        <v>0</v>
      </c>
      <c r="AJ244">
        <f>sumifs(aj:aj,A:A,"总成",B:B,"852-224000-100")*INDIRECT(ADDRESS(244,5))</f>
        <v>0</v>
      </c>
      <c r="AK244">
        <f>sumifs(ak:ak,A:A,"总成",B:B,"852-224000-100")*INDIRECT(ADDRESS(244,5))</f>
        <v>0</v>
      </c>
      <c r="AL244">
        <f>sumifs(al:al,A:A,"总成",B:B,"852-224000-100")*INDIRECT(ADDRESS(244,5))</f>
        <v>0</v>
      </c>
      <c r="AM244">
        <f>sumifs(am:am,A:A,"总成",B:B,"852-224000-100")*INDIRECT(ADDRESS(244,5))</f>
        <v>0</v>
      </c>
      <c r="AN244">
        <f>sumifs(an:an,A:A,"总成",B:B,"852-224000-100")*INDIRECT(ADDRESS(244,5))</f>
        <v>0</v>
      </c>
      <c r="AO244">
        <f>sumifs(ao:ao,A:A,"总成",B:B,"852-224000-100")*INDIRECT(ADDRESS(244,5))</f>
        <v>0</v>
      </c>
      <c r="AP244">
        <f>sumifs(ap:ap,A:A,"总成",B:B,"852-224000-100")*INDIRECT(ADDRESS(244,5))</f>
        <v>0</v>
      </c>
      <c r="AQ244">
        <f>sumifs(aq:aq,A:A,"总成",B:B,"852-224000-100")*INDIRECT(ADDRESS(244,5))</f>
        <v>0</v>
      </c>
      <c r="AR244">
        <f>sumifs(ar:ar,A:A,"总成",B:B,"852-224000-100")*INDIRECT(ADDRESS(244,5))</f>
        <v>0</v>
      </c>
    </row>
    <row r="245" spans="1:44">
      <c r="A245" t="s">
        <v>31</v>
      </c>
      <c r="B245" t="s">
        <v>506</v>
      </c>
      <c r="C245" t="s">
        <v>507</v>
      </c>
      <c r="E245" t="s">
        <v>453</v>
      </c>
      <c r="F245" t="s">
        <v>507</v>
      </c>
      <c r="K245" t="s">
        <v>499</v>
      </c>
      <c r="L245" t="s">
        <v>37</v>
      </c>
      <c r="M245">
        <f>sumifs(m:m,A:A,"总成",B:B,"852-224000-100")*INDIRECT(ADDRESS(245,5))</f>
        <v>0</v>
      </c>
      <c r="N245">
        <f>sumifs(n:n,A:A,"总成",B:B,"852-224000-100")*INDIRECT(ADDRESS(245,5))</f>
        <v>0</v>
      </c>
      <c r="O245">
        <f>sumifs(o:o,A:A,"总成",B:B,"852-224000-100")*INDIRECT(ADDRESS(245,5))</f>
        <v>0</v>
      </c>
      <c r="P245">
        <f>sumifs(p:p,A:A,"总成",B:B,"852-224000-100")*INDIRECT(ADDRESS(245,5))</f>
        <v>0</v>
      </c>
      <c r="Q245">
        <f>sumifs(q:q,A:A,"总成",B:B,"852-224000-100")*INDIRECT(ADDRESS(245,5))</f>
        <v>0</v>
      </c>
      <c r="R245">
        <f>sumifs(r:r,A:A,"总成",B:B,"852-224000-100")*INDIRECT(ADDRESS(245,5))</f>
        <v>0</v>
      </c>
      <c r="S245">
        <f>sumifs(s:s,A:A,"总成",B:B,"852-224000-100")*INDIRECT(ADDRESS(245,5))</f>
        <v>0</v>
      </c>
      <c r="T245">
        <f>sumifs(t:t,A:A,"总成",B:B,"852-224000-100")*INDIRECT(ADDRESS(245,5))</f>
        <v>0</v>
      </c>
      <c r="U245">
        <f>sumifs(u:u,A:A,"总成",B:B,"852-224000-100")*INDIRECT(ADDRESS(245,5))</f>
        <v>0</v>
      </c>
      <c r="V245">
        <f>sumifs(v:v,A:A,"总成",B:B,"852-224000-100")*INDIRECT(ADDRESS(245,5))</f>
        <v>0</v>
      </c>
      <c r="W245">
        <f>sumifs(w:w,A:A,"总成",B:B,"852-224000-100")*INDIRECT(ADDRESS(245,5))</f>
        <v>0</v>
      </c>
      <c r="X245">
        <f>sumifs(x:x,A:A,"总成",B:B,"852-224000-100")*INDIRECT(ADDRESS(245,5))</f>
        <v>0</v>
      </c>
      <c r="Y245">
        <f>sumifs(y:y,A:A,"总成",B:B,"852-224000-100")*INDIRECT(ADDRESS(245,5))</f>
        <v>0</v>
      </c>
      <c r="Z245">
        <f>sumifs(z:z,A:A,"总成",B:B,"852-224000-100")*INDIRECT(ADDRESS(245,5))</f>
        <v>0</v>
      </c>
      <c r="AA245">
        <f>sumifs(aa:aa,A:A,"总成",B:B,"852-224000-100")*INDIRECT(ADDRESS(245,5))</f>
        <v>0</v>
      </c>
      <c r="AB245">
        <f>sumifs(ab:ab,A:A,"总成",B:B,"852-224000-100")*INDIRECT(ADDRESS(245,5))</f>
        <v>0</v>
      </c>
      <c r="AC245">
        <f>sumifs(ac:ac,A:A,"总成",B:B,"852-224000-100")*INDIRECT(ADDRESS(245,5))</f>
        <v>0</v>
      </c>
      <c r="AD245">
        <f>sumifs(ad:ad,A:A,"总成",B:B,"852-224000-100")*INDIRECT(ADDRESS(245,5))</f>
        <v>0</v>
      </c>
      <c r="AE245">
        <f>sumifs(ae:ae,A:A,"总成",B:B,"852-224000-100")*INDIRECT(ADDRESS(245,5))</f>
        <v>0</v>
      </c>
      <c r="AF245">
        <f>sumifs(af:af,A:A,"总成",B:B,"852-224000-100")*INDIRECT(ADDRESS(245,5))</f>
        <v>0</v>
      </c>
      <c r="AG245">
        <f>sumifs(ag:ag,A:A,"总成",B:B,"852-224000-100")*INDIRECT(ADDRESS(245,5))</f>
        <v>0</v>
      </c>
      <c r="AH245">
        <f>sumifs(ah:ah,A:A,"总成",B:B,"852-224000-100")*INDIRECT(ADDRESS(245,5))</f>
        <v>0</v>
      </c>
      <c r="AI245">
        <f>sumifs(ai:ai,A:A,"总成",B:B,"852-224000-100")*INDIRECT(ADDRESS(245,5))</f>
        <v>0</v>
      </c>
      <c r="AJ245">
        <f>sumifs(aj:aj,A:A,"总成",B:B,"852-224000-100")*INDIRECT(ADDRESS(245,5))</f>
        <v>0</v>
      </c>
      <c r="AK245">
        <f>sumifs(ak:ak,A:A,"总成",B:B,"852-224000-100")*INDIRECT(ADDRESS(245,5))</f>
        <v>0</v>
      </c>
      <c r="AL245">
        <f>sumifs(al:al,A:A,"总成",B:B,"852-224000-100")*INDIRECT(ADDRESS(245,5))</f>
        <v>0</v>
      </c>
      <c r="AM245">
        <f>sumifs(am:am,A:A,"总成",B:B,"852-224000-100")*INDIRECT(ADDRESS(245,5))</f>
        <v>0</v>
      </c>
      <c r="AN245">
        <f>sumifs(an:an,A:A,"总成",B:B,"852-224000-100")*INDIRECT(ADDRESS(245,5))</f>
        <v>0</v>
      </c>
      <c r="AO245">
        <f>sumifs(ao:ao,A:A,"总成",B:B,"852-224000-100")*INDIRECT(ADDRESS(245,5))</f>
        <v>0</v>
      </c>
      <c r="AP245">
        <f>sumifs(ap:ap,A:A,"总成",B:B,"852-224000-100")*INDIRECT(ADDRESS(245,5))</f>
        <v>0</v>
      </c>
      <c r="AQ245">
        <f>sumifs(aq:aq,A:A,"总成",B:B,"852-224000-100")*INDIRECT(ADDRESS(245,5))</f>
        <v>0</v>
      </c>
      <c r="AR245">
        <f>sumifs(ar:ar,A:A,"总成",B:B,"852-224000-100")*INDIRECT(ADDRESS(245,5))</f>
        <v>0</v>
      </c>
    </row>
    <row r="246" spans="1:44">
      <c r="A246" t="s">
        <v>31</v>
      </c>
      <c r="B246" t="s">
        <v>500</v>
      </c>
      <c r="C246" t="s">
        <v>501</v>
      </c>
      <c r="E246" t="s">
        <v>498</v>
      </c>
      <c r="F246" t="s">
        <v>501</v>
      </c>
      <c r="K246" t="s">
        <v>499</v>
      </c>
      <c r="L246" t="s">
        <v>37</v>
      </c>
      <c r="M246">
        <f>sumifs(m:m,A:A,"总成",B:B,"852-224000-100")*INDIRECT(ADDRESS(246,5))</f>
        <v>0</v>
      </c>
      <c r="N246">
        <f>sumifs(n:n,A:A,"总成",B:B,"852-224000-100")*INDIRECT(ADDRESS(246,5))</f>
        <v>0</v>
      </c>
      <c r="O246">
        <f>sumifs(o:o,A:A,"总成",B:B,"852-224000-100")*INDIRECT(ADDRESS(246,5))</f>
        <v>0</v>
      </c>
      <c r="P246">
        <f>sumifs(p:p,A:A,"总成",B:B,"852-224000-100")*INDIRECT(ADDRESS(246,5))</f>
        <v>0</v>
      </c>
      <c r="Q246">
        <f>sumifs(q:q,A:A,"总成",B:B,"852-224000-100")*INDIRECT(ADDRESS(246,5))</f>
        <v>0</v>
      </c>
      <c r="R246">
        <f>sumifs(r:r,A:A,"总成",B:B,"852-224000-100")*INDIRECT(ADDRESS(246,5))</f>
        <v>0</v>
      </c>
      <c r="S246">
        <f>sumifs(s:s,A:A,"总成",B:B,"852-224000-100")*INDIRECT(ADDRESS(246,5))</f>
        <v>0</v>
      </c>
      <c r="T246">
        <f>sumifs(t:t,A:A,"总成",B:B,"852-224000-100")*INDIRECT(ADDRESS(246,5))</f>
        <v>0</v>
      </c>
      <c r="U246">
        <f>sumifs(u:u,A:A,"总成",B:B,"852-224000-100")*INDIRECT(ADDRESS(246,5))</f>
        <v>0</v>
      </c>
      <c r="V246">
        <f>sumifs(v:v,A:A,"总成",B:B,"852-224000-100")*INDIRECT(ADDRESS(246,5))</f>
        <v>0</v>
      </c>
      <c r="W246">
        <f>sumifs(w:w,A:A,"总成",B:B,"852-224000-100")*INDIRECT(ADDRESS(246,5))</f>
        <v>0</v>
      </c>
      <c r="X246">
        <f>sumifs(x:x,A:A,"总成",B:B,"852-224000-100")*INDIRECT(ADDRESS(246,5))</f>
        <v>0</v>
      </c>
      <c r="Y246">
        <f>sumifs(y:y,A:A,"总成",B:B,"852-224000-100")*INDIRECT(ADDRESS(246,5))</f>
        <v>0</v>
      </c>
      <c r="Z246">
        <f>sumifs(z:z,A:A,"总成",B:B,"852-224000-100")*INDIRECT(ADDRESS(246,5))</f>
        <v>0</v>
      </c>
      <c r="AA246">
        <f>sumifs(aa:aa,A:A,"总成",B:B,"852-224000-100")*INDIRECT(ADDRESS(246,5))</f>
        <v>0</v>
      </c>
      <c r="AB246">
        <f>sumifs(ab:ab,A:A,"总成",B:B,"852-224000-100")*INDIRECT(ADDRESS(246,5))</f>
        <v>0</v>
      </c>
      <c r="AC246">
        <f>sumifs(ac:ac,A:A,"总成",B:B,"852-224000-100")*INDIRECT(ADDRESS(246,5))</f>
        <v>0</v>
      </c>
      <c r="AD246">
        <f>sumifs(ad:ad,A:A,"总成",B:B,"852-224000-100")*INDIRECT(ADDRESS(246,5))</f>
        <v>0</v>
      </c>
      <c r="AE246">
        <f>sumifs(ae:ae,A:A,"总成",B:B,"852-224000-100")*INDIRECT(ADDRESS(246,5))</f>
        <v>0</v>
      </c>
      <c r="AF246">
        <f>sumifs(af:af,A:A,"总成",B:B,"852-224000-100")*INDIRECT(ADDRESS(246,5))</f>
        <v>0</v>
      </c>
      <c r="AG246">
        <f>sumifs(ag:ag,A:A,"总成",B:B,"852-224000-100")*INDIRECT(ADDRESS(246,5))</f>
        <v>0</v>
      </c>
      <c r="AH246">
        <f>sumifs(ah:ah,A:A,"总成",B:B,"852-224000-100")*INDIRECT(ADDRESS(246,5))</f>
        <v>0</v>
      </c>
      <c r="AI246">
        <f>sumifs(ai:ai,A:A,"总成",B:B,"852-224000-100")*INDIRECT(ADDRESS(246,5))</f>
        <v>0</v>
      </c>
      <c r="AJ246">
        <f>sumifs(aj:aj,A:A,"总成",B:B,"852-224000-100")*INDIRECT(ADDRESS(246,5))</f>
        <v>0</v>
      </c>
      <c r="AK246">
        <f>sumifs(ak:ak,A:A,"总成",B:B,"852-224000-100")*INDIRECT(ADDRESS(246,5))</f>
        <v>0</v>
      </c>
      <c r="AL246">
        <f>sumifs(al:al,A:A,"总成",B:B,"852-224000-100")*INDIRECT(ADDRESS(246,5))</f>
        <v>0</v>
      </c>
      <c r="AM246">
        <f>sumifs(am:am,A:A,"总成",B:B,"852-224000-100")*INDIRECT(ADDRESS(246,5))</f>
        <v>0</v>
      </c>
      <c r="AN246">
        <f>sumifs(an:an,A:A,"总成",B:B,"852-224000-100")*INDIRECT(ADDRESS(246,5))</f>
        <v>0</v>
      </c>
      <c r="AO246">
        <f>sumifs(ao:ao,A:A,"总成",B:B,"852-224000-100")*INDIRECT(ADDRESS(246,5))</f>
        <v>0</v>
      </c>
      <c r="AP246">
        <f>sumifs(ap:ap,A:A,"总成",B:B,"852-224000-100")*INDIRECT(ADDRESS(246,5))</f>
        <v>0</v>
      </c>
      <c r="AQ246">
        <f>sumifs(aq:aq,A:A,"总成",B:B,"852-224000-100")*INDIRECT(ADDRESS(246,5))</f>
        <v>0</v>
      </c>
      <c r="AR246">
        <f>sumifs(ar:ar,A:A,"总成",B:B,"852-224000-100")*INDIRECT(ADDRESS(246,5))</f>
        <v>0</v>
      </c>
    </row>
    <row r="247" spans="1:44">
      <c r="A247" t="s">
        <v>31</v>
      </c>
      <c r="B247" t="s">
        <v>508</v>
      </c>
      <c r="C247" t="s">
        <v>509</v>
      </c>
      <c r="E247" t="s">
        <v>444</v>
      </c>
      <c r="F247" t="s">
        <v>509</v>
      </c>
      <c r="K247" t="s">
        <v>499</v>
      </c>
      <c r="L247" t="s">
        <v>37</v>
      </c>
      <c r="M247">
        <f>sumifs(m:m,A:A,"总成",B:B,"852-224000-100")*INDIRECT(ADDRESS(247,5))</f>
        <v>0</v>
      </c>
      <c r="N247">
        <f>sumifs(n:n,A:A,"总成",B:B,"852-224000-100")*INDIRECT(ADDRESS(247,5))</f>
        <v>0</v>
      </c>
      <c r="O247">
        <f>sumifs(o:o,A:A,"总成",B:B,"852-224000-100")*INDIRECT(ADDRESS(247,5))</f>
        <v>0</v>
      </c>
      <c r="P247">
        <f>sumifs(p:p,A:A,"总成",B:B,"852-224000-100")*INDIRECT(ADDRESS(247,5))</f>
        <v>0</v>
      </c>
      <c r="Q247">
        <f>sumifs(q:q,A:A,"总成",B:B,"852-224000-100")*INDIRECT(ADDRESS(247,5))</f>
        <v>0</v>
      </c>
      <c r="R247">
        <f>sumifs(r:r,A:A,"总成",B:B,"852-224000-100")*INDIRECT(ADDRESS(247,5))</f>
        <v>0</v>
      </c>
      <c r="S247">
        <f>sumifs(s:s,A:A,"总成",B:B,"852-224000-100")*INDIRECT(ADDRESS(247,5))</f>
        <v>0</v>
      </c>
      <c r="T247">
        <f>sumifs(t:t,A:A,"总成",B:B,"852-224000-100")*INDIRECT(ADDRESS(247,5))</f>
        <v>0</v>
      </c>
      <c r="U247">
        <f>sumifs(u:u,A:A,"总成",B:B,"852-224000-100")*INDIRECT(ADDRESS(247,5))</f>
        <v>0</v>
      </c>
      <c r="V247">
        <f>sumifs(v:v,A:A,"总成",B:B,"852-224000-100")*INDIRECT(ADDRESS(247,5))</f>
        <v>0</v>
      </c>
      <c r="W247">
        <f>sumifs(w:w,A:A,"总成",B:B,"852-224000-100")*INDIRECT(ADDRESS(247,5))</f>
        <v>0</v>
      </c>
      <c r="X247">
        <f>sumifs(x:x,A:A,"总成",B:B,"852-224000-100")*INDIRECT(ADDRESS(247,5))</f>
        <v>0</v>
      </c>
      <c r="Y247">
        <f>sumifs(y:y,A:A,"总成",B:B,"852-224000-100")*INDIRECT(ADDRESS(247,5))</f>
        <v>0</v>
      </c>
      <c r="Z247">
        <f>sumifs(z:z,A:A,"总成",B:B,"852-224000-100")*INDIRECT(ADDRESS(247,5))</f>
        <v>0</v>
      </c>
      <c r="AA247">
        <f>sumifs(aa:aa,A:A,"总成",B:B,"852-224000-100")*INDIRECT(ADDRESS(247,5))</f>
        <v>0</v>
      </c>
      <c r="AB247">
        <f>sumifs(ab:ab,A:A,"总成",B:B,"852-224000-100")*INDIRECT(ADDRESS(247,5))</f>
        <v>0</v>
      </c>
      <c r="AC247">
        <f>sumifs(ac:ac,A:A,"总成",B:B,"852-224000-100")*INDIRECT(ADDRESS(247,5))</f>
        <v>0</v>
      </c>
      <c r="AD247">
        <f>sumifs(ad:ad,A:A,"总成",B:B,"852-224000-100")*INDIRECT(ADDRESS(247,5))</f>
        <v>0</v>
      </c>
      <c r="AE247">
        <f>sumifs(ae:ae,A:A,"总成",B:B,"852-224000-100")*INDIRECT(ADDRESS(247,5))</f>
        <v>0</v>
      </c>
      <c r="AF247">
        <f>sumifs(af:af,A:A,"总成",B:B,"852-224000-100")*INDIRECT(ADDRESS(247,5))</f>
        <v>0</v>
      </c>
      <c r="AG247">
        <f>sumifs(ag:ag,A:A,"总成",B:B,"852-224000-100")*INDIRECT(ADDRESS(247,5))</f>
        <v>0</v>
      </c>
      <c r="AH247">
        <f>sumifs(ah:ah,A:A,"总成",B:B,"852-224000-100")*INDIRECT(ADDRESS(247,5))</f>
        <v>0</v>
      </c>
      <c r="AI247">
        <f>sumifs(ai:ai,A:A,"总成",B:B,"852-224000-100")*INDIRECT(ADDRESS(247,5))</f>
        <v>0</v>
      </c>
      <c r="AJ247">
        <f>sumifs(aj:aj,A:A,"总成",B:B,"852-224000-100")*INDIRECT(ADDRESS(247,5))</f>
        <v>0</v>
      </c>
      <c r="AK247">
        <f>sumifs(ak:ak,A:A,"总成",B:B,"852-224000-100")*INDIRECT(ADDRESS(247,5))</f>
        <v>0</v>
      </c>
      <c r="AL247">
        <f>sumifs(al:al,A:A,"总成",B:B,"852-224000-100")*INDIRECT(ADDRESS(247,5))</f>
        <v>0</v>
      </c>
      <c r="AM247">
        <f>sumifs(am:am,A:A,"总成",B:B,"852-224000-100")*INDIRECT(ADDRESS(247,5))</f>
        <v>0</v>
      </c>
      <c r="AN247">
        <f>sumifs(an:an,A:A,"总成",B:B,"852-224000-100")*INDIRECT(ADDRESS(247,5))</f>
        <v>0</v>
      </c>
      <c r="AO247">
        <f>sumifs(ao:ao,A:A,"总成",B:B,"852-224000-100")*INDIRECT(ADDRESS(247,5))</f>
        <v>0</v>
      </c>
      <c r="AP247">
        <f>sumifs(ap:ap,A:A,"总成",B:B,"852-224000-100")*INDIRECT(ADDRESS(247,5))</f>
        <v>0</v>
      </c>
      <c r="AQ247">
        <f>sumifs(aq:aq,A:A,"总成",B:B,"852-224000-100")*INDIRECT(ADDRESS(247,5))</f>
        <v>0</v>
      </c>
      <c r="AR247">
        <f>sumifs(ar:ar,A:A,"总成",B:B,"852-224000-100")*INDIRECT(ADDRESS(247,5))</f>
        <v>0</v>
      </c>
    </row>
    <row r="248" spans="1:44">
      <c r="A248" t="s">
        <v>14</v>
      </c>
      <c r="B248" t="s">
        <v>478</v>
      </c>
      <c r="C248" t="s">
        <v>481</v>
      </c>
      <c r="D248" t="s">
        <v>480</v>
      </c>
      <c r="E248" t="s">
        <v>444</v>
      </c>
      <c r="F248" t="s">
        <v>481</v>
      </c>
      <c r="K248" t="s">
        <v>497</v>
      </c>
      <c r="L248" t="s">
        <v>21</v>
      </c>
      <c r="M248">
        <f>vlookup("852-211000-100",生产发行表!B:AZ,column(l1),0)</f>
        <v>0</v>
      </c>
      <c r="N248">
        <f>vlookup("852-211000-100",生产发行表!B:AZ,column(m1),0)</f>
        <v>0</v>
      </c>
      <c r="O248">
        <f>vlookup("852-211000-100",生产发行表!B:AZ,column(n1),0)</f>
        <v>0</v>
      </c>
      <c r="P248">
        <f>vlookup("852-211000-100",生产发行表!B:AZ,column(o1),0)</f>
        <v>0</v>
      </c>
      <c r="Q248">
        <f>vlookup("852-211000-100",生产发行表!B:AZ,column(p1),0)</f>
        <v>0</v>
      </c>
      <c r="R248">
        <f>vlookup("852-211000-100",生产发行表!B:AZ,column(q1),0)</f>
        <v>0</v>
      </c>
      <c r="S248">
        <f>vlookup("852-211000-100",生产发行表!B:AZ,column(r1),0)</f>
        <v>0</v>
      </c>
      <c r="T248">
        <f>vlookup("852-211000-100",生产发行表!B:AZ,column(s1),0)</f>
        <v>0</v>
      </c>
      <c r="U248">
        <f>vlookup("852-211000-100",生产发行表!B:AZ,column(t1),0)</f>
        <v>0</v>
      </c>
      <c r="V248">
        <f>vlookup("852-211000-100",生产发行表!B:AZ,column(u1),0)</f>
        <v>0</v>
      </c>
      <c r="W248">
        <f>vlookup("852-211000-100",生产发行表!B:AZ,column(v1),0)</f>
        <v>0</v>
      </c>
      <c r="X248">
        <f>vlookup("852-211000-100",生产发行表!B:AZ,column(w1),0)</f>
        <v>0</v>
      </c>
      <c r="Y248">
        <f>vlookup("852-211000-100",生产发行表!B:AZ,column(x1),0)</f>
        <v>0</v>
      </c>
      <c r="Z248">
        <f>vlookup("852-211000-100",生产发行表!B:AZ,column(y1),0)</f>
        <v>0</v>
      </c>
      <c r="AA248">
        <f>vlookup("852-211000-100",生产发行表!B:AZ,column(z1),0)</f>
        <v>0</v>
      </c>
      <c r="AB248">
        <f>vlookup("852-211000-100",生产发行表!B:AZ,column(aa1),0)</f>
        <v>0</v>
      </c>
      <c r="AC248">
        <f>vlookup("852-211000-100",生产发行表!B:AZ,column(ab1),0)</f>
        <v>0</v>
      </c>
      <c r="AD248">
        <f>vlookup("852-211000-100",生产发行表!B:AZ,column(ac1),0)</f>
        <v>0</v>
      </c>
      <c r="AE248">
        <f>vlookup("852-211000-100",生产发行表!B:AZ,column(ad1),0)</f>
        <v>0</v>
      </c>
      <c r="AF248">
        <f>vlookup("852-211000-100",生产发行表!B:AZ,column(ae1),0)</f>
        <v>0</v>
      </c>
      <c r="AG248">
        <f>vlookup("852-211000-100",生产发行表!B:AZ,column(af1),0)</f>
        <v>0</v>
      </c>
      <c r="AH248">
        <f>vlookup("852-211000-100",生产发行表!B:AZ,column(ag1),0)</f>
        <v>0</v>
      </c>
      <c r="AI248">
        <f>vlookup("852-211000-100",生产发行表!B:AZ,column(ah1),0)</f>
        <v>0</v>
      </c>
      <c r="AJ248">
        <f>vlookup("852-211000-100",生产发行表!B:AZ,column(ai1),0)</f>
        <v>0</v>
      </c>
      <c r="AK248">
        <f>vlookup("852-211000-100",生产发行表!B:AZ,column(aj1),0)</f>
        <v>0</v>
      </c>
      <c r="AL248">
        <f>vlookup("852-211000-100",生产发行表!B:AZ,column(ak1),0)</f>
        <v>0</v>
      </c>
      <c r="AM248">
        <f>vlookup("852-211000-100",生产发行表!B:AZ,column(al1),0)</f>
        <v>0</v>
      </c>
      <c r="AN248">
        <f>vlookup("852-211000-100",生产发行表!B:AZ,column(am1),0)</f>
        <v>0</v>
      </c>
      <c r="AO248">
        <f>vlookup("852-211000-100",生产发行表!B:AZ,column(an1),0)</f>
        <v>0</v>
      </c>
      <c r="AP248">
        <f>vlookup("852-211000-100",生产发行表!B:AZ,column(ao1),0)</f>
        <v>0</v>
      </c>
      <c r="AQ248">
        <f>vlookup("852-211000-100",生产发行表!B:AZ,column(ap1),0)</f>
        <v>0</v>
      </c>
      <c r="AR248">
        <f>vlookup("852-211000-100",生产发行表!B:AZ,column(aq1),0)</f>
        <v>0</v>
      </c>
    </row>
    <row r="249" spans="1:44">
      <c r="A249" t="s">
        <v>14</v>
      </c>
      <c r="B249" t="s">
        <v>482</v>
      </c>
      <c r="C249" t="s">
        <v>484</v>
      </c>
      <c r="D249" t="s">
        <v>452</v>
      </c>
      <c r="E249" t="s">
        <v>444</v>
      </c>
      <c r="F249" t="s">
        <v>484</v>
      </c>
      <c r="K249" t="s">
        <v>497</v>
      </c>
      <c r="L249" t="s">
        <v>21</v>
      </c>
      <c r="M249">
        <f>vlookup("852-226000-100",生产发行表!B:AZ,column(l1),0)</f>
        <v>0</v>
      </c>
      <c r="N249">
        <f>vlookup("852-226000-100",生产发行表!B:AZ,column(m1),0)</f>
        <v>0</v>
      </c>
      <c r="O249">
        <f>vlookup("852-226000-100",生产发行表!B:AZ,column(n1),0)</f>
        <v>0</v>
      </c>
      <c r="P249">
        <f>vlookup("852-226000-100",生产发行表!B:AZ,column(o1),0)</f>
        <v>0</v>
      </c>
      <c r="Q249">
        <f>vlookup("852-226000-100",生产发行表!B:AZ,column(p1),0)</f>
        <v>0</v>
      </c>
      <c r="R249">
        <f>vlookup("852-226000-100",生产发行表!B:AZ,column(q1),0)</f>
        <v>0</v>
      </c>
      <c r="S249">
        <f>vlookup("852-226000-100",生产发行表!B:AZ,column(r1),0)</f>
        <v>0</v>
      </c>
      <c r="T249">
        <f>vlookup("852-226000-100",生产发行表!B:AZ,column(s1),0)</f>
        <v>0</v>
      </c>
      <c r="U249">
        <f>vlookup("852-226000-100",生产发行表!B:AZ,column(t1),0)</f>
        <v>0</v>
      </c>
      <c r="V249">
        <f>vlookup("852-226000-100",生产发行表!B:AZ,column(u1),0)</f>
        <v>0</v>
      </c>
      <c r="W249">
        <f>vlookup("852-226000-100",生产发行表!B:AZ,column(v1),0)</f>
        <v>0</v>
      </c>
      <c r="X249">
        <f>vlookup("852-226000-100",生产发行表!B:AZ,column(w1),0)</f>
        <v>0</v>
      </c>
      <c r="Y249">
        <f>vlookup("852-226000-100",生产发行表!B:AZ,column(x1),0)</f>
        <v>0</v>
      </c>
      <c r="Z249">
        <f>vlookup("852-226000-100",生产发行表!B:AZ,column(y1),0)</f>
        <v>0</v>
      </c>
      <c r="AA249">
        <f>vlookup("852-226000-100",生产发行表!B:AZ,column(z1),0)</f>
        <v>0</v>
      </c>
      <c r="AB249">
        <f>vlookup("852-226000-100",生产发行表!B:AZ,column(aa1),0)</f>
        <v>0</v>
      </c>
      <c r="AC249">
        <f>vlookup("852-226000-100",生产发行表!B:AZ,column(ab1),0)</f>
        <v>0</v>
      </c>
      <c r="AD249">
        <f>vlookup("852-226000-100",生产发行表!B:AZ,column(ac1),0)</f>
        <v>0</v>
      </c>
      <c r="AE249">
        <f>vlookup("852-226000-100",生产发行表!B:AZ,column(ad1),0)</f>
        <v>0</v>
      </c>
      <c r="AF249">
        <f>vlookup("852-226000-100",生产发行表!B:AZ,column(ae1),0)</f>
        <v>0</v>
      </c>
      <c r="AG249">
        <f>vlookup("852-226000-100",生产发行表!B:AZ,column(af1),0)</f>
        <v>0</v>
      </c>
      <c r="AH249">
        <f>vlookup("852-226000-100",生产发行表!B:AZ,column(ag1),0)</f>
        <v>0</v>
      </c>
      <c r="AI249">
        <f>vlookup("852-226000-100",生产发行表!B:AZ,column(ah1),0)</f>
        <v>0</v>
      </c>
      <c r="AJ249">
        <f>vlookup("852-226000-100",生产发行表!B:AZ,column(ai1),0)</f>
        <v>0</v>
      </c>
      <c r="AK249">
        <f>vlookup("852-226000-100",生产发行表!B:AZ,column(aj1),0)</f>
        <v>0</v>
      </c>
      <c r="AL249">
        <f>vlookup("852-226000-100",生产发行表!B:AZ,column(ak1),0)</f>
        <v>0</v>
      </c>
      <c r="AM249">
        <f>vlookup("852-226000-100",生产发行表!B:AZ,column(al1),0)</f>
        <v>0</v>
      </c>
      <c r="AN249">
        <f>vlookup("852-226000-100",生产发行表!B:AZ,column(am1),0)</f>
        <v>0</v>
      </c>
      <c r="AO249">
        <f>vlookup("852-226000-100",生产发行表!B:AZ,column(an1),0)</f>
        <v>0</v>
      </c>
      <c r="AP249">
        <f>vlookup("852-226000-100",生产发行表!B:AZ,column(ao1),0)</f>
        <v>0</v>
      </c>
      <c r="AQ249">
        <f>vlookup("852-226000-100",生产发行表!B:AZ,column(ap1),0)</f>
        <v>0</v>
      </c>
      <c r="AR249">
        <f>vlookup("852-226000-100",生产发行表!B:AZ,column(aq1),0)</f>
        <v>0</v>
      </c>
    </row>
    <row r="250" spans="1:44">
      <c r="A250" t="s">
        <v>14</v>
      </c>
      <c r="B250" t="s">
        <v>467</v>
      </c>
      <c r="C250" t="s">
        <v>470</v>
      </c>
      <c r="D250" t="s">
        <v>469</v>
      </c>
      <c r="E250" t="s">
        <v>444</v>
      </c>
      <c r="F250" t="s">
        <v>470</v>
      </c>
      <c r="K250" t="s">
        <v>497</v>
      </c>
      <c r="L250" t="s">
        <v>21</v>
      </c>
      <c r="M250">
        <f>vlookup("852-220000-100",生产发行表!B:AZ,column(l1),0)</f>
        <v>0</v>
      </c>
      <c r="N250">
        <f>vlookup("852-220000-100",生产发行表!B:AZ,column(m1),0)</f>
        <v>0</v>
      </c>
      <c r="O250">
        <f>vlookup("852-220000-100",生产发行表!B:AZ,column(n1),0)</f>
        <v>0</v>
      </c>
      <c r="P250">
        <f>vlookup("852-220000-100",生产发行表!B:AZ,column(o1),0)</f>
        <v>0</v>
      </c>
      <c r="Q250">
        <f>vlookup("852-220000-100",生产发行表!B:AZ,column(p1),0)</f>
        <v>0</v>
      </c>
      <c r="R250">
        <f>vlookup("852-220000-100",生产发行表!B:AZ,column(q1),0)</f>
        <v>0</v>
      </c>
      <c r="S250">
        <f>vlookup("852-220000-100",生产发行表!B:AZ,column(r1),0)</f>
        <v>0</v>
      </c>
      <c r="T250">
        <f>vlookup("852-220000-100",生产发行表!B:AZ,column(s1),0)</f>
        <v>0</v>
      </c>
      <c r="U250">
        <f>vlookup("852-220000-100",生产发行表!B:AZ,column(t1),0)</f>
        <v>0</v>
      </c>
      <c r="V250">
        <f>vlookup("852-220000-100",生产发行表!B:AZ,column(u1),0)</f>
        <v>0</v>
      </c>
      <c r="W250">
        <f>vlookup("852-220000-100",生产发行表!B:AZ,column(v1),0)</f>
        <v>0</v>
      </c>
      <c r="X250">
        <f>vlookup("852-220000-100",生产发行表!B:AZ,column(w1),0)</f>
        <v>0</v>
      </c>
      <c r="Y250">
        <f>vlookup("852-220000-100",生产发行表!B:AZ,column(x1),0)</f>
        <v>0</v>
      </c>
      <c r="Z250">
        <f>vlookup("852-220000-100",生产发行表!B:AZ,column(y1),0)</f>
        <v>0</v>
      </c>
      <c r="AA250">
        <f>vlookup("852-220000-100",生产发行表!B:AZ,column(z1),0)</f>
        <v>0</v>
      </c>
      <c r="AB250">
        <f>vlookup("852-220000-100",生产发行表!B:AZ,column(aa1),0)</f>
        <v>0</v>
      </c>
      <c r="AC250">
        <f>vlookup("852-220000-100",生产发行表!B:AZ,column(ab1),0)</f>
        <v>0</v>
      </c>
      <c r="AD250">
        <f>vlookup("852-220000-100",生产发行表!B:AZ,column(ac1),0)</f>
        <v>0</v>
      </c>
      <c r="AE250">
        <f>vlookup("852-220000-100",生产发行表!B:AZ,column(ad1),0)</f>
        <v>0</v>
      </c>
      <c r="AF250">
        <f>vlookup("852-220000-100",生产发行表!B:AZ,column(ae1),0)</f>
        <v>0</v>
      </c>
      <c r="AG250">
        <f>vlookup("852-220000-100",生产发行表!B:AZ,column(af1),0)</f>
        <v>0</v>
      </c>
      <c r="AH250">
        <f>vlookup("852-220000-100",生产发行表!B:AZ,column(ag1),0)</f>
        <v>0</v>
      </c>
      <c r="AI250">
        <f>vlookup("852-220000-100",生产发行表!B:AZ,column(ah1),0)</f>
        <v>0</v>
      </c>
      <c r="AJ250">
        <f>vlookup("852-220000-100",生产发行表!B:AZ,column(ai1),0)</f>
        <v>0</v>
      </c>
      <c r="AK250">
        <f>vlookup("852-220000-100",生产发行表!B:AZ,column(aj1),0)</f>
        <v>0</v>
      </c>
      <c r="AL250">
        <f>vlookup("852-220000-100",生产发行表!B:AZ,column(ak1),0)</f>
        <v>0</v>
      </c>
      <c r="AM250">
        <f>vlookup("852-220000-100",生产发行表!B:AZ,column(al1),0)</f>
        <v>0</v>
      </c>
      <c r="AN250">
        <f>vlookup("852-220000-100",生产发行表!B:AZ,column(am1),0)</f>
        <v>0</v>
      </c>
      <c r="AO250">
        <f>vlookup("852-220000-100",生产发行表!B:AZ,column(an1),0)</f>
        <v>0</v>
      </c>
      <c r="AP250">
        <f>vlookup("852-220000-100",生产发行表!B:AZ,column(ao1),0)</f>
        <v>0</v>
      </c>
      <c r="AQ250">
        <f>vlookup("852-220000-100",生产发行表!B:AZ,column(ap1),0)</f>
        <v>0</v>
      </c>
      <c r="AR250">
        <f>vlookup("852-220000-100",生产发行表!B:AZ,column(aq1),0)</f>
        <v>0</v>
      </c>
    </row>
    <row r="251" spans="1:44">
      <c r="A251" t="s">
        <v>14</v>
      </c>
      <c r="B251" t="s">
        <v>471</v>
      </c>
      <c r="C251" t="s">
        <v>474</v>
      </c>
      <c r="D251" t="s">
        <v>473</v>
      </c>
      <c r="E251">
        <v>1</v>
      </c>
      <c r="F251" t="s">
        <v>474</v>
      </c>
      <c r="K251" t="s">
        <v>497</v>
      </c>
      <c r="L251" t="s">
        <v>21</v>
      </c>
      <c r="M251">
        <f>vlookup("852-224000-100",生产发行表!B:AZ,column(l1),0)</f>
        <v>0</v>
      </c>
      <c r="N251">
        <f>vlookup("852-224000-100",生产发行表!B:AZ,column(m1),0)</f>
        <v>0</v>
      </c>
      <c r="O251">
        <f>vlookup("852-224000-100",生产发行表!B:AZ,column(n1),0)</f>
        <v>0</v>
      </c>
      <c r="P251">
        <f>vlookup("852-224000-100",生产发行表!B:AZ,column(o1),0)</f>
        <v>0</v>
      </c>
      <c r="Q251">
        <f>vlookup("852-224000-100",生产发行表!B:AZ,column(p1),0)</f>
        <v>0</v>
      </c>
      <c r="R251">
        <f>vlookup("852-224000-100",生产发行表!B:AZ,column(q1),0)</f>
        <v>0</v>
      </c>
      <c r="S251">
        <f>vlookup("852-224000-100",生产发行表!B:AZ,column(r1),0)</f>
        <v>0</v>
      </c>
      <c r="T251">
        <f>vlookup("852-224000-100",生产发行表!B:AZ,column(s1),0)</f>
        <v>0</v>
      </c>
      <c r="U251">
        <f>vlookup("852-224000-100",生产发行表!B:AZ,column(t1),0)</f>
        <v>0</v>
      </c>
      <c r="V251">
        <f>vlookup("852-224000-100",生产发行表!B:AZ,column(u1),0)</f>
        <v>0</v>
      </c>
      <c r="W251">
        <f>vlookup("852-224000-100",生产发行表!B:AZ,column(v1),0)</f>
        <v>0</v>
      </c>
      <c r="X251">
        <f>vlookup("852-224000-100",生产发行表!B:AZ,column(w1),0)</f>
        <v>0</v>
      </c>
      <c r="Y251">
        <f>vlookup("852-224000-100",生产发行表!B:AZ,column(x1),0)</f>
        <v>0</v>
      </c>
      <c r="Z251">
        <f>vlookup("852-224000-100",生产发行表!B:AZ,column(y1),0)</f>
        <v>0</v>
      </c>
      <c r="AA251">
        <f>vlookup("852-224000-100",生产发行表!B:AZ,column(z1),0)</f>
        <v>0</v>
      </c>
      <c r="AB251">
        <f>vlookup("852-224000-100",生产发行表!B:AZ,column(aa1),0)</f>
        <v>0</v>
      </c>
      <c r="AC251">
        <f>vlookup("852-224000-100",生产发行表!B:AZ,column(ab1),0)</f>
        <v>0</v>
      </c>
      <c r="AD251">
        <f>vlookup("852-224000-100",生产发行表!B:AZ,column(ac1),0)</f>
        <v>0</v>
      </c>
      <c r="AE251">
        <f>vlookup("852-224000-100",生产发行表!B:AZ,column(ad1),0)</f>
        <v>0</v>
      </c>
      <c r="AF251">
        <f>vlookup("852-224000-100",生产发行表!B:AZ,column(ae1),0)</f>
        <v>0</v>
      </c>
      <c r="AG251">
        <f>vlookup("852-224000-100",生产发行表!B:AZ,column(af1),0)</f>
        <v>0</v>
      </c>
      <c r="AH251">
        <f>vlookup("852-224000-100",生产发行表!B:AZ,column(ag1),0)</f>
        <v>0</v>
      </c>
      <c r="AI251">
        <f>vlookup("852-224000-100",生产发行表!B:AZ,column(ah1),0)</f>
        <v>0</v>
      </c>
      <c r="AJ251">
        <f>vlookup("852-224000-100",生产发行表!B:AZ,column(ai1),0)</f>
        <v>0</v>
      </c>
      <c r="AK251">
        <f>vlookup("852-224000-100",生产发行表!B:AZ,column(aj1),0)</f>
        <v>0</v>
      </c>
      <c r="AL251">
        <f>vlookup("852-224000-100",生产发行表!B:AZ,column(ak1),0)</f>
        <v>0</v>
      </c>
      <c r="AM251">
        <f>vlookup("852-224000-100",生产发行表!B:AZ,column(al1),0)</f>
        <v>0</v>
      </c>
      <c r="AN251">
        <f>vlookup("852-224000-100",生产发行表!B:AZ,column(am1),0)</f>
        <v>0</v>
      </c>
      <c r="AO251">
        <f>vlookup("852-224000-100",生产发行表!B:AZ,column(an1),0)</f>
        <v>0</v>
      </c>
      <c r="AP251">
        <f>vlookup("852-224000-100",生产发行表!B:AZ,column(ao1),0)</f>
        <v>0</v>
      </c>
      <c r="AQ251">
        <f>vlookup("852-224000-100",生产发行表!B:AZ,column(ap1),0)</f>
        <v>0</v>
      </c>
      <c r="AR251">
        <f>vlookup("852-224000-100",生产发行表!B:AZ,column(aq1),0)</f>
        <v>0</v>
      </c>
    </row>
    <row r="252" spans="1:44">
      <c r="A252" t="s">
        <v>31</v>
      </c>
      <c r="B252" t="s">
        <v>321</v>
      </c>
      <c r="C252" t="s">
        <v>323</v>
      </c>
      <c r="E252" t="s">
        <v>505</v>
      </c>
      <c r="F252" t="s">
        <v>323</v>
      </c>
      <c r="K252" t="s">
        <v>499</v>
      </c>
      <c r="L252" t="s">
        <v>37</v>
      </c>
      <c r="M252">
        <f>sumifs(m:m,A:A,"总成",B:B,"852-224000-100")*INDIRECT(ADDRESS(252,5))</f>
        <v>0</v>
      </c>
      <c r="N252">
        <f>sumifs(n:n,A:A,"总成",B:B,"852-224000-100")*INDIRECT(ADDRESS(252,5))</f>
        <v>0</v>
      </c>
      <c r="O252">
        <f>sumifs(o:o,A:A,"总成",B:B,"852-224000-100")*INDIRECT(ADDRESS(252,5))</f>
        <v>0</v>
      </c>
      <c r="P252">
        <f>sumifs(p:p,A:A,"总成",B:B,"852-224000-100")*INDIRECT(ADDRESS(252,5))</f>
        <v>0</v>
      </c>
      <c r="Q252">
        <f>sumifs(q:q,A:A,"总成",B:B,"852-224000-100")*INDIRECT(ADDRESS(252,5))</f>
        <v>0</v>
      </c>
      <c r="R252">
        <f>sumifs(r:r,A:A,"总成",B:B,"852-224000-100")*INDIRECT(ADDRESS(252,5))</f>
        <v>0</v>
      </c>
      <c r="S252">
        <f>sumifs(s:s,A:A,"总成",B:B,"852-224000-100")*INDIRECT(ADDRESS(252,5))</f>
        <v>0</v>
      </c>
      <c r="T252">
        <f>sumifs(t:t,A:A,"总成",B:B,"852-224000-100")*INDIRECT(ADDRESS(252,5))</f>
        <v>0</v>
      </c>
      <c r="U252">
        <f>sumifs(u:u,A:A,"总成",B:B,"852-224000-100")*INDIRECT(ADDRESS(252,5))</f>
        <v>0</v>
      </c>
      <c r="V252">
        <f>sumifs(v:v,A:A,"总成",B:B,"852-224000-100")*INDIRECT(ADDRESS(252,5))</f>
        <v>0</v>
      </c>
      <c r="W252">
        <f>sumifs(w:w,A:A,"总成",B:B,"852-224000-100")*INDIRECT(ADDRESS(252,5))</f>
        <v>0</v>
      </c>
      <c r="X252">
        <f>sumifs(x:x,A:A,"总成",B:B,"852-224000-100")*INDIRECT(ADDRESS(252,5))</f>
        <v>0</v>
      </c>
      <c r="Y252">
        <f>sumifs(y:y,A:A,"总成",B:B,"852-224000-100")*INDIRECT(ADDRESS(252,5))</f>
        <v>0</v>
      </c>
      <c r="Z252">
        <f>sumifs(z:z,A:A,"总成",B:B,"852-224000-100")*INDIRECT(ADDRESS(252,5))</f>
        <v>0</v>
      </c>
      <c r="AA252">
        <f>sumifs(aa:aa,A:A,"总成",B:B,"852-224000-100")*INDIRECT(ADDRESS(252,5))</f>
        <v>0</v>
      </c>
      <c r="AB252">
        <f>sumifs(ab:ab,A:A,"总成",B:B,"852-224000-100")*INDIRECT(ADDRESS(252,5))</f>
        <v>0</v>
      </c>
      <c r="AC252">
        <f>sumifs(ac:ac,A:A,"总成",B:B,"852-224000-100")*INDIRECT(ADDRESS(252,5))</f>
        <v>0</v>
      </c>
      <c r="AD252">
        <f>sumifs(ad:ad,A:A,"总成",B:B,"852-224000-100")*INDIRECT(ADDRESS(252,5))</f>
        <v>0</v>
      </c>
      <c r="AE252">
        <f>sumifs(ae:ae,A:A,"总成",B:B,"852-224000-100")*INDIRECT(ADDRESS(252,5))</f>
        <v>0</v>
      </c>
      <c r="AF252">
        <f>sumifs(af:af,A:A,"总成",B:B,"852-224000-100")*INDIRECT(ADDRESS(252,5))</f>
        <v>0</v>
      </c>
      <c r="AG252">
        <f>sumifs(ag:ag,A:A,"总成",B:B,"852-224000-100")*INDIRECT(ADDRESS(252,5))</f>
        <v>0</v>
      </c>
      <c r="AH252">
        <f>sumifs(ah:ah,A:A,"总成",B:B,"852-224000-100")*INDIRECT(ADDRESS(252,5))</f>
        <v>0</v>
      </c>
      <c r="AI252">
        <f>sumifs(ai:ai,A:A,"总成",B:B,"852-224000-100")*INDIRECT(ADDRESS(252,5))</f>
        <v>0</v>
      </c>
      <c r="AJ252">
        <f>sumifs(aj:aj,A:A,"总成",B:B,"852-224000-100")*INDIRECT(ADDRESS(252,5))</f>
        <v>0</v>
      </c>
      <c r="AK252">
        <f>sumifs(ak:ak,A:A,"总成",B:B,"852-224000-100")*INDIRECT(ADDRESS(252,5))</f>
        <v>0</v>
      </c>
      <c r="AL252">
        <f>sumifs(al:al,A:A,"总成",B:B,"852-224000-100")*INDIRECT(ADDRESS(252,5))</f>
        <v>0</v>
      </c>
      <c r="AM252">
        <f>sumifs(am:am,A:A,"总成",B:B,"852-224000-100")*INDIRECT(ADDRESS(252,5))</f>
        <v>0</v>
      </c>
      <c r="AN252">
        <f>sumifs(an:an,A:A,"总成",B:B,"852-224000-100")*INDIRECT(ADDRESS(252,5))</f>
        <v>0</v>
      </c>
      <c r="AO252">
        <f>sumifs(ao:ao,A:A,"总成",B:B,"852-224000-100")*INDIRECT(ADDRESS(252,5))</f>
        <v>0</v>
      </c>
      <c r="AP252">
        <f>sumifs(ap:ap,A:A,"总成",B:B,"852-224000-100")*INDIRECT(ADDRESS(252,5))</f>
        <v>0</v>
      </c>
      <c r="AQ252">
        <f>sumifs(aq:aq,A:A,"总成",B:B,"852-224000-100")*INDIRECT(ADDRESS(252,5))</f>
        <v>0</v>
      </c>
      <c r="AR252">
        <f>sumifs(ar:ar,A:A,"总成",B:B,"852-224000-100")*INDIRECT(ADDRESS(252,5))</f>
        <v>0</v>
      </c>
    </row>
    <row r="253" spans="1:44">
      <c r="A253" t="s">
        <v>31</v>
      </c>
      <c r="B253" t="s">
        <v>510</v>
      </c>
      <c r="C253">
        <v>9000007211</v>
      </c>
      <c r="E253" t="s">
        <v>453</v>
      </c>
      <c r="F253">
        <v>9000007211</v>
      </c>
      <c r="K253" t="s">
        <v>499</v>
      </c>
      <c r="L253" t="s">
        <v>37</v>
      </c>
      <c r="M253">
        <f>sumifs(m:m,A:A,"总成",B:B,"852-224000-100")*INDIRECT(ADDRESS(253,5))</f>
        <v>0</v>
      </c>
      <c r="N253">
        <f>sumifs(n:n,A:A,"总成",B:B,"852-224000-100")*INDIRECT(ADDRESS(253,5))</f>
        <v>0</v>
      </c>
      <c r="O253">
        <f>sumifs(o:o,A:A,"总成",B:B,"852-224000-100")*INDIRECT(ADDRESS(253,5))</f>
        <v>0</v>
      </c>
      <c r="P253">
        <f>sumifs(p:p,A:A,"总成",B:B,"852-224000-100")*INDIRECT(ADDRESS(253,5))</f>
        <v>0</v>
      </c>
      <c r="Q253">
        <f>sumifs(q:q,A:A,"总成",B:B,"852-224000-100")*INDIRECT(ADDRESS(253,5))</f>
        <v>0</v>
      </c>
      <c r="R253">
        <f>sumifs(r:r,A:A,"总成",B:B,"852-224000-100")*INDIRECT(ADDRESS(253,5))</f>
        <v>0</v>
      </c>
      <c r="S253">
        <f>sumifs(s:s,A:A,"总成",B:B,"852-224000-100")*INDIRECT(ADDRESS(253,5))</f>
        <v>0</v>
      </c>
      <c r="T253">
        <f>sumifs(t:t,A:A,"总成",B:B,"852-224000-100")*INDIRECT(ADDRESS(253,5))</f>
        <v>0</v>
      </c>
      <c r="U253">
        <f>sumifs(u:u,A:A,"总成",B:B,"852-224000-100")*INDIRECT(ADDRESS(253,5))</f>
        <v>0</v>
      </c>
      <c r="V253">
        <f>sumifs(v:v,A:A,"总成",B:B,"852-224000-100")*INDIRECT(ADDRESS(253,5))</f>
        <v>0</v>
      </c>
      <c r="W253">
        <f>sumifs(w:w,A:A,"总成",B:B,"852-224000-100")*INDIRECT(ADDRESS(253,5))</f>
        <v>0</v>
      </c>
      <c r="X253">
        <f>sumifs(x:x,A:A,"总成",B:B,"852-224000-100")*INDIRECT(ADDRESS(253,5))</f>
        <v>0</v>
      </c>
      <c r="Y253">
        <f>sumifs(y:y,A:A,"总成",B:B,"852-224000-100")*INDIRECT(ADDRESS(253,5))</f>
        <v>0</v>
      </c>
      <c r="Z253">
        <f>sumifs(z:z,A:A,"总成",B:B,"852-224000-100")*INDIRECT(ADDRESS(253,5))</f>
        <v>0</v>
      </c>
      <c r="AA253">
        <f>sumifs(aa:aa,A:A,"总成",B:B,"852-224000-100")*INDIRECT(ADDRESS(253,5))</f>
        <v>0</v>
      </c>
      <c r="AB253">
        <f>sumifs(ab:ab,A:A,"总成",B:B,"852-224000-100")*INDIRECT(ADDRESS(253,5))</f>
        <v>0</v>
      </c>
      <c r="AC253">
        <f>sumifs(ac:ac,A:A,"总成",B:B,"852-224000-100")*INDIRECT(ADDRESS(253,5))</f>
        <v>0</v>
      </c>
      <c r="AD253">
        <f>sumifs(ad:ad,A:A,"总成",B:B,"852-224000-100")*INDIRECT(ADDRESS(253,5))</f>
        <v>0</v>
      </c>
      <c r="AE253">
        <f>sumifs(ae:ae,A:A,"总成",B:B,"852-224000-100")*INDIRECT(ADDRESS(253,5))</f>
        <v>0</v>
      </c>
      <c r="AF253">
        <f>sumifs(af:af,A:A,"总成",B:B,"852-224000-100")*INDIRECT(ADDRESS(253,5))</f>
        <v>0</v>
      </c>
      <c r="AG253">
        <f>sumifs(ag:ag,A:A,"总成",B:B,"852-224000-100")*INDIRECT(ADDRESS(253,5))</f>
        <v>0</v>
      </c>
      <c r="AH253">
        <f>sumifs(ah:ah,A:A,"总成",B:B,"852-224000-100")*INDIRECT(ADDRESS(253,5))</f>
        <v>0</v>
      </c>
      <c r="AI253">
        <f>sumifs(ai:ai,A:A,"总成",B:B,"852-224000-100")*INDIRECT(ADDRESS(253,5))</f>
        <v>0</v>
      </c>
      <c r="AJ253">
        <f>sumifs(aj:aj,A:A,"总成",B:B,"852-224000-100")*INDIRECT(ADDRESS(253,5))</f>
        <v>0</v>
      </c>
      <c r="AK253">
        <f>sumifs(ak:ak,A:A,"总成",B:B,"852-224000-100")*INDIRECT(ADDRESS(253,5))</f>
        <v>0</v>
      </c>
      <c r="AL253">
        <f>sumifs(al:al,A:A,"总成",B:B,"852-224000-100")*INDIRECT(ADDRESS(253,5))</f>
        <v>0</v>
      </c>
      <c r="AM253">
        <f>sumifs(am:am,A:A,"总成",B:B,"852-224000-100")*INDIRECT(ADDRESS(253,5))</f>
        <v>0</v>
      </c>
      <c r="AN253">
        <f>sumifs(an:an,A:A,"总成",B:B,"852-224000-100")*INDIRECT(ADDRESS(253,5))</f>
        <v>0</v>
      </c>
      <c r="AO253">
        <f>sumifs(ao:ao,A:A,"总成",B:B,"852-224000-100")*INDIRECT(ADDRESS(253,5))</f>
        <v>0</v>
      </c>
      <c r="AP253">
        <f>sumifs(ap:ap,A:A,"总成",B:B,"852-224000-100")*INDIRECT(ADDRESS(253,5))</f>
        <v>0</v>
      </c>
      <c r="AQ253">
        <f>sumifs(aq:aq,A:A,"总成",B:B,"852-224000-100")*INDIRECT(ADDRESS(253,5))</f>
        <v>0</v>
      </c>
      <c r="AR253">
        <f>sumifs(ar:ar,A:A,"总成",B:B,"852-224000-100")*INDIRECT(ADDRESS(253,5))</f>
        <v>0</v>
      </c>
    </row>
    <row r="254" spans="1:44">
      <c r="A254" t="s">
        <v>31</v>
      </c>
      <c r="B254" t="s">
        <v>506</v>
      </c>
      <c r="C254" t="s">
        <v>506</v>
      </c>
      <c r="E254" t="s">
        <v>453</v>
      </c>
      <c r="F254" t="s">
        <v>506</v>
      </c>
      <c r="K254" t="s">
        <v>499</v>
      </c>
      <c r="L254" t="s">
        <v>37</v>
      </c>
      <c r="M254">
        <f>sumifs(m:m,A:A,"总成",B:B,"852-224000-100")*INDIRECT(ADDRESS(254,5))</f>
        <v>0</v>
      </c>
      <c r="N254">
        <f>sumifs(n:n,A:A,"总成",B:B,"852-224000-100")*INDIRECT(ADDRESS(254,5))</f>
        <v>0</v>
      </c>
      <c r="O254">
        <f>sumifs(o:o,A:A,"总成",B:B,"852-224000-100")*INDIRECT(ADDRESS(254,5))</f>
        <v>0</v>
      </c>
      <c r="P254">
        <f>sumifs(p:p,A:A,"总成",B:B,"852-224000-100")*INDIRECT(ADDRESS(254,5))</f>
        <v>0</v>
      </c>
      <c r="Q254">
        <f>sumifs(q:q,A:A,"总成",B:B,"852-224000-100")*INDIRECT(ADDRESS(254,5))</f>
        <v>0</v>
      </c>
      <c r="R254">
        <f>sumifs(r:r,A:A,"总成",B:B,"852-224000-100")*INDIRECT(ADDRESS(254,5))</f>
        <v>0</v>
      </c>
      <c r="S254">
        <f>sumifs(s:s,A:A,"总成",B:B,"852-224000-100")*INDIRECT(ADDRESS(254,5))</f>
        <v>0</v>
      </c>
      <c r="T254">
        <f>sumifs(t:t,A:A,"总成",B:B,"852-224000-100")*INDIRECT(ADDRESS(254,5))</f>
        <v>0</v>
      </c>
      <c r="U254">
        <f>sumifs(u:u,A:A,"总成",B:B,"852-224000-100")*INDIRECT(ADDRESS(254,5))</f>
        <v>0</v>
      </c>
      <c r="V254">
        <f>sumifs(v:v,A:A,"总成",B:B,"852-224000-100")*INDIRECT(ADDRESS(254,5))</f>
        <v>0</v>
      </c>
      <c r="W254">
        <f>sumifs(w:w,A:A,"总成",B:B,"852-224000-100")*INDIRECT(ADDRESS(254,5))</f>
        <v>0</v>
      </c>
      <c r="X254">
        <f>sumifs(x:x,A:A,"总成",B:B,"852-224000-100")*INDIRECT(ADDRESS(254,5))</f>
        <v>0</v>
      </c>
      <c r="Y254">
        <f>sumifs(y:y,A:A,"总成",B:B,"852-224000-100")*INDIRECT(ADDRESS(254,5))</f>
        <v>0</v>
      </c>
      <c r="Z254">
        <f>sumifs(z:z,A:A,"总成",B:B,"852-224000-100")*INDIRECT(ADDRESS(254,5))</f>
        <v>0</v>
      </c>
      <c r="AA254">
        <f>sumifs(aa:aa,A:A,"总成",B:B,"852-224000-100")*INDIRECT(ADDRESS(254,5))</f>
        <v>0</v>
      </c>
      <c r="AB254">
        <f>sumifs(ab:ab,A:A,"总成",B:B,"852-224000-100")*INDIRECT(ADDRESS(254,5))</f>
        <v>0</v>
      </c>
      <c r="AC254">
        <f>sumifs(ac:ac,A:A,"总成",B:B,"852-224000-100")*INDIRECT(ADDRESS(254,5))</f>
        <v>0</v>
      </c>
      <c r="AD254">
        <f>sumifs(ad:ad,A:A,"总成",B:B,"852-224000-100")*INDIRECT(ADDRESS(254,5))</f>
        <v>0</v>
      </c>
      <c r="AE254">
        <f>sumifs(ae:ae,A:A,"总成",B:B,"852-224000-100")*INDIRECT(ADDRESS(254,5))</f>
        <v>0</v>
      </c>
      <c r="AF254">
        <f>sumifs(af:af,A:A,"总成",B:B,"852-224000-100")*INDIRECT(ADDRESS(254,5))</f>
        <v>0</v>
      </c>
      <c r="AG254">
        <f>sumifs(ag:ag,A:A,"总成",B:B,"852-224000-100")*INDIRECT(ADDRESS(254,5))</f>
        <v>0</v>
      </c>
      <c r="AH254">
        <f>sumifs(ah:ah,A:A,"总成",B:B,"852-224000-100")*INDIRECT(ADDRESS(254,5))</f>
        <v>0</v>
      </c>
      <c r="AI254">
        <f>sumifs(ai:ai,A:A,"总成",B:B,"852-224000-100")*INDIRECT(ADDRESS(254,5))</f>
        <v>0</v>
      </c>
      <c r="AJ254">
        <f>sumifs(aj:aj,A:A,"总成",B:B,"852-224000-100")*INDIRECT(ADDRESS(254,5))</f>
        <v>0</v>
      </c>
      <c r="AK254">
        <f>sumifs(ak:ak,A:A,"总成",B:B,"852-224000-100")*INDIRECT(ADDRESS(254,5))</f>
        <v>0</v>
      </c>
      <c r="AL254">
        <f>sumifs(al:al,A:A,"总成",B:B,"852-224000-100")*INDIRECT(ADDRESS(254,5))</f>
        <v>0</v>
      </c>
      <c r="AM254">
        <f>sumifs(am:am,A:A,"总成",B:B,"852-224000-100")*INDIRECT(ADDRESS(254,5))</f>
        <v>0</v>
      </c>
      <c r="AN254">
        <f>sumifs(an:an,A:A,"总成",B:B,"852-224000-100")*INDIRECT(ADDRESS(254,5))</f>
        <v>0</v>
      </c>
      <c r="AO254">
        <f>sumifs(ao:ao,A:A,"总成",B:B,"852-224000-100")*INDIRECT(ADDRESS(254,5))</f>
        <v>0</v>
      </c>
      <c r="AP254">
        <f>sumifs(ap:ap,A:A,"总成",B:B,"852-224000-100")*INDIRECT(ADDRESS(254,5))</f>
        <v>0</v>
      </c>
      <c r="AQ254">
        <f>sumifs(aq:aq,A:A,"总成",B:B,"852-224000-100")*INDIRECT(ADDRESS(254,5))</f>
        <v>0</v>
      </c>
      <c r="AR254">
        <f>sumifs(ar:ar,A:A,"总成",B:B,"852-224000-100")*INDIRECT(ADDRESS(254,5))</f>
        <v>0</v>
      </c>
    </row>
    <row r="255" spans="1:44">
      <c r="A255" t="s">
        <v>31</v>
      </c>
      <c r="B255" t="s">
        <v>500</v>
      </c>
      <c r="C255" t="s">
        <v>501</v>
      </c>
      <c r="E255" t="s">
        <v>498</v>
      </c>
      <c r="F255" t="s">
        <v>501</v>
      </c>
      <c r="K255" t="s">
        <v>499</v>
      </c>
      <c r="L255" t="s">
        <v>37</v>
      </c>
      <c r="M255">
        <f>sumifs(m:m,A:A,"总成",B:B,"852-224000-100")*INDIRECT(ADDRESS(255,5))</f>
        <v>0</v>
      </c>
      <c r="N255">
        <f>sumifs(n:n,A:A,"总成",B:B,"852-224000-100")*INDIRECT(ADDRESS(255,5))</f>
        <v>0</v>
      </c>
      <c r="O255">
        <f>sumifs(o:o,A:A,"总成",B:B,"852-224000-100")*INDIRECT(ADDRESS(255,5))</f>
        <v>0</v>
      </c>
      <c r="P255">
        <f>sumifs(p:p,A:A,"总成",B:B,"852-224000-100")*INDIRECT(ADDRESS(255,5))</f>
        <v>0</v>
      </c>
      <c r="Q255">
        <f>sumifs(q:q,A:A,"总成",B:B,"852-224000-100")*INDIRECT(ADDRESS(255,5))</f>
        <v>0</v>
      </c>
      <c r="R255">
        <f>sumifs(r:r,A:A,"总成",B:B,"852-224000-100")*INDIRECT(ADDRESS(255,5))</f>
        <v>0</v>
      </c>
      <c r="S255">
        <f>sumifs(s:s,A:A,"总成",B:B,"852-224000-100")*INDIRECT(ADDRESS(255,5))</f>
        <v>0</v>
      </c>
      <c r="T255">
        <f>sumifs(t:t,A:A,"总成",B:B,"852-224000-100")*INDIRECT(ADDRESS(255,5))</f>
        <v>0</v>
      </c>
      <c r="U255">
        <f>sumifs(u:u,A:A,"总成",B:B,"852-224000-100")*INDIRECT(ADDRESS(255,5))</f>
        <v>0</v>
      </c>
      <c r="V255">
        <f>sumifs(v:v,A:A,"总成",B:B,"852-224000-100")*INDIRECT(ADDRESS(255,5))</f>
        <v>0</v>
      </c>
      <c r="W255">
        <f>sumifs(w:w,A:A,"总成",B:B,"852-224000-100")*INDIRECT(ADDRESS(255,5))</f>
        <v>0</v>
      </c>
      <c r="X255">
        <f>sumifs(x:x,A:A,"总成",B:B,"852-224000-100")*INDIRECT(ADDRESS(255,5))</f>
        <v>0</v>
      </c>
      <c r="Y255">
        <f>sumifs(y:y,A:A,"总成",B:B,"852-224000-100")*INDIRECT(ADDRESS(255,5))</f>
        <v>0</v>
      </c>
      <c r="Z255">
        <f>sumifs(z:z,A:A,"总成",B:B,"852-224000-100")*INDIRECT(ADDRESS(255,5))</f>
        <v>0</v>
      </c>
      <c r="AA255">
        <f>sumifs(aa:aa,A:A,"总成",B:B,"852-224000-100")*INDIRECT(ADDRESS(255,5))</f>
        <v>0</v>
      </c>
      <c r="AB255">
        <f>sumifs(ab:ab,A:A,"总成",B:B,"852-224000-100")*INDIRECT(ADDRESS(255,5))</f>
        <v>0</v>
      </c>
      <c r="AC255">
        <f>sumifs(ac:ac,A:A,"总成",B:B,"852-224000-100")*INDIRECT(ADDRESS(255,5))</f>
        <v>0</v>
      </c>
      <c r="AD255">
        <f>sumifs(ad:ad,A:A,"总成",B:B,"852-224000-100")*INDIRECT(ADDRESS(255,5))</f>
        <v>0</v>
      </c>
      <c r="AE255">
        <f>sumifs(ae:ae,A:A,"总成",B:B,"852-224000-100")*INDIRECT(ADDRESS(255,5))</f>
        <v>0</v>
      </c>
      <c r="AF255">
        <f>sumifs(af:af,A:A,"总成",B:B,"852-224000-100")*INDIRECT(ADDRESS(255,5))</f>
        <v>0</v>
      </c>
      <c r="AG255">
        <f>sumifs(ag:ag,A:A,"总成",B:B,"852-224000-100")*INDIRECT(ADDRESS(255,5))</f>
        <v>0</v>
      </c>
      <c r="AH255">
        <f>sumifs(ah:ah,A:A,"总成",B:B,"852-224000-100")*INDIRECT(ADDRESS(255,5))</f>
        <v>0</v>
      </c>
      <c r="AI255">
        <f>sumifs(ai:ai,A:A,"总成",B:B,"852-224000-100")*INDIRECT(ADDRESS(255,5))</f>
        <v>0</v>
      </c>
      <c r="AJ255">
        <f>sumifs(aj:aj,A:A,"总成",B:B,"852-224000-100")*INDIRECT(ADDRESS(255,5))</f>
        <v>0</v>
      </c>
      <c r="AK255">
        <f>sumifs(ak:ak,A:A,"总成",B:B,"852-224000-100")*INDIRECT(ADDRESS(255,5))</f>
        <v>0</v>
      </c>
      <c r="AL255">
        <f>sumifs(al:al,A:A,"总成",B:B,"852-224000-100")*INDIRECT(ADDRESS(255,5))</f>
        <v>0</v>
      </c>
      <c r="AM255">
        <f>sumifs(am:am,A:A,"总成",B:B,"852-224000-100")*INDIRECT(ADDRESS(255,5))</f>
        <v>0</v>
      </c>
      <c r="AN255">
        <f>sumifs(an:an,A:A,"总成",B:B,"852-224000-100")*INDIRECT(ADDRESS(255,5))</f>
        <v>0</v>
      </c>
      <c r="AO255">
        <f>sumifs(ao:ao,A:A,"总成",B:B,"852-224000-100")*INDIRECT(ADDRESS(255,5))</f>
        <v>0</v>
      </c>
      <c r="AP255">
        <f>sumifs(ap:ap,A:A,"总成",B:B,"852-224000-100")*INDIRECT(ADDRESS(255,5))</f>
        <v>0</v>
      </c>
      <c r="AQ255">
        <f>sumifs(aq:aq,A:A,"总成",B:B,"852-224000-100")*INDIRECT(ADDRESS(255,5))</f>
        <v>0</v>
      </c>
      <c r="AR255">
        <f>sumifs(ar:ar,A:A,"总成",B:B,"852-224000-100")*INDIRECT(ADDRESS(255,5))</f>
        <v>0</v>
      </c>
    </row>
    <row r="256" spans="1:44">
      <c r="A256" t="s">
        <v>31</v>
      </c>
      <c r="B256" t="s">
        <v>508</v>
      </c>
      <c r="C256" t="s">
        <v>509</v>
      </c>
      <c r="E256" t="s">
        <v>444</v>
      </c>
      <c r="F256" t="s">
        <v>509</v>
      </c>
      <c r="K256" t="s">
        <v>499</v>
      </c>
      <c r="L256" t="s">
        <v>37</v>
      </c>
      <c r="M256">
        <f>sumifs(m:m,A:A,"总成",B:B,"852-224000-100")*INDIRECT(ADDRESS(256,5))</f>
        <v>0</v>
      </c>
      <c r="N256">
        <f>sumifs(n:n,A:A,"总成",B:B,"852-224000-100")*INDIRECT(ADDRESS(256,5))</f>
        <v>0</v>
      </c>
      <c r="O256">
        <f>sumifs(o:o,A:A,"总成",B:B,"852-224000-100")*INDIRECT(ADDRESS(256,5))</f>
        <v>0</v>
      </c>
      <c r="P256">
        <f>sumifs(p:p,A:A,"总成",B:B,"852-224000-100")*INDIRECT(ADDRESS(256,5))</f>
        <v>0</v>
      </c>
      <c r="Q256">
        <f>sumifs(q:q,A:A,"总成",B:B,"852-224000-100")*INDIRECT(ADDRESS(256,5))</f>
        <v>0</v>
      </c>
      <c r="R256">
        <f>sumifs(r:r,A:A,"总成",B:B,"852-224000-100")*INDIRECT(ADDRESS(256,5))</f>
        <v>0</v>
      </c>
      <c r="S256">
        <f>sumifs(s:s,A:A,"总成",B:B,"852-224000-100")*INDIRECT(ADDRESS(256,5))</f>
        <v>0</v>
      </c>
      <c r="T256">
        <f>sumifs(t:t,A:A,"总成",B:B,"852-224000-100")*INDIRECT(ADDRESS(256,5))</f>
        <v>0</v>
      </c>
      <c r="U256">
        <f>sumifs(u:u,A:A,"总成",B:B,"852-224000-100")*INDIRECT(ADDRESS(256,5))</f>
        <v>0</v>
      </c>
      <c r="V256">
        <f>sumifs(v:v,A:A,"总成",B:B,"852-224000-100")*INDIRECT(ADDRESS(256,5))</f>
        <v>0</v>
      </c>
      <c r="W256">
        <f>sumifs(w:w,A:A,"总成",B:B,"852-224000-100")*INDIRECT(ADDRESS(256,5))</f>
        <v>0</v>
      </c>
      <c r="X256">
        <f>sumifs(x:x,A:A,"总成",B:B,"852-224000-100")*INDIRECT(ADDRESS(256,5))</f>
        <v>0</v>
      </c>
      <c r="Y256">
        <f>sumifs(y:y,A:A,"总成",B:B,"852-224000-100")*INDIRECT(ADDRESS(256,5))</f>
        <v>0</v>
      </c>
      <c r="Z256">
        <f>sumifs(z:z,A:A,"总成",B:B,"852-224000-100")*INDIRECT(ADDRESS(256,5))</f>
        <v>0</v>
      </c>
      <c r="AA256">
        <f>sumifs(aa:aa,A:A,"总成",B:B,"852-224000-100")*INDIRECT(ADDRESS(256,5))</f>
        <v>0</v>
      </c>
      <c r="AB256">
        <f>sumifs(ab:ab,A:A,"总成",B:B,"852-224000-100")*INDIRECT(ADDRESS(256,5))</f>
        <v>0</v>
      </c>
      <c r="AC256">
        <f>sumifs(ac:ac,A:A,"总成",B:B,"852-224000-100")*INDIRECT(ADDRESS(256,5))</f>
        <v>0</v>
      </c>
      <c r="AD256">
        <f>sumifs(ad:ad,A:A,"总成",B:B,"852-224000-100")*INDIRECT(ADDRESS(256,5))</f>
        <v>0</v>
      </c>
      <c r="AE256">
        <f>sumifs(ae:ae,A:A,"总成",B:B,"852-224000-100")*INDIRECT(ADDRESS(256,5))</f>
        <v>0</v>
      </c>
      <c r="AF256">
        <f>sumifs(af:af,A:A,"总成",B:B,"852-224000-100")*INDIRECT(ADDRESS(256,5))</f>
        <v>0</v>
      </c>
      <c r="AG256">
        <f>sumifs(ag:ag,A:A,"总成",B:B,"852-224000-100")*INDIRECT(ADDRESS(256,5))</f>
        <v>0</v>
      </c>
      <c r="AH256">
        <f>sumifs(ah:ah,A:A,"总成",B:B,"852-224000-100")*INDIRECT(ADDRESS(256,5))</f>
        <v>0</v>
      </c>
      <c r="AI256">
        <f>sumifs(ai:ai,A:A,"总成",B:B,"852-224000-100")*INDIRECT(ADDRESS(256,5))</f>
        <v>0</v>
      </c>
      <c r="AJ256">
        <f>sumifs(aj:aj,A:A,"总成",B:B,"852-224000-100")*INDIRECT(ADDRESS(256,5))</f>
        <v>0</v>
      </c>
      <c r="AK256">
        <f>sumifs(ak:ak,A:A,"总成",B:B,"852-224000-100")*INDIRECT(ADDRESS(256,5))</f>
        <v>0</v>
      </c>
      <c r="AL256">
        <f>sumifs(al:al,A:A,"总成",B:B,"852-224000-100")*INDIRECT(ADDRESS(256,5))</f>
        <v>0</v>
      </c>
      <c r="AM256">
        <f>sumifs(am:am,A:A,"总成",B:B,"852-224000-100")*INDIRECT(ADDRESS(256,5))</f>
        <v>0</v>
      </c>
      <c r="AN256">
        <f>sumifs(an:an,A:A,"总成",B:B,"852-224000-100")*INDIRECT(ADDRESS(256,5))</f>
        <v>0</v>
      </c>
      <c r="AO256">
        <f>sumifs(ao:ao,A:A,"总成",B:B,"852-224000-100")*INDIRECT(ADDRESS(256,5))</f>
        <v>0</v>
      </c>
      <c r="AP256">
        <f>sumifs(ap:ap,A:A,"总成",B:B,"852-224000-100")*INDIRECT(ADDRESS(256,5))</f>
        <v>0</v>
      </c>
      <c r="AQ256">
        <f>sumifs(aq:aq,A:A,"总成",B:B,"852-224000-100")*INDIRECT(ADDRESS(256,5))</f>
        <v>0</v>
      </c>
      <c r="AR256">
        <f>sumifs(ar:ar,A:A,"总成",B:B,"852-224000-100")*INDIRECT(ADDRESS(256,5))</f>
        <v>0</v>
      </c>
    </row>
    <row r="257" spans="1:44">
      <c r="A257" t="s">
        <v>31</v>
      </c>
      <c r="B257" t="s">
        <v>511</v>
      </c>
      <c r="C257" t="s">
        <v>512</v>
      </c>
      <c r="E257" t="s">
        <v>444</v>
      </c>
      <c r="F257" t="s">
        <v>512</v>
      </c>
      <c r="K257" t="s">
        <v>499</v>
      </c>
      <c r="L257" t="s">
        <v>37</v>
      </c>
      <c r="M257">
        <f>sumifs(m:m,A:A,"总成",B:B,"852-224000-100")*INDIRECT(ADDRESS(257,5))</f>
        <v>0</v>
      </c>
      <c r="N257">
        <f>sumifs(n:n,A:A,"总成",B:B,"852-224000-100")*INDIRECT(ADDRESS(257,5))</f>
        <v>0</v>
      </c>
      <c r="O257">
        <f>sumifs(o:o,A:A,"总成",B:B,"852-224000-100")*INDIRECT(ADDRESS(257,5))</f>
        <v>0</v>
      </c>
      <c r="P257">
        <f>sumifs(p:p,A:A,"总成",B:B,"852-224000-100")*INDIRECT(ADDRESS(257,5))</f>
        <v>0</v>
      </c>
      <c r="Q257">
        <f>sumifs(q:q,A:A,"总成",B:B,"852-224000-100")*INDIRECT(ADDRESS(257,5))</f>
        <v>0</v>
      </c>
      <c r="R257">
        <f>sumifs(r:r,A:A,"总成",B:B,"852-224000-100")*INDIRECT(ADDRESS(257,5))</f>
        <v>0</v>
      </c>
      <c r="S257">
        <f>sumifs(s:s,A:A,"总成",B:B,"852-224000-100")*INDIRECT(ADDRESS(257,5))</f>
        <v>0</v>
      </c>
      <c r="T257">
        <f>sumifs(t:t,A:A,"总成",B:B,"852-224000-100")*INDIRECT(ADDRESS(257,5))</f>
        <v>0</v>
      </c>
      <c r="U257">
        <f>sumifs(u:u,A:A,"总成",B:B,"852-224000-100")*INDIRECT(ADDRESS(257,5))</f>
        <v>0</v>
      </c>
      <c r="V257">
        <f>sumifs(v:v,A:A,"总成",B:B,"852-224000-100")*INDIRECT(ADDRESS(257,5))</f>
        <v>0</v>
      </c>
      <c r="W257">
        <f>sumifs(w:w,A:A,"总成",B:B,"852-224000-100")*INDIRECT(ADDRESS(257,5))</f>
        <v>0</v>
      </c>
      <c r="X257">
        <f>sumifs(x:x,A:A,"总成",B:B,"852-224000-100")*INDIRECT(ADDRESS(257,5))</f>
        <v>0</v>
      </c>
      <c r="Y257">
        <f>sumifs(y:y,A:A,"总成",B:B,"852-224000-100")*INDIRECT(ADDRESS(257,5))</f>
        <v>0</v>
      </c>
      <c r="Z257">
        <f>sumifs(z:z,A:A,"总成",B:B,"852-224000-100")*INDIRECT(ADDRESS(257,5))</f>
        <v>0</v>
      </c>
      <c r="AA257">
        <f>sumifs(aa:aa,A:A,"总成",B:B,"852-224000-100")*INDIRECT(ADDRESS(257,5))</f>
        <v>0</v>
      </c>
      <c r="AB257">
        <f>sumifs(ab:ab,A:A,"总成",B:B,"852-224000-100")*INDIRECT(ADDRESS(257,5))</f>
        <v>0</v>
      </c>
      <c r="AC257">
        <f>sumifs(ac:ac,A:A,"总成",B:B,"852-224000-100")*INDIRECT(ADDRESS(257,5))</f>
        <v>0</v>
      </c>
      <c r="AD257">
        <f>sumifs(ad:ad,A:A,"总成",B:B,"852-224000-100")*INDIRECT(ADDRESS(257,5))</f>
        <v>0</v>
      </c>
      <c r="AE257">
        <f>sumifs(ae:ae,A:A,"总成",B:B,"852-224000-100")*INDIRECT(ADDRESS(257,5))</f>
        <v>0</v>
      </c>
      <c r="AF257">
        <f>sumifs(af:af,A:A,"总成",B:B,"852-224000-100")*INDIRECT(ADDRESS(257,5))</f>
        <v>0</v>
      </c>
      <c r="AG257">
        <f>sumifs(ag:ag,A:A,"总成",B:B,"852-224000-100")*INDIRECT(ADDRESS(257,5))</f>
        <v>0</v>
      </c>
      <c r="AH257">
        <f>sumifs(ah:ah,A:A,"总成",B:B,"852-224000-100")*INDIRECT(ADDRESS(257,5))</f>
        <v>0</v>
      </c>
      <c r="AI257">
        <f>sumifs(ai:ai,A:A,"总成",B:B,"852-224000-100")*INDIRECT(ADDRESS(257,5))</f>
        <v>0</v>
      </c>
      <c r="AJ257">
        <f>sumifs(aj:aj,A:A,"总成",B:B,"852-224000-100")*INDIRECT(ADDRESS(257,5))</f>
        <v>0</v>
      </c>
      <c r="AK257">
        <f>sumifs(ak:ak,A:A,"总成",B:B,"852-224000-100")*INDIRECT(ADDRESS(257,5))</f>
        <v>0</v>
      </c>
      <c r="AL257">
        <f>sumifs(al:al,A:A,"总成",B:B,"852-224000-100")*INDIRECT(ADDRESS(257,5))</f>
        <v>0</v>
      </c>
      <c r="AM257">
        <f>sumifs(am:am,A:A,"总成",B:B,"852-224000-100")*INDIRECT(ADDRESS(257,5))</f>
        <v>0</v>
      </c>
      <c r="AN257">
        <f>sumifs(an:an,A:A,"总成",B:B,"852-224000-100")*INDIRECT(ADDRESS(257,5))</f>
        <v>0</v>
      </c>
      <c r="AO257">
        <f>sumifs(ao:ao,A:A,"总成",B:B,"852-224000-100")*INDIRECT(ADDRESS(257,5))</f>
        <v>0</v>
      </c>
      <c r="AP257">
        <f>sumifs(ap:ap,A:A,"总成",B:B,"852-224000-100")*INDIRECT(ADDRESS(257,5))</f>
        <v>0</v>
      </c>
      <c r="AQ257">
        <f>sumifs(aq:aq,A:A,"总成",B:B,"852-224000-100")*INDIRECT(ADDRESS(257,5))</f>
        <v>0</v>
      </c>
      <c r="AR257">
        <f>sumifs(ar:ar,A:A,"总成",B:B,"852-224000-100")*INDIRECT(ADDRESS(257,5))</f>
        <v>0</v>
      </c>
    </row>
    <row r="258" spans="1:44">
      <c r="A258" t="s">
        <v>14</v>
      </c>
      <c r="B258" t="s">
        <v>494</v>
      </c>
      <c r="C258" t="s">
        <v>496</v>
      </c>
      <c r="D258" t="s">
        <v>480</v>
      </c>
      <c r="E258" t="s">
        <v>444</v>
      </c>
      <c r="F258" t="s">
        <v>496</v>
      </c>
      <c r="K258" t="s">
        <v>497</v>
      </c>
      <c r="L258" t="s">
        <v>21</v>
      </c>
      <c r="M258">
        <f>vlookup("852-225000-200",生产发行表!B:AZ,column(l1),0)</f>
        <v>0</v>
      </c>
      <c r="N258">
        <f>vlookup("852-225000-200",生产发行表!B:AZ,column(m1),0)</f>
        <v>0</v>
      </c>
      <c r="O258">
        <f>vlookup("852-225000-200",生产发行表!B:AZ,column(n1),0)</f>
        <v>0</v>
      </c>
      <c r="P258">
        <f>vlookup("852-225000-200",生产发行表!B:AZ,column(o1),0)</f>
        <v>0</v>
      </c>
      <c r="Q258">
        <f>vlookup("852-225000-200",生产发行表!B:AZ,column(p1),0)</f>
        <v>0</v>
      </c>
      <c r="R258">
        <f>vlookup("852-225000-200",生产发行表!B:AZ,column(q1),0)</f>
        <v>0</v>
      </c>
      <c r="S258">
        <f>vlookup("852-225000-200",生产发行表!B:AZ,column(r1),0)</f>
        <v>0</v>
      </c>
      <c r="T258">
        <f>vlookup("852-225000-200",生产发行表!B:AZ,column(s1),0)</f>
        <v>0</v>
      </c>
      <c r="U258">
        <f>vlookup("852-225000-200",生产发行表!B:AZ,column(t1),0)</f>
        <v>0</v>
      </c>
      <c r="V258">
        <f>vlookup("852-225000-200",生产发行表!B:AZ,column(u1),0)</f>
        <v>0</v>
      </c>
      <c r="W258">
        <f>vlookup("852-225000-200",生产发行表!B:AZ,column(v1),0)</f>
        <v>0</v>
      </c>
      <c r="X258">
        <f>vlookup("852-225000-200",生产发行表!B:AZ,column(w1),0)</f>
        <v>0</v>
      </c>
      <c r="Y258">
        <f>vlookup("852-225000-200",生产发行表!B:AZ,column(x1),0)</f>
        <v>0</v>
      </c>
      <c r="Z258">
        <f>vlookup("852-225000-200",生产发行表!B:AZ,column(y1),0)</f>
        <v>0</v>
      </c>
      <c r="AA258">
        <f>vlookup("852-225000-200",生产发行表!B:AZ,column(z1),0)</f>
        <v>0</v>
      </c>
      <c r="AB258">
        <f>vlookup("852-225000-200",生产发行表!B:AZ,column(aa1),0)</f>
        <v>0</v>
      </c>
      <c r="AC258">
        <f>vlookup("852-225000-200",生产发行表!B:AZ,column(ab1),0)</f>
        <v>0</v>
      </c>
      <c r="AD258">
        <f>vlookup("852-225000-200",生产发行表!B:AZ,column(ac1),0)</f>
        <v>0</v>
      </c>
      <c r="AE258">
        <f>vlookup("852-225000-200",生产发行表!B:AZ,column(ad1),0)</f>
        <v>0</v>
      </c>
      <c r="AF258">
        <f>vlookup("852-225000-200",生产发行表!B:AZ,column(ae1),0)</f>
        <v>0</v>
      </c>
      <c r="AG258">
        <f>vlookup("852-225000-200",生产发行表!B:AZ,column(af1),0)</f>
        <v>0</v>
      </c>
      <c r="AH258">
        <f>vlookup("852-225000-200",生产发行表!B:AZ,column(ag1),0)</f>
        <v>0</v>
      </c>
      <c r="AI258">
        <f>vlookup("852-225000-200",生产发行表!B:AZ,column(ah1),0)</f>
        <v>0</v>
      </c>
      <c r="AJ258">
        <f>vlookup("852-225000-200",生产发行表!B:AZ,column(ai1),0)</f>
        <v>0</v>
      </c>
      <c r="AK258">
        <f>vlookup("852-225000-200",生产发行表!B:AZ,column(aj1),0)</f>
        <v>0</v>
      </c>
      <c r="AL258">
        <f>vlookup("852-225000-200",生产发行表!B:AZ,column(ak1),0)</f>
        <v>0</v>
      </c>
      <c r="AM258">
        <f>vlookup("852-225000-200",生产发行表!B:AZ,column(al1),0)</f>
        <v>0</v>
      </c>
      <c r="AN258">
        <f>vlookup("852-225000-200",生产发行表!B:AZ,column(am1),0)</f>
        <v>0</v>
      </c>
      <c r="AO258">
        <f>vlookup("852-225000-200",生产发行表!B:AZ,column(an1),0)</f>
        <v>0</v>
      </c>
      <c r="AP258">
        <f>vlookup("852-225000-200",生产发行表!B:AZ,column(ao1),0)</f>
        <v>0</v>
      </c>
      <c r="AQ258">
        <f>vlookup("852-225000-200",生产发行表!B:AZ,column(ap1),0)</f>
        <v>0</v>
      </c>
      <c r="AR258">
        <f>vlookup("852-225000-200",生产发行表!B:AZ,column(aq1),0)</f>
        <v>0</v>
      </c>
    </row>
    <row r="259" spans="1:44">
      <c r="A259" t="s">
        <v>14</v>
      </c>
      <c r="B259" t="s">
        <v>482</v>
      </c>
      <c r="C259" t="s">
        <v>484</v>
      </c>
      <c r="D259" t="s">
        <v>452</v>
      </c>
      <c r="E259" t="s">
        <v>444</v>
      </c>
      <c r="F259" t="s">
        <v>484</v>
      </c>
      <c r="K259" t="s">
        <v>497</v>
      </c>
      <c r="L259" t="s">
        <v>21</v>
      </c>
      <c r="M259">
        <f>vlookup("852-226000-100",生产发行表!B:AZ,column(l1),0)</f>
        <v>0</v>
      </c>
      <c r="N259">
        <f>vlookup("852-226000-100",生产发行表!B:AZ,column(m1),0)</f>
        <v>0</v>
      </c>
      <c r="O259">
        <f>vlookup("852-226000-100",生产发行表!B:AZ,column(n1),0)</f>
        <v>0</v>
      </c>
      <c r="P259">
        <f>vlookup("852-226000-100",生产发行表!B:AZ,column(o1),0)</f>
        <v>0</v>
      </c>
      <c r="Q259">
        <f>vlookup("852-226000-100",生产发行表!B:AZ,column(p1),0)</f>
        <v>0</v>
      </c>
      <c r="R259">
        <f>vlookup("852-226000-100",生产发行表!B:AZ,column(q1),0)</f>
        <v>0</v>
      </c>
      <c r="S259">
        <f>vlookup("852-226000-100",生产发行表!B:AZ,column(r1),0)</f>
        <v>0</v>
      </c>
      <c r="T259">
        <f>vlookup("852-226000-100",生产发行表!B:AZ,column(s1),0)</f>
        <v>0</v>
      </c>
      <c r="U259">
        <f>vlookup("852-226000-100",生产发行表!B:AZ,column(t1),0)</f>
        <v>0</v>
      </c>
      <c r="V259">
        <f>vlookup("852-226000-100",生产发行表!B:AZ,column(u1),0)</f>
        <v>0</v>
      </c>
      <c r="W259">
        <f>vlookup("852-226000-100",生产发行表!B:AZ,column(v1),0)</f>
        <v>0</v>
      </c>
      <c r="X259">
        <f>vlookup("852-226000-100",生产发行表!B:AZ,column(w1),0)</f>
        <v>0</v>
      </c>
      <c r="Y259">
        <f>vlookup("852-226000-100",生产发行表!B:AZ,column(x1),0)</f>
        <v>0</v>
      </c>
      <c r="Z259">
        <f>vlookup("852-226000-100",生产发行表!B:AZ,column(y1),0)</f>
        <v>0</v>
      </c>
      <c r="AA259">
        <f>vlookup("852-226000-100",生产发行表!B:AZ,column(z1),0)</f>
        <v>0</v>
      </c>
      <c r="AB259">
        <f>vlookup("852-226000-100",生产发行表!B:AZ,column(aa1),0)</f>
        <v>0</v>
      </c>
      <c r="AC259">
        <f>vlookup("852-226000-100",生产发行表!B:AZ,column(ab1),0)</f>
        <v>0</v>
      </c>
      <c r="AD259">
        <f>vlookup("852-226000-100",生产发行表!B:AZ,column(ac1),0)</f>
        <v>0</v>
      </c>
      <c r="AE259">
        <f>vlookup("852-226000-100",生产发行表!B:AZ,column(ad1),0)</f>
        <v>0</v>
      </c>
      <c r="AF259">
        <f>vlookup("852-226000-100",生产发行表!B:AZ,column(ae1),0)</f>
        <v>0</v>
      </c>
      <c r="AG259">
        <f>vlookup("852-226000-100",生产发行表!B:AZ,column(af1),0)</f>
        <v>0</v>
      </c>
      <c r="AH259">
        <f>vlookup("852-226000-100",生产发行表!B:AZ,column(ag1),0)</f>
        <v>0</v>
      </c>
      <c r="AI259">
        <f>vlookup("852-226000-100",生产发行表!B:AZ,column(ah1),0)</f>
        <v>0</v>
      </c>
      <c r="AJ259">
        <f>vlookup("852-226000-100",生产发行表!B:AZ,column(ai1),0)</f>
        <v>0</v>
      </c>
      <c r="AK259">
        <f>vlookup("852-226000-100",生产发行表!B:AZ,column(aj1),0)</f>
        <v>0</v>
      </c>
      <c r="AL259">
        <f>vlookup("852-226000-100",生产发行表!B:AZ,column(ak1),0)</f>
        <v>0</v>
      </c>
      <c r="AM259">
        <f>vlookup("852-226000-100",生产发行表!B:AZ,column(al1),0)</f>
        <v>0</v>
      </c>
      <c r="AN259">
        <f>vlookup("852-226000-100",生产发行表!B:AZ,column(am1),0)</f>
        <v>0</v>
      </c>
      <c r="AO259">
        <f>vlookup("852-226000-100",生产发行表!B:AZ,column(an1),0)</f>
        <v>0</v>
      </c>
      <c r="AP259">
        <f>vlookup("852-226000-100",生产发行表!B:AZ,column(ao1),0)</f>
        <v>0</v>
      </c>
      <c r="AQ259">
        <f>vlookup("852-226000-100",生产发行表!B:AZ,column(ap1),0)</f>
        <v>0</v>
      </c>
      <c r="AR259">
        <f>vlookup("852-226000-100",生产发行表!B:AZ,column(aq1),0)</f>
        <v>0</v>
      </c>
    </row>
    <row r="260" spans="1:44">
      <c r="A260" t="s">
        <v>14</v>
      </c>
      <c r="B260" t="s">
        <v>513</v>
      </c>
      <c r="C260" t="s">
        <v>514</v>
      </c>
      <c r="E260">
        <v>1</v>
      </c>
      <c r="F260" t="s">
        <v>515</v>
      </c>
      <c r="K260" t="s">
        <v>516</v>
      </c>
      <c r="L260" t="s">
        <v>21</v>
      </c>
      <c r="M260">
        <f>vlookup("952-180000-100",生产发行表!B:AZ,column(l1),0)</f>
        <v>0</v>
      </c>
      <c r="N260">
        <f>vlookup("952-180000-100",生产发行表!B:AZ,column(m1),0)</f>
        <v>0</v>
      </c>
      <c r="O260">
        <f>vlookup("952-180000-100",生产发行表!B:AZ,column(n1),0)</f>
        <v>0</v>
      </c>
      <c r="P260">
        <f>vlookup("952-180000-100",生产发行表!B:AZ,column(o1),0)</f>
        <v>0</v>
      </c>
      <c r="Q260">
        <f>vlookup("952-180000-100",生产发行表!B:AZ,column(p1),0)</f>
        <v>0</v>
      </c>
      <c r="R260">
        <f>vlookup("952-180000-100",生产发行表!B:AZ,column(q1),0)</f>
        <v>0</v>
      </c>
      <c r="S260">
        <f>vlookup("952-180000-100",生产发行表!B:AZ,column(r1),0)</f>
        <v>0</v>
      </c>
      <c r="T260">
        <f>vlookup("952-180000-100",生产发行表!B:AZ,column(s1),0)</f>
        <v>0</v>
      </c>
      <c r="U260">
        <f>vlookup("952-180000-100",生产发行表!B:AZ,column(t1),0)</f>
        <v>0</v>
      </c>
      <c r="V260">
        <f>vlookup("952-180000-100",生产发行表!B:AZ,column(u1),0)</f>
        <v>0</v>
      </c>
      <c r="W260">
        <f>vlookup("952-180000-100",生产发行表!B:AZ,column(v1),0)</f>
        <v>0</v>
      </c>
      <c r="X260">
        <f>vlookup("952-180000-100",生产发行表!B:AZ,column(w1),0)</f>
        <v>0</v>
      </c>
      <c r="Y260">
        <f>vlookup("952-180000-100",生产发行表!B:AZ,column(x1),0)</f>
        <v>0</v>
      </c>
      <c r="Z260">
        <f>vlookup("952-180000-100",生产发行表!B:AZ,column(y1),0)</f>
        <v>0</v>
      </c>
      <c r="AA260">
        <f>vlookup("952-180000-100",生产发行表!B:AZ,column(z1),0)</f>
        <v>0</v>
      </c>
      <c r="AB260">
        <f>vlookup("952-180000-100",生产发行表!B:AZ,column(aa1),0)</f>
        <v>0</v>
      </c>
      <c r="AC260">
        <f>vlookup("952-180000-100",生产发行表!B:AZ,column(ab1),0)</f>
        <v>0</v>
      </c>
      <c r="AD260">
        <f>vlookup("952-180000-100",生产发行表!B:AZ,column(ac1),0)</f>
        <v>0</v>
      </c>
      <c r="AE260">
        <f>vlookup("952-180000-100",生产发行表!B:AZ,column(ad1),0)</f>
        <v>0</v>
      </c>
      <c r="AF260">
        <f>vlookup("952-180000-100",生产发行表!B:AZ,column(ae1),0)</f>
        <v>0</v>
      </c>
      <c r="AG260">
        <f>vlookup("952-180000-100",生产发行表!B:AZ,column(af1),0)</f>
        <v>0</v>
      </c>
      <c r="AH260">
        <f>vlookup("952-180000-100",生产发行表!B:AZ,column(ag1),0)</f>
        <v>0</v>
      </c>
      <c r="AI260">
        <f>vlookup("952-180000-100",生产发行表!B:AZ,column(ah1),0)</f>
        <v>0</v>
      </c>
      <c r="AJ260">
        <f>vlookup("952-180000-100",生产发行表!B:AZ,column(ai1),0)</f>
        <v>0</v>
      </c>
      <c r="AK260">
        <f>vlookup("952-180000-100",生产发行表!B:AZ,column(aj1),0)</f>
        <v>0</v>
      </c>
      <c r="AL260">
        <f>vlookup("952-180000-100",生产发行表!B:AZ,column(ak1),0)</f>
        <v>0</v>
      </c>
      <c r="AM260">
        <f>vlookup("952-180000-100",生产发行表!B:AZ,column(al1),0)</f>
        <v>0</v>
      </c>
      <c r="AN260">
        <f>vlookup("952-180000-100",生产发行表!B:AZ,column(am1),0)</f>
        <v>0</v>
      </c>
      <c r="AO260">
        <f>vlookup("952-180000-100",生产发行表!B:AZ,column(an1),0)</f>
        <v>0</v>
      </c>
      <c r="AP260">
        <f>vlookup("952-180000-100",生产发行表!B:AZ,column(ao1),0)</f>
        <v>0</v>
      </c>
      <c r="AQ260">
        <f>vlookup("952-180000-100",生产发行表!B:AZ,column(ap1),0)</f>
        <v>0</v>
      </c>
      <c r="AR260">
        <f>vlookup("952-180000-100",生产发行表!B:AZ,column(aq1),0)</f>
        <v>0</v>
      </c>
    </row>
    <row r="261" spans="1:44">
      <c r="A261" t="s">
        <v>31</v>
      </c>
      <c r="B261" t="s">
        <v>517</v>
      </c>
      <c r="C261" t="s">
        <v>518</v>
      </c>
      <c r="E261">
        <v>1</v>
      </c>
      <c r="F261" t="s">
        <v>519</v>
      </c>
      <c r="K261" t="s">
        <v>516</v>
      </c>
      <c r="L261" t="s">
        <v>37</v>
      </c>
      <c r="M261">
        <f>sumifs(m:m,A:A,"总成",B:B,"952-180000-100")*INDIRECT(ADDRESS(261,5))</f>
        <v>0</v>
      </c>
      <c r="N261">
        <f>sumifs(n:n,A:A,"总成",B:B,"952-180000-100")*INDIRECT(ADDRESS(261,5))</f>
        <v>0</v>
      </c>
      <c r="O261">
        <f>sumifs(o:o,A:A,"总成",B:B,"952-180000-100")*INDIRECT(ADDRESS(261,5))</f>
        <v>0</v>
      </c>
      <c r="P261">
        <f>sumifs(p:p,A:A,"总成",B:B,"952-180000-100")*INDIRECT(ADDRESS(261,5))</f>
        <v>0</v>
      </c>
      <c r="Q261">
        <f>sumifs(q:q,A:A,"总成",B:B,"952-180000-100")*INDIRECT(ADDRESS(261,5))</f>
        <v>0</v>
      </c>
      <c r="R261">
        <f>sumifs(r:r,A:A,"总成",B:B,"952-180000-100")*INDIRECT(ADDRESS(261,5))</f>
        <v>0</v>
      </c>
      <c r="S261">
        <f>sumifs(s:s,A:A,"总成",B:B,"952-180000-100")*INDIRECT(ADDRESS(261,5))</f>
        <v>0</v>
      </c>
      <c r="T261">
        <f>sumifs(t:t,A:A,"总成",B:B,"952-180000-100")*INDIRECT(ADDRESS(261,5))</f>
        <v>0</v>
      </c>
      <c r="U261">
        <f>sumifs(u:u,A:A,"总成",B:B,"952-180000-100")*INDIRECT(ADDRESS(261,5))</f>
        <v>0</v>
      </c>
      <c r="V261">
        <f>sumifs(v:v,A:A,"总成",B:B,"952-180000-100")*INDIRECT(ADDRESS(261,5))</f>
        <v>0</v>
      </c>
      <c r="W261">
        <f>sumifs(w:w,A:A,"总成",B:B,"952-180000-100")*INDIRECT(ADDRESS(261,5))</f>
        <v>0</v>
      </c>
      <c r="X261">
        <f>sumifs(x:x,A:A,"总成",B:B,"952-180000-100")*INDIRECT(ADDRESS(261,5))</f>
        <v>0</v>
      </c>
      <c r="Y261">
        <f>sumifs(y:y,A:A,"总成",B:B,"952-180000-100")*INDIRECT(ADDRESS(261,5))</f>
        <v>0</v>
      </c>
      <c r="Z261">
        <f>sumifs(z:z,A:A,"总成",B:B,"952-180000-100")*INDIRECT(ADDRESS(261,5))</f>
        <v>0</v>
      </c>
      <c r="AA261">
        <f>sumifs(aa:aa,A:A,"总成",B:B,"952-180000-100")*INDIRECT(ADDRESS(261,5))</f>
        <v>0</v>
      </c>
      <c r="AB261">
        <f>sumifs(ab:ab,A:A,"总成",B:B,"952-180000-100")*INDIRECT(ADDRESS(261,5))</f>
        <v>0</v>
      </c>
      <c r="AC261">
        <f>sumifs(ac:ac,A:A,"总成",B:B,"952-180000-100")*INDIRECT(ADDRESS(261,5))</f>
        <v>0</v>
      </c>
      <c r="AD261">
        <f>sumifs(ad:ad,A:A,"总成",B:B,"952-180000-100")*INDIRECT(ADDRESS(261,5))</f>
        <v>0</v>
      </c>
      <c r="AE261">
        <f>sumifs(ae:ae,A:A,"总成",B:B,"952-180000-100")*INDIRECT(ADDRESS(261,5))</f>
        <v>0</v>
      </c>
      <c r="AF261">
        <f>sumifs(af:af,A:A,"总成",B:B,"952-180000-100")*INDIRECT(ADDRESS(261,5))</f>
        <v>0</v>
      </c>
      <c r="AG261">
        <f>sumifs(ag:ag,A:A,"总成",B:B,"952-180000-100")*INDIRECT(ADDRESS(261,5))</f>
        <v>0</v>
      </c>
      <c r="AH261">
        <f>sumifs(ah:ah,A:A,"总成",B:B,"952-180000-100")*INDIRECT(ADDRESS(261,5))</f>
        <v>0</v>
      </c>
      <c r="AI261">
        <f>sumifs(ai:ai,A:A,"总成",B:B,"952-180000-100")*INDIRECT(ADDRESS(261,5))</f>
        <v>0</v>
      </c>
      <c r="AJ261">
        <f>sumifs(aj:aj,A:A,"总成",B:B,"952-180000-100")*INDIRECT(ADDRESS(261,5))</f>
        <v>0</v>
      </c>
      <c r="AK261">
        <f>sumifs(ak:ak,A:A,"总成",B:B,"952-180000-100")*INDIRECT(ADDRESS(261,5))</f>
        <v>0</v>
      </c>
      <c r="AL261">
        <f>sumifs(al:al,A:A,"总成",B:B,"952-180000-100")*INDIRECT(ADDRESS(261,5))</f>
        <v>0</v>
      </c>
      <c r="AM261">
        <f>sumifs(am:am,A:A,"总成",B:B,"952-180000-100")*INDIRECT(ADDRESS(261,5))</f>
        <v>0</v>
      </c>
      <c r="AN261">
        <f>sumifs(an:an,A:A,"总成",B:B,"952-180000-100")*INDIRECT(ADDRESS(261,5))</f>
        <v>0</v>
      </c>
      <c r="AO261">
        <f>sumifs(ao:ao,A:A,"总成",B:B,"952-180000-100")*INDIRECT(ADDRESS(261,5))</f>
        <v>0</v>
      </c>
      <c r="AP261">
        <f>sumifs(ap:ap,A:A,"总成",B:B,"952-180000-100")*INDIRECT(ADDRESS(261,5))</f>
        <v>0</v>
      </c>
      <c r="AQ261">
        <f>sumifs(aq:aq,A:A,"总成",B:B,"952-180000-100")*INDIRECT(ADDRESS(261,5))</f>
        <v>0</v>
      </c>
      <c r="AR261">
        <f>sumifs(ar:ar,A:A,"总成",B:B,"952-180000-100")*INDIRECT(ADDRESS(261,5))</f>
        <v>0</v>
      </c>
    </row>
    <row r="262" spans="1:44">
      <c r="A262" t="s">
        <v>31</v>
      </c>
      <c r="B262" t="s">
        <v>520</v>
      </c>
      <c r="C262" t="s">
        <v>521</v>
      </c>
      <c r="F262" t="s">
        <v>522</v>
      </c>
      <c r="K262" t="s">
        <v>516</v>
      </c>
      <c r="L262" t="s">
        <v>37</v>
      </c>
      <c r="M262">
        <f>sumifs(m:m,A:A,"总成",B:B,"952-180000-100")*INDIRECT(ADDRESS(262,5))</f>
        <v>0</v>
      </c>
      <c r="N262">
        <f>sumifs(n:n,A:A,"总成",B:B,"952-180000-100")*INDIRECT(ADDRESS(262,5))</f>
        <v>0</v>
      </c>
      <c r="O262">
        <f>sumifs(o:o,A:A,"总成",B:B,"952-180000-100")*INDIRECT(ADDRESS(262,5))</f>
        <v>0</v>
      </c>
      <c r="P262">
        <f>sumifs(p:p,A:A,"总成",B:B,"952-180000-100")*INDIRECT(ADDRESS(262,5))</f>
        <v>0</v>
      </c>
      <c r="Q262">
        <f>sumifs(q:q,A:A,"总成",B:B,"952-180000-100")*INDIRECT(ADDRESS(262,5))</f>
        <v>0</v>
      </c>
      <c r="R262">
        <f>sumifs(r:r,A:A,"总成",B:B,"952-180000-100")*INDIRECT(ADDRESS(262,5))</f>
        <v>0</v>
      </c>
      <c r="S262">
        <f>sumifs(s:s,A:A,"总成",B:B,"952-180000-100")*INDIRECT(ADDRESS(262,5))</f>
        <v>0</v>
      </c>
      <c r="T262">
        <f>sumifs(t:t,A:A,"总成",B:B,"952-180000-100")*INDIRECT(ADDRESS(262,5))</f>
        <v>0</v>
      </c>
      <c r="U262">
        <f>sumifs(u:u,A:A,"总成",B:B,"952-180000-100")*INDIRECT(ADDRESS(262,5))</f>
        <v>0</v>
      </c>
      <c r="V262">
        <f>sumifs(v:v,A:A,"总成",B:B,"952-180000-100")*INDIRECT(ADDRESS(262,5))</f>
        <v>0</v>
      </c>
      <c r="W262">
        <f>sumifs(w:w,A:A,"总成",B:B,"952-180000-100")*INDIRECT(ADDRESS(262,5))</f>
        <v>0</v>
      </c>
      <c r="X262">
        <f>sumifs(x:x,A:A,"总成",B:B,"952-180000-100")*INDIRECT(ADDRESS(262,5))</f>
        <v>0</v>
      </c>
      <c r="Y262">
        <f>sumifs(y:y,A:A,"总成",B:B,"952-180000-100")*INDIRECT(ADDRESS(262,5))</f>
        <v>0</v>
      </c>
      <c r="Z262">
        <f>sumifs(z:z,A:A,"总成",B:B,"952-180000-100")*INDIRECT(ADDRESS(262,5))</f>
        <v>0</v>
      </c>
      <c r="AA262">
        <f>sumifs(aa:aa,A:A,"总成",B:B,"952-180000-100")*INDIRECT(ADDRESS(262,5))</f>
        <v>0</v>
      </c>
      <c r="AB262">
        <f>sumifs(ab:ab,A:A,"总成",B:B,"952-180000-100")*INDIRECT(ADDRESS(262,5))</f>
        <v>0</v>
      </c>
      <c r="AC262">
        <f>sumifs(ac:ac,A:A,"总成",B:B,"952-180000-100")*INDIRECT(ADDRESS(262,5))</f>
        <v>0</v>
      </c>
      <c r="AD262">
        <f>sumifs(ad:ad,A:A,"总成",B:B,"952-180000-100")*INDIRECT(ADDRESS(262,5))</f>
        <v>0</v>
      </c>
      <c r="AE262">
        <f>sumifs(ae:ae,A:A,"总成",B:B,"952-180000-100")*INDIRECT(ADDRESS(262,5))</f>
        <v>0</v>
      </c>
      <c r="AF262">
        <f>sumifs(af:af,A:A,"总成",B:B,"952-180000-100")*INDIRECT(ADDRESS(262,5))</f>
        <v>0</v>
      </c>
      <c r="AG262">
        <f>sumifs(ag:ag,A:A,"总成",B:B,"952-180000-100")*INDIRECT(ADDRESS(262,5))</f>
        <v>0</v>
      </c>
      <c r="AH262">
        <f>sumifs(ah:ah,A:A,"总成",B:B,"952-180000-100")*INDIRECT(ADDRESS(262,5))</f>
        <v>0</v>
      </c>
      <c r="AI262">
        <f>sumifs(ai:ai,A:A,"总成",B:B,"952-180000-100")*INDIRECT(ADDRESS(262,5))</f>
        <v>0</v>
      </c>
      <c r="AJ262">
        <f>sumifs(aj:aj,A:A,"总成",B:B,"952-180000-100")*INDIRECT(ADDRESS(262,5))</f>
        <v>0</v>
      </c>
      <c r="AK262">
        <f>sumifs(ak:ak,A:A,"总成",B:B,"952-180000-100")*INDIRECT(ADDRESS(262,5))</f>
        <v>0</v>
      </c>
      <c r="AL262">
        <f>sumifs(al:al,A:A,"总成",B:B,"952-180000-100")*INDIRECT(ADDRESS(262,5))</f>
        <v>0</v>
      </c>
      <c r="AM262">
        <f>sumifs(am:am,A:A,"总成",B:B,"952-180000-100")*INDIRECT(ADDRESS(262,5))</f>
        <v>0</v>
      </c>
      <c r="AN262">
        <f>sumifs(an:an,A:A,"总成",B:B,"952-180000-100")*INDIRECT(ADDRESS(262,5))</f>
        <v>0</v>
      </c>
      <c r="AO262">
        <f>sumifs(ao:ao,A:A,"总成",B:B,"952-180000-100")*INDIRECT(ADDRESS(262,5))</f>
        <v>0</v>
      </c>
      <c r="AP262">
        <f>sumifs(ap:ap,A:A,"总成",B:B,"952-180000-100")*INDIRECT(ADDRESS(262,5))</f>
        <v>0</v>
      </c>
      <c r="AQ262">
        <f>sumifs(aq:aq,A:A,"总成",B:B,"952-180000-100")*INDIRECT(ADDRESS(262,5))</f>
        <v>0</v>
      </c>
      <c r="AR262">
        <f>sumifs(ar:ar,A:A,"总成",B:B,"952-180000-100")*INDIRECT(ADDRESS(262,5))</f>
        <v>0</v>
      </c>
    </row>
    <row r="263" spans="1:44">
      <c r="A263" t="s">
        <v>31</v>
      </c>
      <c r="B263" t="s">
        <v>523</v>
      </c>
      <c r="C263" t="s">
        <v>524</v>
      </c>
      <c r="D263" t="s">
        <v>525</v>
      </c>
      <c r="E263">
        <v>1</v>
      </c>
      <c r="F263" t="s">
        <v>526</v>
      </c>
      <c r="K263" t="s">
        <v>516</v>
      </c>
      <c r="L263" t="s">
        <v>37</v>
      </c>
      <c r="M263">
        <f>sumifs(m:m,A:A,"总成",B:B,"952-180000-100")*INDIRECT(ADDRESS(263,5))</f>
        <v>0</v>
      </c>
      <c r="N263">
        <f>sumifs(n:n,A:A,"总成",B:B,"952-180000-100")*INDIRECT(ADDRESS(263,5))</f>
        <v>0</v>
      </c>
      <c r="O263">
        <f>sumifs(o:o,A:A,"总成",B:B,"952-180000-100")*INDIRECT(ADDRESS(263,5))</f>
        <v>0</v>
      </c>
      <c r="P263">
        <f>sumifs(p:p,A:A,"总成",B:B,"952-180000-100")*INDIRECT(ADDRESS(263,5))</f>
        <v>0</v>
      </c>
      <c r="Q263">
        <f>sumifs(q:q,A:A,"总成",B:B,"952-180000-100")*INDIRECT(ADDRESS(263,5))</f>
        <v>0</v>
      </c>
      <c r="R263">
        <f>sumifs(r:r,A:A,"总成",B:B,"952-180000-100")*INDIRECT(ADDRESS(263,5))</f>
        <v>0</v>
      </c>
      <c r="S263">
        <f>sumifs(s:s,A:A,"总成",B:B,"952-180000-100")*INDIRECT(ADDRESS(263,5))</f>
        <v>0</v>
      </c>
      <c r="T263">
        <f>sumifs(t:t,A:A,"总成",B:B,"952-180000-100")*INDIRECT(ADDRESS(263,5))</f>
        <v>0</v>
      </c>
      <c r="U263">
        <f>sumifs(u:u,A:A,"总成",B:B,"952-180000-100")*INDIRECT(ADDRESS(263,5))</f>
        <v>0</v>
      </c>
      <c r="V263">
        <f>sumifs(v:v,A:A,"总成",B:B,"952-180000-100")*INDIRECT(ADDRESS(263,5))</f>
        <v>0</v>
      </c>
      <c r="W263">
        <f>sumifs(w:w,A:A,"总成",B:B,"952-180000-100")*INDIRECT(ADDRESS(263,5))</f>
        <v>0</v>
      </c>
      <c r="X263">
        <f>sumifs(x:x,A:A,"总成",B:B,"952-180000-100")*INDIRECT(ADDRESS(263,5))</f>
        <v>0</v>
      </c>
      <c r="Y263">
        <f>sumifs(y:y,A:A,"总成",B:B,"952-180000-100")*INDIRECT(ADDRESS(263,5))</f>
        <v>0</v>
      </c>
      <c r="Z263">
        <f>sumifs(z:z,A:A,"总成",B:B,"952-180000-100")*INDIRECT(ADDRESS(263,5))</f>
        <v>0</v>
      </c>
      <c r="AA263">
        <f>sumifs(aa:aa,A:A,"总成",B:B,"952-180000-100")*INDIRECT(ADDRESS(263,5))</f>
        <v>0</v>
      </c>
      <c r="AB263">
        <f>sumifs(ab:ab,A:A,"总成",B:B,"952-180000-100")*INDIRECT(ADDRESS(263,5))</f>
        <v>0</v>
      </c>
      <c r="AC263">
        <f>sumifs(ac:ac,A:A,"总成",B:B,"952-180000-100")*INDIRECT(ADDRESS(263,5))</f>
        <v>0</v>
      </c>
      <c r="AD263">
        <f>sumifs(ad:ad,A:A,"总成",B:B,"952-180000-100")*INDIRECT(ADDRESS(263,5))</f>
        <v>0</v>
      </c>
      <c r="AE263">
        <f>sumifs(ae:ae,A:A,"总成",B:B,"952-180000-100")*INDIRECT(ADDRESS(263,5))</f>
        <v>0</v>
      </c>
      <c r="AF263">
        <f>sumifs(af:af,A:A,"总成",B:B,"952-180000-100")*INDIRECT(ADDRESS(263,5))</f>
        <v>0</v>
      </c>
      <c r="AG263">
        <f>sumifs(ag:ag,A:A,"总成",B:B,"952-180000-100")*INDIRECT(ADDRESS(263,5))</f>
        <v>0</v>
      </c>
      <c r="AH263">
        <f>sumifs(ah:ah,A:A,"总成",B:B,"952-180000-100")*INDIRECT(ADDRESS(263,5))</f>
        <v>0</v>
      </c>
      <c r="AI263">
        <f>sumifs(ai:ai,A:A,"总成",B:B,"952-180000-100")*INDIRECT(ADDRESS(263,5))</f>
        <v>0</v>
      </c>
      <c r="AJ263">
        <f>sumifs(aj:aj,A:A,"总成",B:B,"952-180000-100")*INDIRECT(ADDRESS(263,5))</f>
        <v>0</v>
      </c>
      <c r="AK263">
        <f>sumifs(ak:ak,A:A,"总成",B:B,"952-180000-100")*INDIRECT(ADDRESS(263,5))</f>
        <v>0</v>
      </c>
      <c r="AL263">
        <f>sumifs(al:al,A:A,"总成",B:B,"952-180000-100")*INDIRECT(ADDRESS(263,5))</f>
        <v>0</v>
      </c>
      <c r="AM263">
        <f>sumifs(am:am,A:A,"总成",B:B,"952-180000-100")*INDIRECT(ADDRESS(263,5))</f>
        <v>0</v>
      </c>
      <c r="AN263">
        <f>sumifs(an:an,A:A,"总成",B:B,"952-180000-100")*INDIRECT(ADDRESS(263,5))</f>
        <v>0</v>
      </c>
      <c r="AO263">
        <f>sumifs(ao:ao,A:A,"总成",B:B,"952-180000-100")*INDIRECT(ADDRESS(263,5))</f>
        <v>0</v>
      </c>
      <c r="AP263">
        <f>sumifs(ap:ap,A:A,"总成",B:B,"952-180000-100")*INDIRECT(ADDRESS(263,5))</f>
        <v>0</v>
      </c>
      <c r="AQ263">
        <f>sumifs(aq:aq,A:A,"总成",B:B,"952-180000-100")*INDIRECT(ADDRESS(263,5))</f>
        <v>0</v>
      </c>
      <c r="AR263">
        <f>sumifs(ar:ar,A:A,"总成",B:B,"952-180000-100")*INDIRECT(ADDRESS(263,5))</f>
        <v>0</v>
      </c>
    </row>
    <row r="264" spans="1:44">
      <c r="A264" t="s">
        <v>31</v>
      </c>
      <c r="B264" t="s">
        <v>527</v>
      </c>
      <c r="C264" t="s">
        <v>528</v>
      </c>
      <c r="D264" t="s">
        <v>469</v>
      </c>
      <c r="E264">
        <v>1</v>
      </c>
      <c r="F264" t="s">
        <v>529</v>
      </c>
      <c r="K264" t="s">
        <v>516</v>
      </c>
      <c r="L264" t="s">
        <v>37</v>
      </c>
      <c r="M264">
        <f>sumifs(m:m,A:A,"总成",B:B,"952-180000-100")*INDIRECT(ADDRESS(264,5))</f>
        <v>0</v>
      </c>
      <c r="N264">
        <f>sumifs(n:n,A:A,"总成",B:B,"952-180000-100")*INDIRECT(ADDRESS(264,5))</f>
        <v>0</v>
      </c>
      <c r="O264">
        <f>sumifs(o:o,A:A,"总成",B:B,"952-180000-100")*INDIRECT(ADDRESS(264,5))</f>
        <v>0</v>
      </c>
      <c r="P264">
        <f>sumifs(p:p,A:A,"总成",B:B,"952-180000-100")*INDIRECT(ADDRESS(264,5))</f>
        <v>0</v>
      </c>
      <c r="Q264">
        <f>sumifs(q:q,A:A,"总成",B:B,"952-180000-100")*INDIRECT(ADDRESS(264,5))</f>
        <v>0</v>
      </c>
      <c r="R264">
        <f>sumifs(r:r,A:A,"总成",B:B,"952-180000-100")*INDIRECT(ADDRESS(264,5))</f>
        <v>0</v>
      </c>
      <c r="S264">
        <f>sumifs(s:s,A:A,"总成",B:B,"952-180000-100")*INDIRECT(ADDRESS(264,5))</f>
        <v>0</v>
      </c>
      <c r="T264">
        <f>sumifs(t:t,A:A,"总成",B:B,"952-180000-100")*INDIRECT(ADDRESS(264,5))</f>
        <v>0</v>
      </c>
      <c r="U264">
        <f>sumifs(u:u,A:A,"总成",B:B,"952-180000-100")*INDIRECT(ADDRESS(264,5))</f>
        <v>0</v>
      </c>
      <c r="V264">
        <f>sumifs(v:v,A:A,"总成",B:B,"952-180000-100")*INDIRECT(ADDRESS(264,5))</f>
        <v>0</v>
      </c>
      <c r="W264">
        <f>sumifs(w:w,A:A,"总成",B:B,"952-180000-100")*INDIRECT(ADDRESS(264,5))</f>
        <v>0</v>
      </c>
      <c r="X264">
        <f>sumifs(x:x,A:A,"总成",B:B,"952-180000-100")*INDIRECT(ADDRESS(264,5))</f>
        <v>0</v>
      </c>
      <c r="Y264">
        <f>sumifs(y:y,A:A,"总成",B:B,"952-180000-100")*INDIRECT(ADDRESS(264,5))</f>
        <v>0</v>
      </c>
      <c r="Z264">
        <f>sumifs(z:z,A:A,"总成",B:B,"952-180000-100")*INDIRECT(ADDRESS(264,5))</f>
        <v>0</v>
      </c>
      <c r="AA264">
        <f>sumifs(aa:aa,A:A,"总成",B:B,"952-180000-100")*INDIRECT(ADDRESS(264,5))</f>
        <v>0</v>
      </c>
      <c r="AB264">
        <f>sumifs(ab:ab,A:A,"总成",B:B,"952-180000-100")*INDIRECT(ADDRESS(264,5))</f>
        <v>0</v>
      </c>
      <c r="AC264">
        <f>sumifs(ac:ac,A:A,"总成",B:B,"952-180000-100")*INDIRECT(ADDRESS(264,5))</f>
        <v>0</v>
      </c>
      <c r="AD264">
        <f>sumifs(ad:ad,A:A,"总成",B:B,"952-180000-100")*INDIRECT(ADDRESS(264,5))</f>
        <v>0</v>
      </c>
      <c r="AE264">
        <f>sumifs(ae:ae,A:A,"总成",B:B,"952-180000-100")*INDIRECT(ADDRESS(264,5))</f>
        <v>0</v>
      </c>
      <c r="AF264">
        <f>sumifs(af:af,A:A,"总成",B:B,"952-180000-100")*INDIRECT(ADDRESS(264,5))</f>
        <v>0</v>
      </c>
      <c r="AG264">
        <f>sumifs(ag:ag,A:A,"总成",B:B,"952-180000-100")*INDIRECT(ADDRESS(264,5))</f>
        <v>0</v>
      </c>
      <c r="AH264">
        <f>sumifs(ah:ah,A:A,"总成",B:B,"952-180000-100")*INDIRECT(ADDRESS(264,5))</f>
        <v>0</v>
      </c>
      <c r="AI264">
        <f>sumifs(ai:ai,A:A,"总成",B:B,"952-180000-100")*INDIRECT(ADDRESS(264,5))</f>
        <v>0</v>
      </c>
      <c r="AJ264">
        <f>sumifs(aj:aj,A:A,"总成",B:B,"952-180000-100")*INDIRECT(ADDRESS(264,5))</f>
        <v>0</v>
      </c>
      <c r="AK264">
        <f>sumifs(ak:ak,A:A,"总成",B:B,"952-180000-100")*INDIRECT(ADDRESS(264,5))</f>
        <v>0</v>
      </c>
      <c r="AL264">
        <f>sumifs(al:al,A:A,"总成",B:B,"952-180000-100")*INDIRECT(ADDRESS(264,5))</f>
        <v>0</v>
      </c>
      <c r="AM264">
        <f>sumifs(am:am,A:A,"总成",B:B,"952-180000-100")*INDIRECT(ADDRESS(264,5))</f>
        <v>0</v>
      </c>
      <c r="AN264">
        <f>sumifs(an:an,A:A,"总成",B:B,"952-180000-100")*INDIRECT(ADDRESS(264,5))</f>
        <v>0</v>
      </c>
      <c r="AO264">
        <f>sumifs(ao:ao,A:A,"总成",B:B,"952-180000-100")*INDIRECT(ADDRESS(264,5))</f>
        <v>0</v>
      </c>
      <c r="AP264">
        <f>sumifs(ap:ap,A:A,"总成",B:B,"952-180000-100")*INDIRECT(ADDRESS(264,5))</f>
        <v>0</v>
      </c>
      <c r="AQ264">
        <f>sumifs(aq:aq,A:A,"总成",B:B,"952-180000-100")*INDIRECT(ADDRESS(264,5))</f>
        <v>0</v>
      </c>
      <c r="AR264">
        <f>sumifs(ar:ar,A:A,"总成",B:B,"952-180000-100")*INDIRECT(ADDRESS(264,5))</f>
        <v>0</v>
      </c>
    </row>
    <row r="265" spans="1:44">
      <c r="A265" t="s">
        <v>31</v>
      </c>
      <c r="B265" t="s">
        <v>530</v>
      </c>
      <c r="C265" t="s">
        <v>531</v>
      </c>
      <c r="F265" t="s">
        <v>532</v>
      </c>
      <c r="K265" t="s">
        <v>516</v>
      </c>
      <c r="L265" t="s">
        <v>37</v>
      </c>
      <c r="M265">
        <f>sumifs(m:m,A:A,"总成",B:B,"952-180000-100")*INDIRECT(ADDRESS(265,5))</f>
        <v>0</v>
      </c>
      <c r="N265">
        <f>sumifs(n:n,A:A,"总成",B:B,"952-180000-100")*INDIRECT(ADDRESS(265,5))</f>
        <v>0</v>
      </c>
      <c r="O265">
        <f>sumifs(o:o,A:A,"总成",B:B,"952-180000-100")*INDIRECT(ADDRESS(265,5))</f>
        <v>0</v>
      </c>
      <c r="P265">
        <f>sumifs(p:p,A:A,"总成",B:B,"952-180000-100")*INDIRECT(ADDRESS(265,5))</f>
        <v>0</v>
      </c>
      <c r="Q265">
        <f>sumifs(q:q,A:A,"总成",B:B,"952-180000-100")*INDIRECT(ADDRESS(265,5))</f>
        <v>0</v>
      </c>
      <c r="R265">
        <f>sumifs(r:r,A:A,"总成",B:B,"952-180000-100")*INDIRECT(ADDRESS(265,5))</f>
        <v>0</v>
      </c>
      <c r="S265">
        <f>sumifs(s:s,A:A,"总成",B:B,"952-180000-100")*INDIRECT(ADDRESS(265,5))</f>
        <v>0</v>
      </c>
      <c r="T265">
        <f>sumifs(t:t,A:A,"总成",B:B,"952-180000-100")*INDIRECT(ADDRESS(265,5))</f>
        <v>0</v>
      </c>
      <c r="U265">
        <f>sumifs(u:u,A:A,"总成",B:B,"952-180000-100")*INDIRECT(ADDRESS(265,5))</f>
        <v>0</v>
      </c>
      <c r="V265">
        <f>sumifs(v:v,A:A,"总成",B:B,"952-180000-100")*INDIRECT(ADDRESS(265,5))</f>
        <v>0</v>
      </c>
      <c r="W265">
        <f>sumifs(w:w,A:A,"总成",B:B,"952-180000-100")*INDIRECT(ADDRESS(265,5))</f>
        <v>0</v>
      </c>
      <c r="X265">
        <f>sumifs(x:x,A:A,"总成",B:B,"952-180000-100")*INDIRECT(ADDRESS(265,5))</f>
        <v>0</v>
      </c>
      <c r="Y265">
        <f>sumifs(y:y,A:A,"总成",B:B,"952-180000-100")*INDIRECT(ADDRESS(265,5))</f>
        <v>0</v>
      </c>
      <c r="Z265">
        <f>sumifs(z:z,A:A,"总成",B:B,"952-180000-100")*INDIRECT(ADDRESS(265,5))</f>
        <v>0</v>
      </c>
      <c r="AA265">
        <f>sumifs(aa:aa,A:A,"总成",B:B,"952-180000-100")*INDIRECT(ADDRESS(265,5))</f>
        <v>0</v>
      </c>
      <c r="AB265">
        <f>sumifs(ab:ab,A:A,"总成",B:B,"952-180000-100")*INDIRECT(ADDRESS(265,5))</f>
        <v>0</v>
      </c>
      <c r="AC265">
        <f>sumifs(ac:ac,A:A,"总成",B:B,"952-180000-100")*INDIRECT(ADDRESS(265,5))</f>
        <v>0</v>
      </c>
      <c r="AD265">
        <f>sumifs(ad:ad,A:A,"总成",B:B,"952-180000-100")*INDIRECT(ADDRESS(265,5))</f>
        <v>0</v>
      </c>
      <c r="AE265">
        <f>sumifs(ae:ae,A:A,"总成",B:B,"952-180000-100")*INDIRECT(ADDRESS(265,5))</f>
        <v>0</v>
      </c>
      <c r="AF265">
        <f>sumifs(af:af,A:A,"总成",B:B,"952-180000-100")*INDIRECT(ADDRESS(265,5))</f>
        <v>0</v>
      </c>
      <c r="AG265">
        <f>sumifs(ag:ag,A:A,"总成",B:B,"952-180000-100")*INDIRECT(ADDRESS(265,5))</f>
        <v>0</v>
      </c>
      <c r="AH265">
        <f>sumifs(ah:ah,A:A,"总成",B:B,"952-180000-100")*INDIRECT(ADDRESS(265,5))</f>
        <v>0</v>
      </c>
      <c r="AI265">
        <f>sumifs(ai:ai,A:A,"总成",B:B,"952-180000-100")*INDIRECT(ADDRESS(265,5))</f>
        <v>0</v>
      </c>
      <c r="AJ265">
        <f>sumifs(aj:aj,A:A,"总成",B:B,"952-180000-100")*INDIRECT(ADDRESS(265,5))</f>
        <v>0</v>
      </c>
      <c r="AK265">
        <f>sumifs(ak:ak,A:A,"总成",B:B,"952-180000-100")*INDIRECT(ADDRESS(265,5))</f>
        <v>0</v>
      </c>
      <c r="AL265">
        <f>sumifs(al:al,A:A,"总成",B:B,"952-180000-100")*INDIRECT(ADDRESS(265,5))</f>
        <v>0</v>
      </c>
      <c r="AM265">
        <f>sumifs(am:am,A:A,"总成",B:B,"952-180000-100")*INDIRECT(ADDRESS(265,5))</f>
        <v>0</v>
      </c>
      <c r="AN265">
        <f>sumifs(an:an,A:A,"总成",B:B,"952-180000-100")*INDIRECT(ADDRESS(265,5))</f>
        <v>0</v>
      </c>
      <c r="AO265">
        <f>sumifs(ao:ao,A:A,"总成",B:B,"952-180000-100")*INDIRECT(ADDRESS(265,5))</f>
        <v>0</v>
      </c>
      <c r="AP265">
        <f>sumifs(ap:ap,A:A,"总成",B:B,"952-180000-100")*INDIRECT(ADDRESS(265,5))</f>
        <v>0</v>
      </c>
      <c r="AQ265">
        <f>sumifs(aq:aq,A:A,"总成",B:B,"952-180000-100")*INDIRECT(ADDRESS(265,5))</f>
        <v>0</v>
      </c>
      <c r="AR265">
        <f>sumifs(ar:ar,A:A,"总成",B:B,"952-180000-100")*INDIRECT(ADDRESS(265,5))</f>
        <v>0</v>
      </c>
    </row>
    <row r="266" spans="1:44">
      <c r="A266" t="s">
        <v>31</v>
      </c>
      <c r="B266" t="s">
        <v>533</v>
      </c>
      <c r="C266" t="s">
        <v>534</v>
      </c>
      <c r="E266">
        <v>1</v>
      </c>
      <c r="F266" t="s">
        <v>535</v>
      </c>
      <c r="K266" t="s">
        <v>516</v>
      </c>
      <c r="L266" t="s">
        <v>37</v>
      </c>
      <c r="M266">
        <f>sumifs(m:m,A:A,"总成",B:B,"952-180000-100")*INDIRECT(ADDRESS(266,5))</f>
        <v>0</v>
      </c>
      <c r="N266">
        <f>sumifs(n:n,A:A,"总成",B:B,"952-180000-100")*INDIRECT(ADDRESS(266,5))</f>
        <v>0</v>
      </c>
      <c r="O266">
        <f>sumifs(o:o,A:A,"总成",B:B,"952-180000-100")*INDIRECT(ADDRESS(266,5))</f>
        <v>0</v>
      </c>
      <c r="P266">
        <f>sumifs(p:p,A:A,"总成",B:B,"952-180000-100")*INDIRECT(ADDRESS(266,5))</f>
        <v>0</v>
      </c>
      <c r="Q266">
        <f>sumifs(q:q,A:A,"总成",B:B,"952-180000-100")*INDIRECT(ADDRESS(266,5))</f>
        <v>0</v>
      </c>
      <c r="R266">
        <f>sumifs(r:r,A:A,"总成",B:B,"952-180000-100")*INDIRECT(ADDRESS(266,5))</f>
        <v>0</v>
      </c>
      <c r="S266">
        <f>sumifs(s:s,A:A,"总成",B:B,"952-180000-100")*INDIRECT(ADDRESS(266,5))</f>
        <v>0</v>
      </c>
      <c r="T266">
        <f>sumifs(t:t,A:A,"总成",B:B,"952-180000-100")*INDIRECT(ADDRESS(266,5))</f>
        <v>0</v>
      </c>
      <c r="U266">
        <f>sumifs(u:u,A:A,"总成",B:B,"952-180000-100")*INDIRECT(ADDRESS(266,5))</f>
        <v>0</v>
      </c>
      <c r="V266">
        <f>sumifs(v:v,A:A,"总成",B:B,"952-180000-100")*INDIRECT(ADDRESS(266,5))</f>
        <v>0</v>
      </c>
      <c r="W266">
        <f>sumifs(w:w,A:A,"总成",B:B,"952-180000-100")*INDIRECT(ADDRESS(266,5))</f>
        <v>0</v>
      </c>
      <c r="X266">
        <f>sumifs(x:x,A:A,"总成",B:B,"952-180000-100")*INDIRECT(ADDRESS(266,5))</f>
        <v>0</v>
      </c>
      <c r="Y266">
        <f>sumifs(y:y,A:A,"总成",B:B,"952-180000-100")*INDIRECT(ADDRESS(266,5))</f>
        <v>0</v>
      </c>
      <c r="Z266">
        <f>sumifs(z:z,A:A,"总成",B:B,"952-180000-100")*INDIRECT(ADDRESS(266,5))</f>
        <v>0</v>
      </c>
      <c r="AA266">
        <f>sumifs(aa:aa,A:A,"总成",B:B,"952-180000-100")*INDIRECT(ADDRESS(266,5))</f>
        <v>0</v>
      </c>
      <c r="AB266">
        <f>sumifs(ab:ab,A:A,"总成",B:B,"952-180000-100")*INDIRECT(ADDRESS(266,5))</f>
        <v>0</v>
      </c>
      <c r="AC266">
        <f>sumifs(ac:ac,A:A,"总成",B:B,"952-180000-100")*INDIRECT(ADDRESS(266,5))</f>
        <v>0</v>
      </c>
      <c r="AD266">
        <f>sumifs(ad:ad,A:A,"总成",B:B,"952-180000-100")*INDIRECT(ADDRESS(266,5))</f>
        <v>0</v>
      </c>
      <c r="AE266">
        <f>sumifs(ae:ae,A:A,"总成",B:B,"952-180000-100")*INDIRECT(ADDRESS(266,5))</f>
        <v>0</v>
      </c>
      <c r="AF266">
        <f>sumifs(af:af,A:A,"总成",B:B,"952-180000-100")*INDIRECT(ADDRESS(266,5))</f>
        <v>0</v>
      </c>
      <c r="AG266">
        <f>sumifs(ag:ag,A:A,"总成",B:B,"952-180000-100")*INDIRECT(ADDRESS(266,5))</f>
        <v>0</v>
      </c>
      <c r="AH266">
        <f>sumifs(ah:ah,A:A,"总成",B:B,"952-180000-100")*INDIRECT(ADDRESS(266,5))</f>
        <v>0</v>
      </c>
      <c r="AI266">
        <f>sumifs(ai:ai,A:A,"总成",B:B,"952-180000-100")*INDIRECT(ADDRESS(266,5))</f>
        <v>0</v>
      </c>
      <c r="AJ266">
        <f>sumifs(aj:aj,A:A,"总成",B:B,"952-180000-100")*INDIRECT(ADDRESS(266,5))</f>
        <v>0</v>
      </c>
      <c r="AK266">
        <f>sumifs(ak:ak,A:A,"总成",B:B,"952-180000-100")*INDIRECT(ADDRESS(266,5))</f>
        <v>0</v>
      </c>
      <c r="AL266">
        <f>sumifs(al:al,A:A,"总成",B:B,"952-180000-100")*INDIRECT(ADDRESS(266,5))</f>
        <v>0</v>
      </c>
      <c r="AM266">
        <f>sumifs(am:am,A:A,"总成",B:B,"952-180000-100")*INDIRECT(ADDRESS(266,5))</f>
        <v>0</v>
      </c>
      <c r="AN266">
        <f>sumifs(an:an,A:A,"总成",B:B,"952-180000-100")*INDIRECT(ADDRESS(266,5))</f>
        <v>0</v>
      </c>
      <c r="AO266">
        <f>sumifs(ao:ao,A:A,"总成",B:B,"952-180000-100")*INDIRECT(ADDRESS(266,5))</f>
        <v>0</v>
      </c>
      <c r="AP266">
        <f>sumifs(ap:ap,A:A,"总成",B:B,"952-180000-100")*INDIRECT(ADDRESS(266,5))</f>
        <v>0</v>
      </c>
      <c r="AQ266">
        <f>sumifs(aq:aq,A:A,"总成",B:B,"952-180000-100")*INDIRECT(ADDRESS(266,5))</f>
        <v>0</v>
      </c>
      <c r="AR266">
        <f>sumifs(ar:ar,A:A,"总成",B:B,"952-180000-100")*INDIRECT(ADDRESS(266,5))</f>
        <v>0</v>
      </c>
    </row>
    <row r="267" spans="1:44">
      <c r="A267" t="s">
        <v>31</v>
      </c>
      <c r="B267" t="s">
        <v>536</v>
      </c>
      <c r="C267" t="s">
        <v>537</v>
      </c>
      <c r="D267" t="s">
        <v>525</v>
      </c>
      <c r="E267" t="s">
        <v>444</v>
      </c>
      <c r="F267" t="s">
        <v>538</v>
      </c>
      <c r="K267" t="s">
        <v>516</v>
      </c>
      <c r="L267" t="s">
        <v>37</v>
      </c>
      <c r="M267">
        <f>sumifs(m:m,A:A,"总成",B:B,"952-180000-100")*INDIRECT(ADDRESS(267,5))</f>
        <v>0</v>
      </c>
      <c r="N267">
        <f>sumifs(n:n,A:A,"总成",B:B,"952-180000-100")*INDIRECT(ADDRESS(267,5))</f>
        <v>0</v>
      </c>
      <c r="O267">
        <f>sumifs(o:o,A:A,"总成",B:B,"952-180000-100")*INDIRECT(ADDRESS(267,5))</f>
        <v>0</v>
      </c>
      <c r="P267">
        <f>sumifs(p:p,A:A,"总成",B:B,"952-180000-100")*INDIRECT(ADDRESS(267,5))</f>
        <v>0</v>
      </c>
      <c r="Q267">
        <f>sumifs(q:q,A:A,"总成",B:B,"952-180000-100")*INDIRECT(ADDRESS(267,5))</f>
        <v>0</v>
      </c>
      <c r="R267">
        <f>sumifs(r:r,A:A,"总成",B:B,"952-180000-100")*INDIRECT(ADDRESS(267,5))</f>
        <v>0</v>
      </c>
      <c r="S267">
        <f>sumifs(s:s,A:A,"总成",B:B,"952-180000-100")*INDIRECT(ADDRESS(267,5))</f>
        <v>0</v>
      </c>
      <c r="T267">
        <f>sumifs(t:t,A:A,"总成",B:B,"952-180000-100")*INDIRECT(ADDRESS(267,5))</f>
        <v>0</v>
      </c>
      <c r="U267">
        <f>sumifs(u:u,A:A,"总成",B:B,"952-180000-100")*INDIRECT(ADDRESS(267,5))</f>
        <v>0</v>
      </c>
      <c r="V267">
        <f>sumifs(v:v,A:A,"总成",B:B,"952-180000-100")*INDIRECT(ADDRESS(267,5))</f>
        <v>0</v>
      </c>
      <c r="W267">
        <f>sumifs(w:w,A:A,"总成",B:B,"952-180000-100")*INDIRECT(ADDRESS(267,5))</f>
        <v>0</v>
      </c>
      <c r="X267">
        <f>sumifs(x:x,A:A,"总成",B:B,"952-180000-100")*INDIRECT(ADDRESS(267,5))</f>
        <v>0</v>
      </c>
      <c r="Y267">
        <f>sumifs(y:y,A:A,"总成",B:B,"952-180000-100")*INDIRECT(ADDRESS(267,5))</f>
        <v>0</v>
      </c>
      <c r="Z267">
        <f>sumifs(z:z,A:A,"总成",B:B,"952-180000-100")*INDIRECT(ADDRESS(267,5))</f>
        <v>0</v>
      </c>
      <c r="AA267">
        <f>sumifs(aa:aa,A:A,"总成",B:B,"952-180000-100")*INDIRECT(ADDRESS(267,5))</f>
        <v>0</v>
      </c>
      <c r="AB267">
        <f>sumifs(ab:ab,A:A,"总成",B:B,"952-180000-100")*INDIRECT(ADDRESS(267,5))</f>
        <v>0</v>
      </c>
      <c r="AC267">
        <f>sumifs(ac:ac,A:A,"总成",B:B,"952-180000-100")*INDIRECT(ADDRESS(267,5))</f>
        <v>0</v>
      </c>
      <c r="AD267">
        <f>sumifs(ad:ad,A:A,"总成",B:B,"952-180000-100")*INDIRECT(ADDRESS(267,5))</f>
        <v>0</v>
      </c>
      <c r="AE267">
        <f>sumifs(ae:ae,A:A,"总成",B:B,"952-180000-100")*INDIRECT(ADDRESS(267,5))</f>
        <v>0</v>
      </c>
      <c r="AF267">
        <f>sumifs(af:af,A:A,"总成",B:B,"952-180000-100")*INDIRECT(ADDRESS(267,5))</f>
        <v>0</v>
      </c>
      <c r="AG267">
        <f>sumifs(ag:ag,A:A,"总成",B:B,"952-180000-100")*INDIRECT(ADDRESS(267,5))</f>
        <v>0</v>
      </c>
      <c r="AH267">
        <f>sumifs(ah:ah,A:A,"总成",B:B,"952-180000-100")*INDIRECT(ADDRESS(267,5))</f>
        <v>0</v>
      </c>
      <c r="AI267">
        <f>sumifs(ai:ai,A:A,"总成",B:B,"952-180000-100")*INDIRECT(ADDRESS(267,5))</f>
        <v>0</v>
      </c>
      <c r="AJ267">
        <f>sumifs(aj:aj,A:A,"总成",B:B,"952-180000-100")*INDIRECT(ADDRESS(267,5))</f>
        <v>0</v>
      </c>
      <c r="AK267">
        <f>sumifs(ak:ak,A:A,"总成",B:B,"952-180000-100")*INDIRECT(ADDRESS(267,5))</f>
        <v>0</v>
      </c>
      <c r="AL267">
        <f>sumifs(al:al,A:A,"总成",B:B,"952-180000-100")*INDIRECT(ADDRESS(267,5))</f>
        <v>0</v>
      </c>
      <c r="AM267">
        <f>sumifs(am:am,A:A,"总成",B:B,"952-180000-100")*INDIRECT(ADDRESS(267,5))</f>
        <v>0</v>
      </c>
      <c r="AN267">
        <f>sumifs(an:an,A:A,"总成",B:B,"952-180000-100")*INDIRECT(ADDRESS(267,5))</f>
        <v>0</v>
      </c>
      <c r="AO267">
        <f>sumifs(ao:ao,A:A,"总成",B:B,"952-180000-100")*INDIRECT(ADDRESS(267,5))</f>
        <v>0</v>
      </c>
      <c r="AP267">
        <f>sumifs(ap:ap,A:A,"总成",B:B,"952-180000-100")*INDIRECT(ADDRESS(267,5))</f>
        <v>0</v>
      </c>
      <c r="AQ267">
        <f>sumifs(aq:aq,A:A,"总成",B:B,"952-180000-100")*INDIRECT(ADDRESS(267,5))</f>
        <v>0</v>
      </c>
      <c r="AR267">
        <f>sumifs(ar:ar,A:A,"总成",B:B,"952-180000-100")*INDIRECT(ADDRESS(267,5))</f>
        <v>0</v>
      </c>
    </row>
    <row r="268" spans="1:44">
      <c r="A268" t="s">
        <v>31</v>
      </c>
      <c r="B268" t="s">
        <v>539</v>
      </c>
      <c r="C268" t="s">
        <v>540</v>
      </c>
      <c r="F268" t="s">
        <v>541</v>
      </c>
      <c r="K268" t="s">
        <v>516</v>
      </c>
      <c r="L268" t="s">
        <v>37</v>
      </c>
      <c r="M268">
        <f>sumifs(m:m,A:A,"总成",B:B,"952-180000-100")*INDIRECT(ADDRESS(268,5))</f>
        <v>0</v>
      </c>
      <c r="N268">
        <f>sumifs(n:n,A:A,"总成",B:B,"952-180000-100")*INDIRECT(ADDRESS(268,5))</f>
        <v>0</v>
      </c>
      <c r="O268">
        <f>sumifs(o:o,A:A,"总成",B:B,"952-180000-100")*INDIRECT(ADDRESS(268,5))</f>
        <v>0</v>
      </c>
      <c r="P268">
        <f>sumifs(p:p,A:A,"总成",B:B,"952-180000-100")*INDIRECT(ADDRESS(268,5))</f>
        <v>0</v>
      </c>
      <c r="Q268">
        <f>sumifs(q:q,A:A,"总成",B:B,"952-180000-100")*INDIRECT(ADDRESS(268,5))</f>
        <v>0</v>
      </c>
      <c r="R268">
        <f>sumifs(r:r,A:A,"总成",B:B,"952-180000-100")*INDIRECT(ADDRESS(268,5))</f>
        <v>0</v>
      </c>
      <c r="S268">
        <f>sumifs(s:s,A:A,"总成",B:B,"952-180000-100")*INDIRECT(ADDRESS(268,5))</f>
        <v>0</v>
      </c>
      <c r="T268">
        <f>sumifs(t:t,A:A,"总成",B:B,"952-180000-100")*INDIRECT(ADDRESS(268,5))</f>
        <v>0</v>
      </c>
      <c r="U268">
        <f>sumifs(u:u,A:A,"总成",B:B,"952-180000-100")*INDIRECT(ADDRESS(268,5))</f>
        <v>0</v>
      </c>
      <c r="V268">
        <f>sumifs(v:v,A:A,"总成",B:B,"952-180000-100")*INDIRECT(ADDRESS(268,5))</f>
        <v>0</v>
      </c>
      <c r="W268">
        <f>sumifs(w:w,A:A,"总成",B:B,"952-180000-100")*INDIRECT(ADDRESS(268,5))</f>
        <v>0</v>
      </c>
      <c r="X268">
        <f>sumifs(x:x,A:A,"总成",B:B,"952-180000-100")*INDIRECT(ADDRESS(268,5))</f>
        <v>0</v>
      </c>
      <c r="Y268">
        <f>sumifs(y:y,A:A,"总成",B:B,"952-180000-100")*INDIRECT(ADDRESS(268,5))</f>
        <v>0</v>
      </c>
      <c r="Z268">
        <f>sumifs(z:z,A:A,"总成",B:B,"952-180000-100")*INDIRECT(ADDRESS(268,5))</f>
        <v>0</v>
      </c>
      <c r="AA268">
        <f>sumifs(aa:aa,A:A,"总成",B:B,"952-180000-100")*INDIRECT(ADDRESS(268,5))</f>
        <v>0</v>
      </c>
      <c r="AB268">
        <f>sumifs(ab:ab,A:A,"总成",B:B,"952-180000-100")*INDIRECT(ADDRESS(268,5))</f>
        <v>0</v>
      </c>
      <c r="AC268">
        <f>sumifs(ac:ac,A:A,"总成",B:B,"952-180000-100")*INDIRECT(ADDRESS(268,5))</f>
        <v>0</v>
      </c>
      <c r="AD268">
        <f>sumifs(ad:ad,A:A,"总成",B:B,"952-180000-100")*INDIRECT(ADDRESS(268,5))</f>
        <v>0</v>
      </c>
      <c r="AE268">
        <f>sumifs(ae:ae,A:A,"总成",B:B,"952-180000-100")*INDIRECT(ADDRESS(268,5))</f>
        <v>0</v>
      </c>
      <c r="AF268">
        <f>sumifs(af:af,A:A,"总成",B:B,"952-180000-100")*INDIRECT(ADDRESS(268,5))</f>
        <v>0</v>
      </c>
      <c r="AG268">
        <f>sumifs(ag:ag,A:A,"总成",B:B,"952-180000-100")*INDIRECT(ADDRESS(268,5))</f>
        <v>0</v>
      </c>
      <c r="AH268">
        <f>sumifs(ah:ah,A:A,"总成",B:B,"952-180000-100")*INDIRECT(ADDRESS(268,5))</f>
        <v>0</v>
      </c>
      <c r="AI268">
        <f>sumifs(ai:ai,A:A,"总成",B:B,"952-180000-100")*INDIRECT(ADDRESS(268,5))</f>
        <v>0</v>
      </c>
      <c r="AJ268">
        <f>sumifs(aj:aj,A:A,"总成",B:B,"952-180000-100")*INDIRECT(ADDRESS(268,5))</f>
        <v>0</v>
      </c>
      <c r="AK268">
        <f>sumifs(ak:ak,A:A,"总成",B:B,"952-180000-100")*INDIRECT(ADDRESS(268,5))</f>
        <v>0</v>
      </c>
      <c r="AL268">
        <f>sumifs(al:al,A:A,"总成",B:B,"952-180000-100")*INDIRECT(ADDRESS(268,5))</f>
        <v>0</v>
      </c>
      <c r="AM268">
        <f>sumifs(am:am,A:A,"总成",B:B,"952-180000-100")*INDIRECT(ADDRESS(268,5))</f>
        <v>0</v>
      </c>
      <c r="AN268">
        <f>sumifs(an:an,A:A,"总成",B:B,"952-180000-100")*INDIRECT(ADDRESS(268,5))</f>
        <v>0</v>
      </c>
      <c r="AO268">
        <f>sumifs(ao:ao,A:A,"总成",B:B,"952-180000-100")*INDIRECT(ADDRESS(268,5))</f>
        <v>0</v>
      </c>
      <c r="AP268">
        <f>sumifs(ap:ap,A:A,"总成",B:B,"952-180000-100")*INDIRECT(ADDRESS(268,5))</f>
        <v>0</v>
      </c>
      <c r="AQ268">
        <f>sumifs(aq:aq,A:A,"总成",B:B,"952-180000-100")*INDIRECT(ADDRESS(268,5))</f>
        <v>0</v>
      </c>
      <c r="AR268">
        <f>sumifs(ar:ar,A:A,"总成",B:B,"952-180000-100")*INDIRECT(ADDRESS(268,5))</f>
        <v>0</v>
      </c>
    </row>
    <row r="269" spans="1:44">
      <c r="A269" t="s">
        <v>31</v>
      </c>
      <c r="B269" t="s">
        <v>542</v>
      </c>
      <c r="C269" t="s">
        <v>543</v>
      </c>
      <c r="E269" t="s">
        <v>444</v>
      </c>
      <c r="F269" t="s">
        <v>544</v>
      </c>
      <c r="K269" t="s">
        <v>516</v>
      </c>
      <c r="L269" t="s">
        <v>37</v>
      </c>
      <c r="M269">
        <f>sumifs(m:m,A:A,"总成",B:B,"952-180000-100")*INDIRECT(ADDRESS(269,5))</f>
        <v>0</v>
      </c>
      <c r="N269">
        <f>sumifs(n:n,A:A,"总成",B:B,"952-180000-100")*INDIRECT(ADDRESS(269,5))</f>
        <v>0</v>
      </c>
      <c r="O269">
        <f>sumifs(o:o,A:A,"总成",B:B,"952-180000-100")*INDIRECT(ADDRESS(269,5))</f>
        <v>0</v>
      </c>
      <c r="P269">
        <f>sumifs(p:p,A:A,"总成",B:B,"952-180000-100")*INDIRECT(ADDRESS(269,5))</f>
        <v>0</v>
      </c>
      <c r="Q269">
        <f>sumifs(q:q,A:A,"总成",B:B,"952-180000-100")*INDIRECT(ADDRESS(269,5))</f>
        <v>0</v>
      </c>
      <c r="R269">
        <f>sumifs(r:r,A:A,"总成",B:B,"952-180000-100")*INDIRECT(ADDRESS(269,5))</f>
        <v>0</v>
      </c>
      <c r="S269">
        <f>sumifs(s:s,A:A,"总成",B:B,"952-180000-100")*INDIRECT(ADDRESS(269,5))</f>
        <v>0</v>
      </c>
      <c r="T269">
        <f>sumifs(t:t,A:A,"总成",B:B,"952-180000-100")*INDIRECT(ADDRESS(269,5))</f>
        <v>0</v>
      </c>
      <c r="U269">
        <f>sumifs(u:u,A:A,"总成",B:B,"952-180000-100")*INDIRECT(ADDRESS(269,5))</f>
        <v>0</v>
      </c>
      <c r="V269">
        <f>sumifs(v:v,A:A,"总成",B:B,"952-180000-100")*INDIRECT(ADDRESS(269,5))</f>
        <v>0</v>
      </c>
      <c r="W269">
        <f>sumifs(w:w,A:A,"总成",B:B,"952-180000-100")*INDIRECT(ADDRESS(269,5))</f>
        <v>0</v>
      </c>
      <c r="X269">
        <f>sumifs(x:x,A:A,"总成",B:B,"952-180000-100")*INDIRECT(ADDRESS(269,5))</f>
        <v>0</v>
      </c>
      <c r="Y269">
        <f>sumifs(y:y,A:A,"总成",B:B,"952-180000-100")*INDIRECT(ADDRESS(269,5))</f>
        <v>0</v>
      </c>
      <c r="Z269">
        <f>sumifs(z:z,A:A,"总成",B:B,"952-180000-100")*INDIRECT(ADDRESS(269,5))</f>
        <v>0</v>
      </c>
      <c r="AA269">
        <f>sumifs(aa:aa,A:A,"总成",B:B,"952-180000-100")*INDIRECT(ADDRESS(269,5))</f>
        <v>0</v>
      </c>
      <c r="AB269">
        <f>sumifs(ab:ab,A:A,"总成",B:B,"952-180000-100")*INDIRECT(ADDRESS(269,5))</f>
        <v>0</v>
      </c>
      <c r="AC269">
        <f>sumifs(ac:ac,A:A,"总成",B:B,"952-180000-100")*INDIRECT(ADDRESS(269,5))</f>
        <v>0</v>
      </c>
      <c r="AD269">
        <f>sumifs(ad:ad,A:A,"总成",B:B,"952-180000-100")*INDIRECT(ADDRESS(269,5))</f>
        <v>0</v>
      </c>
      <c r="AE269">
        <f>sumifs(ae:ae,A:A,"总成",B:B,"952-180000-100")*INDIRECT(ADDRESS(269,5))</f>
        <v>0</v>
      </c>
      <c r="AF269">
        <f>sumifs(af:af,A:A,"总成",B:B,"952-180000-100")*INDIRECT(ADDRESS(269,5))</f>
        <v>0</v>
      </c>
      <c r="AG269">
        <f>sumifs(ag:ag,A:A,"总成",B:B,"952-180000-100")*INDIRECT(ADDRESS(269,5))</f>
        <v>0</v>
      </c>
      <c r="AH269">
        <f>sumifs(ah:ah,A:A,"总成",B:B,"952-180000-100")*INDIRECT(ADDRESS(269,5))</f>
        <v>0</v>
      </c>
      <c r="AI269">
        <f>sumifs(ai:ai,A:A,"总成",B:B,"952-180000-100")*INDIRECT(ADDRESS(269,5))</f>
        <v>0</v>
      </c>
      <c r="AJ269">
        <f>sumifs(aj:aj,A:A,"总成",B:B,"952-180000-100")*INDIRECT(ADDRESS(269,5))</f>
        <v>0</v>
      </c>
      <c r="AK269">
        <f>sumifs(ak:ak,A:A,"总成",B:B,"952-180000-100")*INDIRECT(ADDRESS(269,5))</f>
        <v>0</v>
      </c>
      <c r="AL269">
        <f>sumifs(al:al,A:A,"总成",B:B,"952-180000-100")*INDIRECT(ADDRESS(269,5))</f>
        <v>0</v>
      </c>
      <c r="AM269">
        <f>sumifs(am:am,A:A,"总成",B:B,"952-180000-100")*INDIRECT(ADDRESS(269,5))</f>
        <v>0</v>
      </c>
      <c r="AN269">
        <f>sumifs(an:an,A:A,"总成",B:B,"952-180000-100")*INDIRECT(ADDRESS(269,5))</f>
        <v>0</v>
      </c>
      <c r="AO269">
        <f>sumifs(ao:ao,A:A,"总成",B:B,"952-180000-100")*INDIRECT(ADDRESS(269,5))</f>
        <v>0</v>
      </c>
      <c r="AP269">
        <f>sumifs(ap:ap,A:A,"总成",B:B,"952-180000-100")*INDIRECT(ADDRESS(269,5))</f>
        <v>0</v>
      </c>
      <c r="AQ269">
        <f>sumifs(aq:aq,A:A,"总成",B:B,"952-180000-100")*INDIRECT(ADDRESS(269,5))</f>
        <v>0</v>
      </c>
      <c r="AR269">
        <f>sumifs(ar:ar,A:A,"总成",B:B,"952-180000-100")*INDIRECT(ADDRESS(269,5))</f>
        <v>0</v>
      </c>
    </row>
    <row r="270" spans="1:44">
      <c r="A270" t="s">
        <v>31</v>
      </c>
      <c r="B270" t="s">
        <v>545</v>
      </c>
      <c r="C270" t="s">
        <v>546</v>
      </c>
      <c r="D270" t="s">
        <v>547</v>
      </c>
      <c r="E270" t="s">
        <v>444</v>
      </c>
      <c r="F270" t="s">
        <v>548</v>
      </c>
      <c r="K270" t="s">
        <v>516</v>
      </c>
      <c r="L270" t="s">
        <v>37</v>
      </c>
      <c r="M270">
        <f>sumifs(m:m,A:A,"总成",B:B,"952-180000-100")*INDIRECT(ADDRESS(270,5))</f>
        <v>0</v>
      </c>
      <c r="N270">
        <f>sumifs(n:n,A:A,"总成",B:B,"952-180000-100")*INDIRECT(ADDRESS(270,5))</f>
        <v>0</v>
      </c>
      <c r="O270">
        <f>sumifs(o:o,A:A,"总成",B:B,"952-180000-100")*INDIRECT(ADDRESS(270,5))</f>
        <v>0</v>
      </c>
      <c r="P270">
        <f>sumifs(p:p,A:A,"总成",B:B,"952-180000-100")*INDIRECT(ADDRESS(270,5))</f>
        <v>0</v>
      </c>
      <c r="Q270">
        <f>sumifs(q:q,A:A,"总成",B:B,"952-180000-100")*INDIRECT(ADDRESS(270,5))</f>
        <v>0</v>
      </c>
      <c r="R270">
        <f>sumifs(r:r,A:A,"总成",B:B,"952-180000-100")*INDIRECT(ADDRESS(270,5))</f>
        <v>0</v>
      </c>
      <c r="S270">
        <f>sumifs(s:s,A:A,"总成",B:B,"952-180000-100")*INDIRECT(ADDRESS(270,5))</f>
        <v>0</v>
      </c>
      <c r="T270">
        <f>sumifs(t:t,A:A,"总成",B:B,"952-180000-100")*INDIRECT(ADDRESS(270,5))</f>
        <v>0</v>
      </c>
      <c r="U270">
        <f>sumifs(u:u,A:A,"总成",B:B,"952-180000-100")*INDIRECT(ADDRESS(270,5))</f>
        <v>0</v>
      </c>
      <c r="V270">
        <f>sumifs(v:v,A:A,"总成",B:B,"952-180000-100")*INDIRECT(ADDRESS(270,5))</f>
        <v>0</v>
      </c>
      <c r="W270">
        <f>sumifs(w:w,A:A,"总成",B:B,"952-180000-100")*INDIRECT(ADDRESS(270,5))</f>
        <v>0</v>
      </c>
      <c r="X270">
        <f>sumifs(x:x,A:A,"总成",B:B,"952-180000-100")*INDIRECT(ADDRESS(270,5))</f>
        <v>0</v>
      </c>
      <c r="Y270">
        <f>sumifs(y:y,A:A,"总成",B:B,"952-180000-100")*INDIRECT(ADDRESS(270,5))</f>
        <v>0</v>
      </c>
      <c r="Z270">
        <f>sumifs(z:z,A:A,"总成",B:B,"952-180000-100")*INDIRECT(ADDRESS(270,5))</f>
        <v>0</v>
      </c>
      <c r="AA270">
        <f>sumifs(aa:aa,A:A,"总成",B:B,"952-180000-100")*INDIRECT(ADDRESS(270,5))</f>
        <v>0</v>
      </c>
      <c r="AB270">
        <f>sumifs(ab:ab,A:A,"总成",B:B,"952-180000-100")*INDIRECT(ADDRESS(270,5))</f>
        <v>0</v>
      </c>
      <c r="AC270">
        <f>sumifs(ac:ac,A:A,"总成",B:B,"952-180000-100")*INDIRECT(ADDRESS(270,5))</f>
        <v>0</v>
      </c>
      <c r="AD270">
        <f>sumifs(ad:ad,A:A,"总成",B:B,"952-180000-100")*INDIRECT(ADDRESS(270,5))</f>
        <v>0</v>
      </c>
      <c r="AE270">
        <f>sumifs(ae:ae,A:A,"总成",B:B,"952-180000-100")*INDIRECT(ADDRESS(270,5))</f>
        <v>0</v>
      </c>
      <c r="AF270">
        <f>sumifs(af:af,A:A,"总成",B:B,"952-180000-100")*INDIRECT(ADDRESS(270,5))</f>
        <v>0</v>
      </c>
      <c r="AG270">
        <f>sumifs(ag:ag,A:A,"总成",B:B,"952-180000-100")*INDIRECT(ADDRESS(270,5))</f>
        <v>0</v>
      </c>
      <c r="AH270">
        <f>sumifs(ah:ah,A:A,"总成",B:B,"952-180000-100")*INDIRECT(ADDRESS(270,5))</f>
        <v>0</v>
      </c>
      <c r="AI270">
        <f>sumifs(ai:ai,A:A,"总成",B:B,"952-180000-100")*INDIRECT(ADDRESS(270,5))</f>
        <v>0</v>
      </c>
      <c r="AJ270">
        <f>sumifs(aj:aj,A:A,"总成",B:B,"952-180000-100")*INDIRECT(ADDRESS(270,5))</f>
        <v>0</v>
      </c>
      <c r="AK270">
        <f>sumifs(ak:ak,A:A,"总成",B:B,"952-180000-100")*INDIRECT(ADDRESS(270,5))</f>
        <v>0</v>
      </c>
      <c r="AL270">
        <f>sumifs(al:al,A:A,"总成",B:B,"952-180000-100")*INDIRECT(ADDRESS(270,5))</f>
        <v>0</v>
      </c>
      <c r="AM270">
        <f>sumifs(am:am,A:A,"总成",B:B,"952-180000-100")*INDIRECT(ADDRESS(270,5))</f>
        <v>0</v>
      </c>
      <c r="AN270">
        <f>sumifs(an:an,A:A,"总成",B:B,"952-180000-100")*INDIRECT(ADDRESS(270,5))</f>
        <v>0</v>
      </c>
      <c r="AO270">
        <f>sumifs(ao:ao,A:A,"总成",B:B,"952-180000-100")*INDIRECT(ADDRESS(270,5))</f>
        <v>0</v>
      </c>
      <c r="AP270">
        <f>sumifs(ap:ap,A:A,"总成",B:B,"952-180000-100")*INDIRECT(ADDRESS(270,5))</f>
        <v>0</v>
      </c>
      <c r="AQ270">
        <f>sumifs(aq:aq,A:A,"总成",B:B,"952-180000-100")*INDIRECT(ADDRESS(270,5))</f>
        <v>0</v>
      </c>
      <c r="AR270">
        <f>sumifs(ar:ar,A:A,"总成",B:B,"952-180000-100")*INDIRECT(ADDRESS(270,5))</f>
        <v>0</v>
      </c>
    </row>
    <row r="271" spans="1:44">
      <c r="A271" t="s">
        <v>31</v>
      </c>
      <c r="B271" t="s">
        <v>549</v>
      </c>
      <c r="C271" t="s">
        <v>550</v>
      </c>
      <c r="E271" t="s">
        <v>444</v>
      </c>
      <c r="F271" t="s">
        <v>551</v>
      </c>
      <c r="K271" t="s">
        <v>516</v>
      </c>
      <c r="L271" t="s">
        <v>37</v>
      </c>
      <c r="M271">
        <f>sumifs(m:m,A:A,"总成",B:B,"952-180000-100")*INDIRECT(ADDRESS(271,5))</f>
        <v>0</v>
      </c>
      <c r="N271">
        <f>sumifs(n:n,A:A,"总成",B:B,"952-180000-100")*INDIRECT(ADDRESS(271,5))</f>
        <v>0</v>
      </c>
      <c r="O271">
        <f>sumifs(o:o,A:A,"总成",B:B,"952-180000-100")*INDIRECT(ADDRESS(271,5))</f>
        <v>0</v>
      </c>
      <c r="P271">
        <f>sumifs(p:p,A:A,"总成",B:B,"952-180000-100")*INDIRECT(ADDRESS(271,5))</f>
        <v>0</v>
      </c>
      <c r="Q271">
        <f>sumifs(q:q,A:A,"总成",B:B,"952-180000-100")*INDIRECT(ADDRESS(271,5))</f>
        <v>0</v>
      </c>
      <c r="R271">
        <f>sumifs(r:r,A:A,"总成",B:B,"952-180000-100")*INDIRECT(ADDRESS(271,5))</f>
        <v>0</v>
      </c>
      <c r="S271">
        <f>sumifs(s:s,A:A,"总成",B:B,"952-180000-100")*INDIRECT(ADDRESS(271,5))</f>
        <v>0</v>
      </c>
      <c r="T271">
        <f>sumifs(t:t,A:A,"总成",B:B,"952-180000-100")*INDIRECT(ADDRESS(271,5))</f>
        <v>0</v>
      </c>
      <c r="U271">
        <f>sumifs(u:u,A:A,"总成",B:B,"952-180000-100")*INDIRECT(ADDRESS(271,5))</f>
        <v>0</v>
      </c>
      <c r="V271">
        <f>sumifs(v:v,A:A,"总成",B:B,"952-180000-100")*INDIRECT(ADDRESS(271,5))</f>
        <v>0</v>
      </c>
      <c r="W271">
        <f>sumifs(w:w,A:A,"总成",B:B,"952-180000-100")*INDIRECT(ADDRESS(271,5))</f>
        <v>0</v>
      </c>
      <c r="X271">
        <f>sumifs(x:x,A:A,"总成",B:B,"952-180000-100")*INDIRECT(ADDRESS(271,5))</f>
        <v>0</v>
      </c>
      <c r="Y271">
        <f>sumifs(y:y,A:A,"总成",B:B,"952-180000-100")*INDIRECT(ADDRESS(271,5))</f>
        <v>0</v>
      </c>
      <c r="Z271">
        <f>sumifs(z:z,A:A,"总成",B:B,"952-180000-100")*INDIRECT(ADDRESS(271,5))</f>
        <v>0</v>
      </c>
      <c r="AA271">
        <f>sumifs(aa:aa,A:A,"总成",B:B,"952-180000-100")*INDIRECT(ADDRESS(271,5))</f>
        <v>0</v>
      </c>
      <c r="AB271">
        <f>sumifs(ab:ab,A:A,"总成",B:B,"952-180000-100")*INDIRECT(ADDRESS(271,5))</f>
        <v>0</v>
      </c>
      <c r="AC271">
        <f>sumifs(ac:ac,A:A,"总成",B:B,"952-180000-100")*INDIRECT(ADDRESS(271,5))</f>
        <v>0</v>
      </c>
      <c r="AD271">
        <f>sumifs(ad:ad,A:A,"总成",B:B,"952-180000-100")*INDIRECT(ADDRESS(271,5))</f>
        <v>0</v>
      </c>
      <c r="AE271">
        <f>sumifs(ae:ae,A:A,"总成",B:B,"952-180000-100")*INDIRECT(ADDRESS(271,5))</f>
        <v>0</v>
      </c>
      <c r="AF271">
        <f>sumifs(af:af,A:A,"总成",B:B,"952-180000-100")*INDIRECT(ADDRESS(271,5))</f>
        <v>0</v>
      </c>
      <c r="AG271">
        <f>sumifs(ag:ag,A:A,"总成",B:B,"952-180000-100")*INDIRECT(ADDRESS(271,5))</f>
        <v>0</v>
      </c>
      <c r="AH271">
        <f>sumifs(ah:ah,A:A,"总成",B:B,"952-180000-100")*INDIRECT(ADDRESS(271,5))</f>
        <v>0</v>
      </c>
      <c r="AI271">
        <f>sumifs(ai:ai,A:A,"总成",B:B,"952-180000-100")*INDIRECT(ADDRESS(271,5))</f>
        <v>0</v>
      </c>
      <c r="AJ271">
        <f>sumifs(aj:aj,A:A,"总成",B:B,"952-180000-100")*INDIRECT(ADDRESS(271,5))</f>
        <v>0</v>
      </c>
      <c r="AK271">
        <f>sumifs(ak:ak,A:A,"总成",B:B,"952-180000-100")*INDIRECT(ADDRESS(271,5))</f>
        <v>0</v>
      </c>
      <c r="AL271">
        <f>sumifs(al:al,A:A,"总成",B:B,"952-180000-100")*INDIRECT(ADDRESS(271,5))</f>
        <v>0</v>
      </c>
      <c r="AM271">
        <f>sumifs(am:am,A:A,"总成",B:B,"952-180000-100")*INDIRECT(ADDRESS(271,5))</f>
        <v>0</v>
      </c>
      <c r="AN271">
        <f>sumifs(an:an,A:A,"总成",B:B,"952-180000-100")*INDIRECT(ADDRESS(271,5))</f>
        <v>0</v>
      </c>
      <c r="AO271">
        <f>sumifs(ao:ao,A:A,"总成",B:B,"952-180000-100")*INDIRECT(ADDRESS(271,5))</f>
        <v>0</v>
      </c>
      <c r="AP271">
        <f>sumifs(ap:ap,A:A,"总成",B:B,"952-180000-100")*INDIRECT(ADDRESS(271,5))</f>
        <v>0</v>
      </c>
      <c r="AQ271">
        <f>sumifs(aq:aq,A:A,"总成",B:B,"952-180000-100")*INDIRECT(ADDRESS(271,5))</f>
        <v>0</v>
      </c>
      <c r="AR271">
        <f>sumifs(ar:ar,A:A,"总成",B:B,"952-180000-100")*INDIRECT(ADDRESS(271,5))</f>
        <v>0</v>
      </c>
    </row>
    <row r="272" spans="1:44">
      <c r="A272" t="s">
        <v>31</v>
      </c>
      <c r="B272" t="s">
        <v>552</v>
      </c>
      <c r="C272" t="s">
        <v>553</v>
      </c>
      <c r="D272" t="s">
        <v>554</v>
      </c>
      <c r="E272" t="s">
        <v>444</v>
      </c>
      <c r="F272" t="s">
        <v>555</v>
      </c>
      <c r="K272" t="s">
        <v>516</v>
      </c>
      <c r="L272" t="s">
        <v>37</v>
      </c>
      <c r="M272">
        <f>sumifs(m:m,A:A,"总成",B:B,"952-180000-100")*INDIRECT(ADDRESS(272,5))</f>
        <v>0</v>
      </c>
      <c r="N272">
        <f>sumifs(n:n,A:A,"总成",B:B,"952-180000-100")*INDIRECT(ADDRESS(272,5))</f>
        <v>0</v>
      </c>
      <c r="O272">
        <f>sumifs(o:o,A:A,"总成",B:B,"952-180000-100")*INDIRECT(ADDRESS(272,5))</f>
        <v>0</v>
      </c>
      <c r="P272">
        <f>sumifs(p:p,A:A,"总成",B:B,"952-180000-100")*INDIRECT(ADDRESS(272,5))</f>
        <v>0</v>
      </c>
      <c r="Q272">
        <f>sumifs(q:q,A:A,"总成",B:B,"952-180000-100")*INDIRECT(ADDRESS(272,5))</f>
        <v>0</v>
      </c>
      <c r="R272">
        <f>sumifs(r:r,A:A,"总成",B:B,"952-180000-100")*INDIRECT(ADDRESS(272,5))</f>
        <v>0</v>
      </c>
      <c r="S272">
        <f>sumifs(s:s,A:A,"总成",B:B,"952-180000-100")*INDIRECT(ADDRESS(272,5))</f>
        <v>0</v>
      </c>
      <c r="T272">
        <f>sumifs(t:t,A:A,"总成",B:B,"952-180000-100")*INDIRECT(ADDRESS(272,5))</f>
        <v>0</v>
      </c>
      <c r="U272">
        <f>sumifs(u:u,A:A,"总成",B:B,"952-180000-100")*INDIRECT(ADDRESS(272,5))</f>
        <v>0</v>
      </c>
      <c r="V272">
        <f>sumifs(v:v,A:A,"总成",B:B,"952-180000-100")*INDIRECT(ADDRESS(272,5))</f>
        <v>0</v>
      </c>
      <c r="W272">
        <f>sumifs(w:w,A:A,"总成",B:B,"952-180000-100")*INDIRECT(ADDRESS(272,5))</f>
        <v>0</v>
      </c>
      <c r="X272">
        <f>sumifs(x:x,A:A,"总成",B:B,"952-180000-100")*INDIRECT(ADDRESS(272,5))</f>
        <v>0</v>
      </c>
      <c r="Y272">
        <f>sumifs(y:y,A:A,"总成",B:B,"952-180000-100")*INDIRECT(ADDRESS(272,5))</f>
        <v>0</v>
      </c>
      <c r="Z272">
        <f>sumifs(z:z,A:A,"总成",B:B,"952-180000-100")*INDIRECT(ADDRESS(272,5))</f>
        <v>0</v>
      </c>
      <c r="AA272">
        <f>sumifs(aa:aa,A:A,"总成",B:B,"952-180000-100")*INDIRECT(ADDRESS(272,5))</f>
        <v>0</v>
      </c>
      <c r="AB272">
        <f>sumifs(ab:ab,A:A,"总成",B:B,"952-180000-100")*INDIRECT(ADDRESS(272,5))</f>
        <v>0</v>
      </c>
      <c r="AC272">
        <f>sumifs(ac:ac,A:A,"总成",B:B,"952-180000-100")*INDIRECT(ADDRESS(272,5))</f>
        <v>0</v>
      </c>
      <c r="AD272">
        <f>sumifs(ad:ad,A:A,"总成",B:B,"952-180000-100")*INDIRECT(ADDRESS(272,5))</f>
        <v>0</v>
      </c>
      <c r="AE272">
        <f>sumifs(ae:ae,A:A,"总成",B:B,"952-180000-100")*INDIRECT(ADDRESS(272,5))</f>
        <v>0</v>
      </c>
      <c r="AF272">
        <f>sumifs(af:af,A:A,"总成",B:B,"952-180000-100")*INDIRECT(ADDRESS(272,5))</f>
        <v>0</v>
      </c>
      <c r="AG272">
        <f>sumifs(ag:ag,A:A,"总成",B:B,"952-180000-100")*INDIRECT(ADDRESS(272,5))</f>
        <v>0</v>
      </c>
      <c r="AH272">
        <f>sumifs(ah:ah,A:A,"总成",B:B,"952-180000-100")*INDIRECT(ADDRESS(272,5))</f>
        <v>0</v>
      </c>
      <c r="AI272">
        <f>sumifs(ai:ai,A:A,"总成",B:B,"952-180000-100")*INDIRECT(ADDRESS(272,5))</f>
        <v>0</v>
      </c>
      <c r="AJ272">
        <f>sumifs(aj:aj,A:A,"总成",B:B,"952-180000-100")*INDIRECT(ADDRESS(272,5))</f>
        <v>0</v>
      </c>
      <c r="AK272">
        <f>sumifs(ak:ak,A:A,"总成",B:B,"952-180000-100")*INDIRECT(ADDRESS(272,5))</f>
        <v>0</v>
      </c>
      <c r="AL272">
        <f>sumifs(al:al,A:A,"总成",B:B,"952-180000-100")*INDIRECT(ADDRESS(272,5))</f>
        <v>0</v>
      </c>
      <c r="AM272">
        <f>sumifs(am:am,A:A,"总成",B:B,"952-180000-100")*INDIRECT(ADDRESS(272,5))</f>
        <v>0</v>
      </c>
      <c r="AN272">
        <f>sumifs(an:an,A:A,"总成",B:B,"952-180000-100")*INDIRECT(ADDRESS(272,5))</f>
        <v>0</v>
      </c>
      <c r="AO272">
        <f>sumifs(ao:ao,A:A,"总成",B:B,"952-180000-100")*INDIRECT(ADDRESS(272,5))</f>
        <v>0</v>
      </c>
      <c r="AP272">
        <f>sumifs(ap:ap,A:A,"总成",B:B,"952-180000-100")*INDIRECT(ADDRESS(272,5))</f>
        <v>0</v>
      </c>
      <c r="AQ272">
        <f>sumifs(aq:aq,A:A,"总成",B:B,"952-180000-100")*INDIRECT(ADDRESS(272,5))</f>
        <v>0</v>
      </c>
      <c r="AR272">
        <f>sumifs(ar:ar,A:A,"总成",B:B,"952-180000-100")*INDIRECT(ADDRESS(272,5))</f>
        <v>0</v>
      </c>
    </row>
    <row r="273" spans="1:44">
      <c r="A273" t="s">
        <v>31</v>
      </c>
      <c r="B273" t="s">
        <v>556</v>
      </c>
      <c r="C273" t="s">
        <v>557</v>
      </c>
      <c r="D273" t="s">
        <v>554</v>
      </c>
      <c r="E273" t="s">
        <v>444</v>
      </c>
      <c r="F273" t="s">
        <v>558</v>
      </c>
      <c r="K273" t="s">
        <v>516</v>
      </c>
      <c r="L273" t="s">
        <v>37</v>
      </c>
      <c r="M273">
        <f>sumifs(m:m,A:A,"总成",B:B,"952-180000-100")*INDIRECT(ADDRESS(273,5))</f>
        <v>0</v>
      </c>
      <c r="N273">
        <f>sumifs(n:n,A:A,"总成",B:B,"952-180000-100")*INDIRECT(ADDRESS(273,5))</f>
        <v>0</v>
      </c>
      <c r="O273">
        <f>sumifs(o:o,A:A,"总成",B:B,"952-180000-100")*INDIRECT(ADDRESS(273,5))</f>
        <v>0</v>
      </c>
      <c r="P273">
        <f>sumifs(p:p,A:A,"总成",B:B,"952-180000-100")*INDIRECT(ADDRESS(273,5))</f>
        <v>0</v>
      </c>
      <c r="Q273">
        <f>sumifs(q:q,A:A,"总成",B:B,"952-180000-100")*INDIRECT(ADDRESS(273,5))</f>
        <v>0</v>
      </c>
      <c r="R273">
        <f>sumifs(r:r,A:A,"总成",B:B,"952-180000-100")*INDIRECT(ADDRESS(273,5))</f>
        <v>0</v>
      </c>
      <c r="S273">
        <f>sumifs(s:s,A:A,"总成",B:B,"952-180000-100")*INDIRECT(ADDRESS(273,5))</f>
        <v>0</v>
      </c>
      <c r="T273">
        <f>sumifs(t:t,A:A,"总成",B:B,"952-180000-100")*INDIRECT(ADDRESS(273,5))</f>
        <v>0</v>
      </c>
      <c r="U273">
        <f>sumifs(u:u,A:A,"总成",B:B,"952-180000-100")*INDIRECT(ADDRESS(273,5))</f>
        <v>0</v>
      </c>
      <c r="V273">
        <f>sumifs(v:v,A:A,"总成",B:B,"952-180000-100")*INDIRECT(ADDRESS(273,5))</f>
        <v>0</v>
      </c>
      <c r="W273">
        <f>sumifs(w:w,A:A,"总成",B:B,"952-180000-100")*INDIRECT(ADDRESS(273,5))</f>
        <v>0</v>
      </c>
      <c r="X273">
        <f>sumifs(x:x,A:A,"总成",B:B,"952-180000-100")*INDIRECT(ADDRESS(273,5))</f>
        <v>0</v>
      </c>
      <c r="Y273">
        <f>sumifs(y:y,A:A,"总成",B:B,"952-180000-100")*INDIRECT(ADDRESS(273,5))</f>
        <v>0</v>
      </c>
      <c r="Z273">
        <f>sumifs(z:z,A:A,"总成",B:B,"952-180000-100")*INDIRECT(ADDRESS(273,5))</f>
        <v>0</v>
      </c>
      <c r="AA273">
        <f>sumifs(aa:aa,A:A,"总成",B:B,"952-180000-100")*INDIRECT(ADDRESS(273,5))</f>
        <v>0</v>
      </c>
      <c r="AB273">
        <f>sumifs(ab:ab,A:A,"总成",B:B,"952-180000-100")*INDIRECT(ADDRESS(273,5))</f>
        <v>0</v>
      </c>
      <c r="AC273">
        <f>sumifs(ac:ac,A:A,"总成",B:B,"952-180000-100")*INDIRECT(ADDRESS(273,5))</f>
        <v>0</v>
      </c>
      <c r="AD273">
        <f>sumifs(ad:ad,A:A,"总成",B:B,"952-180000-100")*INDIRECT(ADDRESS(273,5))</f>
        <v>0</v>
      </c>
      <c r="AE273">
        <f>sumifs(ae:ae,A:A,"总成",B:B,"952-180000-100")*INDIRECT(ADDRESS(273,5))</f>
        <v>0</v>
      </c>
      <c r="AF273">
        <f>sumifs(af:af,A:A,"总成",B:B,"952-180000-100")*INDIRECT(ADDRESS(273,5))</f>
        <v>0</v>
      </c>
      <c r="AG273">
        <f>sumifs(ag:ag,A:A,"总成",B:B,"952-180000-100")*INDIRECT(ADDRESS(273,5))</f>
        <v>0</v>
      </c>
      <c r="AH273">
        <f>sumifs(ah:ah,A:A,"总成",B:B,"952-180000-100")*INDIRECT(ADDRESS(273,5))</f>
        <v>0</v>
      </c>
      <c r="AI273">
        <f>sumifs(ai:ai,A:A,"总成",B:B,"952-180000-100")*INDIRECT(ADDRESS(273,5))</f>
        <v>0</v>
      </c>
      <c r="AJ273">
        <f>sumifs(aj:aj,A:A,"总成",B:B,"952-180000-100")*INDIRECT(ADDRESS(273,5))</f>
        <v>0</v>
      </c>
      <c r="AK273">
        <f>sumifs(ak:ak,A:A,"总成",B:B,"952-180000-100")*INDIRECT(ADDRESS(273,5))</f>
        <v>0</v>
      </c>
      <c r="AL273">
        <f>sumifs(al:al,A:A,"总成",B:B,"952-180000-100")*INDIRECT(ADDRESS(273,5))</f>
        <v>0</v>
      </c>
      <c r="AM273">
        <f>sumifs(am:am,A:A,"总成",B:B,"952-180000-100")*INDIRECT(ADDRESS(273,5))</f>
        <v>0</v>
      </c>
      <c r="AN273">
        <f>sumifs(an:an,A:A,"总成",B:B,"952-180000-100")*INDIRECT(ADDRESS(273,5))</f>
        <v>0</v>
      </c>
      <c r="AO273">
        <f>sumifs(ao:ao,A:A,"总成",B:B,"952-180000-100")*INDIRECT(ADDRESS(273,5))</f>
        <v>0</v>
      </c>
      <c r="AP273">
        <f>sumifs(ap:ap,A:A,"总成",B:B,"952-180000-100")*INDIRECT(ADDRESS(273,5))</f>
        <v>0</v>
      </c>
      <c r="AQ273">
        <f>sumifs(aq:aq,A:A,"总成",B:B,"952-180000-100")*INDIRECT(ADDRESS(273,5))</f>
        <v>0</v>
      </c>
      <c r="AR273">
        <f>sumifs(ar:ar,A:A,"总成",B:B,"952-180000-100")*INDIRECT(ADDRESS(273,5))</f>
        <v>0</v>
      </c>
    </row>
    <row r="274" spans="1:44">
      <c r="A274" t="s">
        <v>31</v>
      </c>
      <c r="B274" t="s">
        <v>559</v>
      </c>
      <c r="C274" t="s">
        <v>560</v>
      </c>
      <c r="D274" t="s">
        <v>547</v>
      </c>
      <c r="E274">
        <v>1</v>
      </c>
      <c r="F274" t="s">
        <v>561</v>
      </c>
      <c r="K274" t="s">
        <v>516</v>
      </c>
      <c r="L274" t="s">
        <v>37</v>
      </c>
      <c r="M274">
        <f>sumifs(m:m,A:A,"总成",B:B,"952-180000-100")*INDIRECT(ADDRESS(274,5))</f>
        <v>0</v>
      </c>
      <c r="N274">
        <f>sumifs(n:n,A:A,"总成",B:B,"952-180000-100")*INDIRECT(ADDRESS(274,5))</f>
        <v>0</v>
      </c>
      <c r="O274">
        <f>sumifs(o:o,A:A,"总成",B:B,"952-180000-100")*INDIRECT(ADDRESS(274,5))</f>
        <v>0</v>
      </c>
      <c r="P274">
        <f>sumifs(p:p,A:A,"总成",B:B,"952-180000-100")*INDIRECT(ADDRESS(274,5))</f>
        <v>0</v>
      </c>
      <c r="Q274">
        <f>sumifs(q:q,A:A,"总成",B:B,"952-180000-100")*INDIRECT(ADDRESS(274,5))</f>
        <v>0</v>
      </c>
      <c r="R274">
        <f>sumifs(r:r,A:A,"总成",B:B,"952-180000-100")*INDIRECT(ADDRESS(274,5))</f>
        <v>0</v>
      </c>
      <c r="S274">
        <f>sumifs(s:s,A:A,"总成",B:B,"952-180000-100")*INDIRECT(ADDRESS(274,5))</f>
        <v>0</v>
      </c>
      <c r="T274">
        <f>sumifs(t:t,A:A,"总成",B:B,"952-180000-100")*INDIRECT(ADDRESS(274,5))</f>
        <v>0</v>
      </c>
      <c r="U274">
        <f>sumifs(u:u,A:A,"总成",B:B,"952-180000-100")*INDIRECT(ADDRESS(274,5))</f>
        <v>0</v>
      </c>
      <c r="V274">
        <f>sumifs(v:v,A:A,"总成",B:B,"952-180000-100")*INDIRECT(ADDRESS(274,5))</f>
        <v>0</v>
      </c>
      <c r="W274">
        <f>sumifs(w:w,A:A,"总成",B:B,"952-180000-100")*INDIRECT(ADDRESS(274,5))</f>
        <v>0</v>
      </c>
      <c r="X274">
        <f>sumifs(x:x,A:A,"总成",B:B,"952-180000-100")*INDIRECT(ADDRESS(274,5))</f>
        <v>0</v>
      </c>
      <c r="Y274">
        <f>sumifs(y:y,A:A,"总成",B:B,"952-180000-100")*INDIRECT(ADDRESS(274,5))</f>
        <v>0</v>
      </c>
      <c r="Z274">
        <f>sumifs(z:z,A:A,"总成",B:B,"952-180000-100")*INDIRECT(ADDRESS(274,5))</f>
        <v>0</v>
      </c>
      <c r="AA274">
        <f>sumifs(aa:aa,A:A,"总成",B:B,"952-180000-100")*INDIRECT(ADDRESS(274,5))</f>
        <v>0</v>
      </c>
      <c r="AB274">
        <f>sumifs(ab:ab,A:A,"总成",B:B,"952-180000-100")*INDIRECT(ADDRESS(274,5))</f>
        <v>0</v>
      </c>
      <c r="AC274">
        <f>sumifs(ac:ac,A:A,"总成",B:B,"952-180000-100")*INDIRECT(ADDRESS(274,5))</f>
        <v>0</v>
      </c>
      <c r="AD274">
        <f>sumifs(ad:ad,A:A,"总成",B:B,"952-180000-100")*INDIRECT(ADDRESS(274,5))</f>
        <v>0</v>
      </c>
      <c r="AE274">
        <f>sumifs(ae:ae,A:A,"总成",B:B,"952-180000-100")*INDIRECT(ADDRESS(274,5))</f>
        <v>0</v>
      </c>
      <c r="AF274">
        <f>sumifs(af:af,A:A,"总成",B:B,"952-180000-100")*INDIRECT(ADDRESS(274,5))</f>
        <v>0</v>
      </c>
      <c r="AG274">
        <f>sumifs(ag:ag,A:A,"总成",B:B,"952-180000-100")*INDIRECT(ADDRESS(274,5))</f>
        <v>0</v>
      </c>
      <c r="AH274">
        <f>sumifs(ah:ah,A:A,"总成",B:B,"952-180000-100")*INDIRECT(ADDRESS(274,5))</f>
        <v>0</v>
      </c>
      <c r="AI274">
        <f>sumifs(ai:ai,A:A,"总成",B:B,"952-180000-100")*INDIRECT(ADDRESS(274,5))</f>
        <v>0</v>
      </c>
      <c r="AJ274">
        <f>sumifs(aj:aj,A:A,"总成",B:B,"952-180000-100")*INDIRECT(ADDRESS(274,5))</f>
        <v>0</v>
      </c>
      <c r="AK274">
        <f>sumifs(ak:ak,A:A,"总成",B:B,"952-180000-100")*INDIRECT(ADDRESS(274,5))</f>
        <v>0</v>
      </c>
      <c r="AL274">
        <f>sumifs(al:al,A:A,"总成",B:B,"952-180000-100")*INDIRECT(ADDRESS(274,5))</f>
        <v>0</v>
      </c>
      <c r="AM274">
        <f>sumifs(am:am,A:A,"总成",B:B,"952-180000-100")*INDIRECT(ADDRESS(274,5))</f>
        <v>0</v>
      </c>
      <c r="AN274">
        <f>sumifs(an:an,A:A,"总成",B:B,"952-180000-100")*INDIRECT(ADDRESS(274,5))</f>
        <v>0</v>
      </c>
      <c r="AO274">
        <f>sumifs(ao:ao,A:A,"总成",B:B,"952-180000-100")*INDIRECT(ADDRESS(274,5))</f>
        <v>0</v>
      </c>
      <c r="AP274">
        <f>sumifs(ap:ap,A:A,"总成",B:B,"952-180000-100")*INDIRECT(ADDRESS(274,5))</f>
        <v>0</v>
      </c>
      <c r="AQ274">
        <f>sumifs(aq:aq,A:A,"总成",B:B,"952-180000-100")*INDIRECT(ADDRESS(274,5))</f>
        <v>0</v>
      </c>
      <c r="AR274">
        <f>sumifs(ar:ar,A:A,"总成",B:B,"952-180000-100")*INDIRECT(ADDRESS(274,5))</f>
        <v>0</v>
      </c>
    </row>
    <row r="275" spans="1:44">
      <c r="A275" t="s">
        <v>31</v>
      </c>
      <c r="B275" t="s">
        <v>562</v>
      </c>
      <c r="C275" t="s">
        <v>563</v>
      </c>
      <c r="D275" t="s">
        <v>564</v>
      </c>
      <c r="E275">
        <v>1</v>
      </c>
      <c r="F275" t="s">
        <v>565</v>
      </c>
      <c r="K275" t="s">
        <v>516</v>
      </c>
      <c r="L275" t="s">
        <v>37</v>
      </c>
      <c r="M275">
        <f>sumifs(m:m,A:A,"总成",B:B,"952-180000-100")*INDIRECT(ADDRESS(275,5))</f>
        <v>0</v>
      </c>
      <c r="N275">
        <f>sumifs(n:n,A:A,"总成",B:B,"952-180000-100")*INDIRECT(ADDRESS(275,5))</f>
        <v>0</v>
      </c>
      <c r="O275">
        <f>sumifs(o:o,A:A,"总成",B:B,"952-180000-100")*INDIRECT(ADDRESS(275,5))</f>
        <v>0</v>
      </c>
      <c r="P275">
        <f>sumifs(p:p,A:A,"总成",B:B,"952-180000-100")*INDIRECT(ADDRESS(275,5))</f>
        <v>0</v>
      </c>
      <c r="Q275">
        <f>sumifs(q:q,A:A,"总成",B:B,"952-180000-100")*INDIRECT(ADDRESS(275,5))</f>
        <v>0</v>
      </c>
      <c r="R275">
        <f>sumifs(r:r,A:A,"总成",B:B,"952-180000-100")*INDIRECT(ADDRESS(275,5))</f>
        <v>0</v>
      </c>
      <c r="S275">
        <f>sumifs(s:s,A:A,"总成",B:B,"952-180000-100")*INDIRECT(ADDRESS(275,5))</f>
        <v>0</v>
      </c>
      <c r="T275">
        <f>sumifs(t:t,A:A,"总成",B:B,"952-180000-100")*INDIRECT(ADDRESS(275,5))</f>
        <v>0</v>
      </c>
      <c r="U275">
        <f>sumifs(u:u,A:A,"总成",B:B,"952-180000-100")*INDIRECT(ADDRESS(275,5))</f>
        <v>0</v>
      </c>
      <c r="V275">
        <f>sumifs(v:v,A:A,"总成",B:B,"952-180000-100")*INDIRECT(ADDRESS(275,5))</f>
        <v>0</v>
      </c>
      <c r="W275">
        <f>sumifs(w:w,A:A,"总成",B:B,"952-180000-100")*INDIRECT(ADDRESS(275,5))</f>
        <v>0</v>
      </c>
      <c r="X275">
        <f>sumifs(x:x,A:A,"总成",B:B,"952-180000-100")*INDIRECT(ADDRESS(275,5))</f>
        <v>0</v>
      </c>
      <c r="Y275">
        <f>sumifs(y:y,A:A,"总成",B:B,"952-180000-100")*INDIRECT(ADDRESS(275,5))</f>
        <v>0</v>
      </c>
      <c r="Z275">
        <f>sumifs(z:z,A:A,"总成",B:B,"952-180000-100")*INDIRECT(ADDRESS(275,5))</f>
        <v>0</v>
      </c>
      <c r="AA275">
        <f>sumifs(aa:aa,A:A,"总成",B:B,"952-180000-100")*INDIRECT(ADDRESS(275,5))</f>
        <v>0</v>
      </c>
      <c r="AB275">
        <f>sumifs(ab:ab,A:A,"总成",B:B,"952-180000-100")*INDIRECT(ADDRESS(275,5))</f>
        <v>0</v>
      </c>
      <c r="AC275">
        <f>sumifs(ac:ac,A:A,"总成",B:B,"952-180000-100")*INDIRECT(ADDRESS(275,5))</f>
        <v>0</v>
      </c>
      <c r="AD275">
        <f>sumifs(ad:ad,A:A,"总成",B:B,"952-180000-100")*INDIRECT(ADDRESS(275,5))</f>
        <v>0</v>
      </c>
      <c r="AE275">
        <f>sumifs(ae:ae,A:A,"总成",B:B,"952-180000-100")*INDIRECT(ADDRESS(275,5))</f>
        <v>0</v>
      </c>
      <c r="AF275">
        <f>sumifs(af:af,A:A,"总成",B:B,"952-180000-100")*INDIRECT(ADDRESS(275,5))</f>
        <v>0</v>
      </c>
      <c r="AG275">
        <f>sumifs(ag:ag,A:A,"总成",B:B,"952-180000-100")*INDIRECT(ADDRESS(275,5))</f>
        <v>0</v>
      </c>
      <c r="AH275">
        <f>sumifs(ah:ah,A:A,"总成",B:B,"952-180000-100")*INDIRECT(ADDRESS(275,5))</f>
        <v>0</v>
      </c>
      <c r="AI275">
        <f>sumifs(ai:ai,A:A,"总成",B:B,"952-180000-100")*INDIRECT(ADDRESS(275,5))</f>
        <v>0</v>
      </c>
      <c r="AJ275">
        <f>sumifs(aj:aj,A:A,"总成",B:B,"952-180000-100")*INDIRECT(ADDRESS(275,5))</f>
        <v>0</v>
      </c>
      <c r="AK275">
        <f>sumifs(ak:ak,A:A,"总成",B:B,"952-180000-100")*INDIRECT(ADDRESS(275,5))</f>
        <v>0</v>
      </c>
      <c r="AL275">
        <f>sumifs(al:al,A:A,"总成",B:B,"952-180000-100")*INDIRECT(ADDRESS(275,5))</f>
        <v>0</v>
      </c>
      <c r="AM275">
        <f>sumifs(am:am,A:A,"总成",B:B,"952-180000-100")*INDIRECT(ADDRESS(275,5))</f>
        <v>0</v>
      </c>
      <c r="AN275">
        <f>sumifs(an:an,A:A,"总成",B:B,"952-180000-100")*INDIRECT(ADDRESS(275,5))</f>
        <v>0</v>
      </c>
      <c r="AO275">
        <f>sumifs(ao:ao,A:A,"总成",B:B,"952-180000-100")*INDIRECT(ADDRESS(275,5))</f>
        <v>0</v>
      </c>
      <c r="AP275">
        <f>sumifs(ap:ap,A:A,"总成",B:B,"952-180000-100")*INDIRECT(ADDRESS(275,5))</f>
        <v>0</v>
      </c>
      <c r="AQ275">
        <f>sumifs(aq:aq,A:A,"总成",B:B,"952-180000-100")*INDIRECT(ADDRESS(275,5))</f>
        <v>0</v>
      </c>
      <c r="AR275">
        <f>sumifs(ar:ar,A:A,"总成",B:B,"952-180000-100")*INDIRECT(ADDRESS(275,5))</f>
        <v>0</v>
      </c>
    </row>
    <row r="276" spans="1:44">
      <c r="A276" t="s">
        <v>31</v>
      </c>
      <c r="B276" t="s">
        <v>566</v>
      </c>
      <c r="C276" t="s">
        <v>567</v>
      </c>
      <c r="E276" t="s">
        <v>444</v>
      </c>
      <c r="F276" t="s">
        <v>568</v>
      </c>
      <c r="K276" t="s">
        <v>516</v>
      </c>
      <c r="L276" t="s">
        <v>37</v>
      </c>
      <c r="M276">
        <f>sumifs(m:m,A:A,"总成",B:B,"952-180000-100")*INDIRECT(ADDRESS(276,5))</f>
        <v>0</v>
      </c>
      <c r="N276">
        <f>sumifs(n:n,A:A,"总成",B:B,"952-180000-100")*INDIRECT(ADDRESS(276,5))</f>
        <v>0</v>
      </c>
      <c r="O276">
        <f>sumifs(o:o,A:A,"总成",B:B,"952-180000-100")*INDIRECT(ADDRESS(276,5))</f>
        <v>0</v>
      </c>
      <c r="P276">
        <f>sumifs(p:p,A:A,"总成",B:B,"952-180000-100")*INDIRECT(ADDRESS(276,5))</f>
        <v>0</v>
      </c>
      <c r="Q276">
        <f>sumifs(q:q,A:A,"总成",B:B,"952-180000-100")*INDIRECT(ADDRESS(276,5))</f>
        <v>0</v>
      </c>
      <c r="R276">
        <f>sumifs(r:r,A:A,"总成",B:B,"952-180000-100")*INDIRECT(ADDRESS(276,5))</f>
        <v>0</v>
      </c>
      <c r="S276">
        <f>sumifs(s:s,A:A,"总成",B:B,"952-180000-100")*INDIRECT(ADDRESS(276,5))</f>
        <v>0</v>
      </c>
      <c r="T276">
        <f>sumifs(t:t,A:A,"总成",B:B,"952-180000-100")*INDIRECT(ADDRESS(276,5))</f>
        <v>0</v>
      </c>
      <c r="U276">
        <f>sumifs(u:u,A:A,"总成",B:B,"952-180000-100")*INDIRECT(ADDRESS(276,5))</f>
        <v>0</v>
      </c>
      <c r="V276">
        <f>sumifs(v:v,A:A,"总成",B:B,"952-180000-100")*INDIRECT(ADDRESS(276,5))</f>
        <v>0</v>
      </c>
      <c r="W276">
        <f>sumifs(w:w,A:A,"总成",B:B,"952-180000-100")*INDIRECT(ADDRESS(276,5))</f>
        <v>0</v>
      </c>
      <c r="X276">
        <f>sumifs(x:x,A:A,"总成",B:B,"952-180000-100")*INDIRECT(ADDRESS(276,5))</f>
        <v>0</v>
      </c>
      <c r="Y276">
        <f>sumifs(y:y,A:A,"总成",B:B,"952-180000-100")*INDIRECT(ADDRESS(276,5))</f>
        <v>0</v>
      </c>
      <c r="Z276">
        <f>sumifs(z:z,A:A,"总成",B:B,"952-180000-100")*INDIRECT(ADDRESS(276,5))</f>
        <v>0</v>
      </c>
      <c r="AA276">
        <f>sumifs(aa:aa,A:A,"总成",B:B,"952-180000-100")*INDIRECT(ADDRESS(276,5))</f>
        <v>0</v>
      </c>
      <c r="AB276">
        <f>sumifs(ab:ab,A:A,"总成",B:B,"952-180000-100")*INDIRECT(ADDRESS(276,5))</f>
        <v>0</v>
      </c>
      <c r="AC276">
        <f>sumifs(ac:ac,A:A,"总成",B:B,"952-180000-100")*INDIRECT(ADDRESS(276,5))</f>
        <v>0</v>
      </c>
      <c r="AD276">
        <f>sumifs(ad:ad,A:A,"总成",B:B,"952-180000-100")*INDIRECT(ADDRESS(276,5))</f>
        <v>0</v>
      </c>
      <c r="AE276">
        <f>sumifs(ae:ae,A:A,"总成",B:B,"952-180000-100")*INDIRECT(ADDRESS(276,5))</f>
        <v>0</v>
      </c>
      <c r="AF276">
        <f>sumifs(af:af,A:A,"总成",B:B,"952-180000-100")*INDIRECT(ADDRESS(276,5))</f>
        <v>0</v>
      </c>
      <c r="AG276">
        <f>sumifs(ag:ag,A:A,"总成",B:B,"952-180000-100")*INDIRECT(ADDRESS(276,5))</f>
        <v>0</v>
      </c>
      <c r="AH276">
        <f>sumifs(ah:ah,A:A,"总成",B:B,"952-180000-100")*INDIRECT(ADDRESS(276,5))</f>
        <v>0</v>
      </c>
      <c r="AI276">
        <f>sumifs(ai:ai,A:A,"总成",B:B,"952-180000-100")*INDIRECT(ADDRESS(276,5))</f>
        <v>0</v>
      </c>
      <c r="AJ276">
        <f>sumifs(aj:aj,A:A,"总成",B:B,"952-180000-100")*INDIRECT(ADDRESS(276,5))</f>
        <v>0</v>
      </c>
      <c r="AK276">
        <f>sumifs(ak:ak,A:A,"总成",B:B,"952-180000-100")*INDIRECT(ADDRESS(276,5))</f>
        <v>0</v>
      </c>
      <c r="AL276">
        <f>sumifs(al:al,A:A,"总成",B:B,"952-180000-100")*INDIRECT(ADDRESS(276,5))</f>
        <v>0</v>
      </c>
      <c r="AM276">
        <f>sumifs(am:am,A:A,"总成",B:B,"952-180000-100")*INDIRECT(ADDRESS(276,5))</f>
        <v>0</v>
      </c>
      <c r="AN276">
        <f>sumifs(an:an,A:A,"总成",B:B,"952-180000-100")*INDIRECT(ADDRESS(276,5))</f>
        <v>0</v>
      </c>
      <c r="AO276">
        <f>sumifs(ao:ao,A:A,"总成",B:B,"952-180000-100")*INDIRECT(ADDRESS(276,5))</f>
        <v>0</v>
      </c>
      <c r="AP276">
        <f>sumifs(ap:ap,A:A,"总成",B:B,"952-180000-100")*INDIRECT(ADDRESS(276,5))</f>
        <v>0</v>
      </c>
      <c r="AQ276">
        <f>sumifs(aq:aq,A:A,"总成",B:B,"952-180000-100")*INDIRECT(ADDRESS(276,5))</f>
        <v>0</v>
      </c>
      <c r="AR276">
        <f>sumifs(ar:ar,A:A,"总成",B:B,"952-180000-100")*INDIRECT(ADDRESS(276,5))</f>
        <v>0</v>
      </c>
    </row>
    <row r="277" spans="1:44">
      <c r="A277" t="s">
        <v>31</v>
      </c>
      <c r="B277" t="s">
        <v>569</v>
      </c>
      <c r="C277" t="s">
        <v>570</v>
      </c>
      <c r="D277" t="s">
        <v>480</v>
      </c>
      <c r="E277" t="s">
        <v>444</v>
      </c>
      <c r="F277" t="s">
        <v>571</v>
      </c>
      <c r="K277" t="s">
        <v>516</v>
      </c>
      <c r="L277" t="s">
        <v>37</v>
      </c>
      <c r="M277">
        <f>sumifs(m:m,A:A,"总成",B:B,"952-180000-100")*INDIRECT(ADDRESS(277,5))</f>
        <v>0</v>
      </c>
      <c r="N277">
        <f>sumifs(n:n,A:A,"总成",B:B,"952-180000-100")*INDIRECT(ADDRESS(277,5))</f>
        <v>0</v>
      </c>
      <c r="O277">
        <f>sumifs(o:o,A:A,"总成",B:B,"952-180000-100")*INDIRECT(ADDRESS(277,5))</f>
        <v>0</v>
      </c>
      <c r="P277">
        <f>sumifs(p:p,A:A,"总成",B:B,"952-180000-100")*INDIRECT(ADDRESS(277,5))</f>
        <v>0</v>
      </c>
      <c r="Q277">
        <f>sumifs(q:q,A:A,"总成",B:B,"952-180000-100")*INDIRECT(ADDRESS(277,5))</f>
        <v>0</v>
      </c>
      <c r="R277">
        <f>sumifs(r:r,A:A,"总成",B:B,"952-180000-100")*INDIRECT(ADDRESS(277,5))</f>
        <v>0</v>
      </c>
      <c r="S277">
        <f>sumifs(s:s,A:A,"总成",B:B,"952-180000-100")*INDIRECT(ADDRESS(277,5))</f>
        <v>0</v>
      </c>
      <c r="T277">
        <f>sumifs(t:t,A:A,"总成",B:B,"952-180000-100")*INDIRECT(ADDRESS(277,5))</f>
        <v>0</v>
      </c>
      <c r="U277">
        <f>sumifs(u:u,A:A,"总成",B:B,"952-180000-100")*INDIRECT(ADDRESS(277,5))</f>
        <v>0</v>
      </c>
      <c r="V277">
        <f>sumifs(v:v,A:A,"总成",B:B,"952-180000-100")*INDIRECT(ADDRESS(277,5))</f>
        <v>0</v>
      </c>
      <c r="W277">
        <f>sumifs(w:w,A:A,"总成",B:B,"952-180000-100")*INDIRECT(ADDRESS(277,5))</f>
        <v>0</v>
      </c>
      <c r="X277">
        <f>sumifs(x:x,A:A,"总成",B:B,"952-180000-100")*INDIRECT(ADDRESS(277,5))</f>
        <v>0</v>
      </c>
      <c r="Y277">
        <f>sumifs(y:y,A:A,"总成",B:B,"952-180000-100")*INDIRECT(ADDRESS(277,5))</f>
        <v>0</v>
      </c>
      <c r="Z277">
        <f>sumifs(z:z,A:A,"总成",B:B,"952-180000-100")*INDIRECT(ADDRESS(277,5))</f>
        <v>0</v>
      </c>
      <c r="AA277">
        <f>sumifs(aa:aa,A:A,"总成",B:B,"952-180000-100")*INDIRECT(ADDRESS(277,5))</f>
        <v>0</v>
      </c>
      <c r="AB277">
        <f>sumifs(ab:ab,A:A,"总成",B:B,"952-180000-100")*INDIRECT(ADDRESS(277,5))</f>
        <v>0</v>
      </c>
      <c r="AC277">
        <f>sumifs(ac:ac,A:A,"总成",B:B,"952-180000-100")*INDIRECT(ADDRESS(277,5))</f>
        <v>0</v>
      </c>
      <c r="AD277">
        <f>sumifs(ad:ad,A:A,"总成",B:B,"952-180000-100")*INDIRECT(ADDRESS(277,5))</f>
        <v>0</v>
      </c>
      <c r="AE277">
        <f>sumifs(ae:ae,A:A,"总成",B:B,"952-180000-100")*INDIRECT(ADDRESS(277,5))</f>
        <v>0</v>
      </c>
      <c r="AF277">
        <f>sumifs(af:af,A:A,"总成",B:B,"952-180000-100")*INDIRECT(ADDRESS(277,5))</f>
        <v>0</v>
      </c>
      <c r="AG277">
        <f>sumifs(ag:ag,A:A,"总成",B:B,"952-180000-100")*INDIRECT(ADDRESS(277,5))</f>
        <v>0</v>
      </c>
      <c r="AH277">
        <f>sumifs(ah:ah,A:A,"总成",B:B,"952-180000-100")*INDIRECT(ADDRESS(277,5))</f>
        <v>0</v>
      </c>
      <c r="AI277">
        <f>sumifs(ai:ai,A:A,"总成",B:B,"952-180000-100")*INDIRECT(ADDRESS(277,5))</f>
        <v>0</v>
      </c>
      <c r="AJ277">
        <f>sumifs(aj:aj,A:A,"总成",B:B,"952-180000-100")*INDIRECT(ADDRESS(277,5))</f>
        <v>0</v>
      </c>
      <c r="AK277">
        <f>sumifs(ak:ak,A:A,"总成",B:B,"952-180000-100")*INDIRECT(ADDRESS(277,5))</f>
        <v>0</v>
      </c>
      <c r="AL277">
        <f>sumifs(al:al,A:A,"总成",B:B,"952-180000-100")*INDIRECT(ADDRESS(277,5))</f>
        <v>0</v>
      </c>
      <c r="AM277">
        <f>sumifs(am:am,A:A,"总成",B:B,"952-180000-100")*INDIRECT(ADDRESS(277,5))</f>
        <v>0</v>
      </c>
      <c r="AN277">
        <f>sumifs(an:an,A:A,"总成",B:B,"952-180000-100")*INDIRECT(ADDRESS(277,5))</f>
        <v>0</v>
      </c>
      <c r="AO277">
        <f>sumifs(ao:ao,A:A,"总成",B:B,"952-180000-100")*INDIRECT(ADDRESS(277,5))</f>
        <v>0</v>
      </c>
      <c r="AP277">
        <f>sumifs(ap:ap,A:A,"总成",B:B,"952-180000-100")*INDIRECT(ADDRESS(277,5))</f>
        <v>0</v>
      </c>
      <c r="AQ277">
        <f>sumifs(aq:aq,A:A,"总成",B:B,"952-180000-100")*INDIRECT(ADDRESS(277,5))</f>
        <v>0</v>
      </c>
      <c r="AR277">
        <f>sumifs(ar:ar,A:A,"总成",B:B,"952-180000-100")*INDIRECT(ADDRESS(277,5))</f>
        <v>0</v>
      </c>
    </row>
    <row r="278" spans="1:44">
      <c r="A278" t="s">
        <v>31</v>
      </c>
      <c r="B278" t="s">
        <v>572</v>
      </c>
      <c r="C278" t="s">
        <v>573</v>
      </c>
      <c r="D278" t="s">
        <v>480</v>
      </c>
      <c r="E278" t="s">
        <v>444</v>
      </c>
      <c r="F278" t="s">
        <v>574</v>
      </c>
      <c r="K278" t="s">
        <v>516</v>
      </c>
      <c r="L278" t="s">
        <v>37</v>
      </c>
      <c r="M278">
        <f>sumifs(m:m,A:A,"总成",B:B,"952-180000-100")*INDIRECT(ADDRESS(278,5))</f>
        <v>0</v>
      </c>
      <c r="N278">
        <f>sumifs(n:n,A:A,"总成",B:B,"952-180000-100")*INDIRECT(ADDRESS(278,5))</f>
        <v>0</v>
      </c>
      <c r="O278">
        <f>sumifs(o:o,A:A,"总成",B:B,"952-180000-100")*INDIRECT(ADDRESS(278,5))</f>
        <v>0</v>
      </c>
      <c r="P278">
        <f>sumifs(p:p,A:A,"总成",B:B,"952-180000-100")*INDIRECT(ADDRESS(278,5))</f>
        <v>0</v>
      </c>
      <c r="Q278">
        <f>sumifs(q:q,A:A,"总成",B:B,"952-180000-100")*INDIRECT(ADDRESS(278,5))</f>
        <v>0</v>
      </c>
      <c r="R278">
        <f>sumifs(r:r,A:A,"总成",B:B,"952-180000-100")*INDIRECT(ADDRESS(278,5))</f>
        <v>0</v>
      </c>
      <c r="S278">
        <f>sumifs(s:s,A:A,"总成",B:B,"952-180000-100")*INDIRECT(ADDRESS(278,5))</f>
        <v>0</v>
      </c>
      <c r="T278">
        <f>sumifs(t:t,A:A,"总成",B:B,"952-180000-100")*INDIRECT(ADDRESS(278,5))</f>
        <v>0</v>
      </c>
      <c r="U278">
        <f>sumifs(u:u,A:A,"总成",B:B,"952-180000-100")*INDIRECT(ADDRESS(278,5))</f>
        <v>0</v>
      </c>
      <c r="V278">
        <f>sumifs(v:v,A:A,"总成",B:B,"952-180000-100")*INDIRECT(ADDRESS(278,5))</f>
        <v>0</v>
      </c>
      <c r="W278">
        <f>sumifs(w:w,A:A,"总成",B:B,"952-180000-100")*INDIRECT(ADDRESS(278,5))</f>
        <v>0</v>
      </c>
      <c r="X278">
        <f>sumifs(x:x,A:A,"总成",B:B,"952-180000-100")*INDIRECT(ADDRESS(278,5))</f>
        <v>0</v>
      </c>
      <c r="Y278">
        <f>sumifs(y:y,A:A,"总成",B:B,"952-180000-100")*INDIRECT(ADDRESS(278,5))</f>
        <v>0</v>
      </c>
      <c r="Z278">
        <f>sumifs(z:z,A:A,"总成",B:B,"952-180000-100")*INDIRECT(ADDRESS(278,5))</f>
        <v>0</v>
      </c>
      <c r="AA278">
        <f>sumifs(aa:aa,A:A,"总成",B:B,"952-180000-100")*INDIRECT(ADDRESS(278,5))</f>
        <v>0</v>
      </c>
      <c r="AB278">
        <f>sumifs(ab:ab,A:A,"总成",B:B,"952-180000-100")*INDIRECT(ADDRESS(278,5))</f>
        <v>0</v>
      </c>
      <c r="AC278">
        <f>sumifs(ac:ac,A:A,"总成",B:B,"952-180000-100")*INDIRECT(ADDRESS(278,5))</f>
        <v>0</v>
      </c>
      <c r="AD278">
        <f>sumifs(ad:ad,A:A,"总成",B:B,"952-180000-100")*INDIRECT(ADDRESS(278,5))</f>
        <v>0</v>
      </c>
      <c r="AE278">
        <f>sumifs(ae:ae,A:A,"总成",B:B,"952-180000-100")*INDIRECT(ADDRESS(278,5))</f>
        <v>0</v>
      </c>
      <c r="AF278">
        <f>sumifs(af:af,A:A,"总成",B:B,"952-180000-100")*INDIRECT(ADDRESS(278,5))</f>
        <v>0</v>
      </c>
      <c r="AG278">
        <f>sumifs(ag:ag,A:A,"总成",B:B,"952-180000-100")*INDIRECT(ADDRESS(278,5))</f>
        <v>0</v>
      </c>
      <c r="AH278">
        <f>sumifs(ah:ah,A:A,"总成",B:B,"952-180000-100")*INDIRECT(ADDRESS(278,5))</f>
        <v>0</v>
      </c>
      <c r="AI278">
        <f>sumifs(ai:ai,A:A,"总成",B:B,"952-180000-100")*INDIRECT(ADDRESS(278,5))</f>
        <v>0</v>
      </c>
      <c r="AJ278">
        <f>sumifs(aj:aj,A:A,"总成",B:B,"952-180000-100")*INDIRECT(ADDRESS(278,5))</f>
        <v>0</v>
      </c>
      <c r="AK278">
        <f>sumifs(ak:ak,A:A,"总成",B:B,"952-180000-100")*INDIRECT(ADDRESS(278,5))</f>
        <v>0</v>
      </c>
      <c r="AL278">
        <f>sumifs(al:al,A:A,"总成",B:B,"952-180000-100")*INDIRECT(ADDRESS(278,5))</f>
        <v>0</v>
      </c>
      <c r="AM278">
        <f>sumifs(am:am,A:A,"总成",B:B,"952-180000-100")*INDIRECT(ADDRESS(278,5))</f>
        <v>0</v>
      </c>
      <c r="AN278">
        <f>sumifs(an:an,A:A,"总成",B:B,"952-180000-100")*INDIRECT(ADDRESS(278,5))</f>
        <v>0</v>
      </c>
      <c r="AO278">
        <f>sumifs(ao:ao,A:A,"总成",B:B,"952-180000-100")*INDIRECT(ADDRESS(278,5))</f>
        <v>0</v>
      </c>
      <c r="AP278">
        <f>sumifs(ap:ap,A:A,"总成",B:B,"952-180000-100")*INDIRECT(ADDRESS(278,5))</f>
        <v>0</v>
      </c>
      <c r="AQ278">
        <f>sumifs(aq:aq,A:A,"总成",B:B,"952-180000-100")*INDIRECT(ADDRESS(278,5))</f>
        <v>0</v>
      </c>
      <c r="AR278">
        <f>sumifs(ar:ar,A:A,"总成",B:B,"952-180000-100")*INDIRECT(ADDRESS(278,5))</f>
        <v>0</v>
      </c>
    </row>
    <row r="279" spans="1:44">
      <c r="A279" t="s">
        <v>14</v>
      </c>
      <c r="B279" t="s">
        <v>575</v>
      </c>
      <c r="C279" t="s">
        <v>576</v>
      </c>
      <c r="E279" t="s">
        <v>444</v>
      </c>
      <c r="F279" t="s">
        <v>577</v>
      </c>
      <c r="K279" t="s">
        <v>516</v>
      </c>
      <c r="L279" t="s">
        <v>21</v>
      </c>
      <c r="M279">
        <f>vlookup("952-213000-100",生产发行表!B:AZ,column(l1),0)</f>
        <v>0</v>
      </c>
      <c r="N279">
        <f>vlookup("952-213000-100",生产发行表!B:AZ,column(m1),0)</f>
        <v>0</v>
      </c>
      <c r="O279">
        <f>vlookup("952-213000-100",生产发行表!B:AZ,column(n1),0)</f>
        <v>0</v>
      </c>
      <c r="P279">
        <f>vlookup("952-213000-100",生产发行表!B:AZ,column(o1),0)</f>
        <v>0</v>
      </c>
      <c r="Q279">
        <f>vlookup("952-213000-100",生产发行表!B:AZ,column(p1),0)</f>
        <v>0</v>
      </c>
      <c r="R279">
        <f>vlookup("952-213000-100",生产发行表!B:AZ,column(q1),0)</f>
        <v>0</v>
      </c>
      <c r="S279">
        <f>vlookup("952-213000-100",生产发行表!B:AZ,column(r1),0)</f>
        <v>0</v>
      </c>
      <c r="T279">
        <f>vlookup("952-213000-100",生产发行表!B:AZ,column(s1),0)</f>
        <v>0</v>
      </c>
      <c r="U279">
        <f>vlookup("952-213000-100",生产发行表!B:AZ,column(t1),0)</f>
        <v>0</v>
      </c>
      <c r="V279">
        <f>vlookup("952-213000-100",生产发行表!B:AZ,column(u1),0)</f>
        <v>0</v>
      </c>
      <c r="W279">
        <f>vlookup("952-213000-100",生产发行表!B:AZ,column(v1),0)</f>
        <v>0</v>
      </c>
      <c r="X279">
        <f>vlookup("952-213000-100",生产发行表!B:AZ,column(w1),0)</f>
        <v>0</v>
      </c>
      <c r="Y279">
        <f>vlookup("952-213000-100",生产发行表!B:AZ,column(x1),0)</f>
        <v>0</v>
      </c>
      <c r="Z279">
        <f>vlookup("952-213000-100",生产发行表!B:AZ,column(y1),0)</f>
        <v>0</v>
      </c>
      <c r="AA279">
        <f>vlookup("952-213000-100",生产发行表!B:AZ,column(z1),0)</f>
        <v>0</v>
      </c>
      <c r="AB279">
        <f>vlookup("952-213000-100",生产发行表!B:AZ,column(aa1),0)</f>
        <v>0</v>
      </c>
      <c r="AC279">
        <f>vlookup("952-213000-100",生产发行表!B:AZ,column(ab1),0)</f>
        <v>0</v>
      </c>
      <c r="AD279">
        <f>vlookup("952-213000-100",生产发行表!B:AZ,column(ac1),0)</f>
        <v>0</v>
      </c>
      <c r="AE279">
        <f>vlookup("952-213000-100",生产发行表!B:AZ,column(ad1),0)</f>
        <v>0</v>
      </c>
      <c r="AF279">
        <f>vlookup("952-213000-100",生产发行表!B:AZ,column(ae1),0)</f>
        <v>0</v>
      </c>
      <c r="AG279">
        <f>vlookup("952-213000-100",生产发行表!B:AZ,column(af1),0)</f>
        <v>0</v>
      </c>
      <c r="AH279">
        <f>vlookup("952-213000-100",生产发行表!B:AZ,column(ag1),0)</f>
        <v>0</v>
      </c>
      <c r="AI279">
        <f>vlookup("952-213000-100",生产发行表!B:AZ,column(ah1),0)</f>
        <v>0</v>
      </c>
      <c r="AJ279">
        <f>vlookup("952-213000-100",生产发行表!B:AZ,column(ai1),0)</f>
        <v>0</v>
      </c>
      <c r="AK279">
        <f>vlookup("952-213000-100",生产发行表!B:AZ,column(aj1),0)</f>
        <v>0</v>
      </c>
      <c r="AL279">
        <f>vlookup("952-213000-100",生产发行表!B:AZ,column(ak1),0)</f>
        <v>0</v>
      </c>
      <c r="AM279">
        <f>vlookup("952-213000-100",生产发行表!B:AZ,column(al1),0)</f>
        <v>0</v>
      </c>
      <c r="AN279">
        <f>vlookup("952-213000-100",生产发行表!B:AZ,column(am1),0)</f>
        <v>0</v>
      </c>
      <c r="AO279">
        <f>vlookup("952-213000-100",生产发行表!B:AZ,column(an1),0)</f>
        <v>0</v>
      </c>
      <c r="AP279">
        <f>vlookup("952-213000-100",生产发行表!B:AZ,column(ao1),0)</f>
        <v>0</v>
      </c>
      <c r="AQ279">
        <f>vlookup("952-213000-100",生产发行表!B:AZ,column(ap1),0)</f>
        <v>0</v>
      </c>
      <c r="AR279">
        <f>vlookup("952-213000-100",生产发行表!B:AZ,column(aq1),0)</f>
        <v>0</v>
      </c>
    </row>
    <row r="280" spans="1:44">
      <c r="A280" t="s">
        <v>14</v>
      </c>
      <c r="B280" t="s">
        <v>578</v>
      </c>
      <c r="C280" t="s">
        <v>579</v>
      </c>
      <c r="D280" t="s">
        <v>452</v>
      </c>
      <c r="E280" t="s">
        <v>444</v>
      </c>
      <c r="F280" t="s">
        <v>580</v>
      </c>
      <c r="K280" t="s">
        <v>516</v>
      </c>
      <c r="L280" t="s">
        <v>21</v>
      </c>
      <c r="M280">
        <f>vlookup("952-218000-100",生产发行表!B:AZ,column(l1),0)</f>
        <v>0</v>
      </c>
      <c r="N280">
        <f>vlookup("952-218000-100",生产发行表!B:AZ,column(m1),0)</f>
        <v>0</v>
      </c>
      <c r="O280">
        <f>vlookup("952-218000-100",生产发行表!B:AZ,column(n1),0)</f>
        <v>0</v>
      </c>
      <c r="P280">
        <f>vlookup("952-218000-100",生产发行表!B:AZ,column(o1),0)</f>
        <v>0</v>
      </c>
      <c r="Q280">
        <f>vlookup("952-218000-100",生产发行表!B:AZ,column(p1),0)</f>
        <v>0</v>
      </c>
      <c r="R280">
        <f>vlookup("952-218000-100",生产发行表!B:AZ,column(q1),0)</f>
        <v>0</v>
      </c>
      <c r="S280">
        <f>vlookup("952-218000-100",生产发行表!B:AZ,column(r1),0)</f>
        <v>0</v>
      </c>
      <c r="T280">
        <f>vlookup("952-218000-100",生产发行表!B:AZ,column(s1),0)</f>
        <v>0</v>
      </c>
      <c r="U280">
        <f>vlookup("952-218000-100",生产发行表!B:AZ,column(t1),0)</f>
        <v>0</v>
      </c>
      <c r="V280">
        <f>vlookup("952-218000-100",生产发行表!B:AZ,column(u1),0)</f>
        <v>0</v>
      </c>
      <c r="W280">
        <f>vlookup("952-218000-100",生产发行表!B:AZ,column(v1),0)</f>
        <v>0</v>
      </c>
      <c r="X280">
        <f>vlookup("952-218000-100",生产发行表!B:AZ,column(w1),0)</f>
        <v>0</v>
      </c>
      <c r="Y280">
        <f>vlookup("952-218000-100",生产发行表!B:AZ,column(x1),0)</f>
        <v>0</v>
      </c>
      <c r="Z280">
        <f>vlookup("952-218000-100",生产发行表!B:AZ,column(y1),0)</f>
        <v>0</v>
      </c>
      <c r="AA280">
        <f>vlookup("952-218000-100",生产发行表!B:AZ,column(z1),0)</f>
        <v>0</v>
      </c>
      <c r="AB280">
        <f>vlookup("952-218000-100",生产发行表!B:AZ,column(aa1),0)</f>
        <v>0</v>
      </c>
      <c r="AC280">
        <f>vlookup("952-218000-100",生产发行表!B:AZ,column(ab1),0)</f>
        <v>0</v>
      </c>
      <c r="AD280">
        <f>vlookup("952-218000-100",生产发行表!B:AZ,column(ac1),0)</f>
        <v>0</v>
      </c>
      <c r="AE280">
        <f>vlookup("952-218000-100",生产发行表!B:AZ,column(ad1),0)</f>
        <v>0</v>
      </c>
      <c r="AF280">
        <f>vlookup("952-218000-100",生产发行表!B:AZ,column(ae1),0)</f>
        <v>0</v>
      </c>
      <c r="AG280">
        <f>vlookup("952-218000-100",生产发行表!B:AZ,column(af1),0)</f>
        <v>0</v>
      </c>
      <c r="AH280">
        <f>vlookup("952-218000-100",生产发行表!B:AZ,column(ag1),0)</f>
        <v>0</v>
      </c>
      <c r="AI280">
        <f>vlookup("952-218000-100",生产发行表!B:AZ,column(ah1),0)</f>
        <v>0</v>
      </c>
      <c r="AJ280">
        <f>vlookup("952-218000-100",生产发行表!B:AZ,column(ai1),0)</f>
        <v>0</v>
      </c>
      <c r="AK280">
        <f>vlookup("952-218000-100",生产发行表!B:AZ,column(aj1),0)</f>
        <v>0</v>
      </c>
      <c r="AL280">
        <f>vlookup("952-218000-100",生产发行表!B:AZ,column(ak1),0)</f>
        <v>0</v>
      </c>
      <c r="AM280">
        <f>vlookup("952-218000-100",生产发行表!B:AZ,column(al1),0)</f>
        <v>0</v>
      </c>
      <c r="AN280">
        <f>vlookup("952-218000-100",生产发行表!B:AZ,column(am1),0)</f>
        <v>0</v>
      </c>
      <c r="AO280">
        <f>vlookup("952-218000-100",生产发行表!B:AZ,column(an1),0)</f>
        <v>0</v>
      </c>
      <c r="AP280">
        <f>vlookup("952-218000-100",生产发行表!B:AZ,column(ao1),0)</f>
        <v>0</v>
      </c>
      <c r="AQ280">
        <f>vlookup("952-218000-100",生产发行表!B:AZ,column(ap1),0)</f>
        <v>0</v>
      </c>
      <c r="AR280">
        <f>vlookup("952-218000-100",生产发行表!B:AZ,column(aq1),0)</f>
        <v>0</v>
      </c>
    </row>
    <row r="281" spans="1:44">
      <c r="A281" t="s">
        <v>14</v>
      </c>
      <c r="B281" t="s">
        <v>581</v>
      </c>
      <c r="C281" t="s">
        <v>582</v>
      </c>
      <c r="D281" t="s">
        <v>452</v>
      </c>
      <c r="E281" t="s">
        <v>444</v>
      </c>
      <c r="F281" t="s">
        <v>583</v>
      </c>
      <c r="K281" t="s">
        <v>516</v>
      </c>
      <c r="L281" t="s">
        <v>21</v>
      </c>
      <c r="M281">
        <f>vlookup("952-219000-100",生产发行表!B:AZ,column(l1),0)</f>
        <v>0</v>
      </c>
      <c r="N281">
        <f>vlookup("952-219000-100",生产发行表!B:AZ,column(m1),0)</f>
        <v>0</v>
      </c>
      <c r="O281">
        <f>vlookup("952-219000-100",生产发行表!B:AZ,column(n1),0)</f>
        <v>0</v>
      </c>
      <c r="P281">
        <f>vlookup("952-219000-100",生产发行表!B:AZ,column(o1),0)</f>
        <v>0</v>
      </c>
      <c r="Q281">
        <f>vlookup("952-219000-100",生产发行表!B:AZ,column(p1),0)</f>
        <v>0</v>
      </c>
      <c r="R281">
        <f>vlookup("952-219000-100",生产发行表!B:AZ,column(q1),0)</f>
        <v>0</v>
      </c>
      <c r="S281">
        <f>vlookup("952-219000-100",生产发行表!B:AZ,column(r1),0)</f>
        <v>0</v>
      </c>
      <c r="T281">
        <f>vlookup("952-219000-100",生产发行表!B:AZ,column(s1),0)</f>
        <v>0</v>
      </c>
      <c r="U281">
        <f>vlookup("952-219000-100",生产发行表!B:AZ,column(t1),0)</f>
        <v>0</v>
      </c>
      <c r="V281">
        <f>vlookup("952-219000-100",生产发行表!B:AZ,column(u1),0)</f>
        <v>0</v>
      </c>
      <c r="W281">
        <f>vlookup("952-219000-100",生产发行表!B:AZ,column(v1),0)</f>
        <v>0</v>
      </c>
      <c r="X281">
        <f>vlookup("952-219000-100",生产发行表!B:AZ,column(w1),0)</f>
        <v>0</v>
      </c>
      <c r="Y281">
        <f>vlookup("952-219000-100",生产发行表!B:AZ,column(x1),0)</f>
        <v>0</v>
      </c>
      <c r="Z281">
        <f>vlookup("952-219000-100",生产发行表!B:AZ,column(y1),0)</f>
        <v>0</v>
      </c>
      <c r="AA281">
        <f>vlookup("952-219000-100",生产发行表!B:AZ,column(z1),0)</f>
        <v>0</v>
      </c>
      <c r="AB281">
        <f>vlookup("952-219000-100",生产发行表!B:AZ,column(aa1),0)</f>
        <v>0</v>
      </c>
      <c r="AC281">
        <f>vlookup("952-219000-100",生产发行表!B:AZ,column(ab1),0)</f>
        <v>0</v>
      </c>
      <c r="AD281">
        <f>vlookup("952-219000-100",生产发行表!B:AZ,column(ac1),0)</f>
        <v>0</v>
      </c>
      <c r="AE281">
        <f>vlookup("952-219000-100",生产发行表!B:AZ,column(ad1),0)</f>
        <v>0</v>
      </c>
      <c r="AF281">
        <f>vlookup("952-219000-100",生产发行表!B:AZ,column(ae1),0)</f>
        <v>0</v>
      </c>
      <c r="AG281">
        <f>vlookup("952-219000-100",生产发行表!B:AZ,column(af1),0)</f>
        <v>0</v>
      </c>
      <c r="AH281">
        <f>vlookup("952-219000-100",生产发行表!B:AZ,column(ag1),0)</f>
        <v>0</v>
      </c>
      <c r="AI281">
        <f>vlookup("952-219000-100",生产发行表!B:AZ,column(ah1),0)</f>
        <v>0</v>
      </c>
      <c r="AJ281">
        <f>vlookup("952-219000-100",生产发行表!B:AZ,column(ai1),0)</f>
        <v>0</v>
      </c>
      <c r="AK281">
        <f>vlookup("952-219000-100",生产发行表!B:AZ,column(aj1),0)</f>
        <v>0</v>
      </c>
      <c r="AL281">
        <f>vlookup("952-219000-100",生产发行表!B:AZ,column(ak1),0)</f>
        <v>0</v>
      </c>
      <c r="AM281">
        <f>vlookup("952-219000-100",生产发行表!B:AZ,column(al1),0)</f>
        <v>0</v>
      </c>
      <c r="AN281">
        <f>vlookup("952-219000-100",生产发行表!B:AZ,column(am1),0)</f>
        <v>0</v>
      </c>
      <c r="AO281">
        <f>vlookup("952-219000-100",生产发行表!B:AZ,column(an1),0)</f>
        <v>0</v>
      </c>
      <c r="AP281">
        <f>vlookup("952-219000-100",生产发行表!B:AZ,column(ao1),0)</f>
        <v>0</v>
      </c>
      <c r="AQ281">
        <f>vlookup("952-219000-100",生产发行表!B:AZ,column(ap1),0)</f>
        <v>0</v>
      </c>
      <c r="AR281">
        <f>vlookup("952-219000-100",生产发行表!B:AZ,column(aq1),0)</f>
        <v>0</v>
      </c>
    </row>
    <row r="282" spans="1:44">
      <c r="A282" t="s">
        <v>14</v>
      </c>
      <c r="B282" t="s">
        <v>584</v>
      </c>
      <c r="C282" t="s">
        <v>585</v>
      </c>
      <c r="E282" t="s">
        <v>444</v>
      </c>
      <c r="F282" t="s">
        <v>586</v>
      </c>
      <c r="K282" t="s">
        <v>516</v>
      </c>
      <c r="L282" t="s">
        <v>21</v>
      </c>
      <c r="M282">
        <f>vlookup("952-199000-100",生产发行表!B:AZ,column(l1),0)</f>
        <v>0</v>
      </c>
      <c r="N282">
        <f>vlookup("952-199000-100",生产发行表!B:AZ,column(m1),0)</f>
        <v>0</v>
      </c>
      <c r="O282">
        <f>vlookup("952-199000-100",生产发行表!B:AZ,column(n1),0)</f>
        <v>0</v>
      </c>
      <c r="P282">
        <f>vlookup("952-199000-100",生产发行表!B:AZ,column(o1),0)</f>
        <v>0</v>
      </c>
      <c r="Q282">
        <f>vlookup("952-199000-100",生产发行表!B:AZ,column(p1),0)</f>
        <v>0</v>
      </c>
      <c r="R282">
        <f>vlookup("952-199000-100",生产发行表!B:AZ,column(q1),0)</f>
        <v>0</v>
      </c>
      <c r="S282">
        <f>vlookup("952-199000-100",生产发行表!B:AZ,column(r1),0)</f>
        <v>0</v>
      </c>
      <c r="T282">
        <f>vlookup("952-199000-100",生产发行表!B:AZ,column(s1),0)</f>
        <v>0</v>
      </c>
      <c r="U282">
        <f>vlookup("952-199000-100",生产发行表!B:AZ,column(t1),0)</f>
        <v>0</v>
      </c>
      <c r="V282">
        <f>vlookup("952-199000-100",生产发行表!B:AZ,column(u1),0)</f>
        <v>0</v>
      </c>
      <c r="W282">
        <f>vlookup("952-199000-100",生产发行表!B:AZ,column(v1),0)</f>
        <v>0</v>
      </c>
      <c r="X282">
        <f>vlookup("952-199000-100",生产发行表!B:AZ,column(w1),0)</f>
        <v>0</v>
      </c>
      <c r="Y282">
        <f>vlookup("952-199000-100",生产发行表!B:AZ,column(x1),0)</f>
        <v>0</v>
      </c>
      <c r="Z282">
        <f>vlookup("952-199000-100",生产发行表!B:AZ,column(y1),0)</f>
        <v>0</v>
      </c>
      <c r="AA282">
        <f>vlookup("952-199000-100",生产发行表!B:AZ,column(z1),0)</f>
        <v>0</v>
      </c>
      <c r="AB282">
        <f>vlookup("952-199000-100",生产发行表!B:AZ,column(aa1),0)</f>
        <v>0</v>
      </c>
      <c r="AC282">
        <f>vlookup("952-199000-100",生产发行表!B:AZ,column(ab1),0)</f>
        <v>0</v>
      </c>
      <c r="AD282">
        <f>vlookup("952-199000-100",生产发行表!B:AZ,column(ac1),0)</f>
        <v>0</v>
      </c>
      <c r="AE282">
        <f>vlookup("952-199000-100",生产发行表!B:AZ,column(ad1),0)</f>
        <v>0</v>
      </c>
      <c r="AF282">
        <f>vlookup("952-199000-100",生产发行表!B:AZ,column(ae1),0)</f>
        <v>0</v>
      </c>
      <c r="AG282">
        <f>vlookup("952-199000-100",生产发行表!B:AZ,column(af1),0)</f>
        <v>0</v>
      </c>
      <c r="AH282">
        <f>vlookup("952-199000-100",生产发行表!B:AZ,column(ag1),0)</f>
        <v>0</v>
      </c>
      <c r="AI282">
        <f>vlookup("952-199000-100",生产发行表!B:AZ,column(ah1),0)</f>
        <v>0</v>
      </c>
      <c r="AJ282">
        <f>vlookup("952-199000-100",生产发行表!B:AZ,column(ai1),0)</f>
        <v>0</v>
      </c>
      <c r="AK282">
        <f>vlookup("952-199000-100",生产发行表!B:AZ,column(aj1),0)</f>
        <v>0</v>
      </c>
      <c r="AL282">
        <f>vlookup("952-199000-100",生产发行表!B:AZ,column(ak1),0)</f>
        <v>0</v>
      </c>
      <c r="AM282">
        <f>vlookup("952-199000-100",生产发行表!B:AZ,column(al1),0)</f>
        <v>0</v>
      </c>
      <c r="AN282">
        <f>vlookup("952-199000-100",生产发行表!B:AZ,column(am1),0)</f>
        <v>0</v>
      </c>
      <c r="AO282">
        <f>vlookup("952-199000-100",生产发行表!B:AZ,column(an1),0)</f>
        <v>0</v>
      </c>
      <c r="AP282">
        <f>vlookup("952-199000-100",生产发行表!B:AZ,column(ao1),0)</f>
        <v>0</v>
      </c>
      <c r="AQ282">
        <f>vlookup("952-199000-100",生产发行表!B:AZ,column(ap1),0)</f>
        <v>0</v>
      </c>
      <c r="AR282">
        <f>vlookup("952-199000-100",生产发行表!B:AZ,column(aq1),0)</f>
        <v>0</v>
      </c>
    </row>
    <row r="283" spans="1:44">
      <c r="A283" t="s">
        <v>31</v>
      </c>
      <c r="B283" t="s">
        <v>587</v>
      </c>
      <c r="C283" t="s">
        <v>588</v>
      </c>
      <c r="D283" t="s">
        <v>480</v>
      </c>
      <c r="E283" t="s">
        <v>444</v>
      </c>
      <c r="F283" t="s">
        <v>589</v>
      </c>
      <c r="K283" t="s">
        <v>516</v>
      </c>
      <c r="L283" t="s">
        <v>37</v>
      </c>
      <c r="M283">
        <f>sumifs(m:m,A:A,"总成",B:B,"952-199000-100")*INDIRECT(ADDRESS(283,5))</f>
        <v>0</v>
      </c>
      <c r="N283">
        <f>sumifs(n:n,A:A,"总成",B:B,"952-199000-100")*INDIRECT(ADDRESS(283,5))</f>
        <v>0</v>
      </c>
      <c r="O283">
        <f>sumifs(o:o,A:A,"总成",B:B,"952-199000-100")*INDIRECT(ADDRESS(283,5))</f>
        <v>0</v>
      </c>
      <c r="P283">
        <f>sumifs(p:p,A:A,"总成",B:B,"952-199000-100")*INDIRECT(ADDRESS(283,5))</f>
        <v>0</v>
      </c>
      <c r="Q283">
        <f>sumifs(q:q,A:A,"总成",B:B,"952-199000-100")*INDIRECT(ADDRESS(283,5))</f>
        <v>0</v>
      </c>
      <c r="R283">
        <f>sumifs(r:r,A:A,"总成",B:B,"952-199000-100")*INDIRECT(ADDRESS(283,5))</f>
        <v>0</v>
      </c>
      <c r="S283">
        <f>sumifs(s:s,A:A,"总成",B:B,"952-199000-100")*INDIRECT(ADDRESS(283,5))</f>
        <v>0</v>
      </c>
      <c r="T283">
        <f>sumifs(t:t,A:A,"总成",B:B,"952-199000-100")*INDIRECT(ADDRESS(283,5))</f>
        <v>0</v>
      </c>
      <c r="U283">
        <f>sumifs(u:u,A:A,"总成",B:B,"952-199000-100")*INDIRECT(ADDRESS(283,5))</f>
        <v>0</v>
      </c>
      <c r="V283">
        <f>sumifs(v:v,A:A,"总成",B:B,"952-199000-100")*INDIRECT(ADDRESS(283,5))</f>
        <v>0</v>
      </c>
      <c r="W283">
        <f>sumifs(w:w,A:A,"总成",B:B,"952-199000-100")*INDIRECT(ADDRESS(283,5))</f>
        <v>0</v>
      </c>
      <c r="X283">
        <f>sumifs(x:x,A:A,"总成",B:B,"952-199000-100")*INDIRECT(ADDRESS(283,5))</f>
        <v>0</v>
      </c>
      <c r="Y283">
        <f>sumifs(y:y,A:A,"总成",B:B,"952-199000-100")*INDIRECT(ADDRESS(283,5))</f>
        <v>0</v>
      </c>
      <c r="Z283">
        <f>sumifs(z:z,A:A,"总成",B:B,"952-199000-100")*INDIRECT(ADDRESS(283,5))</f>
        <v>0</v>
      </c>
      <c r="AA283">
        <f>sumifs(aa:aa,A:A,"总成",B:B,"952-199000-100")*INDIRECT(ADDRESS(283,5))</f>
        <v>0</v>
      </c>
      <c r="AB283">
        <f>sumifs(ab:ab,A:A,"总成",B:B,"952-199000-100")*INDIRECT(ADDRESS(283,5))</f>
        <v>0</v>
      </c>
      <c r="AC283">
        <f>sumifs(ac:ac,A:A,"总成",B:B,"952-199000-100")*INDIRECT(ADDRESS(283,5))</f>
        <v>0</v>
      </c>
      <c r="AD283">
        <f>sumifs(ad:ad,A:A,"总成",B:B,"952-199000-100")*INDIRECT(ADDRESS(283,5))</f>
        <v>0</v>
      </c>
      <c r="AE283">
        <f>sumifs(ae:ae,A:A,"总成",B:B,"952-199000-100")*INDIRECT(ADDRESS(283,5))</f>
        <v>0</v>
      </c>
      <c r="AF283">
        <f>sumifs(af:af,A:A,"总成",B:B,"952-199000-100")*INDIRECT(ADDRESS(283,5))</f>
        <v>0</v>
      </c>
      <c r="AG283">
        <f>sumifs(ag:ag,A:A,"总成",B:B,"952-199000-100")*INDIRECT(ADDRESS(283,5))</f>
        <v>0</v>
      </c>
      <c r="AH283">
        <f>sumifs(ah:ah,A:A,"总成",B:B,"952-199000-100")*INDIRECT(ADDRESS(283,5))</f>
        <v>0</v>
      </c>
      <c r="AI283">
        <f>sumifs(ai:ai,A:A,"总成",B:B,"952-199000-100")*INDIRECT(ADDRESS(283,5))</f>
        <v>0</v>
      </c>
      <c r="AJ283">
        <f>sumifs(aj:aj,A:A,"总成",B:B,"952-199000-100")*INDIRECT(ADDRESS(283,5))</f>
        <v>0</v>
      </c>
      <c r="AK283">
        <f>sumifs(ak:ak,A:A,"总成",B:B,"952-199000-100")*INDIRECT(ADDRESS(283,5))</f>
        <v>0</v>
      </c>
      <c r="AL283">
        <f>sumifs(al:al,A:A,"总成",B:B,"952-199000-100")*INDIRECT(ADDRESS(283,5))</f>
        <v>0</v>
      </c>
      <c r="AM283">
        <f>sumifs(am:am,A:A,"总成",B:B,"952-199000-100")*INDIRECT(ADDRESS(283,5))</f>
        <v>0</v>
      </c>
      <c r="AN283">
        <f>sumifs(an:an,A:A,"总成",B:B,"952-199000-100")*INDIRECT(ADDRESS(283,5))</f>
        <v>0</v>
      </c>
      <c r="AO283">
        <f>sumifs(ao:ao,A:A,"总成",B:B,"952-199000-100")*INDIRECT(ADDRESS(283,5))</f>
        <v>0</v>
      </c>
      <c r="AP283">
        <f>sumifs(ap:ap,A:A,"总成",B:B,"952-199000-100")*INDIRECT(ADDRESS(283,5))</f>
        <v>0</v>
      </c>
      <c r="AQ283">
        <f>sumifs(aq:aq,A:A,"总成",B:B,"952-199000-100")*INDIRECT(ADDRESS(283,5))</f>
        <v>0</v>
      </c>
      <c r="AR283">
        <f>sumifs(ar:ar,A:A,"总成",B:B,"952-199000-100")*INDIRECT(ADDRESS(283,5))</f>
        <v>0</v>
      </c>
    </row>
    <row r="284" spans="1:44">
      <c r="A284" t="s">
        <v>14</v>
      </c>
      <c r="B284" t="s">
        <v>517</v>
      </c>
      <c r="C284" t="s">
        <v>518</v>
      </c>
      <c r="F284" t="s">
        <v>522</v>
      </c>
      <c r="K284" t="s">
        <v>590</v>
      </c>
      <c r="L284" t="s">
        <v>21</v>
      </c>
      <c r="M284">
        <f>vlookup("852-184000-110",生产发行表!B:AZ,column(l1),0)</f>
        <v>0</v>
      </c>
      <c r="N284">
        <f>vlookup("852-184000-110",生产发行表!B:AZ,column(m1),0)</f>
        <v>0</v>
      </c>
      <c r="O284">
        <f>vlookup("852-184000-110",生产发行表!B:AZ,column(n1),0)</f>
        <v>0</v>
      </c>
      <c r="P284">
        <f>vlookup("852-184000-110",生产发行表!B:AZ,column(o1),0)</f>
        <v>0</v>
      </c>
      <c r="Q284">
        <f>vlookup("852-184000-110",生产发行表!B:AZ,column(p1),0)</f>
        <v>0</v>
      </c>
      <c r="R284">
        <f>vlookup("852-184000-110",生产发行表!B:AZ,column(q1),0)</f>
        <v>0</v>
      </c>
      <c r="S284">
        <f>vlookup("852-184000-110",生产发行表!B:AZ,column(r1),0)</f>
        <v>0</v>
      </c>
      <c r="T284">
        <f>vlookup("852-184000-110",生产发行表!B:AZ,column(s1),0)</f>
        <v>0</v>
      </c>
      <c r="U284">
        <f>vlookup("852-184000-110",生产发行表!B:AZ,column(t1),0)</f>
        <v>0</v>
      </c>
      <c r="V284">
        <f>vlookup("852-184000-110",生产发行表!B:AZ,column(u1),0)</f>
        <v>0</v>
      </c>
      <c r="W284">
        <f>vlookup("852-184000-110",生产发行表!B:AZ,column(v1),0)</f>
        <v>0</v>
      </c>
      <c r="X284">
        <f>vlookup("852-184000-110",生产发行表!B:AZ,column(w1),0)</f>
        <v>0</v>
      </c>
      <c r="Y284">
        <f>vlookup("852-184000-110",生产发行表!B:AZ,column(x1),0)</f>
        <v>0</v>
      </c>
      <c r="Z284">
        <f>vlookup("852-184000-110",生产发行表!B:AZ,column(y1),0)</f>
        <v>0</v>
      </c>
      <c r="AA284">
        <f>vlookup("852-184000-110",生产发行表!B:AZ,column(z1),0)</f>
        <v>0</v>
      </c>
      <c r="AB284">
        <f>vlookup("852-184000-110",生产发行表!B:AZ,column(aa1),0)</f>
        <v>0</v>
      </c>
      <c r="AC284">
        <f>vlookup("852-184000-110",生产发行表!B:AZ,column(ab1),0)</f>
        <v>0</v>
      </c>
      <c r="AD284">
        <f>vlookup("852-184000-110",生产发行表!B:AZ,column(ac1),0)</f>
        <v>0</v>
      </c>
      <c r="AE284">
        <f>vlookup("852-184000-110",生产发行表!B:AZ,column(ad1),0)</f>
        <v>0</v>
      </c>
      <c r="AF284">
        <f>vlookup("852-184000-110",生产发行表!B:AZ,column(ae1),0)</f>
        <v>0</v>
      </c>
      <c r="AG284">
        <f>vlookup("852-184000-110",生产发行表!B:AZ,column(af1),0)</f>
        <v>0</v>
      </c>
      <c r="AH284">
        <f>vlookup("852-184000-110",生产发行表!B:AZ,column(ag1),0)</f>
        <v>0</v>
      </c>
      <c r="AI284">
        <f>vlookup("852-184000-110",生产发行表!B:AZ,column(ah1),0)</f>
        <v>0</v>
      </c>
      <c r="AJ284">
        <f>vlookup("852-184000-110",生产发行表!B:AZ,column(ai1),0)</f>
        <v>0</v>
      </c>
      <c r="AK284">
        <f>vlookup("852-184000-110",生产发行表!B:AZ,column(aj1),0)</f>
        <v>0</v>
      </c>
      <c r="AL284">
        <f>vlookup("852-184000-110",生产发行表!B:AZ,column(ak1),0)</f>
        <v>0</v>
      </c>
      <c r="AM284">
        <f>vlookup("852-184000-110",生产发行表!B:AZ,column(al1),0)</f>
        <v>0</v>
      </c>
      <c r="AN284">
        <f>vlookup("852-184000-110",生产发行表!B:AZ,column(am1),0)</f>
        <v>0</v>
      </c>
      <c r="AO284">
        <f>vlookup("852-184000-110",生产发行表!B:AZ,column(an1),0)</f>
        <v>0</v>
      </c>
      <c r="AP284">
        <f>vlookup("852-184000-110",生产发行表!B:AZ,column(ao1),0)</f>
        <v>0</v>
      </c>
      <c r="AQ284">
        <f>vlookup("852-184000-110",生产发行表!B:AZ,column(ap1),0)</f>
        <v>0</v>
      </c>
      <c r="AR284">
        <f>vlookup("852-184000-110",生产发行表!B:AZ,column(aq1),0)</f>
        <v>0</v>
      </c>
    </row>
    <row r="285" spans="1:44">
      <c r="A285" t="s">
        <v>14</v>
      </c>
      <c r="B285" t="s">
        <v>520</v>
      </c>
      <c r="C285" t="s">
        <v>521</v>
      </c>
      <c r="E285">
        <v>1</v>
      </c>
      <c r="F285" t="s">
        <v>526</v>
      </c>
      <c r="K285" t="s">
        <v>590</v>
      </c>
      <c r="L285" t="s">
        <v>21</v>
      </c>
      <c r="M285">
        <f>vlookup("852-184000-111",生产发行表!B:AZ,column(l1),0)</f>
        <v>0</v>
      </c>
      <c r="N285">
        <f>vlookup("852-184000-111",生产发行表!B:AZ,column(m1),0)</f>
        <v>0</v>
      </c>
      <c r="O285">
        <f>vlookup("852-184000-111",生产发行表!B:AZ,column(n1),0)</f>
        <v>0</v>
      </c>
      <c r="P285">
        <f>vlookup("852-184000-111",生产发行表!B:AZ,column(o1),0)</f>
        <v>0</v>
      </c>
      <c r="Q285">
        <f>vlookup("852-184000-111",生产发行表!B:AZ,column(p1),0)</f>
        <v>0</v>
      </c>
      <c r="R285">
        <f>vlookup("852-184000-111",生产发行表!B:AZ,column(q1),0)</f>
        <v>0</v>
      </c>
      <c r="S285">
        <f>vlookup("852-184000-111",生产发行表!B:AZ,column(r1),0)</f>
        <v>0</v>
      </c>
      <c r="T285">
        <f>vlookup("852-184000-111",生产发行表!B:AZ,column(s1),0)</f>
        <v>0</v>
      </c>
      <c r="U285">
        <f>vlookup("852-184000-111",生产发行表!B:AZ,column(t1),0)</f>
        <v>0</v>
      </c>
      <c r="V285">
        <f>vlookup("852-184000-111",生产发行表!B:AZ,column(u1),0)</f>
        <v>0</v>
      </c>
      <c r="W285">
        <f>vlookup("852-184000-111",生产发行表!B:AZ,column(v1),0)</f>
        <v>0</v>
      </c>
      <c r="X285">
        <f>vlookup("852-184000-111",生产发行表!B:AZ,column(w1),0)</f>
        <v>0</v>
      </c>
      <c r="Y285">
        <f>vlookup("852-184000-111",生产发行表!B:AZ,column(x1),0)</f>
        <v>0</v>
      </c>
      <c r="Z285">
        <f>vlookup("852-184000-111",生产发行表!B:AZ,column(y1),0)</f>
        <v>0</v>
      </c>
      <c r="AA285">
        <f>vlookup("852-184000-111",生产发行表!B:AZ,column(z1),0)</f>
        <v>0</v>
      </c>
      <c r="AB285">
        <f>vlookup("852-184000-111",生产发行表!B:AZ,column(aa1),0)</f>
        <v>0</v>
      </c>
      <c r="AC285">
        <f>vlookup("852-184000-111",生产发行表!B:AZ,column(ab1),0)</f>
        <v>0</v>
      </c>
      <c r="AD285">
        <f>vlookup("852-184000-111",生产发行表!B:AZ,column(ac1),0)</f>
        <v>0</v>
      </c>
      <c r="AE285">
        <f>vlookup("852-184000-111",生产发行表!B:AZ,column(ad1),0)</f>
        <v>0</v>
      </c>
      <c r="AF285">
        <f>vlookup("852-184000-111",生产发行表!B:AZ,column(ae1),0)</f>
        <v>0</v>
      </c>
      <c r="AG285">
        <f>vlookup("852-184000-111",生产发行表!B:AZ,column(af1),0)</f>
        <v>0</v>
      </c>
      <c r="AH285">
        <f>vlookup("852-184000-111",生产发行表!B:AZ,column(ag1),0)</f>
        <v>0</v>
      </c>
      <c r="AI285">
        <f>vlookup("852-184000-111",生产发行表!B:AZ,column(ah1),0)</f>
        <v>0</v>
      </c>
      <c r="AJ285">
        <f>vlookup("852-184000-111",生产发行表!B:AZ,column(ai1),0)</f>
        <v>0</v>
      </c>
      <c r="AK285">
        <f>vlookup("852-184000-111",生产发行表!B:AZ,column(aj1),0)</f>
        <v>0</v>
      </c>
      <c r="AL285">
        <f>vlookup("852-184000-111",生产发行表!B:AZ,column(ak1),0)</f>
        <v>0</v>
      </c>
      <c r="AM285">
        <f>vlookup("852-184000-111",生产发行表!B:AZ,column(al1),0)</f>
        <v>0</v>
      </c>
      <c r="AN285">
        <f>vlookup("852-184000-111",生产发行表!B:AZ,column(am1),0)</f>
        <v>0</v>
      </c>
      <c r="AO285">
        <f>vlookup("852-184000-111",生产发行表!B:AZ,column(an1),0)</f>
        <v>0</v>
      </c>
      <c r="AP285">
        <f>vlookup("852-184000-111",生产发行表!B:AZ,column(ao1),0)</f>
        <v>0</v>
      </c>
      <c r="AQ285">
        <f>vlookup("852-184000-111",生产发行表!B:AZ,column(ap1),0)</f>
        <v>0</v>
      </c>
      <c r="AR285">
        <f>vlookup("852-184000-111",生产发行表!B:AZ,column(aq1),0)</f>
        <v>0</v>
      </c>
    </row>
    <row r="286" spans="1:44">
      <c r="A286" t="s">
        <v>14</v>
      </c>
      <c r="B286" t="s">
        <v>523</v>
      </c>
      <c r="C286" t="s">
        <v>524</v>
      </c>
      <c r="D286" t="s">
        <v>525</v>
      </c>
      <c r="E286" t="s">
        <v>591</v>
      </c>
      <c r="F286" t="s">
        <v>592</v>
      </c>
      <c r="K286" t="s">
        <v>590</v>
      </c>
      <c r="L286" t="s">
        <v>21</v>
      </c>
      <c r="M286">
        <f>vlookup("852-184000-100",生产发行表!B:AZ,column(l1),0)</f>
        <v>0</v>
      </c>
      <c r="N286">
        <f>vlookup("852-184000-100",生产发行表!B:AZ,column(m1),0)</f>
        <v>0</v>
      </c>
      <c r="O286">
        <f>vlookup("852-184000-100",生产发行表!B:AZ,column(n1),0)</f>
        <v>0</v>
      </c>
      <c r="P286">
        <f>vlookup("852-184000-100",生产发行表!B:AZ,column(o1),0)</f>
        <v>0</v>
      </c>
      <c r="Q286">
        <f>vlookup("852-184000-100",生产发行表!B:AZ,column(p1),0)</f>
        <v>0</v>
      </c>
      <c r="R286">
        <f>vlookup("852-184000-100",生产发行表!B:AZ,column(q1),0)</f>
        <v>0</v>
      </c>
      <c r="S286">
        <f>vlookup("852-184000-100",生产发行表!B:AZ,column(r1),0)</f>
        <v>0</v>
      </c>
      <c r="T286">
        <f>vlookup("852-184000-100",生产发行表!B:AZ,column(s1),0)</f>
        <v>0</v>
      </c>
      <c r="U286">
        <f>vlookup("852-184000-100",生产发行表!B:AZ,column(t1),0)</f>
        <v>0</v>
      </c>
      <c r="V286">
        <f>vlookup("852-184000-100",生产发行表!B:AZ,column(u1),0)</f>
        <v>0</v>
      </c>
      <c r="W286">
        <f>vlookup("852-184000-100",生产发行表!B:AZ,column(v1),0)</f>
        <v>0</v>
      </c>
      <c r="X286">
        <f>vlookup("852-184000-100",生产发行表!B:AZ,column(w1),0)</f>
        <v>0</v>
      </c>
      <c r="Y286">
        <f>vlookup("852-184000-100",生产发行表!B:AZ,column(x1),0)</f>
        <v>0</v>
      </c>
      <c r="Z286">
        <f>vlookup("852-184000-100",生产发行表!B:AZ,column(y1),0)</f>
        <v>0</v>
      </c>
      <c r="AA286">
        <f>vlookup("852-184000-100",生产发行表!B:AZ,column(z1),0)</f>
        <v>0</v>
      </c>
      <c r="AB286">
        <f>vlookup("852-184000-100",生产发行表!B:AZ,column(aa1),0)</f>
        <v>0</v>
      </c>
      <c r="AC286">
        <f>vlookup("852-184000-100",生产发行表!B:AZ,column(ab1),0)</f>
        <v>0</v>
      </c>
      <c r="AD286">
        <f>vlookup("852-184000-100",生产发行表!B:AZ,column(ac1),0)</f>
        <v>0</v>
      </c>
      <c r="AE286">
        <f>vlookup("852-184000-100",生产发行表!B:AZ,column(ad1),0)</f>
        <v>0</v>
      </c>
      <c r="AF286">
        <f>vlookup("852-184000-100",生产发行表!B:AZ,column(ae1),0)</f>
        <v>0</v>
      </c>
      <c r="AG286">
        <f>vlookup("852-184000-100",生产发行表!B:AZ,column(af1),0)</f>
        <v>0</v>
      </c>
      <c r="AH286">
        <f>vlookup("852-184000-100",生产发行表!B:AZ,column(ag1),0)</f>
        <v>0</v>
      </c>
      <c r="AI286">
        <f>vlookup("852-184000-100",生产发行表!B:AZ,column(ah1),0)</f>
        <v>0</v>
      </c>
      <c r="AJ286">
        <f>vlookup("852-184000-100",生产发行表!B:AZ,column(ai1),0)</f>
        <v>0</v>
      </c>
      <c r="AK286">
        <f>vlookup("852-184000-100",生产发行表!B:AZ,column(aj1),0)</f>
        <v>0</v>
      </c>
      <c r="AL286">
        <f>vlookup("852-184000-100",生产发行表!B:AZ,column(ak1),0)</f>
        <v>0</v>
      </c>
      <c r="AM286">
        <f>vlookup("852-184000-100",生产发行表!B:AZ,column(al1),0)</f>
        <v>0</v>
      </c>
      <c r="AN286">
        <f>vlookup("852-184000-100",生产发行表!B:AZ,column(am1),0)</f>
        <v>0</v>
      </c>
      <c r="AO286">
        <f>vlookup("852-184000-100",生产发行表!B:AZ,column(an1),0)</f>
        <v>0</v>
      </c>
      <c r="AP286">
        <f>vlookup("852-184000-100",生产发行表!B:AZ,column(ao1),0)</f>
        <v>0</v>
      </c>
      <c r="AQ286">
        <f>vlookup("852-184000-100",生产发行表!B:AZ,column(ap1),0)</f>
        <v>0</v>
      </c>
      <c r="AR286">
        <f>vlookup("852-184000-100",生产发行表!B:AZ,column(aq1),0)</f>
        <v>0</v>
      </c>
    </row>
    <row r="287" spans="1:44">
      <c r="A287" t="s">
        <v>31</v>
      </c>
      <c r="B287" t="s">
        <v>593</v>
      </c>
      <c r="C287" t="s">
        <v>594</v>
      </c>
      <c r="E287" t="s">
        <v>595</v>
      </c>
      <c r="F287" t="s">
        <v>596</v>
      </c>
      <c r="K287" t="s">
        <v>590</v>
      </c>
      <c r="L287" t="s">
        <v>37</v>
      </c>
      <c r="M287">
        <f>sumifs(m:m,A:A,"总成",B:B,"852-184000-100")*INDIRECT(ADDRESS(287,5))</f>
        <v>0</v>
      </c>
      <c r="N287">
        <f>sumifs(n:n,A:A,"总成",B:B,"852-184000-100")*INDIRECT(ADDRESS(287,5))</f>
        <v>0</v>
      </c>
      <c r="O287">
        <f>sumifs(o:o,A:A,"总成",B:B,"852-184000-100")*INDIRECT(ADDRESS(287,5))</f>
        <v>0</v>
      </c>
      <c r="P287">
        <f>sumifs(p:p,A:A,"总成",B:B,"852-184000-100")*INDIRECT(ADDRESS(287,5))</f>
        <v>0</v>
      </c>
      <c r="Q287">
        <f>sumifs(q:q,A:A,"总成",B:B,"852-184000-100")*INDIRECT(ADDRESS(287,5))</f>
        <v>0</v>
      </c>
      <c r="R287">
        <f>sumifs(r:r,A:A,"总成",B:B,"852-184000-100")*INDIRECT(ADDRESS(287,5))</f>
        <v>0</v>
      </c>
      <c r="S287">
        <f>sumifs(s:s,A:A,"总成",B:B,"852-184000-100")*INDIRECT(ADDRESS(287,5))</f>
        <v>0</v>
      </c>
      <c r="T287">
        <f>sumifs(t:t,A:A,"总成",B:B,"852-184000-100")*INDIRECT(ADDRESS(287,5))</f>
        <v>0</v>
      </c>
      <c r="U287">
        <f>sumifs(u:u,A:A,"总成",B:B,"852-184000-100")*INDIRECT(ADDRESS(287,5))</f>
        <v>0</v>
      </c>
      <c r="V287">
        <f>sumifs(v:v,A:A,"总成",B:B,"852-184000-100")*INDIRECT(ADDRESS(287,5))</f>
        <v>0</v>
      </c>
      <c r="W287">
        <f>sumifs(w:w,A:A,"总成",B:B,"852-184000-100")*INDIRECT(ADDRESS(287,5))</f>
        <v>0</v>
      </c>
      <c r="X287">
        <f>sumifs(x:x,A:A,"总成",B:B,"852-184000-100")*INDIRECT(ADDRESS(287,5))</f>
        <v>0</v>
      </c>
      <c r="Y287">
        <f>sumifs(y:y,A:A,"总成",B:B,"852-184000-100")*INDIRECT(ADDRESS(287,5))</f>
        <v>0</v>
      </c>
      <c r="Z287">
        <f>sumifs(z:z,A:A,"总成",B:B,"852-184000-100")*INDIRECT(ADDRESS(287,5))</f>
        <v>0</v>
      </c>
      <c r="AA287">
        <f>sumifs(aa:aa,A:A,"总成",B:B,"852-184000-100")*INDIRECT(ADDRESS(287,5))</f>
        <v>0</v>
      </c>
      <c r="AB287">
        <f>sumifs(ab:ab,A:A,"总成",B:B,"852-184000-100")*INDIRECT(ADDRESS(287,5))</f>
        <v>0</v>
      </c>
      <c r="AC287">
        <f>sumifs(ac:ac,A:A,"总成",B:B,"852-184000-100")*INDIRECT(ADDRESS(287,5))</f>
        <v>0</v>
      </c>
      <c r="AD287">
        <f>sumifs(ad:ad,A:A,"总成",B:B,"852-184000-100")*INDIRECT(ADDRESS(287,5))</f>
        <v>0</v>
      </c>
      <c r="AE287">
        <f>sumifs(ae:ae,A:A,"总成",B:B,"852-184000-100")*INDIRECT(ADDRESS(287,5))</f>
        <v>0</v>
      </c>
      <c r="AF287">
        <f>sumifs(af:af,A:A,"总成",B:B,"852-184000-100")*INDIRECT(ADDRESS(287,5))</f>
        <v>0</v>
      </c>
      <c r="AG287">
        <f>sumifs(ag:ag,A:A,"总成",B:B,"852-184000-100")*INDIRECT(ADDRESS(287,5))</f>
        <v>0</v>
      </c>
      <c r="AH287">
        <f>sumifs(ah:ah,A:A,"总成",B:B,"852-184000-100")*INDIRECT(ADDRESS(287,5))</f>
        <v>0</v>
      </c>
      <c r="AI287">
        <f>sumifs(ai:ai,A:A,"总成",B:B,"852-184000-100")*INDIRECT(ADDRESS(287,5))</f>
        <v>0</v>
      </c>
      <c r="AJ287">
        <f>sumifs(aj:aj,A:A,"总成",B:B,"852-184000-100")*INDIRECT(ADDRESS(287,5))</f>
        <v>0</v>
      </c>
      <c r="AK287">
        <f>sumifs(ak:ak,A:A,"总成",B:B,"852-184000-100")*INDIRECT(ADDRESS(287,5))</f>
        <v>0</v>
      </c>
      <c r="AL287">
        <f>sumifs(al:al,A:A,"总成",B:B,"852-184000-100")*INDIRECT(ADDRESS(287,5))</f>
        <v>0</v>
      </c>
      <c r="AM287">
        <f>sumifs(am:am,A:A,"总成",B:B,"852-184000-100")*INDIRECT(ADDRESS(287,5))</f>
        <v>0</v>
      </c>
      <c r="AN287">
        <f>sumifs(an:an,A:A,"总成",B:B,"852-184000-100")*INDIRECT(ADDRESS(287,5))</f>
        <v>0</v>
      </c>
      <c r="AO287">
        <f>sumifs(ao:ao,A:A,"总成",B:B,"852-184000-100")*INDIRECT(ADDRESS(287,5))</f>
        <v>0</v>
      </c>
      <c r="AP287">
        <f>sumifs(ap:ap,A:A,"总成",B:B,"852-184000-100")*INDIRECT(ADDRESS(287,5))</f>
        <v>0</v>
      </c>
      <c r="AQ287">
        <f>sumifs(aq:aq,A:A,"总成",B:B,"852-184000-100")*INDIRECT(ADDRESS(287,5))</f>
        <v>0</v>
      </c>
      <c r="AR287">
        <f>sumifs(ar:ar,A:A,"总成",B:B,"852-184000-100")*INDIRECT(ADDRESS(287,5))</f>
        <v>0</v>
      </c>
    </row>
    <row r="288" spans="1:44">
      <c r="A288" t="s">
        <v>31</v>
      </c>
      <c r="B288" t="s">
        <v>597</v>
      </c>
      <c r="C288" t="s">
        <v>598</v>
      </c>
      <c r="F288" t="s">
        <v>596</v>
      </c>
      <c r="K288" t="s">
        <v>590</v>
      </c>
      <c r="L288" t="s">
        <v>37</v>
      </c>
      <c r="M288">
        <f>sumifs(m:m,A:A,"总成",B:B,"852-184000-100")*INDIRECT(ADDRESS(288,5))</f>
        <v>0</v>
      </c>
      <c r="N288">
        <f>sumifs(n:n,A:A,"总成",B:B,"852-184000-100")*INDIRECT(ADDRESS(288,5))</f>
        <v>0</v>
      </c>
      <c r="O288">
        <f>sumifs(o:o,A:A,"总成",B:B,"852-184000-100")*INDIRECT(ADDRESS(288,5))</f>
        <v>0</v>
      </c>
      <c r="P288">
        <f>sumifs(p:p,A:A,"总成",B:B,"852-184000-100")*INDIRECT(ADDRESS(288,5))</f>
        <v>0</v>
      </c>
      <c r="Q288">
        <f>sumifs(q:q,A:A,"总成",B:B,"852-184000-100")*INDIRECT(ADDRESS(288,5))</f>
        <v>0</v>
      </c>
      <c r="R288">
        <f>sumifs(r:r,A:A,"总成",B:B,"852-184000-100")*INDIRECT(ADDRESS(288,5))</f>
        <v>0</v>
      </c>
      <c r="S288">
        <f>sumifs(s:s,A:A,"总成",B:B,"852-184000-100")*INDIRECT(ADDRESS(288,5))</f>
        <v>0</v>
      </c>
      <c r="T288">
        <f>sumifs(t:t,A:A,"总成",B:B,"852-184000-100")*INDIRECT(ADDRESS(288,5))</f>
        <v>0</v>
      </c>
      <c r="U288">
        <f>sumifs(u:u,A:A,"总成",B:B,"852-184000-100")*INDIRECT(ADDRESS(288,5))</f>
        <v>0</v>
      </c>
      <c r="V288">
        <f>sumifs(v:v,A:A,"总成",B:B,"852-184000-100")*INDIRECT(ADDRESS(288,5))</f>
        <v>0</v>
      </c>
      <c r="W288">
        <f>sumifs(w:w,A:A,"总成",B:B,"852-184000-100")*INDIRECT(ADDRESS(288,5))</f>
        <v>0</v>
      </c>
      <c r="X288">
        <f>sumifs(x:x,A:A,"总成",B:B,"852-184000-100")*INDIRECT(ADDRESS(288,5))</f>
        <v>0</v>
      </c>
      <c r="Y288">
        <f>sumifs(y:y,A:A,"总成",B:B,"852-184000-100")*INDIRECT(ADDRESS(288,5))</f>
        <v>0</v>
      </c>
      <c r="Z288">
        <f>sumifs(z:z,A:A,"总成",B:B,"852-184000-100")*INDIRECT(ADDRESS(288,5))</f>
        <v>0</v>
      </c>
      <c r="AA288">
        <f>sumifs(aa:aa,A:A,"总成",B:B,"852-184000-100")*INDIRECT(ADDRESS(288,5))</f>
        <v>0</v>
      </c>
      <c r="AB288">
        <f>sumifs(ab:ab,A:A,"总成",B:B,"852-184000-100")*INDIRECT(ADDRESS(288,5))</f>
        <v>0</v>
      </c>
      <c r="AC288">
        <f>sumifs(ac:ac,A:A,"总成",B:B,"852-184000-100")*INDIRECT(ADDRESS(288,5))</f>
        <v>0</v>
      </c>
      <c r="AD288">
        <f>sumifs(ad:ad,A:A,"总成",B:B,"852-184000-100")*INDIRECT(ADDRESS(288,5))</f>
        <v>0</v>
      </c>
      <c r="AE288">
        <f>sumifs(ae:ae,A:A,"总成",B:B,"852-184000-100")*INDIRECT(ADDRESS(288,5))</f>
        <v>0</v>
      </c>
      <c r="AF288">
        <f>sumifs(af:af,A:A,"总成",B:B,"852-184000-100")*INDIRECT(ADDRESS(288,5))</f>
        <v>0</v>
      </c>
      <c r="AG288">
        <f>sumifs(ag:ag,A:A,"总成",B:B,"852-184000-100")*INDIRECT(ADDRESS(288,5))</f>
        <v>0</v>
      </c>
      <c r="AH288">
        <f>sumifs(ah:ah,A:A,"总成",B:B,"852-184000-100")*INDIRECT(ADDRESS(288,5))</f>
        <v>0</v>
      </c>
      <c r="AI288">
        <f>sumifs(ai:ai,A:A,"总成",B:B,"852-184000-100")*INDIRECT(ADDRESS(288,5))</f>
        <v>0</v>
      </c>
      <c r="AJ288">
        <f>sumifs(aj:aj,A:A,"总成",B:B,"852-184000-100")*INDIRECT(ADDRESS(288,5))</f>
        <v>0</v>
      </c>
      <c r="AK288">
        <f>sumifs(ak:ak,A:A,"总成",B:B,"852-184000-100")*INDIRECT(ADDRESS(288,5))</f>
        <v>0</v>
      </c>
      <c r="AL288">
        <f>sumifs(al:al,A:A,"总成",B:B,"852-184000-100")*INDIRECT(ADDRESS(288,5))</f>
        <v>0</v>
      </c>
      <c r="AM288">
        <f>sumifs(am:am,A:A,"总成",B:B,"852-184000-100")*INDIRECT(ADDRESS(288,5))</f>
        <v>0</v>
      </c>
      <c r="AN288">
        <f>sumifs(an:an,A:A,"总成",B:B,"852-184000-100")*INDIRECT(ADDRESS(288,5))</f>
        <v>0</v>
      </c>
      <c r="AO288">
        <f>sumifs(ao:ao,A:A,"总成",B:B,"852-184000-100")*INDIRECT(ADDRESS(288,5))</f>
        <v>0</v>
      </c>
      <c r="AP288">
        <f>sumifs(ap:ap,A:A,"总成",B:B,"852-184000-100")*INDIRECT(ADDRESS(288,5))</f>
        <v>0</v>
      </c>
      <c r="AQ288">
        <f>sumifs(aq:aq,A:A,"总成",B:B,"852-184000-100")*INDIRECT(ADDRESS(288,5))</f>
        <v>0</v>
      </c>
      <c r="AR288">
        <f>sumifs(ar:ar,A:A,"总成",B:B,"852-184000-100")*INDIRECT(ADDRESS(288,5))</f>
        <v>0</v>
      </c>
    </row>
    <row r="289" spans="1:44">
      <c r="A289" t="s">
        <v>31</v>
      </c>
      <c r="B289" t="s">
        <v>597</v>
      </c>
      <c r="C289" t="s">
        <v>598</v>
      </c>
      <c r="E289">
        <v>1</v>
      </c>
      <c r="F289" t="s">
        <v>529</v>
      </c>
      <c r="K289" t="s">
        <v>590</v>
      </c>
      <c r="L289" t="s">
        <v>37</v>
      </c>
      <c r="M289">
        <f>sumifs(m:m,A:A,"总成",B:B,"852-184000-100")*INDIRECT(ADDRESS(289,5))</f>
        <v>0</v>
      </c>
      <c r="N289">
        <f>sumifs(n:n,A:A,"总成",B:B,"852-184000-100")*INDIRECT(ADDRESS(289,5))</f>
        <v>0</v>
      </c>
      <c r="O289">
        <f>sumifs(o:o,A:A,"总成",B:B,"852-184000-100")*INDIRECT(ADDRESS(289,5))</f>
        <v>0</v>
      </c>
      <c r="P289">
        <f>sumifs(p:p,A:A,"总成",B:B,"852-184000-100")*INDIRECT(ADDRESS(289,5))</f>
        <v>0</v>
      </c>
      <c r="Q289">
        <f>sumifs(q:q,A:A,"总成",B:B,"852-184000-100")*INDIRECT(ADDRESS(289,5))</f>
        <v>0</v>
      </c>
      <c r="R289">
        <f>sumifs(r:r,A:A,"总成",B:B,"852-184000-100")*INDIRECT(ADDRESS(289,5))</f>
        <v>0</v>
      </c>
      <c r="S289">
        <f>sumifs(s:s,A:A,"总成",B:B,"852-184000-100")*INDIRECT(ADDRESS(289,5))</f>
        <v>0</v>
      </c>
      <c r="T289">
        <f>sumifs(t:t,A:A,"总成",B:B,"852-184000-100")*INDIRECT(ADDRESS(289,5))</f>
        <v>0</v>
      </c>
      <c r="U289">
        <f>sumifs(u:u,A:A,"总成",B:B,"852-184000-100")*INDIRECT(ADDRESS(289,5))</f>
        <v>0</v>
      </c>
      <c r="V289">
        <f>sumifs(v:v,A:A,"总成",B:B,"852-184000-100")*INDIRECT(ADDRESS(289,5))</f>
        <v>0</v>
      </c>
      <c r="W289">
        <f>sumifs(w:w,A:A,"总成",B:B,"852-184000-100")*INDIRECT(ADDRESS(289,5))</f>
        <v>0</v>
      </c>
      <c r="X289">
        <f>sumifs(x:x,A:A,"总成",B:B,"852-184000-100")*INDIRECT(ADDRESS(289,5))</f>
        <v>0</v>
      </c>
      <c r="Y289">
        <f>sumifs(y:y,A:A,"总成",B:B,"852-184000-100")*INDIRECT(ADDRESS(289,5))</f>
        <v>0</v>
      </c>
      <c r="Z289">
        <f>sumifs(z:z,A:A,"总成",B:B,"852-184000-100")*INDIRECT(ADDRESS(289,5))</f>
        <v>0</v>
      </c>
      <c r="AA289">
        <f>sumifs(aa:aa,A:A,"总成",B:B,"852-184000-100")*INDIRECT(ADDRESS(289,5))</f>
        <v>0</v>
      </c>
      <c r="AB289">
        <f>sumifs(ab:ab,A:A,"总成",B:B,"852-184000-100")*INDIRECT(ADDRESS(289,5))</f>
        <v>0</v>
      </c>
      <c r="AC289">
        <f>sumifs(ac:ac,A:A,"总成",B:B,"852-184000-100")*INDIRECT(ADDRESS(289,5))</f>
        <v>0</v>
      </c>
      <c r="AD289">
        <f>sumifs(ad:ad,A:A,"总成",B:B,"852-184000-100")*INDIRECT(ADDRESS(289,5))</f>
        <v>0</v>
      </c>
      <c r="AE289">
        <f>sumifs(ae:ae,A:A,"总成",B:B,"852-184000-100")*INDIRECT(ADDRESS(289,5))</f>
        <v>0</v>
      </c>
      <c r="AF289">
        <f>sumifs(af:af,A:A,"总成",B:B,"852-184000-100")*INDIRECT(ADDRESS(289,5))</f>
        <v>0</v>
      </c>
      <c r="AG289">
        <f>sumifs(ag:ag,A:A,"总成",B:B,"852-184000-100")*INDIRECT(ADDRESS(289,5))</f>
        <v>0</v>
      </c>
      <c r="AH289">
        <f>sumifs(ah:ah,A:A,"总成",B:B,"852-184000-100")*INDIRECT(ADDRESS(289,5))</f>
        <v>0</v>
      </c>
      <c r="AI289">
        <f>sumifs(ai:ai,A:A,"总成",B:B,"852-184000-100")*INDIRECT(ADDRESS(289,5))</f>
        <v>0</v>
      </c>
      <c r="AJ289">
        <f>sumifs(aj:aj,A:A,"总成",B:B,"852-184000-100")*INDIRECT(ADDRESS(289,5))</f>
        <v>0</v>
      </c>
      <c r="AK289">
        <f>sumifs(ak:ak,A:A,"总成",B:B,"852-184000-100")*INDIRECT(ADDRESS(289,5))</f>
        <v>0</v>
      </c>
      <c r="AL289">
        <f>sumifs(al:al,A:A,"总成",B:B,"852-184000-100")*INDIRECT(ADDRESS(289,5))</f>
        <v>0</v>
      </c>
      <c r="AM289">
        <f>sumifs(am:am,A:A,"总成",B:B,"852-184000-100")*INDIRECT(ADDRESS(289,5))</f>
        <v>0</v>
      </c>
      <c r="AN289">
        <f>sumifs(an:an,A:A,"总成",B:B,"852-184000-100")*INDIRECT(ADDRESS(289,5))</f>
        <v>0</v>
      </c>
      <c r="AO289">
        <f>sumifs(ao:ao,A:A,"总成",B:B,"852-184000-100")*INDIRECT(ADDRESS(289,5))</f>
        <v>0</v>
      </c>
      <c r="AP289">
        <f>sumifs(ap:ap,A:A,"总成",B:B,"852-184000-100")*INDIRECT(ADDRESS(289,5))</f>
        <v>0</v>
      </c>
      <c r="AQ289">
        <f>sumifs(aq:aq,A:A,"总成",B:B,"852-184000-100")*INDIRECT(ADDRESS(289,5))</f>
        <v>0</v>
      </c>
      <c r="AR289">
        <f>sumifs(ar:ar,A:A,"总成",B:B,"852-184000-100")*INDIRECT(ADDRESS(289,5))</f>
        <v>0</v>
      </c>
    </row>
    <row r="290" spans="1:44">
      <c r="A290" t="s">
        <v>14</v>
      </c>
      <c r="B290" t="s">
        <v>527</v>
      </c>
      <c r="C290" t="s">
        <v>528</v>
      </c>
      <c r="D290" t="s">
        <v>469</v>
      </c>
      <c r="F290" t="s">
        <v>532</v>
      </c>
      <c r="K290" t="s">
        <v>590</v>
      </c>
      <c r="L290" t="s">
        <v>21</v>
      </c>
      <c r="M290">
        <f>vlookup("852-180000-100",生产发行表!B:AZ,column(l1),0)</f>
        <v>0</v>
      </c>
      <c r="N290">
        <f>vlookup("852-180000-100",生产发行表!B:AZ,column(m1),0)</f>
        <v>0</v>
      </c>
      <c r="O290">
        <f>vlookup("852-180000-100",生产发行表!B:AZ,column(n1),0)</f>
        <v>0</v>
      </c>
      <c r="P290">
        <f>vlookup("852-180000-100",生产发行表!B:AZ,column(o1),0)</f>
        <v>0</v>
      </c>
      <c r="Q290">
        <f>vlookup("852-180000-100",生产发行表!B:AZ,column(p1),0)</f>
        <v>0</v>
      </c>
      <c r="R290">
        <f>vlookup("852-180000-100",生产发行表!B:AZ,column(q1),0)</f>
        <v>0</v>
      </c>
      <c r="S290">
        <f>vlookup("852-180000-100",生产发行表!B:AZ,column(r1),0)</f>
        <v>0</v>
      </c>
      <c r="T290">
        <f>vlookup("852-180000-100",生产发行表!B:AZ,column(s1),0)</f>
        <v>0</v>
      </c>
      <c r="U290">
        <f>vlookup("852-180000-100",生产发行表!B:AZ,column(t1),0)</f>
        <v>0</v>
      </c>
      <c r="V290">
        <f>vlookup("852-180000-100",生产发行表!B:AZ,column(u1),0)</f>
        <v>0</v>
      </c>
      <c r="W290">
        <f>vlookup("852-180000-100",生产发行表!B:AZ,column(v1),0)</f>
        <v>0</v>
      </c>
      <c r="X290">
        <f>vlookup("852-180000-100",生产发行表!B:AZ,column(w1),0)</f>
        <v>0</v>
      </c>
      <c r="Y290">
        <f>vlookup("852-180000-100",生产发行表!B:AZ,column(x1),0)</f>
        <v>0</v>
      </c>
      <c r="Z290">
        <f>vlookup("852-180000-100",生产发行表!B:AZ,column(y1),0)</f>
        <v>0</v>
      </c>
      <c r="AA290">
        <f>vlookup("852-180000-100",生产发行表!B:AZ,column(z1),0)</f>
        <v>0</v>
      </c>
      <c r="AB290">
        <f>vlookup("852-180000-100",生产发行表!B:AZ,column(aa1),0)</f>
        <v>0</v>
      </c>
      <c r="AC290">
        <f>vlookup("852-180000-100",生产发行表!B:AZ,column(ab1),0)</f>
        <v>0</v>
      </c>
      <c r="AD290">
        <f>vlookup("852-180000-100",生产发行表!B:AZ,column(ac1),0)</f>
        <v>0</v>
      </c>
      <c r="AE290">
        <f>vlookup("852-180000-100",生产发行表!B:AZ,column(ad1),0)</f>
        <v>0</v>
      </c>
      <c r="AF290">
        <f>vlookup("852-180000-100",生产发行表!B:AZ,column(ae1),0)</f>
        <v>0</v>
      </c>
      <c r="AG290">
        <f>vlookup("852-180000-100",生产发行表!B:AZ,column(af1),0)</f>
        <v>0</v>
      </c>
      <c r="AH290">
        <f>vlookup("852-180000-100",生产发行表!B:AZ,column(ag1),0)</f>
        <v>0</v>
      </c>
      <c r="AI290">
        <f>vlookup("852-180000-100",生产发行表!B:AZ,column(ah1),0)</f>
        <v>0</v>
      </c>
      <c r="AJ290">
        <f>vlookup("852-180000-100",生产发行表!B:AZ,column(ai1),0)</f>
        <v>0</v>
      </c>
      <c r="AK290">
        <f>vlookup("852-180000-100",生产发行表!B:AZ,column(aj1),0)</f>
        <v>0</v>
      </c>
      <c r="AL290">
        <f>vlookup("852-180000-100",生产发行表!B:AZ,column(ak1),0)</f>
        <v>0</v>
      </c>
      <c r="AM290">
        <f>vlookup("852-180000-100",生产发行表!B:AZ,column(al1),0)</f>
        <v>0</v>
      </c>
      <c r="AN290">
        <f>vlookup("852-180000-100",生产发行表!B:AZ,column(am1),0)</f>
        <v>0</v>
      </c>
      <c r="AO290">
        <f>vlookup("852-180000-100",生产发行表!B:AZ,column(an1),0)</f>
        <v>0</v>
      </c>
      <c r="AP290">
        <f>vlookup("852-180000-100",生产发行表!B:AZ,column(ao1),0)</f>
        <v>0</v>
      </c>
      <c r="AQ290">
        <f>vlookup("852-180000-100",生产发行表!B:AZ,column(ap1),0)</f>
        <v>0</v>
      </c>
      <c r="AR290">
        <f>vlookup("852-180000-100",生产发行表!B:AZ,column(aq1),0)</f>
        <v>0</v>
      </c>
    </row>
    <row r="291" spans="1:44">
      <c r="A291" t="s">
        <v>14</v>
      </c>
      <c r="B291" t="s">
        <v>530</v>
      </c>
      <c r="C291" t="s">
        <v>531</v>
      </c>
      <c r="E291">
        <v>1</v>
      </c>
      <c r="F291" t="s">
        <v>535</v>
      </c>
      <c r="K291" t="s">
        <v>590</v>
      </c>
      <c r="L291" t="s">
        <v>21</v>
      </c>
      <c r="M291">
        <f>vlookup("852-187000-110",生产发行表!B:AZ,column(l1),0)</f>
        <v>0</v>
      </c>
      <c r="N291">
        <f>vlookup("852-187000-110",生产发行表!B:AZ,column(m1),0)</f>
        <v>0</v>
      </c>
      <c r="O291">
        <f>vlookup("852-187000-110",生产发行表!B:AZ,column(n1),0)</f>
        <v>0</v>
      </c>
      <c r="P291">
        <f>vlookup("852-187000-110",生产发行表!B:AZ,column(o1),0)</f>
        <v>0</v>
      </c>
      <c r="Q291">
        <f>vlookup("852-187000-110",生产发行表!B:AZ,column(p1),0)</f>
        <v>0</v>
      </c>
      <c r="R291">
        <f>vlookup("852-187000-110",生产发行表!B:AZ,column(q1),0)</f>
        <v>0</v>
      </c>
      <c r="S291">
        <f>vlookup("852-187000-110",生产发行表!B:AZ,column(r1),0)</f>
        <v>0</v>
      </c>
      <c r="T291">
        <f>vlookup("852-187000-110",生产发行表!B:AZ,column(s1),0)</f>
        <v>0</v>
      </c>
      <c r="U291">
        <f>vlookup("852-187000-110",生产发行表!B:AZ,column(t1),0)</f>
        <v>0</v>
      </c>
      <c r="V291">
        <f>vlookup("852-187000-110",生产发行表!B:AZ,column(u1),0)</f>
        <v>0</v>
      </c>
      <c r="W291">
        <f>vlookup("852-187000-110",生产发行表!B:AZ,column(v1),0)</f>
        <v>0</v>
      </c>
      <c r="X291">
        <f>vlookup("852-187000-110",生产发行表!B:AZ,column(w1),0)</f>
        <v>0</v>
      </c>
      <c r="Y291">
        <f>vlookup("852-187000-110",生产发行表!B:AZ,column(x1),0)</f>
        <v>0</v>
      </c>
      <c r="Z291">
        <f>vlookup("852-187000-110",生产发行表!B:AZ,column(y1),0)</f>
        <v>0</v>
      </c>
      <c r="AA291">
        <f>vlookup("852-187000-110",生产发行表!B:AZ,column(z1),0)</f>
        <v>0</v>
      </c>
      <c r="AB291">
        <f>vlookup("852-187000-110",生产发行表!B:AZ,column(aa1),0)</f>
        <v>0</v>
      </c>
      <c r="AC291">
        <f>vlookup("852-187000-110",生产发行表!B:AZ,column(ab1),0)</f>
        <v>0</v>
      </c>
      <c r="AD291">
        <f>vlookup("852-187000-110",生产发行表!B:AZ,column(ac1),0)</f>
        <v>0</v>
      </c>
      <c r="AE291">
        <f>vlookup("852-187000-110",生产发行表!B:AZ,column(ad1),0)</f>
        <v>0</v>
      </c>
      <c r="AF291">
        <f>vlookup("852-187000-110",生产发行表!B:AZ,column(ae1),0)</f>
        <v>0</v>
      </c>
      <c r="AG291">
        <f>vlookup("852-187000-110",生产发行表!B:AZ,column(af1),0)</f>
        <v>0</v>
      </c>
      <c r="AH291">
        <f>vlookup("852-187000-110",生产发行表!B:AZ,column(ag1),0)</f>
        <v>0</v>
      </c>
      <c r="AI291">
        <f>vlookup("852-187000-110",生产发行表!B:AZ,column(ah1),0)</f>
        <v>0</v>
      </c>
      <c r="AJ291">
        <f>vlookup("852-187000-110",生产发行表!B:AZ,column(ai1),0)</f>
        <v>0</v>
      </c>
      <c r="AK291">
        <f>vlookup("852-187000-110",生产发行表!B:AZ,column(aj1),0)</f>
        <v>0</v>
      </c>
      <c r="AL291">
        <f>vlookup("852-187000-110",生产发行表!B:AZ,column(ak1),0)</f>
        <v>0</v>
      </c>
      <c r="AM291">
        <f>vlookup("852-187000-110",生产发行表!B:AZ,column(al1),0)</f>
        <v>0</v>
      </c>
      <c r="AN291">
        <f>vlookup("852-187000-110",生产发行表!B:AZ,column(am1),0)</f>
        <v>0</v>
      </c>
      <c r="AO291">
        <f>vlookup("852-187000-110",生产发行表!B:AZ,column(an1),0)</f>
        <v>0</v>
      </c>
      <c r="AP291">
        <f>vlookup("852-187000-110",生产发行表!B:AZ,column(ao1),0)</f>
        <v>0</v>
      </c>
      <c r="AQ291">
        <f>vlookup("852-187000-110",生产发行表!B:AZ,column(ap1),0)</f>
        <v>0</v>
      </c>
      <c r="AR291">
        <f>vlookup("852-187000-110",生产发行表!B:AZ,column(aq1),0)</f>
        <v>0</v>
      </c>
    </row>
    <row r="292" spans="1:44">
      <c r="A292" t="s">
        <v>14</v>
      </c>
      <c r="B292" t="s">
        <v>533</v>
      </c>
      <c r="C292" t="s">
        <v>534</v>
      </c>
      <c r="E292" t="s">
        <v>444</v>
      </c>
      <c r="F292" t="s">
        <v>538</v>
      </c>
      <c r="K292" t="s">
        <v>590</v>
      </c>
      <c r="L292" t="s">
        <v>21</v>
      </c>
      <c r="M292">
        <f>vlookup("852-187000-111",生产发行表!B:AZ,column(l1),0)</f>
        <v>0</v>
      </c>
      <c r="N292">
        <f>vlookup("852-187000-111",生产发行表!B:AZ,column(m1),0)</f>
        <v>0</v>
      </c>
      <c r="O292">
        <f>vlookup("852-187000-111",生产发行表!B:AZ,column(n1),0)</f>
        <v>0</v>
      </c>
      <c r="P292">
        <f>vlookup("852-187000-111",生产发行表!B:AZ,column(o1),0)</f>
        <v>0</v>
      </c>
      <c r="Q292">
        <f>vlookup("852-187000-111",生产发行表!B:AZ,column(p1),0)</f>
        <v>0</v>
      </c>
      <c r="R292">
        <f>vlookup("852-187000-111",生产发行表!B:AZ,column(q1),0)</f>
        <v>0</v>
      </c>
      <c r="S292">
        <f>vlookup("852-187000-111",生产发行表!B:AZ,column(r1),0)</f>
        <v>0</v>
      </c>
      <c r="T292">
        <f>vlookup("852-187000-111",生产发行表!B:AZ,column(s1),0)</f>
        <v>0</v>
      </c>
      <c r="U292">
        <f>vlookup("852-187000-111",生产发行表!B:AZ,column(t1),0)</f>
        <v>0</v>
      </c>
      <c r="V292">
        <f>vlookup("852-187000-111",生产发行表!B:AZ,column(u1),0)</f>
        <v>0</v>
      </c>
      <c r="W292">
        <f>vlookup("852-187000-111",生产发行表!B:AZ,column(v1),0)</f>
        <v>0</v>
      </c>
      <c r="X292">
        <f>vlookup("852-187000-111",生产发行表!B:AZ,column(w1),0)</f>
        <v>0</v>
      </c>
      <c r="Y292">
        <f>vlookup("852-187000-111",生产发行表!B:AZ,column(x1),0)</f>
        <v>0</v>
      </c>
      <c r="Z292">
        <f>vlookup("852-187000-111",生产发行表!B:AZ,column(y1),0)</f>
        <v>0</v>
      </c>
      <c r="AA292">
        <f>vlookup("852-187000-111",生产发行表!B:AZ,column(z1),0)</f>
        <v>0</v>
      </c>
      <c r="AB292">
        <f>vlookup("852-187000-111",生产发行表!B:AZ,column(aa1),0)</f>
        <v>0</v>
      </c>
      <c r="AC292">
        <f>vlookup("852-187000-111",生产发行表!B:AZ,column(ab1),0)</f>
        <v>0</v>
      </c>
      <c r="AD292">
        <f>vlookup("852-187000-111",生产发行表!B:AZ,column(ac1),0)</f>
        <v>0</v>
      </c>
      <c r="AE292">
        <f>vlookup("852-187000-111",生产发行表!B:AZ,column(ad1),0)</f>
        <v>0</v>
      </c>
      <c r="AF292">
        <f>vlookup("852-187000-111",生产发行表!B:AZ,column(ae1),0)</f>
        <v>0</v>
      </c>
      <c r="AG292">
        <f>vlookup("852-187000-111",生产发行表!B:AZ,column(af1),0)</f>
        <v>0</v>
      </c>
      <c r="AH292">
        <f>vlookup("852-187000-111",生产发行表!B:AZ,column(ag1),0)</f>
        <v>0</v>
      </c>
      <c r="AI292">
        <f>vlookup("852-187000-111",生产发行表!B:AZ,column(ah1),0)</f>
        <v>0</v>
      </c>
      <c r="AJ292">
        <f>vlookup("852-187000-111",生产发行表!B:AZ,column(ai1),0)</f>
        <v>0</v>
      </c>
      <c r="AK292">
        <f>vlookup("852-187000-111",生产发行表!B:AZ,column(aj1),0)</f>
        <v>0</v>
      </c>
      <c r="AL292">
        <f>vlookup("852-187000-111",生产发行表!B:AZ,column(ak1),0)</f>
        <v>0</v>
      </c>
      <c r="AM292">
        <f>vlookup("852-187000-111",生产发行表!B:AZ,column(al1),0)</f>
        <v>0</v>
      </c>
      <c r="AN292">
        <f>vlookup("852-187000-111",生产发行表!B:AZ,column(am1),0)</f>
        <v>0</v>
      </c>
      <c r="AO292">
        <f>vlookup("852-187000-111",生产发行表!B:AZ,column(an1),0)</f>
        <v>0</v>
      </c>
      <c r="AP292">
        <f>vlookup("852-187000-111",生产发行表!B:AZ,column(ao1),0)</f>
        <v>0</v>
      </c>
      <c r="AQ292">
        <f>vlookup("852-187000-111",生产发行表!B:AZ,column(ap1),0)</f>
        <v>0</v>
      </c>
      <c r="AR292">
        <f>vlookup("852-187000-111",生产发行表!B:AZ,column(aq1),0)</f>
        <v>0</v>
      </c>
    </row>
    <row r="293" spans="1:44">
      <c r="A293" t="s">
        <v>14</v>
      </c>
      <c r="B293" t="s">
        <v>536</v>
      </c>
      <c r="C293" t="s">
        <v>537</v>
      </c>
      <c r="D293" t="s">
        <v>525</v>
      </c>
      <c r="E293" t="s">
        <v>444</v>
      </c>
      <c r="F293" t="s">
        <v>599</v>
      </c>
      <c r="K293" t="s">
        <v>590</v>
      </c>
      <c r="L293" t="s">
        <v>21</v>
      </c>
      <c r="M293">
        <f>vlookup("852-187000-100",生产发行表!B:AZ,column(l1),0)</f>
        <v>0</v>
      </c>
      <c r="N293">
        <f>vlookup("852-187000-100",生产发行表!B:AZ,column(m1),0)</f>
        <v>0</v>
      </c>
      <c r="O293">
        <f>vlookup("852-187000-100",生产发行表!B:AZ,column(n1),0)</f>
        <v>0</v>
      </c>
      <c r="P293">
        <f>vlookup("852-187000-100",生产发行表!B:AZ,column(o1),0)</f>
        <v>0</v>
      </c>
      <c r="Q293">
        <f>vlookup("852-187000-100",生产发行表!B:AZ,column(p1),0)</f>
        <v>0</v>
      </c>
      <c r="R293">
        <f>vlookup("852-187000-100",生产发行表!B:AZ,column(q1),0)</f>
        <v>0</v>
      </c>
      <c r="S293">
        <f>vlookup("852-187000-100",生产发行表!B:AZ,column(r1),0)</f>
        <v>0</v>
      </c>
      <c r="T293">
        <f>vlookup("852-187000-100",生产发行表!B:AZ,column(s1),0)</f>
        <v>0</v>
      </c>
      <c r="U293">
        <f>vlookup("852-187000-100",生产发行表!B:AZ,column(t1),0)</f>
        <v>0</v>
      </c>
      <c r="V293">
        <f>vlookup("852-187000-100",生产发行表!B:AZ,column(u1),0)</f>
        <v>0</v>
      </c>
      <c r="W293">
        <f>vlookup("852-187000-100",生产发行表!B:AZ,column(v1),0)</f>
        <v>0</v>
      </c>
      <c r="X293">
        <f>vlookup("852-187000-100",生产发行表!B:AZ,column(w1),0)</f>
        <v>0</v>
      </c>
      <c r="Y293">
        <f>vlookup("852-187000-100",生产发行表!B:AZ,column(x1),0)</f>
        <v>0</v>
      </c>
      <c r="Z293">
        <f>vlookup("852-187000-100",生产发行表!B:AZ,column(y1),0)</f>
        <v>0</v>
      </c>
      <c r="AA293">
        <f>vlookup("852-187000-100",生产发行表!B:AZ,column(z1),0)</f>
        <v>0</v>
      </c>
      <c r="AB293">
        <f>vlookup("852-187000-100",生产发行表!B:AZ,column(aa1),0)</f>
        <v>0</v>
      </c>
      <c r="AC293">
        <f>vlookup("852-187000-100",生产发行表!B:AZ,column(ab1),0)</f>
        <v>0</v>
      </c>
      <c r="AD293">
        <f>vlookup("852-187000-100",生产发行表!B:AZ,column(ac1),0)</f>
        <v>0</v>
      </c>
      <c r="AE293">
        <f>vlookup("852-187000-100",生产发行表!B:AZ,column(ad1),0)</f>
        <v>0</v>
      </c>
      <c r="AF293">
        <f>vlookup("852-187000-100",生产发行表!B:AZ,column(ae1),0)</f>
        <v>0</v>
      </c>
      <c r="AG293">
        <f>vlookup("852-187000-100",生产发行表!B:AZ,column(af1),0)</f>
        <v>0</v>
      </c>
      <c r="AH293">
        <f>vlookup("852-187000-100",生产发行表!B:AZ,column(ag1),0)</f>
        <v>0</v>
      </c>
      <c r="AI293">
        <f>vlookup("852-187000-100",生产发行表!B:AZ,column(ah1),0)</f>
        <v>0</v>
      </c>
      <c r="AJ293">
        <f>vlookup("852-187000-100",生产发行表!B:AZ,column(ai1),0)</f>
        <v>0</v>
      </c>
      <c r="AK293">
        <f>vlookup("852-187000-100",生产发行表!B:AZ,column(aj1),0)</f>
        <v>0</v>
      </c>
      <c r="AL293">
        <f>vlookup("852-187000-100",生产发行表!B:AZ,column(ak1),0)</f>
        <v>0</v>
      </c>
      <c r="AM293">
        <f>vlookup("852-187000-100",生产发行表!B:AZ,column(al1),0)</f>
        <v>0</v>
      </c>
      <c r="AN293">
        <f>vlookup("852-187000-100",生产发行表!B:AZ,column(am1),0)</f>
        <v>0</v>
      </c>
      <c r="AO293">
        <f>vlookup("852-187000-100",生产发行表!B:AZ,column(an1),0)</f>
        <v>0</v>
      </c>
      <c r="AP293">
        <f>vlookup("852-187000-100",生产发行表!B:AZ,column(ao1),0)</f>
        <v>0</v>
      </c>
      <c r="AQ293">
        <f>vlookup("852-187000-100",生产发行表!B:AZ,column(ap1),0)</f>
        <v>0</v>
      </c>
      <c r="AR293">
        <f>vlookup("852-187000-100",生产发行表!B:AZ,column(aq1),0)</f>
        <v>0</v>
      </c>
    </row>
    <row r="294" spans="1:44">
      <c r="A294" t="s">
        <v>31</v>
      </c>
      <c r="B294" t="s">
        <v>600</v>
      </c>
      <c r="C294" t="s">
        <v>601</v>
      </c>
      <c r="F294" t="s">
        <v>596</v>
      </c>
      <c r="K294" t="s">
        <v>590</v>
      </c>
      <c r="L294" t="s">
        <v>37</v>
      </c>
      <c r="M294">
        <f>sumifs(m:m,A:A,"总成",B:B,"852-187000-100")*INDIRECT(ADDRESS(294,5))</f>
        <v>0</v>
      </c>
      <c r="N294">
        <f>sumifs(n:n,A:A,"总成",B:B,"852-187000-100")*INDIRECT(ADDRESS(294,5))</f>
        <v>0</v>
      </c>
      <c r="O294">
        <f>sumifs(o:o,A:A,"总成",B:B,"852-187000-100")*INDIRECT(ADDRESS(294,5))</f>
        <v>0</v>
      </c>
      <c r="P294">
        <f>sumifs(p:p,A:A,"总成",B:B,"852-187000-100")*INDIRECT(ADDRESS(294,5))</f>
        <v>0</v>
      </c>
      <c r="Q294">
        <f>sumifs(q:q,A:A,"总成",B:B,"852-187000-100")*INDIRECT(ADDRESS(294,5))</f>
        <v>0</v>
      </c>
      <c r="R294">
        <f>sumifs(r:r,A:A,"总成",B:B,"852-187000-100")*INDIRECT(ADDRESS(294,5))</f>
        <v>0</v>
      </c>
      <c r="S294">
        <f>sumifs(s:s,A:A,"总成",B:B,"852-187000-100")*INDIRECT(ADDRESS(294,5))</f>
        <v>0</v>
      </c>
      <c r="T294">
        <f>sumifs(t:t,A:A,"总成",B:B,"852-187000-100")*INDIRECT(ADDRESS(294,5))</f>
        <v>0</v>
      </c>
      <c r="U294">
        <f>sumifs(u:u,A:A,"总成",B:B,"852-187000-100")*INDIRECT(ADDRESS(294,5))</f>
        <v>0</v>
      </c>
      <c r="V294">
        <f>sumifs(v:v,A:A,"总成",B:B,"852-187000-100")*INDIRECT(ADDRESS(294,5))</f>
        <v>0</v>
      </c>
      <c r="W294">
        <f>sumifs(w:w,A:A,"总成",B:B,"852-187000-100")*INDIRECT(ADDRESS(294,5))</f>
        <v>0</v>
      </c>
      <c r="X294">
        <f>sumifs(x:x,A:A,"总成",B:B,"852-187000-100")*INDIRECT(ADDRESS(294,5))</f>
        <v>0</v>
      </c>
      <c r="Y294">
        <f>sumifs(y:y,A:A,"总成",B:B,"852-187000-100")*INDIRECT(ADDRESS(294,5))</f>
        <v>0</v>
      </c>
      <c r="Z294">
        <f>sumifs(z:z,A:A,"总成",B:B,"852-187000-100")*INDIRECT(ADDRESS(294,5))</f>
        <v>0</v>
      </c>
      <c r="AA294">
        <f>sumifs(aa:aa,A:A,"总成",B:B,"852-187000-100")*INDIRECT(ADDRESS(294,5))</f>
        <v>0</v>
      </c>
      <c r="AB294">
        <f>sumifs(ab:ab,A:A,"总成",B:B,"852-187000-100")*INDIRECT(ADDRESS(294,5))</f>
        <v>0</v>
      </c>
      <c r="AC294">
        <f>sumifs(ac:ac,A:A,"总成",B:B,"852-187000-100")*INDIRECT(ADDRESS(294,5))</f>
        <v>0</v>
      </c>
      <c r="AD294">
        <f>sumifs(ad:ad,A:A,"总成",B:B,"852-187000-100")*INDIRECT(ADDRESS(294,5))</f>
        <v>0</v>
      </c>
      <c r="AE294">
        <f>sumifs(ae:ae,A:A,"总成",B:B,"852-187000-100")*INDIRECT(ADDRESS(294,5))</f>
        <v>0</v>
      </c>
      <c r="AF294">
        <f>sumifs(af:af,A:A,"总成",B:B,"852-187000-100")*INDIRECT(ADDRESS(294,5))</f>
        <v>0</v>
      </c>
      <c r="AG294">
        <f>sumifs(ag:ag,A:A,"总成",B:B,"852-187000-100")*INDIRECT(ADDRESS(294,5))</f>
        <v>0</v>
      </c>
      <c r="AH294">
        <f>sumifs(ah:ah,A:A,"总成",B:B,"852-187000-100")*INDIRECT(ADDRESS(294,5))</f>
        <v>0</v>
      </c>
      <c r="AI294">
        <f>sumifs(ai:ai,A:A,"总成",B:B,"852-187000-100")*INDIRECT(ADDRESS(294,5))</f>
        <v>0</v>
      </c>
      <c r="AJ294">
        <f>sumifs(aj:aj,A:A,"总成",B:B,"852-187000-100")*INDIRECT(ADDRESS(294,5))</f>
        <v>0</v>
      </c>
      <c r="AK294">
        <f>sumifs(ak:ak,A:A,"总成",B:B,"852-187000-100")*INDIRECT(ADDRESS(294,5))</f>
        <v>0</v>
      </c>
      <c r="AL294">
        <f>sumifs(al:al,A:A,"总成",B:B,"852-187000-100")*INDIRECT(ADDRESS(294,5))</f>
        <v>0</v>
      </c>
      <c r="AM294">
        <f>sumifs(am:am,A:A,"总成",B:B,"852-187000-100")*INDIRECT(ADDRESS(294,5))</f>
        <v>0</v>
      </c>
      <c r="AN294">
        <f>sumifs(an:an,A:A,"总成",B:B,"852-187000-100")*INDIRECT(ADDRESS(294,5))</f>
        <v>0</v>
      </c>
      <c r="AO294">
        <f>sumifs(ao:ao,A:A,"总成",B:B,"852-187000-100")*INDIRECT(ADDRESS(294,5))</f>
        <v>0</v>
      </c>
      <c r="AP294">
        <f>sumifs(ap:ap,A:A,"总成",B:B,"852-187000-100")*INDIRECT(ADDRESS(294,5))</f>
        <v>0</v>
      </c>
      <c r="AQ294">
        <f>sumifs(aq:aq,A:A,"总成",B:B,"852-187000-100")*INDIRECT(ADDRESS(294,5))</f>
        <v>0</v>
      </c>
      <c r="AR294">
        <f>sumifs(ar:ar,A:A,"总成",B:B,"852-187000-100")*INDIRECT(ADDRESS(294,5))</f>
        <v>0</v>
      </c>
    </row>
    <row r="295" spans="1:44">
      <c r="A295" t="s">
        <v>31</v>
      </c>
      <c r="B295" t="s">
        <v>597</v>
      </c>
      <c r="C295" t="s">
        <v>598</v>
      </c>
      <c r="E295">
        <v>1</v>
      </c>
      <c r="F295" t="s">
        <v>602</v>
      </c>
      <c r="K295" t="s">
        <v>590</v>
      </c>
      <c r="L295" t="s">
        <v>37</v>
      </c>
      <c r="M295">
        <f>sumifs(m:m,A:A,"总成",B:B,"852-187000-100")*INDIRECT(ADDRESS(295,5))</f>
        <v>0</v>
      </c>
      <c r="N295">
        <f>sumifs(n:n,A:A,"总成",B:B,"852-187000-100")*INDIRECT(ADDRESS(295,5))</f>
        <v>0</v>
      </c>
      <c r="O295">
        <f>sumifs(o:o,A:A,"总成",B:B,"852-187000-100")*INDIRECT(ADDRESS(295,5))</f>
        <v>0</v>
      </c>
      <c r="P295">
        <f>sumifs(p:p,A:A,"总成",B:B,"852-187000-100")*INDIRECT(ADDRESS(295,5))</f>
        <v>0</v>
      </c>
      <c r="Q295">
        <f>sumifs(q:q,A:A,"总成",B:B,"852-187000-100")*INDIRECT(ADDRESS(295,5))</f>
        <v>0</v>
      </c>
      <c r="R295">
        <f>sumifs(r:r,A:A,"总成",B:B,"852-187000-100")*INDIRECT(ADDRESS(295,5))</f>
        <v>0</v>
      </c>
      <c r="S295">
        <f>sumifs(s:s,A:A,"总成",B:B,"852-187000-100")*INDIRECT(ADDRESS(295,5))</f>
        <v>0</v>
      </c>
      <c r="T295">
        <f>sumifs(t:t,A:A,"总成",B:B,"852-187000-100")*INDIRECT(ADDRESS(295,5))</f>
        <v>0</v>
      </c>
      <c r="U295">
        <f>sumifs(u:u,A:A,"总成",B:B,"852-187000-100")*INDIRECT(ADDRESS(295,5))</f>
        <v>0</v>
      </c>
      <c r="V295">
        <f>sumifs(v:v,A:A,"总成",B:B,"852-187000-100")*INDIRECT(ADDRESS(295,5))</f>
        <v>0</v>
      </c>
      <c r="W295">
        <f>sumifs(w:w,A:A,"总成",B:B,"852-187000-100")*INDIRECT(ADDRESS(295,5))</f>
        <v>0</v>
      </c>
      <c r="X295">
        <f>sumifs(x:x,A:A,"总成",B:B,"852-187000-100")*INDIRECT(ADDRESS(295,5))</f>
        <v>0</v>
      </c>
      <c r="Y295">
        <f>sumifs(y:y,A:A,"总成",B:B,"852-187000-100")*INDIRECT(ADDRESS(295,5))</f>
        <v>0</v>
      </c>
      <c r="Z295">
        <f>sumifs(z:z,A:A,"总成",B:B,"852-187000-100")*INDIRECT(ADDRESS(295,5))</f>
        <v>0</v>
      </c>
      <c r="AA295">
        <f>sumifs(aa:aa,A:A,"总成",B:B,"852-187000-100")*INDIRECT(ADDRESS(295,5))</f>
        <v>0</v>
      </c>
      <c r="AB295">
        <f>sumifs(ab:ab,A:A,"总成",B:B,"852-187000-100")*INDIRECT(ADDRESS(295,5))</f>
        <v>0</v>
      </c>
      <c r="AC295">
        <f>sumifs(ac:ac,A:A,"总成",B:B,"852-187000-100")*INDIRECT(ADDRESS(295,5))</f>
        <v>0</v>
      </c>
      <c r="AD295">
        <f>sumifs(ad:ad,A:A,"总成",B:B,"852-187000-100")*INDIRECT(ADDRESS(295,5))</f>
        <v>0</v>
      </c>
      <c r="AE295">
        <f>sumifs(ae:ae,A:A,"总成",B:B,"852-187000-100")*INDIRECT(ADDRESS(295,5))</f>
        <v>0</v>
      </c>
      <c r="AF295">
        <f>sumifs(af:af,A:A,"总成",B:B,"852-187000-100")*INDIRECT(ADDRESS(295,5))</f>
        <v>0</v>
      </c>
      <c r="AG295">
        <f>sumifs(ag:ag,A:A,"总成",B:B,"852-187000-100")*INDIRECT(ADDRESS(295,5))</f>
        <v>0</v>
      </c>
      <c r="AH295">
        <f>sumifs(ah:ah,A:A,"总成",B:B,"852-187000-100")*INDIRECT(ADDRESS(295,5))</f>
        <v>0</v>
      </c>
      <c r="AI295">
        <f>sumifs(ai:ai,A:A,"总成",B:B,"852-187000-100")*INDIRECT(ADDRESS(295,5))</f>
        <v>0</v>
      </c>
      <c r="AJ295">
        <f>sumifs(aj:aj,A:A,"总成",B:B,"852-187000-100")*INDIRECT(ADDRESS(295,5))</f>
        <v>0</v>
      </c>
      <c r="AK295">
        <f>sumifs(ak:ak,A:A,"总成",B:B,"852-187000-100")*INDIRECT(ADDRESS(295,5))</f>
        <v>0</v>
      </c>
      <c r="AL295">
        <f>sumifs(al:al,A:A,"总成",B:B,"852-187000-100")*INDIRECT(ADDRESS(295,5))</f>
        <v>0</v>
      </c>
      <c r="AM295">
        <f>sumifs(am:am,A:A,"总成",B:B,"852-187000-100")*INDIRECT(ADDRESS(295,5))</f>
        <v>0</v>
      </c>
      <c r="AN295">
        <f>sumifs(an:an,A:A,"总成",B:B,"852-187000-100")*INDIRECT(ADDRESS(295,5))</f>
        <v>0</v>
      </c>
      <c r="AO295">
        <f>sumifs(ao:ao,A:A,"总成",B:B,"852-187000-100")*INDIRECT(ADDRESS(295,5))</f>
        <v>0</v>
      </c>
      <c r="AP295">
        <f>sumifs(ap:ap,A:A,"总成",B:B,"852-187000-100")*INDIRECT(ADDRESS(295,5))</f>
        <v>0</v>
      </c>
      <c r="AQ295">
        <f>sumifs(aq:aq,A:A,"总成",B:B,"852-187000-100")*INDIRECT(ADDRESS(295,5))</f>
        <v>0</v>
      </c>
      <c r="AR295">
        <f>sumifs(ar:ar,A:A,"总成",B:B,"852-187000-100")*INDIRECT(ADDRESS(295,5))</f>
        <v>0</v>
      </c>
    </row>
    <row r="296" spans="1:44">
      <c r="A296" t="s">
        <v>31</v>
      </c>
      <c r="B296" t="s">
        <v>603</v>
      </c>
      <c r="C296" t="s">
        <v>604</v>
      </c>
      <c r="D296" t="s">
        <v>448</v>
      </c>
      <c r="F296" t="s">
        <v>541</v>
      </c>
      <c r="K296" t="s">
        <v>590</v>
      </c>
      <c r="L296" t="s">
        <v>37</v>
      </c>
      <c r="M296">
        <f>sumifs(m:m,A:A,"总成",B:B,"852-187000-100")*INDIRECT(ADDRESS(296,5))</f>
        <v>0</v>
      </c>
      <c r="N296">
        <f>sumifs(n:n,A:A,"总成",B:B,"852-187000-100")*INDIRECT(ADDRESS(296,5))</f>
        <v>0</v>
      </c>
      <c r="O296">
        <f>sumifs(o:o,A:A,"总成",B:B,"852-187000-100")*INDIRECT(ADDRESS(296,5))</f>
        <v>0</v>
      </c>
      <c r="P296">
        <f>sumifs(p:p,A:A,"总成",B:B,"852-187000-100")*INDIRECT(ADDRESS(296,5))</f>
        <v>0</v>
      </c>
      <c r="Q296">
        <f>sumifs(q:q,A:A,"总成",B:B,"852-187000-100")*INDIRECT(ADDRESS(296,5))</f>
        <v>0</v>
      </c>
      <c r="R296">
        <f>sumifs(r:r,A:A,"总成",B:B,"852-187000-100")*INDIRECT(ADDRESS(296,5))</f>
        <v>0</v>
      </c>
      <c r="S296">
        <f>sumifs(s:s,A:A,"总成",B:B,"852-187000-100")*INDIRECT(ADDRESS(296,5))</f>
        <v>0</v>
      </c>
      <c r="T296">
        <f>sumifs(t:t,A:A,"总成",B:B,"852-187000-100")*INDIRECT(ADDRESS(296,5))</f>
        <v>0</v>
      </c>
      <c r="U296">
        <f>sumifs(u:u,A:A,"总成",B:B,"852-187000-100")*INDIRECT(ADDRESS(296,5))</f>
        <v>0</v>
      </c>
      <c r="V296">
        <f>sumifs(v:v,A:A,"总成",B:B,"852-187000-100")*INDIRECT(ADDRESS(296,5))</f>
        <v>0</v>
      </c>
      <c r="W296">
        <f>sumifs(w:w,A:A,"总成",B:B,"852-187000-100")*INDIRECT(ADDRESS(296,5))</f>
        <v>0</v>
      </c>
      <c r="X296">
        <f>sumifs(x:x,A:A,"总成",B:B,"852-187000-100")*INDIRECT(ADDRESS(296,5))</f>
        <v>0</v>
      </c>
      <c r="Y296">
        <f>sumifs(y:y,A:A,"总成",B:B,"852-187000-100")*INDIRECT(ADDRESS(296,5))</f>
        <v>0</v>
      </c>
      <c r="Z296">
        <f>sumifs(z:z,A:A,"总成",B:B,"852-187000-100")*INDIRECT(ADDRESS(296,5))</f>
        <v>0</v>
      </c>
      <c r="AA296">
        <f>sumifs(aa:aa,A:A,"总成",B:B,"852-187000-100")*INDIRECT(ADDRESS(296,5))</f>
        <v>0</v>
      </c>
      <c r="AB296">
        <f>sumifs(ab:ab,A:A,"总成",B:B,"852-187000-100")*INDIRECT(ADDRESS(296,5))</f>
        <v>0</v>
      </c>
      <c r="AC296">
        <f>sumifs(ac:ac,A:A,"总成",B:B,"852-187000-100")*INDIRECT(ADDRESS(296,5))</f>
        <v>0</v>
      </c>
      <c r="AD296">
        <f>sumifs(ad:ad,A:A,"总成",B:B,"852-187000-100")*INDIRECT(ADDRESS(296,5))</f>
        <v>0</v>
      </c>
      <c r="AE296">
        <f>sumifs(ae:ae,A:A,"总成",B:B,"852-187000-100")*INDIRECT(ADDRESS(296,5))</f>
        <v>0</v>
      </c>
      <c r="AF296">
        <f>sumifs(af:af,A:A,"总成",B:B,"852-187000-100")*INDIRECT(ADDRESS(296,5))</f>
        <v>0</v>
      </c>
      <c r="AG296">
        <f>sumifs(ag:ag,A:A,"总成",B:B,"852-187000-100")*INDIRECT(ADDRESS(296,5))</f>
        <v>0</v>
      </c>
      <c r="AH296">
        <f>sumifs(ah:ah,A:A,"总成",B:B,"852-187000-100")*INDIRECT(ADDRESS(296,5))</f>
        <v>0</v>
      </c>
      <c r="AI296">
        <f>sumifs(ai:ai,A:A,"总成",B:B,"852-187000-100")*INDIRECT(ADDRESS(296,5))</f>
        <v>0</v>
      </c>
      <c r="AJ296">
        <f>sumifs(aj:aj,A:A,"总成",B:B,"852-187000-100")*INDIRECT(ADDRESS(296,5))</f>
        <v>0</v>
      </c>
      <c r="AK296">
        <f>sumifs(ak:ak,A:A,"总成",B:B,"852-187000-100")*INDIRECT(ADDRESS(296,5))</f>
        <v>0</v>
      </c>
      <c r="AL296">
        <f>sumifs(al:al,A:A,"总成",B:B,"852-187000-100")*INDIRECT(ADDRESS(296,5))</f>
        <v>0</v>
      </c>
      <c r="AM296">
        <f>sumifs(am:am,A:A,"总成",B:B,"852-187000-100")*INDIRECT(ADDRESS(296,5))</f>
        <v>0</v>
      </c>
      <c r="AN296">
        <f>sumifs(an:an,A:A,"总成",B:B,"852-187000-100")*INDIRECT(ADDRESS(296,5))</f>
        <v>0</v>
      </c>
      <c r="AO296">
        <f>sumifs(ao:ao,A:A,"总成",B:B,"852-187000-100")*INDIRECT(ADDRESS(296,5))</f>
        <v>0</v>
      </c>
      <c r="AP296">
        <f>sumifs(ap:ap,A:A,"总成",B:B,"852-187000-100")*INDIRECT(ADDRESS(296,5))</f>
        <v>0</v>
      </c>
      <c r="AQ296">
        <f>sumifs(aq:aq,A:A,"总成",B:B,"852-187000-100")*INDIRECT(ADDRESS(296,5))</f>
        <v>0</v>
      </c>
      <c r="AR296">
        <f>sumifs(ar:ar,A:A,"总成",B:B,"852-187000-100")*INDIRECT(ADDRESS(296,5))</f>
        <v>0</v>
      </c>
    </row>
    <row r="297" spans="1:44">
      <c r="A297" t="s">
        <v>14</v>
      </c>
      <c r="B297" t="s">
        <v>539</v>
      </c>
      <c r="C297" t="s">
        <v>540</v>
      </c>
      <c r="E297" t="s">
        <v>444</v>
      </c>
      <c r="F297" t="s">
        <v>544</v>
      </c>
      <c r="K297" t="s">
        <v>590</v>
      </c>
      <c r="L297" t="s">
        <v>21</v>
      </c>
      <c r="M297">
        <f>vlookup("852-189000-110",生产发行表!B:AZ,column(l1),0)</f>
        <v>0</v>
      </c>
      <c r="N297">
        <f>vlookup("852-189000-110",生产发行表!B:AZ,column(m1),0)</f>
        <v>0</v>
      </c>
      <c r="O297">
        <f>vlookup("852-189000-110",生产发行表!B:AZ,column(n1),0)</f>
        <v>0</v>
      </c>
      <c r="P297">
        <f>vlookup("852-189000-110",生产发行表!B:AZ,column(o1),0)</f>
        <v>0</v>
      </c>
      <c r="Q297">
        <f>vlookup("852-189000-110",生产发行表!B:AZ,column(p1),0)</f>
        <v>0</v>
      </c>
      <c r="R297">
        <f>vlookup("852-189000-110",生产发行表!B:AZ,column(q1),0)</f>
        <v>0</v>
      </c>
      <c r="S297">
        <f>vlookup("852-189000-110",生产发行表!B:AZ,column(r1),0)</f>
        <v>0</v>
      </c>
      <c r="T297">
        <f>vlookup("852-189000-110",生产发行表!B:AZ,column(s1),0)</f>
        <v>0</v>
      </c>
      <c r="U297">
        <f>vlookup("852-189000-110",生产发行表!B:AZ,column(t1),0)</f>
        <v>0</v>
      </c>
      <c r="V297">
        <f>vlookup("852-189000-110",生产发行表!B:AZ,column(u1),0)</f>
        <v>0</v>
      </c>
      <c r="W297">
        <f>vlookup("852-189000-110",生产发行表!B:AZ,column(v1),0)</f>
        <v>0</v>
      </c>
      <c r="X297">
        <f>vlookup("852-189000-110",生产发行表!B:AZ,column(w1),0)</f>
        <v>0</v>
      </c>
      <c r="Y297">
        <f>vlookup("852-189000-110",生产发行表!B:AZ,column(x1),0)</f>
        <v>0</v>
      </c>
      <c r="Z297">
        <f>vlookup("852-189000-110",生产发行表!B:AZ,column(y1),0)</f>
        <v>0</v>
      </c>
      <c r="AA297">
        <f>vlookup("852-189000-110",生产发行表!B:AZ,column(z1),0)</f>
        <v>0</v>
      </c>
      <c r="AB297">
        <f>vlookup("852-189000-110",生产发行表!B:AZ,column(aa1),0)</f>
        <v>0</v>
      </c>
      <c r="AC297">
        <f>vlookup("852-189000-110",生产发行表!B:AZ,column(ab1),0)</f>
        <v>0</v>
      </c>
      <c r="AD297">
        <f>vlookup("852-189000-110",生产发行表!B:AZ,column(ac1),0)</f>
        <v>0</v>
      </c>
      <c r="AE297">
        <f>vlookup("852-189000-110",生产发行表!B:AZ,column(ad1),0)</f>
        <v>0</v>
      </c>
      <c r="AF297">
        <f>vlookup("852-189000-110",生产发行表!B:AZ,column(ae1),0)</f>
        <v>0</v>
      </c>
      <c r="AG297">
        <f>vlookup("852-189000-110",生产发行表!B:AZ,column(af1),0)</f>
        <v>0</v>
      </c>
      <c r="AH297">
        <f>vlookup("852-189000-110",生产发行表!B:AZ,column(ag1),0)</f>
        <v>0</v>
      </c>
      <c r="AI297">
        <f>vlookup("852-189000-110",生产发行表!B:AZ,column(ah1),0)</f>
        <v>0</v>
      </c>
      <c r="AJ297">
        <f>vlookup("852-189000-110",生产发行表!B:AZ,column(ai1),0)</f>
        <v>0</v>
      </c>
      <c r="AK297">
        <f>vlookup("852-189000-110",生产发行表!B:AZ,column(aj1),0)</f>
        <v>0</v>
      </c>
      <c r="AL297">
        <f>vlookup("852-189000-110",生产发行表!B:AZ,column(ak1),0)</f>
        <v>0</v>
      </c>
      <c r="AM297">
        <f>vlookup("852-189000-110",生产发行表!B:AZ,column(al1),0)</f>
        <v>0</v>
      </c>
      <c r="AN297">
        <f>vlookup("852-189000-110",生产发行表!B:AZ,column(am1),0)</f>
        <v>0</v>
      </c>
      <c r="AO297">
        <f>vlookup("852-189000-110",生产发行表!B:AZ,column(an1),0)</f>
        <v>0</v>
      </c>
      <c r="AP297">
        <f>vlookup("852-189000-110",生产发行表!B:AZ,column(ao1),0)</f>
        <v>0</v>
      </c>
      <c r="AQ297">
        <f>vlookup("852-189000-110",生产发行表!B:AZ,column(ap1),0)</f>
        <v>0</v>
      </c>
      <c r="AR297">
        <f>vlookup("852-189000-110",生产发行表!B:AZ,column(aq1),0)</f>
        <v>0</v>
      </c>
    </row>
    <row r="298" spans="1:44">
      <c r="A298" t="s">
        <v>14</v>
      </c>
      <c r="B298" t="s">
        <v>542</v>
      </c>
      <c r="C298" t="s">
        <v>543</v>
      </c>
      <c r="F298" t="s">
        <v>605</v>
      </c>
      <c r="K298" t="s">
        <v>590</v>
      </c>
      <c r="L298" t="s">
        <v>21</v>
      </c>
      <c r="M298">
        <f>vlookup("852-189000-111",生产发行表!B:AZ,column(l1),0)</f>
        <v>0</v>
      </c>
      <c r="N298">
        <f>vlookup("852-189000-111",生产发行表!B:AZ,column(m1),0)</f>
        <v>0</v>
      </c>
      <c r="O298">
        <f>vlookup("852-189000-111",生产发行表!B:AZ,column(n1),0)</f>
        <v>0</v>
      </c>
      <c r="P298">
        <f>vlookup("852-189000-111",生产发行表!B:AZ,column(o1),0)</f>
        <v>0</v>
      </c>
      <c r="Q298">
        <f>vlookup("852-189000-111",生产发行表!B:AZ,column(p1),0)</f>
        <v>0</v>
      </c>
      <c r="R298">
        <f>vlookup("852-189000-111",生产发行表!B:AZ,column(q1),0)</f>
        <v>0</v>
      </c>
      <c r="S298">
        <f>vlookup("852-189000-111",生产发行表!B:AZ,column(r1),0)</f>
        <v>0</v>
      </c>
      <c r="T298">
        <f>vlookup("852-189000-111",生产发行表!B:AZ,column(s1),0)</f>
        <v>0</v>
      </c>
      <c r="U298">
        <f>vlookup("852-189000-111",生产发行表!B:AZ,column(t1),0)</f>
        <v>0</v>
      </c>
      <c r="V298">
        <f>vlookup("852-189000-111",生产发行表!B:AZ,column(u1),0)</f>
        <v>0</v>
      </c>
      <c r="W298">
        <f>vlookup("852-189000-111",生产发行表!B:AZ,column(v1),0)</f>
        <v>0</v>
      </c>
      <c r="X298">
        <f>vlookup("852-189000-111",生产发行表!B:AZ,column(w1),0)</f>
        <v>0</v>
      </c>
      <c r="Y298">
        <f>vlookup("852-189000-111",生产发行表!B:AZ,column(x1),0)</f>
        <v>0</v>
      </c>
      <c r="Z298">
        <f>vlookup("852-189000-111",生产发行表!B:AZ,column(y1),0)</f>
        <v>0</v>
      </c>
      <c r="AA298">
        <f>vlookup("852-189000-111",生产发行表!B:AZ,column(z1),0)</f>
        <v>0</v>
      </c>
      <c r="AB298">
        <f>vlookup("852-189000-111",生产发行表!B:AZ,column(aa1),0)</f>
        <v>0</v>
      </c>
      <c r="AC298">
        <f>vlookup("852-189000-111",生产发行表!B:AZ,column(ab1),0)</f>
        <v>0</v>
      </c>
      <c r="AD298">
        <f>vlookup("852-189000-111",生产发行表!B:AZ,column(ac1),0)</f>
        <v>0</v>
      </c>
      <c r="AE298">
        <f>vlookup("852-189000-111",生产发行表!B:AZ,column(ad1),0)</f>
        <v>0</v>
      </c>
      <c r="AF298">
        <f>vlookup("852-189000-111",生产发行表!B:AZ,column(ae1),0)</f>
        <v>0</v>
      </c>
      <c r="AG298">
        <f>vlookup("852-189000-111",生产发行表!B:AZ,column(af1),0)</f>
        <v>0</v>
      </c>
      <c r="AH298">
        <f>vlookup("852-189000-111",生产发行表!B:AZ,column(ag1),0)</f>
        <v>0</v>
      </c>
      <c r="AI298">
        <f>vlookup("852-189000-111",生产发行表!B:AZ,column(ah1),0)</f>
        <v>0</v>
      </c>
      <c r="AJ298">
        <f>vlookup("852-189000-111",生产发行表!B:AZ,column(ai1),0)</f>
        <v>0</v>
      </c>
      <c r="AK298">
        <f>vlookup("852-189000-111",生产发行表!B:AZ,column(aj1),0)</f>
        <v>0</v>
      </c>
      <c r="AL298">
        <f>vlookup("852-189000-111",生产发行表!B:AZ,column(ak1),0)</f>
        <v>0</v>
      </c>
      <c r="AM298">
        <f>vlookup("852-189000-111",生产发行表!B:AZ,column(al1),0)</f>
        <v>0</v>
      </c>
      <c r="AN298">
        <f>vlookup("852-189000-111",生产发行表!B:AZ,column(am1),0)</f>
        <v>0</v>
      </c>
      <c r="AO298">
        <f>vlookup("852-189000-111",生产发行表!B:AZ,column(an1),0)</f>
        <v>0</v>
      </c>
      <c r="AP298">
        <f>vlookup("852-189000-111",生产发行表!B:AZ,column(ao1),0)</f>
        <v>0</v>
      </c>
      <c r="AQ298">
        <f>vlookup("852-189000-111",生产发行表!B:AZ,column(ap1),0)</f>
        <v>0</v>
      </c>
      <c r="AR298">
        <f>vlookup("852-189000-111",生产发行表!B:AZ,column(aq1),0)</f>
        <v>0</v>
      </c>
    </row>
    <row r="299" spans="1:44">
      <c r="A299" t="s">
        <v>31</v>
      </c>
      <c r="B299" t="s">
        <v>606</v>
      </c>
      <c r="C299" t="s">
        <v>607</v>
      </c>
      <c r="E299" t="s">
        <v>444</v>
      </c>
      <c r="F299" t="s">
        <v>548</v>
      </c>
      <c r="K299" t="s">
        <v>590</v>
      </c>
      <c r="L299" t="s">
        <v>37</v>
      </c>
      <c r="M299">
        <f>sumifs(m:m,A:A,"总成",B:B,"852-189000-111")*INDIRECT(ADDRESS(299,5))</f>
        <v>0</v>
      </c>
      <c r="N299">
        <f>sumifs(n:n,A:A,"总成",B:B,"852-189000-111")*INDIRECT(ADDRESS(299,5))</f>
        <v>0</v>
      </c>
      <c r="O299">
        <f>sumifs(o:o,A:A,"总成",B:B,"852-189000-111")*INDIRECT(ADDRESS(299,5))</f>
        <v>0</v>
      </c>
      <c r="P299">
        <f>sumifs(p:p,A:A,"总成",B:B,"852-189000-111")*INDIRECT(ADDRESS(299,5))</f>
        <v>0</v>
      </c>
      <c r="Q299">
        <f>sumifs(q:q,A:A,"总成",B:B,"852-189000-111")*INDIRECT(ADDRESS(299,5))</f>
        <v>0</v>
      </c>
      <c r="R299">
        <f>sumifs(r:r,A:A,"总成",B:B,"852-189000-111")*INDIRECT(ADDRESS(299,5))</f>
        <v>0</v>
      </c>
      <c r="S299">
        <f>sumifs(s:s,A:A,"总成",B:B,"852-189000-111")*INDIRECT(ADDRESS(299,5))</f>
        <v>0</v>
      </c>
      <c r="T299">
        <f>sumifs(t:t,A:A,"总成",B:B,"852-189000-111")*INDIRECT(ADDRESS(299,5))</f>
        <v>0</v>
      </c>
      <c r="U299">
        <f>sumifs(u:u,A:A,"总成",B:B,"852-189000-111")*INDIRECT(ADDRESS(299,5))</f>
        <v>0</v>
      </c>
      <c r="V299">
        <f>sumifs(v:v,A:A,"总成",B:B,"852-189000-111")*INDIRECT(ADDRESS(299,5))</f>
        <v>0</v>
      </c>
      <c r="W299">
        <f>sumifs(w:w,A:A,"总成",B:B,"852-189000-111")*INDIRECT(ADDRESS(299,5))</f>
        <v>0</v>
      </c>
      <c r="X299">
        <f>sumifs(x:x,A:A,"总成",B:B,"852-189000-111")*INDIRECT(ADDRESS(299,5))</f>
        <v>0</v>
      </c>
      <c r="Y299">
        <f>sumifs(y:y,A:A,"总成",B:B,"852-189000-111")*INDIRECT(ADDRESS(299,5))</f>
        <v>0</v>
      </c>
      <c r="Z299">
        <f>sumifs(z:z,A:A,"总成",B:B,"852-189000-111")*INDIRECT(ADDRESS(299,5))</f>
        <v>0</v>
      </c>
      <c r="AA299">
        <f>sumifs(aa:aa,A:A,"总成",B:B,"852-189000-111")*INDIRECT(ADDRESS(299,5))</f>
        <v>0</v>
      </c>
      <c r="AB299">
        <f>sumifs(ab:ab,A:A,"总成",B:B,"852-189000-111")*INDIRECT(ADDRESS(299,5))</f>
        <v>0</v>
      </c>
      <c r="AC299">
        <f>sumifs(ac:ac,A:A,"总成",B:B,"852-189000-111")*INDIRECT(ADDRESS(299,5))</f>
        <v>0</v>
      </c>
      <c r="AD299">
        <f>sumifs(ad:ad,A:A,"总成",B:B,"852-189000-111")*INDIRECT(ADDRESS(299,5))</f>
        <v>0</v>
      </c>
      <c r="AE299">
        <f>sumifs(ae:ae,A:A,"总成",B:B,"852-189000-111")*INDIRECT(ADDRESS(299,5))</f>
        <v>0</v>
      </c>
      <c r="AF299">
        <f>sumifs(af:af,A:A,"总成",B:B,"852-189000-111")*INDIRECT(ADDRESS(299,5))</f>
        <v>0</v>
      </c>
      <c r="AG299">
        <f>sumifs(ag:ag,A:A,"总成",B:B,"852-189000-111")*INDIRECT(ADDRESS(299,5))</f>
        <v>0</v>
      </c>
      <c r="AH299">
        <f>sumifs(ah:ah,A:A,"总成",B:B,"852-189000-111")*INDIRECT(ADDRESS(299,5))</f>
        <v>0</v>
      </c>
      <c r="AI299">
        <f>sumifs(ai:ai,A:A,"总成",B:B,"852-189000-111")*INDIRECT(ADDRESS(299,5))</f>
        <v>0</v>
      </c>
      <c r="AJ299">
        <f>sumifs(aj:aj,A:A,"总成",B:B,"852-189000-111")*INDIRECT(ADDRESS(299,5))</f>
        <v>0</v>
      </c>
      <c r="AK299">
        <f>sumifs(ak:ak,A:A,"总成",B:B,"852-189000-111")*INDIRECT(ADDRESS(299,5))</f>
        <v>0</v>
      </c>
      <c r="AL299">
        <f>sumifs(al:al,A:A,"总成",B:B,"852-189000-111")*INDIRECT(ADDRESS(299,5))</f>
        <v>0</v>
      </c>
      <c r="AM299">
        <f>sumifs(am:am,A:A,"总成",B:B,"852-189000-111")*INDIRECT(ADDRESS(299,5))</f>
        <v>0</v>
      </c>
      <c r="AN299">
        <f>sumifs(an:an,A:A,"总成",B:B,"852-189000-111")*INDIRECT(ADDRESS(299,5))</f>
        <v>0</v>
      </c>
      <c r="AO299">
        <f>sumifs(ao:ao,A:A,"总成",B:B,"852-189000-111")*INDIRECT(ADDRESS(299,5))</f>
        <v>0</v>
      </c>
      <c r="AP299">
        <f>sumifs(ap:ap,A:A,"总成",B:B,"852-189000-111")*INDIRECT(ADDRESS(299,5))</f>
        <v>0</v>
      </c>
      <c r="AQ299">
        <f>sumifs(aq:aq,A:A,"总成",B:B,"852-189000-111")*INDIRECT(ADDRESS(299,5))</f>
        <v>0</v>
      </c>
      <c r="AR299">
        <f>sumifs(ar:ar,A:A,"总成",B:B,"852-189000-111")*INDIRECT(ADDRESS(299,5))</f>
        <v>0</v>
      </c>
    </row>
    <row r="300" spans="1:44">
      <c r="A300" t="s">
        <v>14</v>
      </c>
      <c r="B300" t="s">
        <v>545</v>
      </c>
      <c r="C300" t="s">
        <v>546</v>
      </c>
      <c r="D300" t="s">
        <v>547</v>
      </c>
      <c r="E300" t="s">
        <v>444</v>
      </c>
      <c r="F300" t="s">
        <v>608</v>
      </c>
      <c r="K300" t="s">
        <v>590</v>
      </c>
      <c r="L300" t="s">
        <v>21</v>
      </c>
      <c r="M300">
        <f>vlookup("852-189000-100",生产发行表!B:AZ,column(l1),0)</f>
        <v>0</v>
      </c>
      <c r="N300">
        <f>vlookup("852-189000-100",生产发行表!B:AZ,column(m1),0)</f>
        <v>0</v>
      </c>
      <c r="O300">
        <f>vlookup("852-189000-100",生产发行表!B:AZ,column(n1),0)</f>
        <v>0</v>
      </c>
      <c r="P300">
        <f>vlookup("852-189000-100",生产发行表!B:AZ,column(o1),0)</f>
        <v>0</v>
      </c>
      <c r="Q300">
        <f>vlookup("852-189000-100",生产发行表!B:AZ,column(p1),0)</f>
        <v>0</v>
      </c>
      <c r="R300">
        <f>vlookup("852-189000-100",生产发行表!B:AZ,column(q1),0)</f>
        <v>0</v>
      </c>
      <c r="S300">
        <f>vlookup("852-189000-100",生产发行表!B:AZ,column(r1),0)</f>
        <v>0</v>
      </c>
      <c r="T300">
        <f>vlookup("852-189000-100",生产发行表!B:AZ,column(s1),0)</f>
        <v>0</v>
      </c>
      <c r="U300">
        <f>vlookup("852-189000-100",生产发行表!B:AZ,column(t1),0)</f>
        <v>0</v>
      </c>
      <c r="V300">
        <f>vlookup("852-189000-100",生产发行表!B:AZ,column(u1),0)</f>
        <v>0</v>
      </c>
      <c r="W300">
        <f>vlookup("852-189000-100",生产发行表!B:AZ,column(v1),0)</f>
        <v>0</v>
      </c>
      <c r="X300">
        <f>vlookup("852-189000-100",生产发行表!B:AZ,column(w1),0)</f>
        <v>0</v>
      </c>
      <c r="Y300">
        <f>vlookup("852-189000-100",生产发行表!B:AZ,column(x1),0)</f>
        <v>0</v>
      </c>
      <c r="Z300">
        <f>vlookup("852-189000-100",生产发行表!B:AZ,column(y1),0)</f>
        <v>0</v>
      </c>
      <c r="AA300">
        <f>vlookup("852-189000-100",生产发行表!B:AZ,column(z1),0)</f>
        <v>0</v>
      </c>
      <c r="AB300">
        <f>vlookup("852-189000-100",生产发行表!B:AZ,column(aa1),0)</f>
        <v>0</v>
      </c>
      <c r="AC300">
        <f>vlookup("852-189000-100",生产发行表!B:AZ,column(ab1),0)</f>
        <v>0</v>
      </c>
      <c r="AD300">
        <f>vlookup("852-189000-100",生产发行表!B:AZ,column(ac1),0)</f>
        <v>0</v>
      </c>
      <c r="AE300">
        <f>vlookup("852-189000-100",生产发行表!B:AZ,column(ad1),0)</f>
        <v>0</v>
      </c>
      <c r="AF300">
        <f>vlookup("852-189000-100",生产发行表!B:AZ,column(ae1),0)</f>
        <v>0</v>
      </c>
      <c r="AG300">
        <f>vlookup("852-189000-100",生产发行表!B:AZ,column(af1),0)</f>
        <v>0</v>
      </c>
      <c r="AH300">
        <f>vlookup("852-189000-100",生产发行表!B:AZ,column(ag1),0)</f>
        <v>0</v>
      </c>
      <c r="AI300">
        <f>vlookup("852-189000-100",生产发行表!B:AZ,column(ah1),0)</f>
        <v>0</v>
      </c>
      <c r="AJ300">
        <f>vlookup("852-189000-100",生产发行表!B:AZ,column(ai1),0)</f>
        <v>0</v>
      </c>
      <c r="AK300">
        <f>vlookup("852-189000-100",生产发行表!B:AZ,column(aj1),0)</f>
        <v>0</v>
      </c>
      <c r="AL300">
        <f>vlookup("852-189000-100",生产发行表!B:AZ,column(ak1),0)</f>
        <v>0</v>
      </c>
      <c r="AM300">
        <f>vlookup("852-189000-100",生产发行表!B:AZ,column(al1),0)</f>
        <v>0</v>
      </c>
      <c r="AN300">
        <f>vlookup("852-189000-100",生产发行表!B:AZ,column(am1),0)</f>
        <v>0</v>
      </c>
      <c r="AO300">
        <f>vlookup("852-189000-100",生产发行表!B:AZ,column(an1),0)</f>
        <v>0</v>
      </c>
      <c r="AP300">
        <f>vlookup("852-189000-100",生产发行表!B:AZ,column(ao1),0)</f>
        <v>0</v>
      </c>
      <c r="AQ300">
        <f>vlookup("852-189000-100",生产发行表!B:AZ,column(ap1),0)</f>
        <v>0</v>
      </c>
      <c r="AR300">
        <f>vlookup("852-189000-100",生产发行表!B:AZ,column(aq1),0)</f>
        <v>0</v>
      </c>
    </row>
    <row r="301" spans="1:44">
      <c r="A301" t="s">
        <v>31</v>
      </c>
      <c r="B301" t="s">
        <v>609</v>
      </c>
      <c r="C301" t="s">
        <v>610</v>
      </c>
      <c r="E301" t="s">
        <v>444</v>
      </c>
      <c r="F301" t="s">
        <v>611</v>
      </c>
      <c r="K301" t="s">
        <v>590</v>
      </c>
      <c r="L301" t="s">
        <v>37</v>
      </c>
      <c r="M301">
        <f>sumifs(m:m,A:A,"总成",B:B,"852-189000-100")*INDIRECT(ADDRESS(301,5))</f>
        <v>0</v>
      </c>
      <c r="N301">
        <f>sumifs(n:n,A:A,"总成",B:B,"852-189000-100")*INDIRECT(ADDRESS(301,5))</f>
        <v>0</v>
      </c>
      <c r="O301">
        <f>sumifs(o:o,A:A,"总成",B:B,"852-189000-100")*INDIRECT(ADDRESS(301,5))</f>
        <v>0</v>
      </c>
      <c r="P301">
        <f>sumifs(p:p,A:A,"总成",B:B,"852-189000-100")*INDIRECT(ADDRESS(301,5))</f>
        <v>0</v>
      </c>
      <c r="Q301">
        <f>sumifs(q:q,A:A,"总成",B:B,"852-189000-100")*INDIRECT(ADDRESS(301,5))</f>
        <v>0</v>
      </c>
      <c r="R301">
        <f>sumifs(r:r,A:A,"总成",B:B,"852-189000-100")*INDIRECT(ADDRESS(301,5))</f>
        <v>0</v>
      </c>
      <c r="S301">
        <f>sumifs(s:s,A:A,"总成",B:B,"852-189000-100")*INDIRECT(ADDRESS(301,5))</f>
        <v>0</v>
      </c>
      <c r="T301">
        <f>sumifs(t:t,A:A,"总成",B:B,"852-189000-100")*INDIRECT(ADDRESS(301,5))</f>
        <v>0</v>
      </c>
      <c r="U301">
        <f>sumifs(u:u,A:A,"总成",B:B,"852-189000-100")*INDIRECT(ADDRESS(301,5))</f>
        <v>0</v>
      </c>
      <c r="V301">
        <f>sumifs(v:v,A:A,"总成",B:B,"852-189000-100")*INDIRECT(ADDRESS(301,5))</f>
        <v>0</v>
      </c>
      <c r="W301">
        <f>sumifs(w:w,A:A,"总成",B:B,"852-189000-100")*INDIRECT(ADDRESS(301,5))</f>
        <v>0</v>
      </c>
      <c r="X301">
        <f>sumifs(x:x,A:A,"总成",B:B,"852-189000-100")*INDIRECT(ADDRESS(301,5))</f>
        <v>0</v>
      </c>
      <c r="Y301">
        <f>sumifs(y:y,A:A,"总成",B:B,"852-189000-100")*INDIRECT(ADDRESS(301,5))</f>
        <v>0</v>
      </c>
      <c r="Z301">
        <f>sumifs(z:z,A:A,"总成",B:B,"852-189000-100")*INDIRECT(ADDRESS(301,5))</f>
        <v>0</v>
      </c>
      <c r="AA301">
        <f>sumifs(aa:aa,A:A,"总成",B:B,"852-189000-100")*INDIRECT(ADDRESS(301,5))</f>
        <v>0</v>
      </c>
      <c r="AB301">
        <f>sumifs(ab:ab,A:A,"总成",B:B,"852-189000-100")*INDIRECT(ADDRESS(301,5))</f>
        <v>0</v>
      </c>
      <c r="AC301">
        <f>sumifs(ac:ac,A:A,"总成",B:B,"852-189000-100")*INDIRECT(ADDRESS(301,5))</f>
        <v>0</v>
      </c>
      <c r="AD301">
        <f>sumifs(ad:ad,A:A,"总成",B:B,"852-189000-100")*INDIRECT(ADDRESS(301,5))</f>
        <v>0</v>
      </c>
      <c r="AE301">
        <f>sumifs(ae:ae,A:A,"总成",B:B,"852-189000-100")*INDIRECT(ADDRESS(301,5))</f>
        <v>0</v>
      </c>
      <c r="AF301">
        <f>sumifs(af:af,A:A,"总成",B:B,"852-189000-100")*INDIRECT(ADDRESS(301,5))</f>
        <v>0</v>
      </c>
      <c r="AG301">
        <f>sumifs(ag:ag,A:A,"总成",B:B,"852-189000-100")*INDIRECT(ADDRESS(301,5))</f>
        <v>0</v>
      </c>
      <c r="AH301">
        <f>sumifs(ah:ah,A:A,"总成",B:B,"852-189000-100")*INDIRECT(ADDRESS(301,5))</f>
        <v>0</v>
      </c>
      <c r="AI301">
        <f>sumifs(ai:ai,A:A,"总成",B:B,"852-189000-100")*INDIRECT(ADDRESS(301,5))</f>
        <v>0</v>
      </c>
      <c r="AJ301">
        <f>sumifs(aj:aj,A:A,"总成",B:B,"852-189000-100")*INDIRECT(ADDRESS(301,5))</f>
        <v>0</v>
      </c>
      <c r="AK301">
        <f>sumifs(ak:ak,A:A,"总成",B:B,"852-189000-100")*INDIRECT(ADDRESS(301,5))</f>
        <v>0</v>
      </c>
      <c r="AL301">
        <f>sumifs(al:al,A:A,"总成",B:B,"852-189000-100")*INDIRECT(ADDRESS(301,5))</f>
        <v>0</v>
      </c>
      <c r="AM301">
        <f>sumifs(am:am,A:A,"总成",B:B,"852-189000-100")*INDIRECT(ADDRESS(301,5))</f>
        <v>0</v>
      </c>
      <c r="AN301">
        <f>sumifs(an:an,A:A,"总成",B:B,"852-189000-100")*INDIRECT(ADDRESS(301,5))</f>
        <v>0</v>
      </c>
      <c r="AO301">
        <f>sumifs(ao:ao,A:A,"总成",B:B,"852-189000-100")*INDIRECT(ADDRESS(301,5))</f>
        <v>0</v>
      </c>
      <c r="AP301">
        <f>sumifs(ap:ap,A:A,"总成",B:B,"852-189000-100")*INDIRECT(ADDRESS(301,5))</f>
        <v>0</v>
      </c>
      <c r="AQ301">
        <f>sumifs(aq:aq,A:A,"总成",B:B,"852-189000-100")*INDIRECT(ADDRESS(301,5))</f>
        <v>0</v>
      </c>
      <c r="AR301">
        <f>sumifs(ar:ar,A:A,"总成",B:B,"852-189000-100")*INDIRECT(ADDRESS(301,5))</f>
        <v>0</v>
      </c>
    </row>
    <row r="302" spans="1:44">
      <c r="A302" t="s">
        <v>31</v>
      </c>
      <c r="B302" t="s">
        <v>612</v>
      </c>
      <c r="C302" t="s">
        <v>613</v>
      </c>
      <c r="F302" t="s">
        <v>596</v>
      </c>
      <c r="K302" t="s">
        <v>590</v>
      </c>
      <c r="L302" t="s">
        <v>37</v>
      </c>
      <c r="M302">
        <f>sumifs(m:m,A:A,"总成",B:B,"852-189000-100")*INDIRECT(ADDRESS(302,5))</f>
        <v>0</v>
      </c>
      <c r="N302">
        <f>sumifs(n:n,A:A,"总成",B:B,"852-189000-100")*INDIRECT(ADDRESS(302,5))</f>
        <v>0</v>
      </c>
      <c r="O302">
        <f>sumifs(o:o,A:A,"总成",B:B,"852-189000-100")*INDIRECT(ADDRESS(302,5))</f>
        <v>0</v>
      </c>
      <c r="P302">
        <f>sumifs(p:p,A:A,"总成",B:B,"852-189000-100")*INDIRECT(ADDRESS(302,5))</f>
        <v>0</v>
      </c>
      <c r="Q302">
        <f>sumifs(q:q,A:A,"总成",B:B,"852-189000-100")*INDIRECT(ADDRESS(302,5))</f>
        <v>0</v>
      </c>
      <c r="R302">
        <f>sumifs(r:r,A:A,"总成",B:B,"852-189000-100")*INDIRECT(ADDRESS(302,5))</f>
        <v>0</v>
      </c>
      <c r="S302">
        <f>sumifs(s:s,A:A,"总成",B:B,"852-189000-100")*INDIRECT(ADDRESS(302,5))</f>
        <v>0</v>
      </c>
      <c r="T302">
        <f>sumifs(t:t,A:A,"总成",B:B,"852-189000-100")*INDIRECT(ADDRESS(302,5))</f>
        <v>0</v>
      </c>
      <c r="U302">
        <f>sumifs(u:u,A:A,"总成",B:B,"852-189000-100")*INDIRECT(ADDRESS(302,5))</f>
        <v>0</v>
      </c>
      <c r="V302">
        <f>sumifs(v:v,A:A,"总成",B:B,"852-189000-100")*INDIRECT(ADDRESS(302,5))</f>
        <v>0</v>
      </c>
      <c r="W302">
        <f>sumifs(w:w,A:A,"总成",B:B,"852-189000-100")*INDIRECT(ADDRESS(302,5))</f>
        <v>0</v>
      </c>
      <c r="X302">
        <f>sumifs(x:x,A:A,"总成",B:B,"852-189000-100")*INDIRECT(ADDRESS(302,5))</f>
        <v>0</v>
      </c>
      <c r="Y302">
        <f>sumifs(y:y,A:A,"总成",B:B,"852-189000-100")*INDIRECT(ADDRESS(302,5))</f>
        <v>0</v>
      </c>
      <c r="Z302">
        <f>sumifs(z:z,A:A,"总成",B:B,"852-189000-100")*INDIRECT(ADDRESS(302,5))</f>
        <v>0</v>
      </c>
      <c r="AA302">
        <f>sumifs(aa:aa,A:A,"总成",B:B,"852-189000-100")*INDIRECT(ADDRESS(302,5))</f>
        <v>0</v>
      </c>
      <c r="AB302">
        <f>sumifs(ab:ab,A:A,"总成",B:B,"852-189000-100")*INDIRECT(ADDRESS(302,5))</f>
        <v>0</v>
      </c>
      <c r="AC302">
        <f>sumifs(ac:ac,A:A,"总成",B:B,"852-189000-100")*INDIRECT(ADDRESS(302,5))</f>
        <v>0</v>
      </c>
      <c r="AD302">
        <f>sumifs(ad:ad,A:A,"总成",B:B,"852-189000-100")*INDIRECT(ADDRESS(302,5))</f>
        <v>0</v>
      </c>
      <c r="AE302">
        <f>sumifs(ae:ae,A:A,"总成",B:B,"852-189000-100")*INDIRECT(ADDRESS(302,5))</f>
        <v>0</v>
      </c>
      <c r="AF302">
        <f>sumifs(af:af,A:A,"总成",B:B,"852-189000-100")*INDIRECT(ADDRESS(302,5))</f>
        <v>0</v>
      </c>
      <c r="AG302">
        <f>sumifs(ag:ag,A:A,"总成",B:B,"852-189000-100")*INDIRECT(ADDRESS(302,5))</f>
        <v>0</v>
      </c>
      <c r="AH302">
        <f>sumifs(ah:ah,A:A,"总成",B:B,"852-189000-100")*INDIRECT(ADDRESS(302,5))</f>
        <v>0</v>
      </c>
      <c r="AI302">
        <f>sumifs(ai:ai,A:A,"总成",B:B,"852-189000-100")*INDIRECT(ADDRESS(302,5))</f>
        <v>0</v>
      </c>
      <c r="AJ302">
        <f>sumifs(aj:aj,A:A,"总成",B:B,"852-189000-100")*INDIRECT(ADDRESS(302,5))</f>
        <v>0</v>
      </c>
      <c r="AK302">
        <f>sumifs(ak:ak,A:A,"总成",B:B,"852-189000-100")*INDIRECT(ADDRESS(302,5))</f>
        <v>0</v>
      </c>
      <c r="AL302">
        <f>sumifs(al:al,A:A,"总成",B:B,"852-189000-100")*INDIRECT(ADDRESS(302,5))</f>
        <v>0</v>
      </c>
      <c r="AM302">
        <f>sumifs(am:am,A:A,"总成",B:B,"852-189000-100")*INDIRECT(ADDRESS(302,5))</f>
        <v>0</v>
      </c>
      <c r="AN302">
        <f>sumifs(an:an,A:A,"总成",B:B,"852-189000-100")*INDIRECT(ADDRESS(302,5))</f>
        <v>0</v>
      </c>
      <c r="AO302">
        <f>sumifs(ao:ao,A:A,"总成",B:B,"852-189000-100")*INDIRECT(ADDRESS(302,5))</f>
        <v>0</v>
      </c>
      <c r="AP302">
        <f>sumifs(ap:ap,A:A,"总成",B:B,"852-189000-100")*INDIRECT(ADDRESS(302,5))</f>
        <v>0</v>
      </c>
      <c r="AQ302">
        <f>sumifs(aq:aq,A:A,"总成",B:B,"852-189000-100")*INDIRECT(ADDRESS(302,5))</f>
        <v>0</v>
      </c>
      <c r="AR302">
        <f>sumifs(ar:ar,A:A,"总成",B:B,"852-189000-100")*INDIRECT(ADDRESS(302,5))</f>
        <v>0</v>
      </c>
    </row>
    <row r="303" spans="1:44">
      <c r="A303" t="s">
        <v>31</v>
      </c>
      <c r="B303" t="s">
        <v>597</v>
      </c>
      <c r="C303" t="s">
        <v>598</v>
      </c>
      <c r="E303" t="s">
        <v>444</v>
      </c>
      <c r="F303" t="s">
        <v>551</v>
      </c>
      <c r="K303" t="s">
        <v>590</v>
      </c>
      <c r="L303" t="s">
        <v>37</v>
      </c>
      <c r="M303">
        <f>sumifs(m:m,A:A,"总成",B:B,"852-189000-100")*INDIRECT(ADDRESS(303,5))</f>
        <v>0</v>
      </c>
      <c r="N303">
        <f>sumifs(n:n,A:A,"总成",B:B,"852-189000-100")*INDIRECT(ADDRESS(303,5))</f>
        <v>0</v>
      </c>
      <c r="O303">
        <f>sumifs(o:o,A:A,"总成",B:B,"852-189000-100")*INDIRECT(ADDRESS(303,5))</f>
        <v>0</v>
      </c>
      <c r="P303">
        <f>sumifs(p:p,A:A,"总成",B:B,"852-189000-100")*INDIRECT(ADDRESS(303,5))</f>
        <v>0</v>
      </c>
      <c r="Q303">
        <f>sumifs(q:q,A:A,"总成",B:B,"852-189000-100")*INDIRECT(ADDRESS(303,5))</f>
        <v>0</v>
      </c>
      <c r="R303">
        <f>sumifs(r:r,A:A,"总成",B:B,"852-189000-100")*INDIRECT(ADDRESS(303,5))</f>
        <v>0</v>
      </c>
      <c r="S303">
        <f>sumifs(s:s,A:A,"总成",B:B,"852-189000-100")*INDIRECT(ADDRESS(303,5))</f>
        <v>0</v>
      </c>
      <c r="T303">
        <f>sumifs(t:t,A:A,"总成",B:B,"852-189000-100")*INDIRECT(ADDRESS(303,5))</f>
        <v>0</v>
      </c>
      <c r="U303">
        <f>sumifs(u:u,A:A,"总成",B:B,"852-189000-100")*INDIRECT(ADDRESS(303,5))</f>
        <v>0</v>
      </c>
      <c r="V303">
        <f>sumifs(v:v,A:A,"总成",B:B,"852-189000-100")*INDIRECT(ADDRESS(303,5))</f>
        <v>0</v>
      </c>
      <c r="W303">
        <f>sumifs(w:w,A:A,"总成",B:B,"852-189000-100")*INDIRECT(ADDRESS(303,5))</f>
        <v>0</v>
      </c>
      <c r="X303">
        <f>sumifs(x:x,A:A,"总成",B:B,"852-189000-100")*INDIRECT(ADDRESS(303,5))</f>
        <v>0</v>
      </c>
      <c r="Y303">
        <f>sumifs(y:y,A:A,"总成",B:B,"852-189000-100")*INDIRECT(ADDRESS(303,5))</f>
        <v>0</v>
      </c>
      <c r="Z303">
        <f>sumifs(z:z,A:A,"总成",B:B,"852-189000-100")*INDIRECT(ADDRESS(303,5))</f>
        <v>0</v>
      </c>
      <c r="AA303">
        <f>sumifs(aa:aa,A:A,"总成",B:B,"852-189000-100")*INDIRECT(ADDRESS(303,5))</f>
        <v>0</v>
      </c>
      <c r="AB303">
        <f>sumifs(ab:ab,A:A,"总成",B:B,"852-189000-100")*INDIRECT(ADDRESS(303,5))</f>
        <v>0</v>
      </c>
      <c r="AC303">
        <f>sumifs(ac:ac,A:A,"总成",B:B,"852-189000-100")*INDIRECT(ADDRESS(303,5))</f>
        <v>0</v>
      </c>
      <c r="AD303">
        <f>sumifs(ad:ad,A:A,"总成",B:B,"852-189000-100")*INDIRECT(ADDRESS(303,5))</f>
        <v>0</v>
      </c>
      <c r="AE303">
        <f>sumifs(ae:ae,A:A,"总成",B:B,"852-189000-100")*INDIRECT(ADDRESS(303,5))</f>
        <v>0</v>
      </c>
      <c r="AF303">
        <f>sumifs(af:af,A:A,"总成",B:B,"852-189000-100")*INDIRECT(ADDRESS(303,5))</f>
        <v>0</v>
      </c>
      <c r="AG303">
        <f>sumifs(ag:ag,A:A,"总成",B:B,"852-189000-100")*INDIRECT(ADDRESS(303,5))</f>
        <v>0</v>
      </c>
      <c r="AH303">
        <f>sumifs(ah:ah,A:A,"总成",B:B,"852-189000-100")*INDIRECT(ADDRESS(303,5))</f>
        <v>0</v>
      </c>
      <c r="AI303">
        <f>sumifs(ai:ai,A:A,"总成",B:B,"852-189000-100")*INDIRECT(ADDRESS(303,5))</f>
        <v>0</v>
      </c>
      <c r="AJ303">
        <f>sumifs(aj:aj,A:A,"总成",B:B,"852-189000-100")*INDIRECT(ADDRESS(303,5))</f>
        <v>0</v>
      </c>
      <c r="AK303">
        <f>sumifs(ak:ak,A:A,"总成",B:B,"852-189000-100")*INDIRECT(ADDRESS(303,5))</f>
        <v>0</v>
      </c>
      <c r="AL303">
        <f>sumifs(al:al,A:A,"总成",B:B,"852-189000-100")*INDIRECT(ADDRESS(303,5))</f>
        <v>0</v>
      </c>
      <c r="AM303">
        <f>sumifs(am:am,A:A,"总成",B:B,"852-189000-100")*INDIRECT(ADDRESS(303,5))</f>
        <v>0</v>
      </c>
      <c r="AN303">
        <f>sumifs(an:an,A:A,"总成",B:B,"852-189000-100")*INDIRECT(ADDRESS(303,5))</f>
        <v>0</v>
      </c>
      <c r="AO303">
        <f>sumifs(ao:ao,A:A,"总成",B:B,"852-189000-100")*INDIRECT(ADDRESS(303,5))</f>
        <v>0</v>
      </c>
      <c r="AP303">
        <f>sumifs(ap:ap,A:A,"总成",B:B,"852-189000-100")*INDIRECT(ADDRESS(303,5))</f>
        <v>0</v>
      </c>
      <c r="AQ303">
        <f>sumifs(aq:aq,A:A,"总成",B:B,"852-189000-100")*INDIRECT(ADDRESS(303,5))</f>
        <v>0</v>
      </c>
      <c r="AR303">
        <f>sumifs(ar:ar,A:A,"总成",B:B,"852-189000-100")*INDIRECT(ADDRESS(303,5))</f>
        <v>0</v>
      </c>
    </row>
    <row r="304" spans="1:44">
      <c r="A304" t="s">
        <v>14</v>
      </c>
      <c r="B304" t="s">
        <v>549</v>
      </c>
      <c r="C304" t="s">
        <v>550</v>
      </c>
      <c r="E304" t="s">
        <v>444</v>
      </c>
      <c r="F304" t="s">
        <v>555</v>
      </c>
      <c r="K304" t="s">
        <v>590</v>
      </c>
      <c r="L304" t="s">
        <v>21</v>
      </c>
      <c r="M304">
        <f>vlookup("852-191000-110",生产发行表!B:AZ,column(l1),0)</f>
        <v>0</v>
      </c>
      <c r="N304">
        <f>vlookup("852-191000-110",生产发行表!B:AZ,column(m1),0)</f>
        <v>0</v>
      </c>
      <c r="O304">
        <f>vlookup("852-191000-110",生产发行表!B:AZ,column(n1),0)</f>
        <v>0</v>
      </c>
      <c r="P304">
        <f>vlookup("852-191000-110",生产发行表!B:AZ,column(o1),0)</f>
        <v>0</v>
      </c>
      <c r="Q304">
        <f>vlookup("852-191000-110",生产发行表!B:AZ,column(p1),0)</f>
        <v>0</v>
      </c>
      <c r="R304">
        <f>vlookup("852-191000-110",生产发行表!B:AZ,column(q1),0)</f>
        <v>0</v>
      </c>
      <c r="S304">
        <f>vlookup("852-191000-110",生产发行表!B:AZ,column(r1),0)</f>
        <v>0</v>
      </c>
      <c r="T304">
        <f>vlookup("852-191000-110",生产发行表!B:AZ,column(s1),0)</f>
        <v>0</v>
      </c>
      <c r="U304">
        <f>vlookup("852-191000-110",生产发行表!B:AZ,column(t1),0)</f>
        <v>0</v>
      </c>
      <c r="V304">
        <f>vlookup("852-191000-110",生产发行表!B:AZ,column(u1),0)</f>
        <v>0</v>
      </c>
      <c r="W304">
        <f>vlookup("852-191000-110",生产发行表!B:AZ,column(v1),0)</f>
        <v>0</v>
      </c>
      <c r="X304">
        <f>vlookup("852-191000-110",生产发行表!B:AZ,column(w1),0)</f>
        <v>0</v>
      </c>
      <c r="Y304">
        <f>vlookup("852-191000-110",生产发行表!B:AZ,column(x1),0)</f>
        <v>0</v>
      </c>
      <c r="Z304">
        <f>vlookup("852-191000-110",生产发行表!B:AZ,column(y1),0)</f>
        <v>0</v>
      </c>
      <c r="AA304">
        <f>vlookup("852-191000-110",生产发行表!B:AZ,column(z1),0)</f>
        <v>0</v>
      </c>
      <c r="AB304">
        <f>vlookup("852-191000-110",生产发行表!B:AZ,column(aa1),0)</f>
        <v>0</v>
      </c>
      <c r="AC304">
        <f>vlookup("852-191000-110",生产发行表!B:AZ,column(ab1),0)</f>
        <v>0</v>
      </c>
      <c r="AD304">
        <f>vlookup("852-191000-110",生产发行表!B:AZ,column(ac1),0)</f>
        <v>0</v>
      </c>
      <c r="AE304">
        <f>vlookup("852-191000-110",生产发行表!B:AZ,column(ad1),0)</f>
        <v>0</v>
      </c>
      <c r="AF304">
        <f>vlookup("852-191000-110",生产发行表!B:AZ,column(ae1),0)</f>
        <v>0</v>
      </c>
      <c r="AG304">
        <f>vlookup("852-191000-110",生产发行表!B:AZ,column(af1),0)</f>
        <v>0</v>
      </c>
      <c r="AH304">
        <f>vlookup("852-191000-110",生产发行表!B:AZ,column(ag1),0)</f>
        <v>0</v>
      </c>
      <c r="AI304">
        <f>vlookup("852-191000-110",生产发行表!B:AZ,column(ah1),0)</f>
        <v>0</v>
      </c>
      <c r="AJ304">
        <f>vlookup("852-191000-110",生产发行表!B:AZ,column(ai1),0)</f>
        <v>0</v>
      </c>
      <c r="AK304">
        <f>vlookup("852-191000-110",生产发行表!B:AZ,column(aj1),0)</f>
        <v>0</v>
      </c>
      <c r="AL304">
        <f>vlookup("852-191000-110",生产发行表!B:AZ,column(ak1),0)</f>
        <v>0</v>
      </c>
      <c r="AM304">
        <f>vlookup("852-191000-110",生产发行表!B:AZ,column(al1),0)</f>
        <v>0</v>
      </c>
      <c r="AN304">
        <f>vlookup("852-191000-110",生产发行表!B:AZ,column(am1),0)</f>
        <v>0</v>
      </c>
      <c r="AO304">
        <f>vlookup("852-191000-110",生产发行表!B:AZ,column(an1),0)</f>
        <v>0</v>
      </c>
      <c r="AP304">
        <f>vlookup("852-191000-110",生产发行表!B:AZ,column(ao1),0)</f>
        <v>0</v>
      </c>
      <c r="AQ304">
        <f>vlookup("852-191000-110",生产发行表!B:AZ,column(ap1),0)</f>
        <v>0</v>
      </c>
      <c r="AR304">
        <f>vlookup("852-191000-110",生产发行表!B:AZ,column(aq1),0)</f>
        <v>0</v>
      </c>
    </row>
    <row r="305" spans="1:44">
      <c r="A305" t="s">
        <v>14</v>
      </c>
      <c r="B305" t="s">
        <v>552</v>
      </c>
      <c r="C305" t="s">
        <v>553</v>
      </c>
      <c r="D305" t="s">
        <v>554</v>
      </c>
      <c r="E305" t="s">
        <v>444</v>
      </c>
      <c r="F305" t="s">
        <v>558</v>
      </c>
      <c r="K305" t="s">
        <v>590</v>
      </c>
      <c r="L305" t="s">
        <v>21</v>
      </c>
      <c r="M305">
        <f>vlookup("852-191000-100",生产发行表!B:AZ,column(l1),0)</f>
        <v>0</v>
      </c>
      <c r="N305">
        <f>vlookup("852-191000-100",生产发行表!B:AZ,column(m1),0)</f>
        <v>0</v>
      </c>
      <c r="O305">
        <f>vlookup("852-191000-100",生产发行表!B:AZ,column(n1),0)</f>
        <v>0</v>
      </c>
      <c r="P305">
        <f>vlookup("852-191000-100",生产发行表!B:AZ,column(o1),0)</f>
        <v>0</v>
      </c>
      <c r="Q305">
        <f>vlookup("852-191000-100",生产发行表!B:AZ,column(p1),0)</f>
        <v>0</v>
      </c>
      <c r="R305">
        <f>vlookup("852-191000-100",生产发行表!B:AZ,column(q1),0)</f>
        <v>0</v>
      </c>
      <c r="S305">
        <f>vlookup("852-191000-100",生产发行表!B:AZ,column(r1),0)</f>
        <v>0</v>
      </c>
      <c r="T305">
        <f>vlookup("852-191000-100",生产发行表!B:AZ,column(s1),0)</f>
        <v>0</v>
      </c>
      <c r="U305">
        <f>vlookup("852-191000-100",生产发行表!B:AZ,column(t1),0)</f>
        <v>0</v>
      </c>
      <c r="V305">
        <f>vlookup("852-191000-100",生产发行表!B:AZ,column(u1),0)</f>
        <v>0</v>
      </c>
      <c r="W305">
        <f>vlookup("852-191000-100",生产发行表!B:AZ,column(v1),0)</f>
        <v>0</v>
      </c>
      <c r="X305">
        <f>vlookup("852-191000-100",生产发行表!B:AZ,column(w1),0)</f>
        <v>0</v>
      </c>
      <c r="Y305">
        <f>vlookup("852-191000-100",生产发行表!B:AZ,column(x1),0)</f>
        <v>0</v>
      </c>
      <c r="Z305">
        <f>vlookup("852-191000-100",生产发行表!B:AZ,column(y1),0)</f>
        <v>0</v>
      </c>
      <c r="AA305">
        <f>vlookup("852-191000-100",生产发行表!B:AZ,column(z1),0)</f>
        <v>0</v>
      </c>
      <c r="AB305">
        <f>vlookup("852-191000-100",生产发行表!B:AZ,column(aa1),0)</f>
        <v>0</v>
      </c>
      <c r="AC305">
        <f>vlookup("852-191000-100",生产发行表!B:AZ,column(ab1),0)</f>
        <v>0</v>
      </c>
      <c r="AD305">
        <f>vlookup("852-191000-100",生产发行表!B:AZ,column(ac1),0)</f>
        <v>0</v>
      </c>
      <c r="AE305">
        <f>vlookup("852-191000-100",生产发行表!B:AZ,column(ad1),0)</f>
        <v>0</v>
      </c>
      <c r="AF305">
        <f>vlookup("852-191000-100",生产发行表!B:AZ,column(ae1),0)</f>
        <v>0</v>
      </c>
      <c r="AG305">
        <f>vlookup("852-191000-100",生产发行表!B:AZ,column(af1),0)</f>
        <v>0</v>
      </c>
      <c r="AH305">
        <f>vlookup("852-191000-100",生产发行表!B:AZ,column(ag1),0)</f>
        <v>0</v>
      </c>
      <c r="AI305">
        <f>vlookup("852-191000-100",生产发行表!B:AZ,column(ah1),0)</f>
        <v>0</v>
      </c>
      <c r="AJ305">
        <f>vlookup("852-191000-100",生产发行表!B:AZ,column(ai1),0)</f>
        <v>0</v>
      </c>
      <c r="AK305">
        <f>vlookup("852-191000-100",生产发行表!B:AZ,column(aj1),0)</f>
        <v>0</v>
      </c>
      <c r="AL305">
        <f>vlookup("852-191000-100",生产发行表!B:AZ,column(ak1),0)</f>
        <v>0</v>
      </c>
      <c r="AM305">
        <f>vlookup("852-191000-100",生产发行表!B:AZ,column(al1),0)</f>
        <v>0</v>
      </c>
      <c r="AN305">
        <f>vlookup("852-191000-100",生产发行表!B:AZ,column(am1),0)</f>
        <v>0</v>
      </c>
      <c r="AO305">
        <f>vlookup("852-191000-100",生产发行表!B:AZ,column(an1),0)</f>
        <v>0</v>
      </c>
      <c r="AP305">
        <f>vlookup("852-191000-100",生产发行表!B:AZ,column(ao1),0)</f>
        <v>0</v>
      </c>
      <c r="AQ305">
        <f>vlookup("852-191000-100",生产发行表!B:AZ,column(ap1),0)</f>
        <v>0</v>
      </c>
      <c r="AR305">
        <f>vlookup("852-191000-100",生产发行表!B:AZ,column(aq1),0)</f>
        <v>0</v>
      </c>
    </row>
    <row r="306" spans="1:44">
      <c r="A306" t="s">
        <v>14</v>
      </c>
      <c r="B306" t="s">
        <v>556</v>
      </c>
      <c r="C306" t="s">
        <v>557</v>
      </c>
      <c r="D306" t="s">
        <v>554</v>
      </c>
      <c r="E306">
        <v>1</v>
      </c>
      <c r="F306" t="s">
        <v>561</v>
      </c>
      <c r="K306" t="s">
        <v>590</v>
      </c>
      <c r="L306" t="s">
        <v>21</v>
      </c>
      <c r="M306">
        <f>vlookup("852-193000-100",生产发行表!B:AZ,column(l1),0)</f>
        <v>0</v>
      </c>
      <c r="N306">
        <f>vlookup("852-193000-100",生产发行表!B:AZ,column(m1),0)</f>
        <v>0</v>
      </c>
      <c r="O306">
        <f>vlookup("852-193000-100",生产发行表!B:AZ,column(n1),0)</f>
        <v>0</v>
      </c>
      <c r="P306">
        <f>vlookup("852-193000-100",生产发行表!B:AZ,column(o1),0)</f>
        <v>0</v>
      </c>
      <c r="Q306">
        <f>vlookup("852-193000-100",生产发行表!B:AZ,column(p1),0)</f>
        <v>0</v>
      </c>
      <c r="R306">
        <f>vlookup("852-193000-100",生产发行表!B:AZ,column(q1),0)</f>
        <v>0</v>
      </c>
      <c r="S306">
        <f>vlookup("852-193000-100",生产发行表!B:AZ,column(r1),0)</f>
        <v>0</v>
      </c>
      <c r="T306">
        <f>vlookup("852-193000-100",生产发行表!B:AZ,column(s1),0)</f>
        <v>0</v>
      </c>
      <c r="U306">
        <f>vlookup("852-193000-100",生产发行表!B:AZ,column(t1),0)</f>
        <v>0</v>
      </c>
      <c r="V306">
        <f>vlookup("852-193000-100",生产发行表!B:AZ,column(u1),0)</f>
        <v>0</v>
      </c>
      <c r="W306">
        <f>vlookup("852-193000-100",生产发行表!B:AZ,column(v1),0)</f>
        <v>0</v>
      </c>
      <c r="X306">
        <f>vlookup("852-193000-100",生产发行表!B:AZ,column(w1),0)</f>
        <v>0</v>
      </c>
      <c r="Y306">
        <f>vlookup("852-193000-100",生产发行表!B:AZ,column(x1),0)</f>
        <v>0</v>
      </c>
      <c r="Z306">
        <f>vlookup("852-193000-100",生产发行表!B:AZ,column(y1),0)</f>
        <v>0</v>
      </c>
      <c r="AA306">
        <f>vlookup("852-193000-100",生产发行表!B:AZ,column(z1),0)</f>
        <v>0</v>
      </c>
      <c r="AB306">
        <f>vlookup("852-193000-100",生产发行表!B:AZ,column(aa1),0)</f>
        <v>0</v>
      </c>
      <c r="AC306">
        <f>vlookup("852-193000-100",生产发行表!B:AZ,column(ab1),0)</f>
        <v>0</v>
      </c>
      <c r="AD306">
        <f>vlookup("852-193000-100",生产发行表!B:AZ,column(ac1),0)</f>
        <v>0</v>
      </c>
      <c r="AE306">
        <f>vlookup("852-193000-100",生产发行表!B:AZ,column(ad1),0)</f>
        <v>0</v>
      </c>
      <c r="AF306">
        <f>vlookup("852-193000-100",生产发行表!B:AZ,column(ae1),0)</f>
        <v>0</v>
      </c>
      <c r="AG306">
        <f>vlookup("852-193000-100",生产发行表!B:AZ,column(af1),0)</f>
        <v>0</v>
      </c>
      <c r="AH306">
        <f>vlookup("852-193000-100",生产发行表!B:AZ,column(ag1),0)</f>
        <v>0</v>
      </c>
      <c r="AI306">
        <f>vlookup("852-193000-100",生产发行表!B:AZ,column(ah1),0)</f>
        <v>0</v>
      </c>
      <c r="AJ306">
        <f>vlookup("852-193000-100",生产发行表!B:AZ,column(ai1),0)</f>
        <v>0</v>
      </c>
      <c r="AK306">
        <f>vlookup("852-193000-100",生产发行表!B:AZ,column(aj1),0)</f>
        <v>0</v>
      </c>
      <c r="AL306">
        <f>vlookup("852-193000-100",生产发行表!B:AZ,column(ak1),0)</f>
        <v>0</v>
      </c>
      <c r="AM306">
        <f>vlookup("852-193000-100",生产发行表!B:AZ,column(al1),0)</f>
        <v>0</v>
      </c>
      <c r="AN306">
        <f>vlookup("852-193000-100",生产发行表!B:AZ,column(am1),0)</f>
        <v>0</v>
      </c>
      <c r="AO306">
        <f>vlookup("852-193000-100",生产发行表!B:AZ,column(an1),0)</f>
        <v>0</v>
      </c>
      <c r="AP306">
        <f>vlookup("852-193000-100",生产发行表!B:AZ,column(ao1),0)</f>
        <v>0</v>
      </c>
      <c r="AQ306">
        <f>vlookup("852-193000-100",生产发行表!B:AZ,column(ap1),0)</f>
        <v>0</v>
      </c>
      <c r="AR306">
        <f>vlookup("852-193000-100",生产发行表!B:AZ,column(aq1),0)</f>
        <v>0</v>
      </c>
    </row>
    <row r="307" spans="1:44">
      <c r="A307" t="s">
        <v>14</v>
      </c>
      <c r="B307" t="s">
        <v>559</v>
      </c>
      <c r="C307" t="s">
        <v>560</v>
      </c>
      <c r="D307" t="s">
        <v>547</v>
      </c>
      <c r="E307" t="s">
        <v>444</v>
      </c>
      <c r="F307" t="s">
        <v>614</v>
      </c>
      <c r="K307" t="s">
        <v>590</v>
      </c>
      <c r="L307" t="s">
        <v>21</v>
      </c>
      <c r="M307">
        <f>vlookup("852-195000-100",生产发行表!B:AZ,column(l1),0)</f>
        <v>0</v>
      </c>
      <c r="N307">
        <f>vlookup("852-195000-100",生产发行表!B:AZ,column(m1),0)</f>
        <v>0</v>
      </c>
      <c r="O307">
        <f>vlookup("852-195000-100",生产发行表!B:AZ,column(n1),0)</f>
        <v>0</v>
      </c>
      <c r="P307">
        <f>vlookup("852-195000-100",生产发行表!B:AZ,column(o1),0)</f>
        <v>0</v>
      </c>
      <c r="Q307">
        <f>vlookup("852-195000-100",生产发行表!B:AZ,column(p1),0)</f>
        <v>0</v>
      </c>
      <c r="R307">
        <f>vlookup("852-195000-100",生产发行表!B:AZ,column(q1),0)</f>
        <v>0</v>
      </c>
      <c r="S307">
        <f>vlookup("852-195000-100",生产发行表!B:AZ,column(r1),0)</f>
        <v>0</v>
      </c>
      <c r="T307">
        <f>vlookup("852-195000-100",生产发行表!B:AZ,column(s1),0)</f>
        <v>0</v>
      </c>
      <c r="U307">
        <f>vlookup("852-195000-100",生产发行表!B:AZ,column(t1),0)</f>
        <v>0</v>
      </c>
      <c r="V307">
        <f>vlookup("852-195000-100",生产发行表!B:AZ,column(u1),0)</f>
        <v>0</v>
      </c>
      <c r="W307">
        <f>vlookup("852-195000-100",生产发行表!B:AZ,column(v1),0)</f>
        <v>0</v>
      </c>
      <c r="X307">
        <f>vlookup("852-195000-100",生产发行表!B:AZ,column(w1),0)</f>
        <v>0</v>
      </c>
      <c r="Y307">
        <f>vlookup("852-195000-100",生产发行表!B:AZ,column(x1),0)</f>
        <v>0</v>
      </c>
      <c r="Z307">
        <f>vlookup("852-195000-100",生产发行表!B:AZ,column(y1),0)</f>
        <v>0</v>
      </c>
      <c r="AA307">
        <f>vlookup("852-195000-100",生产发行表!B:AZ,column(z1),0)</f>
        <v>0</v>
      </c>
      <c r="AB307">
        <f>vlookup("852-195000-100",生产发行表!B:AZ,column(aa1),0)</f>
        <v>0</v>
      </c>
      <c r="AC307">
        <f>vlookup("852-195000-100",生产发行表!B:AZ,column(ab1),0)</f>
        <v>0</v>
      </c>
      <c r="AD307">
        <f>vlookup("852-195000-100",生产发行表!B:AZ,column(ac1),0)</f>
        <v>0</v>
      </c>
      <c r="AE307">
        <f>vlookup("852-195000-100",生产发行表!B:AZ,column(ad1),0)</f>
        <v>0</v>
      </c>
      <c r="AF307">
        <f>vlookup("852-195000-100",生产发行表!B:AZ,column(ae1),0)</f>
        <v>0</v>
      </c>
      <c r="AG307">
        <f>vlookup("852-195000-100",生产发行表!B:AZ,column(af1),0)</f>
        <v>0</v>
      </c>
      <c r="AH307">
        <f>vlookup("852-195000-100",生产发行表!B:AZ,column(ag1),0)</f>
        <v>0</v>
      </c>
      <c r="AI307">
        <f>vlookup("852-195000-100",生产发行表!B:AZ,column(ah1),0)</f>
        <v>0</v>
      </c>
      <c r="AJ307">
        <f>vlookup("852-195000-100",生产发行表!B:AZ,column(ai1),0)</f>
        <v>0</v>
      </c>
      <c r="AK307">
        <f>vlookup("852-195000-100",生产发行表!B:AZ,column(aj1),0)</f>
        <v>0</v>
      </c>
      <c r="AL307">
        <f>vlookup("852-195000-100",生产发行表!B:AZ,column(ak1),0)</f>
        <v>0</v>
      </c>
      <c r="AM307">
        <f>vlookup("852-195000-100",生产发行表!B:AZ,column(al1),0)</f>
        <v>0</v>
      </c>
      <c r="AN307">
        <f>vlookup("852-195000-100",生产发行表!B:AZ,column(am1),0)</f>
        <v>0</v>
      </c>
      <c r="AO307">
        <f>vlookup("852-195000-100",生产发行表!B:AZ,column(an1),0)</f>
        <v>0</v>
      </c>
      <c r="AP307">
        <f>vlookup("852-195000-100",生产发行表!B:AZ,column(ao1),0)</f>
        <v>0</v>
      </c>
      <c r="AQ307">
        <f>vlookup("852-195000-100",生产发行表!B:AZ,column(ap1),0)</f>
        <v>0</v>
      </c>
      <c r="AR307">
        <f>vlookup("852-195000-100",生产发行表!B:AZ,column(aq1),0)</f>
        <v>0</v>
      </c>
    </row>
    <row r="308" spans="1:44">
      <c r="A308" t="s">
        <v>31</v>
      </c>
      <c r="B308" t="s">
        <v>615</v>
      </c>
      <c r="C308" t="s">
        <v>616</v>
      </c>
      <c r="E308" t="s">
        <v>444</v>
      </c>
      <c r="F308" t="s">
        <v>617</v>
      </c>
      <c r="K308" t="s">
        <v>590</v>
      </c>
      <c r="L308" t="s">
        <v>37</v>
      </c>
      <c r="M308">
        <f>sumifs(m:m,A:A,"总成",B:B,"852-195000-100")*INDIRECT(ADDRESS(308,5))</f>
        <v>0</v>
      </c>
      <c r="N308">
        <f>sumifs(n:n,A:A,"总成",B:B,"852-195000-100")*INDIRECT(ADDRESS(308,5))</f>
        <v>0</v>
      </c>
      <c r="O308">
        <f>sumifs(o:o,A:A,"总成",B:B,"852-195000-100")*INDIRECT(ADDRESS(308,5))</f>
        <v>0</v>
      </c>
      <c r="P308">
        <f>sumifs(p:p,A:A,"总成",B:B,"852-195000-100")*INDIRECT(ADDRESS(308,5))</f>
        <v>0</v>
      </c>
      <c r="Q308">
        <f>sumifs(q:q,A:A,"总成",B:B,"852-195000-100")*INDIRECT(ADDRESS(308,5))</f>
        <v>0</v>
      </c>
      <c r="R308">
        <f>sumifs(r:r,A:A,"总成",B:B,"852-195000-100")*INDIRECT(ADDRESS(308,5))</f>
        <v>0</v>
      </c>
      <c r="S308">
        <f>sumifs(s:s,A:A,"总成",B:B,"852-195000-100")*INDIRECT(ADDRESS(308,5))</f>
        <v>0</v>
      </c>
      <c r="T308">
        <f>sumifs(t:t,A:A,"总成",B:B,"852-195000-100")*INDIRECT(ADDRESS(308,5))</f>
        <v>0</v>
      </c>
      <c r="U308">
        <f>sumifs(u:u,A:A,"总成",B:B,"852-195000-100")*INDIRECT(ADDRESS(308,5))</f>
        <v>0</v>
      </c>
      <c r="V308">
        <f>sumifs(v:v,A:A,"总成",B:B,"852-195000-100")*INDIRECT(ADDRESS(308,5))</f>
        <v>0</v>
      </c>
      <c r="W308">
        <f>sumifs(w:w,A:A,"总成",B:B,"852-195000-100")*INDIRECT(ADDRESS(308,5))</f>
        <v>0</v>
      </c>
      <c r="X308">
        <f>sumifs(x:x,A:A,"总成",B:B,"852-195000-100")*INDIRECT(ADDRESS(308,5))</f>
        <v>0</v>
      </c>
      <c r="Y308">
        <f>sumifs(y:y,A:A,"总成",B:B,"852-195000-100")*INDIRECT(ADDRESS(308,5))</f>
        <v>0</v>
      </c>
      <c r="Z308">
        <f>sumifs(z:z,A:A,"总成",B:B,"852-195000-100")*INDIRECT(ADDRESS(308,5))</f>
        <v>0</v>
      </c>
      <c r="AA308">
        <f>sumifs(aa:aa,A:A,"总成",B:B,"852-195000-100")*INDIRECT(ADDRESS(308,5))</f>
        <v>0</v>
      </c>
      <c r="AB308">
        <f>sumifs(ab:ab,A:A,"总成",B:B,"852-195000-100")*INDIRECT(ADDRESS(308,5))</f>
        <v>0</v>
      </c>
      <c r="AC308">
        <f>sumifs(ac:ac,A:A,"总成",B:B,"852-195000-100")*INDIRECT(ADDRESS(308,5))</f>
        <v>0</v>
      </c>
      <c r="AD308">
        <f>sumifs(ad:ad,A:A,"总成",B:B,"852-195000-100")*INDIRECT(ADDRESS(308,5))</f>
        <v>0</v>
      </c>
      <c r="AE308">
        <f>sumifs(ae:ae,A:A,"总成",B:B,"852-195000-100")*INDIRECT(ADDRESS(308,5))</f>
        <v>0</v>
      </c>
      <c r="AF308">
        <f>sumifs(af:af,A:A,"总成",B:B,"852-195000-100")*INDIRECT(ADDRESS(308,5))</f>
        <v>0</v>
      </c>
      <c r="AG308">
        <f>sumifs(ag:ag,A:A,"总成",B:B,"852-195000-100")*INDIRECT(ADDRESS(308,5))</f>
        <v>0</v>
      </c>
      <c r="AH308">
        <f>sumifs(ah:ah,A:A,"总成",B:B,"852-195000-100")*INDIRECT(ADDRESS(308,5))</f>
        <v>0</v>
      </c>
      <c r="AI308">
        <f>sumifs(ai:ai,A:A,"总成",B:B,"852-195000-100")*INDIRECT(ADDRESS(308,5))</f>
        <v>0</v>
      </c>
      <c r="AJ308">
        <f>sumifs(aj:aj,A:A,"总成",B:B,"852-195000-100")*INDIRECT(ADDRESS(308,5))</f>
        <v>0</v>
      </c>
      <c r="AK308">
        <f>sumifs(ak:ak,A:A,"总成",B:B,"852-195000-100")*INDIRECT(ADDRESS(308,5))</f>
        <v>0</v>
      </c>
      <c r="AL308">
        <f>sumifs(al:al,A:A,"总成",B:B,"852-195000-100")*INDIRECT(ADDRESS(308,5))</f>
        <v>0</v>
      </c>
      <c r="AM308">
        <f>sumifs(am:am,A:A,"总成",B:B,"852-195000-100")*INDIRECT(ADDRESS(308,5))</f>
        <v>0</v>
      </c>
      <c r="AN308">
        <f>sumifs(an:an,A:A,"总成",B:B,"852-195000-100")*INDIRECT(ADDRESS(308,5))</f>
        <v>0</v>
      </c>
      <c r="AO308">
        <f>sumifs(ao:ao,A:A,"总成",B:B,"852-195000-100")*INDIRECT(ADDRESS(308,5))</f>
        <v>0</v>
      </c>
      <c r="AP308">
        <f>sumifs(ap:ap,A:A,"总成",B:B,"852-195000-100")*INDIRECT(ADDRESS(308,5))</f>
        <v>0</v>
      </c>
      <c r="AQ308">
        <f>sumifs(aq:aq,A:A,"总成",B:B,"852-195000-100")*INDIRECT(ADDRESS(308,5))</f>
        <v>0</v>
      </c>
      <c r="AR308">
        <f>sumifs(ar:ar,A:A,"总成",B:B,"852-195000-100")*INDIRECT(ADDRESS(308,5))</f>
        <v>0</v>
      </c>
    </row>
    <row r="309" spans="1:44">
      <c r="A309" t="s">
        <v>31</v>
      </c>
      <c r="B309" t="s">
        <v>618</v>
      </c>
      <c r="C309" t="s">
        <v>619</v>
      </c>
      <c r="E309" t="s">
        <v>620</v>
      </c>
      <c r="F309" t="s">
        <v>621</v>
      </c>
      <c r="K309" t="s">
        <v>590</v>
      </c>
      <c r="L309" t="s">
        <v>37</v>
      </c>
      <c r="M309">
        <f>sumifs(m:m,A:A,"总成",B:B,"852-195000-100")*INDIRECT(ADDRESS(309,5))</f>
        <v>0</v>
      </c>
      <c r="N309">
        <f>sumifs(n:n,A:A,"总成",B:B,"852-195000-100")*INDIRECT(ADDRESS(309,5))</f>
        <v>0</v>
      </c>
      <c r="O309">
        <f>sumifs(o:o,A:A,"总成",B:B,"852-195000-100")*INDIRECT(ADDRESS(309,5))</f>
        <v>0</v>
      </c>
      <c r="P309">
        <f>sumifs(p:p,A:A,"总成",B:B,"852-195000-100")*INDIRECT(ADDRESS(309,5))</f>
        <v>0</v>
      </c>
      <c r="Q309">
        <f>sumifs(q:q,A:A,"总成",B:B,"852-195000-100")*INDIRECT(ADDRESS(309,5))</f>
        <v>0</v>
      </c>
      <c r="R309">
        <f>sumifs(r:r,A:A,"总成",B:B,"852-195000-100")*INDIRECT(ADDRESS(309,5))</f>
        <v>0</v>
      </c>
      <c r="S309">
        <f>sumifs(s:s,A:A,"总成",B:B,"852-195000-100")*INDIRECT(ADDRESS(309,5))</f>
        <v>0</v>
      </c>
      <c r="T309">
        <f>sumifs(t:t,A:A,"总成",B:B,"852-195000-100")*INDIRECT(ADDRESS(309,5))</f>
        <v>0</v>
      </c>
      <c r="U309">
        <f>sumifs(u:u,A:A,"总成",B:B,"852-195000-100")*INDIRECT(ADDRESS(309,5))</f>
        <v>0</v>
      </c>
      <c r="V309">
        <f>sumifs(v:v,A:A,"总成",B:B,"852-195000-100")*INDIRECT(ADDRESS(309,5))</f>
        <v>0</v>
      </c>
      <c r="W309">
        <f>sumifs(w:w,A:A,"总成",B:B,"852-195000-100")*INDIRECT(ADDRESS(309,5))</f>
        <v>0</v>
      </c>
      <c r="X309">
        <f>sumifs(x:x,A:A,"总成",B:B,"852-195000-100")*INDIRECT(ADDRESS(309,5))</f>
        <v>0</v>
      </c>
      <c r="Y309">
        <f>sumifs(y:y,A:A,"总成",B:B,"852-195000-100")*INDIRECT(ADDRESS(309,5))</f>
        <v>0</v>
      </c>
      <c r="Z309">
        <f>sumifs(z:z,A:A,"总成",B:B,"852-195000-100")*INDIRECT(ADDRESS(309,5))</f>
        <v>0</v>
      </c>
      <c r="AA309">
        <f>sumifs(aa:aa,A:A,"总成",B:B,"852-195000-100")*INDIRECT(ADDRESS(309,5))</f>
        <v>0</v>
      </c>
      <c r="AB309">
        <f>sumifs(ab:ab,A:A,"总成",B:B,"852-195000-100")*INDIRECT(ADDRESS(309,5))</f>
        <v>0</v>
      </c>
      <c r="AC309">
        <f>sumifs(ac:ac,A:A,"总成",B:B,"852-195000-100")*INDIRECT(ADDRESS(309,5))</f>
        <v>0</v>
      </c>
      <c r="AD309">
        <f>sumifs(ad:ad,A:A,"总成",B:B,"852-195000-100")*INDIRECT(ADDRESS(309,5))</f>
        <v>0</v>
      </c>
      <c r="AE309">
        <f>sumifs(ae:ae,A:A,"总成",B:B,"852-195000-100")*INDIRECT(ADDRESS(309,5))</f>
        <v>0</v>
      </c>
      <c r="AF309">
        <f>sumifs(af:af,A:A,"总成",B:B,"852-195000-100")*INDIRECT(ADDRESS(309,5))</f>
        <v>0</v>
      </c>
      <c r="AG309">
        <f>sumifs(ag:ag,A:A,"总成",B:B,"852-195000-100")*INDIRECT(ADDRESS(309,5))</f>
        <v>0</v>
      </c>
      <c r="AH309">
        <f>sumifs(ah:ah,A:A,"总成",B:B,"852-195000-100")*INDIRECT(ADDRESS(309,5))</f>
        <v>0</v>
      </c>
      <c r="AI309">
        <f>sumifs(ai:ai,A:A,"总成",B:B,"852-195000-100")*INDIRECT(ADDRESS(309,5))</f>
        <v>0</v>
      </c>
      <c r="AJ309">
        <f>sumifs(aj:aj,A:A,"总成",B:B,"852-195000-100")*INDIRECT(ADDRESS(309,5))</f>
        <v>0</v>
      </c>
      <c r="AK309">
        <f>sumifs(ak:ak,A:A,"总成",B:B,"852-195000-100")*INDIRECT(ADDRESS(309,5))</f>
        <v>0</v>
      </c>
      <c r="AL309">
        <f>sumifs(al:al,A:A,"总成",B:B,"852-195000-100")*INDIRECT(ADDRESS(309,5))</f>
        <v>0</v>
      </c>
      <c r="AM309">
        <f>sumifs(am:am,A:A,"总成",B:B,"852-195000-100")*INDIRECT(ADDRESS(309,5))</f>
        <v>0</v>
      </c>
      <c r="AN309">
        <f>sumifs(an:an,A:A,"总成",B:B,"852-195000-100")*INDIRECT(ADDRESS(309,5))</f>
        <v>0</v>
      </c>
      <c r="AO309">
        <f>sumifs(ao:ao,A:A,"总成",B:B,"852-195000-100")*INDIRECT(ADDRESS(309,5))</f>
        <v>0</v>
      </c>
      <c r="AP309">
        <f>sumifs(ap:ap,A:A,"总成",B:B,"852-195000-100")*INDIRECT(ADDRESS(309,5))</f>
        <v>0</v>
      </c>
      <c r="AQ309">
        <f>sumifs(aq:aq,A:A,"总成",B:B,"852-195000-100")*INDIRECT(ADDRESS(309,5))</f>
        <v>0</v>
      </c>
      <c r="AR309">
        <f>sumifs(ar:ar,A:A,"总成",B:B,"852-195000-100")*INDIRECT(ADDRESS(309,5))</f>
        <v>0</v>
      </c>
    </row>
    <row r="310" spans="1:44">
      <c r="A310" t="s">
        <v>31</v>
      </c>
      <c r="B310" t="s">
        <v>352</v>
      </c>
      <c r="C310" t="s">
        <v>353</v>
      </c>
      <c r="E310">
        <v>1</v>
      </c>
      <c r="F310" t="s">
        <v>622</v>
      </c>
      <c r="K310" t="s">
        <v>590</v>
      </c>
      <c r="L310" t="s">
        <v>37</v>
      </c>
      <c r="M310">
        <f>sumifs(m:m,A:A,"总成",B:B,"852-195000-100")*INDIRECT(ADDRESS(310,5))</f>
        <v>0</v>
      </c>
      <c r="N310">
        <f>sumifs(n:n,A:A,"总成",B:B,"852-195000-100")*INDIRECT(ADDRESS(310,5))</f>
        <v>0</v>
      </c>
      <c r="O310">
        <f>sumifs(o:o,A:A,"总成",B:B,"852-195000-100")*INDIRECT(ADDRESS(310,5))</f>
        <v>0</v>
      </c>
      <c r="P310">
        <f>sumifs(p:p,A:A,"总成",B:B,"852-195000-100")*INDIRECT(ADDRESS(310,5))</f>
        <v>0</v>
      </c>
      <c r="Q310">
        <f>sumifs(q:q,A:A,"总成",B:B,"852-195000-100")*INDIRECT(ADDRESS(310,5))</f>
        <v>0</v>
      </c>
      <c r="R310">
        <f>sumifs(r:r,A:A,"总成",B:B,"852-195000-100")*INDIRECT(ADDRESS(310,5))</f>
        <v>0</v>
      </c>
      <c r="S310">
        <f>sumifs(s:s,A:A,"总成",B:B,"852-195000-100")*INDIRECT(ADDRESS(310,5))</f>
        <v>0</v>
      </c>
      <c r="T310">
        <f>sumifs(t:t,A:A,"总成",B:B,"852-195000-100")*INDIRECT(ADDRESS(310,5))</f>
        <v>0</v>
      </c>
      <c r="U310">
        <f>sumifs(u:u,A:A,"总成",B:B,"852-195000-100")*INDIRECT(ADDRESS(310,5))</f>
        <v>0</v>
      </c>
      <c r="V310">
        <f>sumifs(v:v,A:A,"总成",B:B,"852-195000-100")*INDIRECT(ADDRESS(310,5))</f>
        <v>0</v>
      </c>
      <c r="W310">
        <f>sumifs(w:w,A:A,"总成",B:B,"852-195000-100")*INDIRECT(ADDRESS(310,5))</f>
        <v>0</v>
      </c>
      <c r="X310">
        <f>sumifs(x:x,A:A,"总成",B:B,"852-195000-100")*INDIRECT(ADDRESS(310,5))</f>
        <v>0</v>
      </c>
      <c r="Y310">
        <f>sumifs(y:y,A:A,"总成",B:B,"852-195000-100")*INDIRECT(ADDRESS(310,5))</f>
        <v>0</v>
      </c>
      <c r="Z310">
        <f>sumifs(z:z,A:A,"总成",B:B,"852-195000-100")*INDIRECT(ADDRESS(310,5))</f>
        <v>0</v>
      </c>
      <c r="AA310">
        <f>sumifs(aa:aa,A:A,"总成",B:B,"852-195000-100")*INDIRECT(ADDRESS(310,5))</f>
        <v>0</v>
      </c>
      <c r="AB310">
        <f>sumifs(ab:ab,A:A,"总成",B:B,"852-195000-100")*INDIRECT(ADDRESS(310,5))</f>
        <v>0</v>
      </c>
      <c r="AC310">
        <f>sumifs(ac:ac,A:A,"总成",B:B,"852-195000-100")*INDIRECT(ADDRESS(310,5))</f>
        <v>0</v>
      </c>
      <c r="AD310">
        <f>sumifs(ad:ad,A:A,"总成",B:B,"852-195000-100")*INDIRECT(ADDRESS(310,5))</f>
        <v>0</v>
      </c>
      <c r="AE310">
        <f>sumifs(ae:ae,A:A,"总成",B:B,"852-195000-100")*INDIRECT(ADDRESS(310,5))</f>
        <v>0</v>
      </c>
      <c r="AF310">
        <f>sumifs(af:af,A:A,"总成",B:B,"852-195000-100")*INDIRECT(ADDRESS(310,5))</f>
        <v>0</v>
      </c>
      <c r="AG310">
        <f>sumifs(ag:ag,A:A,"总成",B:B,"852-195000-100")*INDIRECT(ADDRESS(310,5))</f>
        <v>0</v>
      </c>
      <c r="AH310">
        <f>sumifs(ah:ah,A:A,"总成",B:B,"852-195000-100")*INDIRECT(ADDRESS(310,5))</f>
        <v>0</v>
      </c>
      <c r="AI310">
        <f>sumifs(ai:ai,A:A,"总成",B:B,"852-195000-100")*INDIRECT(ADDRESS(310,5))</f>
        <v>0</v>
      </c>
      <c r="AJ310">
        <f>sumifs(aj:aj,A:A,"总成",B:B,"852-195000-100")*INDIRECT(ADDRESS(310,5))</f>
        <v>0</v>
      </c>
      <c r="AK310">
        <f>sumifs(ak:ak,A:A,"总成",B:B,"852-195000-100")*INDIRECT(ADDRESS(310,5))</f>
        <v>0</v>
      </c>
      <c r="AL310">
        <f>sumifs(al:al,A:A,"总成",B:B,"852-195000-100")*INDIRECT(ADDRESS(310,5))</f>
        <v>0</v>
      </c>
      <c r="AM310">
        <f>sumifs(am:am,A:A,"总成",B:B,"852-195000-100")*INDIRECT(ADDRESS(310,5))</f>
        <v>0</v>
      </c>
      <c r="AN310">
        <f>sumifs(an:an,A:A,"总成",B:B,"852-195000-100")*INDIRECT(ADDRESS(310,5))</f>
        <v>0</v>
      </c>
      <c r="AO310">
        <f>sumifs(ao:ao,A:A,"总成",B:B,"852-195000-100")*INDIRECT(ADDRESS(310,5))</f>
        <v>0</v>
      </c>
      <c r="AP310">
        <f>sumifs(ap:ap,A:A,"总成",B:B,"852-195000-100")*INDIRECT(ADDRESS(310,5))</f>
        <v>0</v>
      </c>
      <c r="AQ310">
        <f>sumifs(aq:aq,A:A,"总成",B:B,"852-195000-100")*INDIRECT(ADDRESS(310,5))</f>
        <v>0</v>
      </c>
      <c r="AR310">
        <f>sumifs(ar:ar,A:A,"总成",B:B,"852-195000-100")*INDIRECT(ADDRESS(310,5))</f>
        <v>0</v>
      </c>
    </row>
    <row r="311" spans="1:44">
      <c r="A311" t="s">
        <v>31</v>
      </c>
      <c r="B311" t="s">
        <v>623</v>
      </c>
      <c r="C311" t="s">
        <v>624</v>
      </c>
      <c r="E311">
        <v>1</v>
      </c>
      <c r="F311" t="s">
        <v>565</v>
      </c>
      <c r="K311" t="s">
        <v>590</v>
      </c>
      <c r="L311" t="s">
        <v>37</v>
      </c>
      <c r="M311">
        <f>sumifs(m:m,A:A,"总成",B:B,"852-195000-100")*INDIRECT(ADDRESS(311,5))</f>
        <v>0</v>
      </c>
      <c r="N311">
        <f>sumifs(n:n,A:A,"总成",B:B,"852-195000-100")*INDIRECT(ADDRESS(311,5))</f>
        <v>0</v>
      </c>
      <c r="O311">
        <f>sumifs(o:o,A:A,"总成",B:B,"852-195000-100")*INDIRECT(ADDRESS(311,5))</f>
        <v>0</v>
      </c>
      <c r="P311">
        <f>sumifs(p:p,A:A,"总成",B:B,"852-195000-100")*INDIRECT(ADDRESS(311,5))</f>
        <v>0</v>
      </c>
      <c r="Q311">
        <f>sumifs(q:q,A:A,"总成",B:B,"852-195000-100")*INDIRECT(ADDRESS(311,5))</f>
        <v>0</v>
      </c>
      <c r="R311">
        <f>sumifs(r:r,A:A,"总成",B:B,"852-195000-100")*INDIRECT(ADDRESS(311,5))</f>
        <v>0</v>
      </c>
      <c r="S311">
        <f>sumifs(s:s,A:A,"总成",B:B,"852-195000-100")*INDIRECT(ADDRESS(311,5))</f>
        <v>0</v>
      </c>
      <c r="T311">
        <f>sumifs(t:t,A:A,"总成",B:B,"852-195000-100")*INDIRECT(ADDRESS(311,5))</f>
        <v>0</v>
      </c>
      <c r="U311">
        <f>sumifs(u:u,A:A,"总成",B:B,"852-195000-100")*INDIRECT(ADDRESS(311,5))</f>
        <v>0</v>
      </c>
      <c r="V311">
        <f>sumifs(v:v,A:A,"总成",B:B,"852-195000-100")*INDIRECT(ADDRESS(311,5))</f>
        <v>0</v>
      </c>
      <c r="W311">
        <f>sumifs(w:w,A:A,"总成",B:B,"852-195000-100")*INDIRECT(ADDRESS(311,5))</f>
        <v>0</v>
      </c>
      <c r="X311">
        <f>sumifs(x:x,A:A,"总成",B:B,"852-195000-100")*INDIRECT(ADDRESS(311,5))</f>
        <v>0</v>
      </c>
      <c r="Y311">
        <f>sumifs(y:y,A:A,"总成",B:B,"852-195000-100")*INDIRECT(ADDRESS(311,5))</f>
        <v>0</v>
      </c>
      <c r="Z311">
        <f>sumifs(z:z,A:A,"总成",B:B,"852-195000-100")*INDIRECT(ADDRESS(311,5))</f>
        <v>0</v>
      </c>
      <c r="AA311">
        <f>sumifs(aa:aa,A:A,"总成",B:B,"852-195000-100")*INDIRECT(ADDRESS(311,5))</f>
        <v>0</v>
      </c>
      <c r="AB311">
        <f>sumifs(ab:ab,A:A,"总成",B:B,"852-195000-100")*INDIRECT(ADDRESS(311,5))</f>
        <v>0</v>
      </c>
      <c r="AC311">
        <f>sumifs(ac:ac,A:A,"总成",B:B,"852-195000-100")*INDIRECT(ADDRESS(311,5))</f>
        <v>0</v>
      </c>
      <c r="AD311">
        <f>sumifs(ad:ad,A:A,"总成",B:B,"852-195000-100")*INDIRECT(ADDRESS(311,5))</f>
        <v>0</v>
      </c>
      <c r="AE311">
        <f>sumifs(ae:ae,A:A,"总成",B:B,"852-195000-100")*INDIRECT(ADDRESS(311,5))</f>
        <v>0</v>
      </c>
      <c r="AF311">
        <f>sumifs(af:af,A:A,"总成",B:B,"852-195000-100")*INDIRECT(ADDRESS(311,5))</f>
        <v>0</v>
      </c>
      <c r="AG311">
        <f>sumifs(ag:ag,A:A,"总成",B:B,"852-195000-100")*INDIRECT(ADDRESS(311,5))</f>
        <v>0</v>
      </c>
      <c r="AH311">
        <f>sumifs(ah:ah,A:A,"总成",B:B,"852-195000-100")*INDIRECT(ADDRESS(311,5))</f>
        <v>0</v>
      </c>
      <c r="AI311">
        <f>sumifs(ai:ai,A:A,"总成",B:B,"852-195000-100")*INDIRECT(ADDRESS(311,5))</f>
        <v>0</v>
      </c>
      <c r="AJ311">
        <f>sumifs(aj:aj,A:A,"总成",B:B,"852-195000-100")*INDIRECT(ADDRESS(311,5))</f>
        <v>0</v>
      </c>
      <c r="AK311">
        <f>sumifs(ak:ak,A:A,"总成",B:B,"852-195000-100")*INDIRECT(ADDRESS(311,5))</f>
        <v>0</v>
      </c>
      <c r="AL311">
        <f>sumifs(al:al,A:A,"总成",B:B,"852-195000-100")*INDIRECT(ADDRESS(311,5))</f>
        <v>0</v>
      </c>
      <c r="AM311">
        <f>sumifs(am:am,A:A,"总成",B:B,"852-195000-100")*INDIRECT(ADDRESS(311,5))</f>
        <v>0</v>
      </c>
      <c r="AN311">
        <f>sumifs(an:an,A:A,"总成",B:B,"852-195000-100")*INDIRECT(ADDRESS(311,5))</f>
        <v>0</v>
      </c>
      <c r="AO311">
        <f>sumifs(ao:ao,A:A,"总成",B:B,"852-195000-100")*INDIRECT(ADDRESS(311,5))</f>
        <v>0</v>
      </c>
      <c r="AP311">
        <f>sumifs(ap:ap,A:A,"总成",B:B,"852-195000-100")*INDIRECT(ADDRESS(311,5))</f>
        <v>0</v>
      </c>
      <c r="AQ311">
        <f>sumifs(aq:aq,A:A,"总成",B:B,"852-195000-100")*INDIRECT(ADDRESS(311,5))</f>
        <v>0</v>
      </c>
      <c r="AR311">
        <f>sumifs(ar:ar,A:A,"总成",B:B,"852-195000-100")*INDIRECT(ADDRESS(311,5))</f>
        <v>0</v>
      </c>
    </row>
    <row r="312" spans="1:44">
      <c r="A312" t="s">
        <v>14</v>
      </c>
      <c r="B312" t="s">
        <v>562</v>
      </c>
      <c r="C312" t="s">
        <v>563</v>
      </c>
      <c r="D312" t="s">
        <v>564</v>
      </c>
      <c r="E312" t="s">
        <v>444</v>
      </c>
      <c r="F312" t="s">
        <v>568</v>
      </c>
      <c r="K312" t="s">
        <v>590</v>
      </c>
      <c r="L312" t="s">
        <v>21</v>
      </c>
      <c r="M312">
        <f>vlookup("852-201000-100",生产发行表!B:AZ,column(l1),0)</f>
        <v>0</v>
      </c>
      <c r="N312">
        <f>vlookup("852-201000-100",生产发行表!B:AZ,column(m1),0)</f>
        <v>0</v>
      </c>
      <c r="O312">
        <f>vlookup("852-201000-100",生产发行表!B:AZ,column(n1),0)</f>
        <v>0</v>
      </c>
      <c r="P312">
        <f>vlookup("852-201000-100",生产发行表!B:AZ,column(o1),0)</f>
        <v>0</v>
      </c>
      <c r="Q312">
        <f>vlookup("852-201000-100",生产发行表!B:AZ,column(p1),0)</f>
        <v>0</v>
      </c>
      <c r="R312">
        <f>vlookup("852-201000-100",生产发行表!B:AZ,column(q1),0)</f>
        <v>0</v>
      </c>
      <c r="S312">
        <f>vlookup("852-201000-100",生产发行表!B:AZ,column(r1),0)</f>
        <v>0</v>
      </c>
      <c r="T312">
        <f>vlookup("852-201000-100",生产发行表!B:AZ,column(s1),0)</f>
        <v>0</v>
      </c>
      <c r="U312">
        <f>vlookup("852-201000-100",生产发行表!B:AZ,column(t1),0)</f>
        <v>0</v>
      </c>
      <c r="V312">
        <f>vlookup("852-201000-100",生产发行表!B:AZ,column(u1),0)</f>
        <v>0</v>
      </c>
      <c r="W312">
        <f>vlookup("852-201000-100",生产发行表!B:AZ,column(v1),0)</f>
        <v>0</v>
      </c>
      <c r="X312">
        <f>vlookup("852-201000-100",生产发行表!B:AZ,column(w1),0)</f>
        <v>0</v>
      </c>
      <c r="Y312">
        <f>vlookup("852-201000-100",生产发行表!B:AZ,column(x1),0)</f>
        <v>0</v>
      </c>
      <c r="Z312">
        <f>vlookup("852-201000-100",生产发行表!B:AZ,column(y1),0)</f>
        <v>0</v>
      </c>
      <c r="AA312">
        <f>vlookup("852-201000-100",生产发行表!B:AZ,column(z1),0)</f>
        <v>0</v>
      </c>
      <c r="AB312">
        <f>vlookup("852-201000-100",生产发行表!B:AZ,column(aa1),0)</f>
        <v>0</v>
      </c>
      <c r="AC312">
        <f>vlookup("852-201000-100",生产发行表!B:AZ,column(ab1),0)</f>
        <v>0</v>
      </c>
      <c r="AD312">
        <f>vlookup("852-201000-100",生产发行表!B:AZ,column(ac1),0)</f>
        <v>0</v>
      </c>
      <c r="AE312">
        <f>vlookup("852-201000-100",生产发行表!B:AZ,column(ad1),0)</f>
        <v>0</v>
      </c>
      <c r="AF312">
        <f>vlookup("852-201000-100",生产发行表!B:AZ,column(ae1),0)</f>
        <v>0</v>
      </c>
      <c r="AG312">
        <f>vlookup("852-201000-100",生产发行表!B:AZ,column(af1),0)</f>
        <v>0</v>
      </c>
      <c r="AH312">
        <f>vlookup("852-201000-100",生产发行表!B:AZ,column(ag1),0)</f>
        <v>0</v>
      </c>
      <c r="AI312">
        <f>vlookup("852-201000-100",生产发行表!B:AZ,column(ah1),0)</f>
        <v>0</v>
      </c>
      <c r="AJ312">
        <f>vlookup("852-201000-100",生产发行表!B:AZ,column(ai1),0)</f>
        <v>0</v>
      </c>
      <c r="AK312">
        <f>vlookup("852-201000-100",生产发行表!B:AZ,column(aj1),0)</f>
        <v>0</v>
      </c>
      <c r="AL312">
        <f>vlookup("852-201000-100",生产发行表!B:AZ,column(ak1),0)</f>
        <v>0</v>
      </c>
      <c r="AM312">
        <f>vlookup("852-201000-100",生产发行表!B:AZ,column(al1),0)</f>
        <v>0</v>
      </c>
      <c r="AN312">
        <f>vlookup("852-201000-100",生产发行表!B:AZ,column(am1),0)</f>
        <v>0</v>
      </c>
      <c r="AO312">
        <f>vlookup("852-201000-100",生产发行表!B:AZ,column(an1),0)</f>
        <v>0</v>
      </c>
      <c r="AP312">
        <f>vlookup("852-201000-100",生产发行表!B:AZ,column(ao1),0)</f>
        <v>0</v>
      </c>
      <c r="AQ312">
        <f>vlookup("852-201000-100",生产发行表!B:AZ,column(ap1),0)</f>
        <v>0</v>
      </c>
      <c r="AR312">
        <f>vlookup("852-201000-100",生产发行表!B:AZ,column(aq1),0)</f>
        <v>0</v>
      </c>
    </row>
    <row r="313" spans="1:44">
      <c r="A313" t="s">
        <v>14</v>
      </c>
      <c r="B313" t="s">
        <v>566</v>
      </c>
      <c r="C313" t="s">
        <v>567</v>
      </c>
      <c r="E313" t="s">
        <v>444</v>
      </c>
      <c r="F313" t="s">
        <v>571</v>
      </c>
      <c r="K313" t="s">
        <v>590</v>
      </c>
      <c r="L313" t="s">
        <v>21</v>
      </c>
      <c r="M313">
        <f>vlookup("852-207000-110",生产发行表!B:AZ,column(l1),0)</f>
        <v>0</v>
      </c>
      <c r="N313">
        <f>vlookup("852-207000-110",生产发行表!B:AZ,column(m1),0)</f>
        <v>0</v>
      </c>
      <c r="O313">
        <f>vlookup("852-207000-110",生产发行表!B:AZ,column(n1),0)</f>
        <v>0</v>
      </c>
      <c r="P313">
        <f>vlookup("852-207000-110",生产发行表!B:AZ,column(o1),0)</f>
        <v>0</v>
      </c>
      <c r="Q313">
        <f>vlookup("852-207000-110",生产发行表!B:AZ,column(p1),0)</f>
        <v>0</v>
      </c>
      <c r="R313">
        <f>vlookup("852-207000-110",生产发行表!B:AZ,column(q1),0)</f>
        <v>0</v>
      </c>
      <c r="S313">
        <f>vlookup("852-207000-110",生产发行表!B:AZ,column(r1),0)</f>
        <v>0</v>
      </c>
      <c r="T313">
        <f>vlookup("852-207000-110",生产发行表!B:AZ,column(s1),0)</f>
        <v>0</v>
      </c>
      <c r="U313">
        <f>vlookup("852-207000-110",生产发行表!B:AZ,column(t1),0)</f>
        <v>0</v>
      </c>
      <c r="V313">
        <f>vlookup("852-207000-110",生产发行表!B:AZ,column(u1),0)</f>
        <v>0</v>
      </c>
      <c r="W313">
        <f>vlookup("852-207000-110",生产发行表!B:AZ,column(v1),0)</f>
        <v>0</v>
      </c>
      <c r="X313">
        <f>vlookup("852-207000-110",生产发行表!B:AZ,column(w1),0)</f>
        <v>0</v>
      </c>
      <c r="Y313">
        <f>vlookup("852-207000-110",生产发行表!B:AZ,column(x1),0)</f>
        <v>0</v>
      </c>
      <c r="Z313">
        <f>vlookup("852-207000-110",生产发行表!B:AZ,column(y1),0)</f>
        <v>0</v>
      </c>
      <c r="AA313">
        <f>vlookup("852-207000-110",生产发行表!B:AZ,column(z1),0)</f>
        <v>0</v>
      </c>
      <c r="AB313">
        <f>vlookup("852-207000-110",生产发行表!B:AZ,column(aa1),0)</f>
        <v>0</v>
      </c>
      <c r="AC313">
        <f>vlookup("852-207000-110",生产发行表!B:AZ,column(ab1),0)</f>
        <v>0</v>
      </c>
      <c r="AD313">
        <f>vlookup("852-207000-110",生产发行表!B:AZ,column(ac1),0)</f>
        <v>0</v>
      </c>
      <c r="AE313">
        <f>vlookup("852-207000-110",生产发行表!B:AZ,column(ad1),0)</f>
        <v>0</v>
      </c>
      <c r="AF313">
        <f>vlookup("852-207000-110",生产发行表!B:AZ,column(ae1),0)</f>
        <v>0</v>
      </c>
      <c r="AG313">
        <f>vlookup("852-207000-110",生产发行表!B:AZ,column(af1),0)</f>
        <v>0</v>
      </c>
      <c r="AH313">
        <f>vlookup("852-207000-110",生产发行表!B:AZ,column(ag1),0)</f>
        <v>0</v>
      </c>
      <c r="AI313">
        <f>vlookup("852-207000-110",生产发行表!B:AZ,column(ah1),0)</f>
        <v>0</v>
      </c>
      <c r="AJ313">
        <f>vlookup("852-207000-110",生产发行表!B:AZ,column(ai1),0)</f>
        <v>0</v>
      </c>
      <c r="AK313">
        <f>vlookup("852-207000-110",生产发行表!B:AZ,column(aj1),0)</f>
        <v>0</v>
      </c>
      <c r="AL313">
        <f>vlookup("852-207000-110",生产发行表!B:AZ,column(ak1),0)</f>
        <v>0</v>
      </c>
      <c r="AM313">
        <f>vlookup("852-207000-110",生产发行表!B:AZ,column(al1),0)</f>
        <v>0</v>
      </c>
      <c r="AN313">
        <f>vlookup("852-207000-110",生产发行表!B:AZ,column(am1),0)</f>
        <v>0</v>
      </c>
      <c r="AO313">
        <f>vlookup("852-207000-110",生产发行表!B:AZ,column(an1),0)</f>
        <v>0</v>
      </c>
      <c r="AP313">
        <f>vlookup("852-207000-110",生产发行表!B:AZ,column(ao1),0)</f>
        <v>0</v>
      </c>
      <c r="AQ313">
        <f>vlookup("852-207000-110",生产发行表!B:AZ,column(ap1),0)</f>
        <v>0</v>
      </c>
      <c r="AR313">
        <f>vlookup("852-207000-110",生产发行表!B:AZ,column(aq1),0)</f>
        <v>0</v>
      </c>
    </row>
    <row r="314" spans="1:44">
      <c r="A314" t="s">
        <v>14</v>
      </c>
      <c r="B314" t="s">
        <v>569</v>
      </c>
      <c r="C314" t="s">
        <v>570</v>
      </c>
      <c r="D314" t="s">
        <v>480</v>
      </c>
      <c r="E314" t="s">
        <v>444</v>
      </c>
      <c r="F314" t="s">
        <v>574</v>
      </c>
      <c r="K314" t="s">
        <v>590</v>
      </c>
      <c r="L314" t="s">
        <v>21</v>
      </c>
      <c r="M314">
        <f>vlookup("852-207000-100",生产发行表!B:AZ,column(l1),0)</f>
        <v>0</v>
      </c>
      <c r="N314">
        <f>vlookup("852-207000-100",生产发行表!B:AZ,column(m1),0)</f>
        <v>0</v>
      </c>
      <c r="O314">
        <f>vlookup("852-207000-100",生产发行表!B:AZ,column(n1),0)</f>
        <v>0</v>
      </c>
      <c r="P314">
        <f>vlookup("852-207000-100",生产发行表!B:AZ,column(o1),0)</f>
        <v>0</v>
      </c>
      <c r="Q314">
        <f>vlookup("852-207000-100",生产发行表!B:AZ,column(p1),0)</f>
        <v>0</v>
      </c>
      <c r="R314">
        <f>vlookup("852-207000-100",生产发行表!B:AZ,column(q1),0)</f>
        <v>0</v>
      </c>
      <c r="S314">
        <f>vlookup("852-207000-100",生产发行表!B:AZ,column(r1),0)</f>
        <v>0</v>
      </c>
      <c r="T314">
        <f>vlookup("852-207000-100",生产发行表!B:AZ,column(s1),0)</f>
        <v>0</v>
      </c>
      <c r="U314">
        <f>vlookup("852-207000-100",生产发行表!B:AZ,column(t1),0)</f>
        <v>0</v>
      </c>
      <c r="V314">
        <f>vlookup("852-207000-100",生产发行表!B:AZ,column(u1),0)</f>
        <v>0</v>
      </c>
      <c r="W314">
        <f>vlookup("852-207000-100",生产发行表!B:AZ,column(v1),0)</f>
        <v>0</v>
      </c>
      <c r="X314">
        <f>vlookup("852-207000-100",生产发行表!B:AZ,column(w1),0)</f>
        <v>0</v>
      </c>
      <c r="Y314">
        <f>vlookup("852-207000-100",生产发行表!B:AZ,column(x1),0)</f>
        <v>0</v>
      </c>
      <c r="Z314">
        <f>vlookup("852-207000-100",生产发行表!B:AZ,column(y1),0)</f>
        <v>0</v>
      </c>
      <c r="AA314">
        <f>vlookup("852-207000-100",生产发行表!B:AZ,column(z1),0)</f>
        <v>0</v>
      </c>
      <c r="AB314">
        <f>vlookup("852-207000-100",生产发行表!B:AZ,column(aa1),0)</f>
        <v>0</v>
      </c>
      <c r="AC314">
        <f>vlookup("852-207000-100",生产发行表!B:AZ,column(ab1),0)</f>
        <v>0</v>
      </c>
      <c r="AD314">
        <f>vlookup("852-207000-100",生产发行表!B:AZ,column(ac1),0)</f>
        <v>0</v>
      </c>
      <c r="AE314">
        <f>vlookup("852-207000-100",生产发行表!B:AZ,column(ad1),0)</f>
        <v>0</v>
      </c>
      <c r="AF314">
        <f>vlookup("852-207000-100",生产发行表!B:AZ,column(ae1),0)</f>
        <v>0</v>
      </c>
      <c r="AG314">
        <f>vlookup("852-207000-100",生产发行表!B:AZ,column(af1),0)</f>
        <v>0</v>
      </c>
      <c r="AH314">
        <f>vlookup("852-207000-100",生产发行表!B:AZ,column(ag1),0)</f>
        <v>0</v>
      </c>
      <c r="AI314">
        <f>vlookup("852-207000-100",生产发行表!B:AZ,column(ah1),0)</f>
        <v>0</v>
      </c>
      <c r="AJ314">
        <f>vlookup("852-207000-100",生产发行表!B:AZ,column(ai1),0)</f>
        <v>0</v>
      </c>
      <c r="AK314">
        <f>vlookup("852-207000-100",生产发行表!B:AZ,column(aj1),0)</f>
        <v>0</v>
      </c>
      <c r="AL314">
        <f>vlookup("852-207000-100",生产发行表!B:AZ,column(ak1),0)</f>
        <v>0</v>
      </c>
      <c r="AM314">
        <f>vlookup("852-207000-100",生产发行表!B:AZ,column(al1),0)</f>
        <v>0</v>
      </c>
      <c r="AN314">
        <f>vlookup("852-207000-100",生产发行表!B:AZ,column(am1),0)</f>
        <v>0</v>
      </c>
      <c r="AO314">
        <f>vlookup("852-207000-100",生产发行表!B:AZ,column(an1),0)</f>
        <v>0</v>
      </c>
      <c r="AP314">
        <f>vlookup("852-207000-100",生产发行表!B:AZ,column(ao1),0)</f>
        <v>0</v>
      </c>
      <c r="AQ314">
        <f>vlookup("852-207000-100",生产发行表!B:AZ,column(ap1),0)</f>
        <v>0</v>
      </c>
      <c r="AR314">
        <f>vlookup("852-207000-100",生产发行表!B:AZ,column(aq1),0)</f>
        <v>0</v>
      </c>
    </row>
    <row r="315" spans="1:44">
      <c r="A315" t="s">
        <v>14</v>
      </c>
      <c r="B315" t="s">
        <v>572</v>
      </c>
      <c r="C315" t="s">
        <v>573</v>
      </c>
      <c r="D315" t="s">
        <v>480</v>
      </c>
      <c r="E315" t="s">
        <v>625</v>
      </c>
      <c r="F315" t="s">
        <v>626</v>
      </c>
      <c r="K315" t="s">
        <v>590</v>
      </c>
      <c r="L315" t="s">
        <v>21</v>
      </c>
      <c r="M315">
        <f>vlookup("852-209000-100",生产发行表!B:AZ,column(l1),0)</f>
        <v>0</v>
      </c>
      <c r="N315">
        <f>vlookup("852-209000-100",生产发行表!B:AZ,column(m1),0)</f>
        <v>0</v>
      </c>
      <c r="O315">
        <f>vlookup("852-209000-100",生产发行表!B:AZ,column(n1),0)</f>
        <v>0</v>
      </c>
      <c r="P315">
        <f>vlookup("852-209000-100",生产发行表!B:AZ,column(o1),0)</f>
        <v>0</v>
      </c>
      <c r="Q315">
        <f>vlookup("852-209000-100",生产发行表!B:AZ,column(p1),0)</f>
        <v>0</v>
      </c>
      <c r="R315">
        <f>vlookup("852-209000-100",生产发行表!B:AZ,column(q1),0)</f>
        <v>0</v>
      </c>
      <c r="S315">
        <f>vlookup("852-209000-100",生产发行表!B:AZ,column(r1),0)</f>
        <v>0</v>
      </c>
      <c r="T315">
        <f>vlookup("852-209000-100",生产发行表!B:AZ,column(s1),0)</f>
        <v>0</v>
      </c>
      <c r="U315">
        <f>vlookup("852-209000-100",生产发行表!B:AZ,column(t1),0)</f>
        <v>0</v>
      </c>
      <c r="V315">
        <f>vlookup("852-209000-100",生产发行表!B:AZ,column(u1),0)</f>
        <v>0</v>
      </c>
      <c r="W315">
        <f>vlookup("852-209000-100",生产发行表!B:AZ,column(v1),0)</f>
        <v>0</v>
      </c>
      <c r="X315">
        <f>vlookup("852-209000-100",生产发行表!B:AZ,column(w1),0)</f>
        <v>0</v>
      </c>
      <c r="Y315">
        <f>vlookup("852-209000-100",生产发行表!B:AZ,column(x1),0)</f>
        <v>0</v>
      </c>
      <c r="Z315">
        <f>vlookup("852-209000-100",生产发行表!B:AZ,column(y1),0)</f>
        <v>0</v>
      </c>
      <c r="AA315">
        <f>vlookup("852-209000-100",生产发行表!B:AZ,column(z1),0)</f>
        <v>0</v>
      </c>
      <c r="AB315">
        <f>vlookup("852-209000-100",生产发行表!B:AZ,column(aa1),0)</f>
        <v>0</v>
      </c>
      <c r="AC315">
        <f>vlookup("852-209000-100",生产发行表!B:AZ,column(ab1),0)</f>
        <v>0</v>
      </c>
      <c r="AD315">
        <f>vlookup("852-209000-100",生产发行表!B:AZ,column(ac1),0)</f>
        <v>0</v>
      </c>
      <c r="AE315">
        <f>vlookup("852-209000-100",生产发行表!B:AZ,column(ad1),0)</f>
        <v>0</v>
      </c>
      <c r="AF315">
        <f>vlookup("852-209000-100",生产发行表!B:AZ,column(ae1),0)</f>
        <v>0</v>
      </c>
      <c r="AG315">
        <f>vlookup("852-209000-100",生产发行表!B:AZ,column(af1),0)</f>
        <v>0</v>
      </c>
      <c r="AH315">
        <f>vlookup("852-209000-100",生产发行表!B:AZ,column(ag1),0)</f>
        <v>0</v>
      </c>
      <c r="AI315">
        <f>vlookup("852-209000-100",生产发行表!B:AZ,column(ah1),0)</f>
        <v>0</v>
      </c>
      <c r="AJ315">
        <f>vlookup("852-209000-100",生产发行表!B:AZ,column(ai1),0)</f>
        <v>0</v>
      </c>
      <c r="AK315">
        <f>vlookup("852-209000-100",生产发行表!B:AZ,column(aj1),0)</f>
        <v>0</v>
      </c>
      <c r="AL315">
        <f>vlookup("852-209000-100",生产发行表!B:AZ,column(ak1),0)</f>
        <v>0</v>
      </c>
      <c r="AM315">
        <f>vlookup("852-209000-100",生产发行表!B:AZ,column(al1),0)</f>
        <v>0</v>
      </c>
      <c r="AN315">
        <f>vlookup("852-209000-100",生产发行表!B:AZ,column(am1),0)</f>
        <v>0</v>
      </c>
      <c r="AO315">
        <f>vlookup("852-209000-100",生产发行表!B:AZ,column(an1),0)</f>
        <v>0</v>
      </c>
      <c r="AP315">
        <f>vlookup("852-209000-100",生产发行表!B:AZ,column(ao1),0)</f>
        <v>0</v>
      </c>
      <c r="AQ315">
        <f>vlookup("852-209000-100",生产发行表!B:AZ,column(ap1),0)</f>
        <v>0</v>
      </c>
      <c r="AR315">
        <f>vlookup("852-209000-100",生产发行表!B:AZ,column(aq1),0)</f>
        <v>0</v>
      </c>
    </row>
    <row r="316" spans="1:44">
      <c r="A316" t="s">
        <v>31</v>
      </c>
      <c r="B316" t="s">
        <v>627</v>
      </c>
      <c r="C316" t="s">
        <v>628</v>
      </c>
      <c r="E316" t="s">
        <v>30</v>
      </c>
      <c r="F316" t="s">
        <v>323</v>
      </c>
      <c r="K316" t="s">
        <v>590</v>
      </c>
      <c r="L316" t="s">
        <v>37</v>
      </c>
      <c r="M316">
        <f>sumifs(m:m,A:A,"总成",B:B,"852-209000-100")*INDIRECT(ADDRESS(316,5))</f>
        <v>0</v>
      </c>
      <c r="N316">
        <f>sumifs(n:n,A:A,"总成",B:B,"852-209000-100")*INDIRECT(ADDRESS(316,5))</f>
        <v>0</v>
      </c>
      <c r="O316">
        <f>sumifs(o:o,A:A,"总成",B:B,"852-209000-100")*INDIRECT(ADDRESS(316,5))</f>
        <v>0</v>
      </c>
      <c r="P316">
        <f>sumifs(p:p,A:A,"总成",B:B,"852-209000-100")*INDIRECT(ADDRESS(316,5))</f>
        <v>0</v>
      </c>
      <c r="Q316">
        <f>sumifs(q:q,A:A,"总成",B:B,"852-209000-100")*INDIRECT(ADDRESS(316,5))</f>
        <v>0</v>
      </c>
      <c r="R316">
        <f>sumifs(r:r,A:A,"总成",B:B,"852-209000-100")*INDIRECT(ADDRESS(316,5))</f>
        <v>0</v>
      </c>
      <c r="S316">
        <f>sumifs(s:s,A:A,"总成",B:B,"852-209000-100")*INDIRECT(ADDRESS(316,5))</f>
        <v>0</v>
      </c>
      <c r="T316">
        <f>sumifs(t:t,A:A,"总成",B:B,"852-209000-100")*INDIRECT(ADDRESS(316,5))</f>
        <v>0</v>
      </c>
      <c r="U316">
        <f>sumifs(u:u,A:A,"总成",B:B,"852-209000-100")*INDIRECT(ADDRESS(316,5))</f>
        <v>0</v>
      </c>
      <c r="V316">
        <f>sumifs(v:v,A:A,"总成",B:B,"852-209000-100")*INDIRECT(ADDRESS(316,5))</f>
        <v>0</v>
      </c>
      <c r="W316">
        <f>sumifs(w:w,A:A,"总成",B:B,"852-209000-100")*INDIRECT(ADDRESS(316,5))</f>
        <v>0</v>
      </c>
      <c r="X316">
        <f>sumifs(x:x,A:A,"总成",B:B,"852-209000-100")*INDIRECT(ADDRESS(316,5))</f>
        <v>0</v>
      </c>
      <c r="Y316">
        <f>sumifs(y:y,A:A,"总成",B:B,"852-209000-100")*INDIRECT(ADDRESS(316,5))</f>
        <v>0</v>
      </c>
      <c r="Z316">
        <f>sumifs(z:z,A:A,"总成",B:B,"852-209000-100")*INDIRECT(ADDRESS(316,5))</f>
        <v>0</v>
      </c>
      <c r="AA316">
        <f>sumifs(aa:aa,A:A,"总成",B:B,"852-209000-100")*INDIRECT(ADDRESS(316,5))</f>
        <v>0</v>
      </c>
      <c r="AB316">
        <f>sumifs(ab:ab,A:A,"总成",B:B,"852-209000-100")*INDIRECT(ADDRESS(316,5))</f>
        <v>0</v>
      </c>
      <c r="AC316">
        <f>sumifs(ac:ac,A:A,"总成",B:B,"852-209000-100")*INDIRECT(ADDRESS(316,5))</f>
        <v>0</v>
      </c>
      <c r="AD316">
        <f>sumifs(ad:ad,A:A,"总成",B:B,"852-209000-100")*INDIRECT(ADDRESS(316,5))</f>
        <v>0</v>
      </c>
      <c r="AE316">
        <f>sumifs(ae:ae,A:A,"总成",B:B,"852-209000-100")*INDIRECT(ADDRESS(316,5))</f>
        <v>0</v>
      </c>
      <c r="AF316">
        <f>sumifs(af:af,A:A,"总成",B:B,"852-209000-100")*INDIRECT(ADDRESS(316,5))</f>
        <v>0</v>
      </c>
      <c r="AG316">
        <f>sumifs(ag:ag,A:A,"总成",B:B,"852-209000-100")*INDIRECT(ADDRESS(316,5))</f>
        <v>0</v>
      </c>
      <c r="AH316">
        <f>sumifs(ah:ah,A:A,"总成",B:B,"852-209000-100")*INDIRECT(ADDRESS(316,5))</f>
        <v>0</v>
      </c>
      <c r="AI316">
        <f>sumifs(ai:ai,A:A,"总成",B:B,"852-209000-100")*INDIRECT(ADDRESS(316,5))</f>
        <v>0</v>
      </c>
      <c r="AJ316">
        <f>sumifs(aj:aj,A:A,"总成",B:B,"852-209000-100")*INDIRECT(ADDRESS(316,5))</f>
        <v>0</v>
      </c>
      <c r="AK316">
        <f>sumifs(ak:ak,A:A,"总成",B:B,"852-209000-100")*INDIRECT(ADDRESS(316,5))</f>
        <v>0</v>
      </c>
      <c r="AL316">
        <f>sumifs(al:al,A:A,"总成",B:B,"852-209000-100")*INDIRECT(ADDRESS(316,5))</f>
        <v>0</v>
      </c>
      <c r="AM316">
        <f>sumifs(am:am,A:A,"总成",B:B,"852-209000-100")*INDIRECT(ADDRESS(316,5))</f>
        <v>0</v>
      </c>
      <c r="AN316">
        <f>sumifs(an:an,A:A,"总成",B:B,"852-209000-100")*INDIRECT(ADDRESS(316,5))</f>
        <v>0</v>
      </c>
      <c r="AO316">
        <f>sumifs(ao:ao,A:A,"总成",B:B,"852-209000-100")*INDIRECT(ADDRESS(316,5))</f>
        <v>0</v>
      </c>
      <c r="AP316">
        <f>sumifs(ap:ap,A:A,"总成",B:B,"852-209000-100")*INDIRECT(ADDRESS(316,5))</f>
        <v>0</v>
      </c>
      <c r="AQ316">
        <f>sumifs(aq:aq,A:A,"总成",B:B,"852-209000-100")*INDIRECT(ADDRESS(316,5))</f>
        <v>0</v>
      </c>
      <c r="AR316">
        <f>sumifs(ar:ar,A:A,"总成",B:B,"852-209000-100")*INDIRECT(ADDRESS(316,5))</f>
        <v>0</v>
      </c>
    </row>
    <row r="317" spans="1:44">
      <c r="A317" t="s">
        <v>31</v>
      </c>
      <c r="B317" t="s">
        <v>321</v>
      </c>
      <c r="C317" t="s">
        <v>629</v>
      </c>
      <c r="E317" t="s">
        <v>238</v>
      </c>
      <c r="F317" t="s">
        <v>630</v>
      </c>
      <c r="K317" t="s">
        <v>590</v>
      </c>
      <c r="L317" t="s">
        <v>37</v>
      </c>
      <c r="M317">
        <f>sumifs(m:m,A:A,"总成",B:B,"852-209000-100")*INDIRECT(ADDRESS(317,5))</f>
        <v>0</v>
      </c>
      <c r="N317">
        <f>sumifs(n:n,A:A,"总成",B:B,"852-209000-100")*INDIRECT(ADDRESS(317,5))</f>
        <v>0</v>
      </c>
      <c r="O317">
        <f>sumifs(o:o,A:A,"总成",B:B,"852-209000-100")*INDIRECT(ADDRESS(317,5))</f>
        <v>0</v>
      </c>
      <c r="P317">
        <f>sumifs(p:p,A:A,"总成",B:B,"852-209000-100")*INDIRECT(ADDRESS(317,5))</f>
        <v>0</v>
      </c>
      <c r="Q317">
        <f>sumifs(q:q,A:A,"总成",B:B,"852-209000-100")*INDIRECT(ADDRESS(317,5))</f>
        <v>0</v>
      </c>
      <c r="R317">
        <f>sumifs(r:r,A:A,"总成",B:B,"852-209000-100")*INDIRECT(ADDRESS(317,5))</f>
        <v>0</v>
      </c>
      <c r="S317">
        <f>sumifs(s:s,A:A,"总成",B:B,"852-209000-100")*INDIRECT(ADDRESS(317,5))</f>
        <v>0</v>
      </c>
      <c r="T317">
        <f>sumifs(t:t,A:A,"总成",B:B,"852-209000-100")*INDIRECT(ADDRESS(317,5))</f>
        <v>0</v>
      </c>
      <c r="U317">
        <f>sumifs(u:u,A:A,"总成",B:B,"852-209000-100")*INDIRECT(ADDRESS(317,5))</f>
        <v>0</v>
      </c>
      <c r="V317">
        <f>sumifs(v:v,A:A,"总成",B:B,"852-209000-100")*INDIRECT(ADDRESS(317,5))</f>
        <v>0</v>
      </c>
      <c r="W317">
        <f>sumifs(w:w,A:A,"总成",B:B,"852-209000-100")*INDIRECT(ADDRESS(317,5))</f>
        <v>0</v>
      </c>
      <c r="X317">
        <f>sumifs(x:x,A:A,"总成",B:B,"852-209000-100")*INDIRECT(ADDRESS(317,5))</f>
        <v>0</v>
      </c>
      <c r="Y317">
        <f>sumifs(y:y,A:A,"总成",B:B,"852-209000-100")*INDIRECT(ADDRESS(317,5))</f>
        <v>0</v>
      </c>
      <c r="Z317">
        <f>sumifs(z:z,A:A,"总成",B:B,"852-209000-100")*INDIRECT(ADDRESS(317,5))</f>
        <v>0</v>
      </c>
      <c r="AA317">
        <f>sumifs(aa:aa,A:A,"总成",B:B,"852-209000-100")*INDIRECT(ADDRESS(317,5))</f>
        <v>0</v>
      </c>
      <c r="AB317">
        <f>sumifs(ab:ab,A:A,"总成",B:B,"852-209000-100")*INDIRECT(ADDRESS(317,5))</f>
        <v>0</v>
      </c>
      <c r="AC317">
        <f>sumifs(ac:ac,A:A,"总成",B:B,"852-209000-100")*INDIRECT(ADDRESS(317,5))</f>
        <v>0</v>
      </c>
      <c r="AD317">
        <f>sumifs(ad:ad,A:A,"总成",B:B,"852-209000-100")*INDIRECT(ADDRESS(317,5))</f>
        <v>0</v>
      </c>
      <c r="AE317">
        <f>sumifs(ae:ae,A:A,"总成",B:B,"852-209000-100")*INDIRECT(ADDRESS(317,5))</f>
        <v>0</v>
      </c>
      <c r="AF317">
        <f>sumifs(af:af,A:A,"总成",B:B,"852-209000-100")*INDIRECT(ADDRESS(317,5))</f>
        <v>0</v>
      </c>
      <c r="AG317">
        <f>sumifs(ag:ag,A:A,"总成",B:B,"852-209000-100")*INDIRECT(ADDRESS(317,5))</f>
        <v>0</v>
      </c>
      <c r="AH317">
        <f>sumifs(ah:ah,A:A,"总成",B:B,"852-209000-100")*INDIRECT(ADDRESS(317,5))</f>
        <v>0</v>
      </c>
      <c r="AI317">
        <f>sumifs(ai:ai,A:A,"总成",B:B,"852-209000-100")*INDIRECT(ADDRESS(317,5))</f>
        <v>0</v>
      </c>
      <c r="AJ317">
        <f>sumifs(aj:aj,A:A,"总成",B:B,"852-209000-100")*INDIRECT(ADDRESS(317,5))</f>
        <v>0</v>
      </c>
      <c r="AK317">
        <f>sumifs(ak:ak,A:A,"总成",B:B,"852-209000-100")*INDIRECT(ADDRESS(317,5))</f>
        <v>0</v>
      </c>
      <c r="AL317">
        <f>sumifs(al:al,A:A,"总成",B:B,"852-209000-100")*INDIRECT(ADDRESS(317,5))</f>
        <v>0</v>
      </c>
      <c r="AM317">
        <f>sumifs(am:am,A:A,"总成",B:B,"852-209000-100")*INDIRECT(ADDRESS(317,5))</f>
        <v>0</v>
      </c>
      <c r="AN317">
        <f>sumifs(an:an,A:A,"总成",B:B,"852-209000-100")*INDIRECT(ADDRESS(317,5))</f>
        <v>0</v>
      </c>
      <c r="AO317">
        <f>sumifs(ao:ao,A:A,"总成",B:B,"852-209000-100")*INDIRECT(ADDRESS(317,5))</f>
        <v>0</v>
      </c>
      <c r="AP317">
        <f>sumifs(ap:ap,A:A,"总成",B:B,"852-209000-100")*INDIRECT(ADDRESS(317,5))</f>
        <v>0</v>
      </c>
      <c r="AQ317">
        <f>sumifs(aq:aq,A:A,"总成",B:B,"852-209000-100")*INDIRECT(ADDRESS(317,5))</f>
        <v>0</v>
      </c>
      <c r="AR317">
        <f>sumifs(ar:ar,A:A,"总成",B:B,"852-209000-100")*INDIRECT(ADDRESS(317,5))</f>
        <v>0</v>
      </c>
    </row>
    <row r="318" spans="1:44">
      <c r="A318" t="s">
        <v>31</v>
      </c>
      <c r="B318" t="s">
        <v>631</v>
      </c>
      <c r="C318" t="s">
        <v>632</v>
      </c>
      <c r="E318" t="s">
        <v>444</v>
      </c>
      <c r="F318" t="s">
        <v>633</v>
      </c>
      <c r="K318" t="s">
        <v>590</v>
      </c>
      <c r="L318" t="s">
        <v>37</v>
      </c>
      <c r="M318">
        <f>sumifs(m:m,A:A,"总成",B:B,"852-209000-100")*INDIRECT(ADDRESS(318,5))</f>
        <v>0</v>
      </c>
      <c r="N318">
        <f>sumifs(n:n,A:A,"总成",B:B,"852-209000-100")*INDIRECT(ADDRESS(318,5))</f>
        <v>0</v>
      </c>
      <c r="O318">
        <f>sumifs(o:o,A:A,"总成",B:B,"852-209000-100")*INDIRECT(ADDRESS(318,5))</f>
        <v>0</v>
      </c>
      <c r="P318">
        <f>sumifs(p:p,A:A,"总成",B:B,"852-209000-100")*INDIRECT(ADDRESS(318,5))</f>
        <v>0</v>
      </c>
      <c r="Q318">
        <f>sumifs(q:q,A:A,"总成",B:B,"852-209000-100")*INDIRECT(ADDRESS(318,5))</f>
        <v>0</v>
      </c>
      <c r="R318">
        <f>sumifs(r:r,A:A,"总成",B:B,"852-209000-100")*INDIRECT(ADDRESS(318,5))</f>
        <v>0</v>
      </c>
      <c r="S318">
        <f>sumifs(s:s,A:A,"总成",B:B,"852-209000-100")*INDIRECT(ADDRESS(318,5))</f>
        <v>0</v>
      </c>
      <c r="T318">
        <f>sumifs(t:t,A:A,"总成",B:B,"852-209000-100")*INDIRECT(ADDRESS(318,5))</f>
        <v>0</v>
      </c>
      <c r="U318">
        <f>sumifs(u:u,A:A,"总成",B:B,"852-209000-100")*INDIRECT(ADDRESS(318,5))</f>
        <v>0</v>
      </c>
      <c r="V318">
        <f>sumifs(v:v,A:A,"总成",B:B,"852-209000-100")*INDIRECT(ADDRESS(318,5))</f>
        <v>0</v>
      </c>
      <c r="W318">
        <f>sumifs(w:w,A:A,"总成",B:B,"852-209000-100")*INDIRECT(ADDRESS(318,5))</f>
        <v>0</v>
      </c>
      <c r="X318">
        <f>sumifs(x:x,A:A,"总成",B:B,"852-209000-100")*INDIRECT(ADDRESS(318,5))</f>
        <v>0</v>
      </c>
      <c r="Y318">
        <f>sumifs(y:y,A:A,"总成",B:B,"852-209000-100")*INDIRECT(ADDRESS(318,5))</f>
        <v>0</v>
      </c>
      <c r="Z318">
        <f>sumifs(z:z,A:A,"总成",B:B,"852-209000-100")*INDIRECT(ADDRESS(318,5))</f>
        <v>0</v>
      </c>
      <c r="AA318">
        <f>sumifs(aa:aa,A:A,"总成",B:B,"852-209000-100")*INDIRECT(ADDRESS(318,5))</f>
        <v>0</v>
      </c>
      <c r="AB318">
        <f>sumifs(ab:ab,A:A,"总成",B:B,"852-209000-100")*INDIRECT(ADDRESS(318,5))</f>
        <v>0</v>
      </c>
      <c r="AC318">
        <f>sumifs(ac:ac,A:A,"总成",B:B,"852-209000-100")*INDIRECT(ADDRESS(318,5))</f>
        <v>0</v>
      </c>
      <c r="AD318">
        <f>sumifs(ad:ad,A:A,"总成",B:B,"852-209000-100")*INDIRECT(ADDRESS(318,5))</f>
        <v>0</v>
      </c>
      <c r="AE318">
        <f>sumifs(ae:ae,A:A,"总成",B:B,"852-209000-100")*INDIRECT(ADDRESS(318,5))</f>
        <v>0</v>
      </c>
      <c r="AF318">
        <f>sumifs(af:af,A:A,"总成",B:B,"852-209000-100")*INDIRECT(ADDRESS(318,5))</f>
        <v>0</v>
      </c>
      <c r="AG318">
        <f>sumifs(ag:ag,A:A,"总成",B:B,"852-209000-100")*INDIRECT(ADDRESS(318,5))</f>
        <v>0</v>
      </c>
      <c r="AH318">
        <f>sumifs(ah:ah,A:A,"总成",B:B,"852-209000-100")*INDIRECT(ADDRESS(318,5))</f>
        <v>0</v>
      </c>
      <c r="AI318">
        <f>sumifs(ai:ai,A:A,"总成",B:B,"852-209000-100")*INDIRECT(ADDRESS(318,5))</f>
        <v>0</v>
      </c>
      <c r="AJ318">
        <f>sumifs(aj:aj,A:A,"总成",B:B,"852-209000-100")*INDIRECT(ADDRESS(318,5))</f>
        <v>0</v>
      </c>
      <c r="AK318">
        <f>sumifs(ak:ak,A:A,"总成",B:B,"852-209000-100")*INDIRECT(ADDRESS(318,5))</f>
        <v>0</v>
      </c>
      <c r="AL318">
        <f>sumifs(al:al,A:A,"总成",B:B,"852-209000-100")*INDIRECT(ADDRESS(318,5))</f>
        <v>0</v>
      </c>
      <c r="AM318">
        <f>sumifs(am:am,A:A,"总成",B:B,"852-209000-100")*INDIRECT(ADDRESS(318,5))</f>
        <v>0</v>
      </c>
      <c r="AN318">
        <f>sumifs(an:an,A:A,"总成",B:B,"852-209000-100")*INDIRECT(ADDRESS(318,5))</f>
        <v>0</v>
      </c>
      <c r="AO318">
        <f>sumifs(ao:ao,A:A,"总成",B:B,"852-209000-100")*INDIRECT(ADDRESS(318,5))</f>
        <v>0</v>
      </c>
      <c r="AP318">
        <f>sumifs(ap:ap,A:A,"总成",B:B,"852-209000-100")*INDIRECT(ADDRESS(318,5))</f>
        <v>0</v>
      </c>
      <c r="AQ318">
        <f>sumifs(aq:aq,A:A,"总成",B:B,"852-209000-100")*INDIRECT(ADDRESS(318,5))</f>
        <v>0</v>
      </c>
      <c r="AR318">
        <f>sumifs(ar:ar,A:A,"总成",B:B,"852-209000-100")*INDIRECT(ADDRESS(318,5))</f>
        <v>0</v>
      </c>
    </row>
    <row r="319" spans="1:44">
      <c r="A319" t="s">
        <v>31</v>
      </c>
      <c r="B319" t="s">
        <v>634</v>
      </c>
      <c r="C319" t="s">
        <v>635</v>
      </c>
      <c r="E319" t="s">
        <v>444</v>
      </c>
      <c r="F319" t="s">
        <v>636</v>
      </c>
      <c r="K319" t="s">
        <v>590</v>
      </c>
      <c r="L319" t="s">
        <v>37</v>
      </c>
      <c r="M319">
        <f>sumifs(m:m,A:A,"总成",B:B,"852-209000-100")*INDIRECT(ADDRESS(319,5))</f>
        <v>0</v>
      </c>
      <c r="N319">
        <f>sumifs(n:n,A:A,"总成",B:B,"852-209000-100")*INDIRECT(ADDRESS(319,5))</f>
        <v>0</v>
      </c>
      <c r="O319">
        <f>sumifs(o:o,A:A,"总成",B:B,"852-209000-100")*INDIRECT(ADDRESS(319,5))</f>
        <v>0</v>
      </c>
      <c r="P319">
        <f>sumifs(p:p,A:A,"总成",B:B,"852-209000-100")*INDIRECT(ADDRESS(319,5))</f>
        <v>0</v>
      </c>
      <c r="Q319">
        <f>sumifs(q:q,A:A,"总成",B:B,"852-209000-100")*INDIRECT(ADDRESS(319,5))</f>
        <v>0</v>
      </c>
      <c r="R319">
        <f>sumifs(r:r,A:A,"总成",B:B,"852-209000-100")*INDIRECT(ADDRESS(319,5))</f>
        <v>0</v>
      </c>
      <c r="S319">
        <f>sumifs(s:s,A:A,"总成",B:B,"852-209000-100")*INDIRECT(ADDRESS(319,5))</f>
        <v>0</v>
      </c>
      <c r="T319">
        <f>sumifs(t:t,A:A,"总成",B:B,"852-209000-100")*INDIRECT(ADDRESS(319,5))</f>
        <v>0</v>
      </c>
      <c r="U319">
        <f>sumifs(u:u,A:A,"总成",B:B,"852-209000-100")*INDIRECT(ADDRESS(319,5))</f>
        <v>0</v>
      </c>
      <c r="V319">
        <f>sumifs(v:v,A:A,"总成",B:B,"852-209000-100")*INDIRECT(ADDRESS(319,5))</f>
        <v>0</v>
      </c>
      <c r="W319">
        <f>sumifs(w:w,A:A,"总成",B:B,"852-209000-100")*INDIRECT(ADDRESS(319,5))</f>
        <v>0</v>
      </c>
      <c r="X319">
        <f>sumifs(x:x,A:A,"总成",B:B,"852-209000-100")*INDIRECT(ADDRESS(319,5))</f>
        <v>0</v>
      </c>
      <c r="Y319">
        <f>sumifs(y:y,A:A,"总成",B:B,"852-209000-100")*INDIRECT(ADDRESS(319,5))</f>
        <v>0</v>
      </c>
      <c r="Z319">
        <f>sumifs(z:z,A:A,"总成",B:B,"852-209000-100")*INDIRECT(ADDRESS(319,5))</f>
        <v>0</v>
      </c>
      <c r="AA319">
        <f>sumifs(aa:aa,A:A,"总成",B:B,"852-209000-100")*INDIRECT(ADDRESS(319,5))</f>
        <v>0</v>
      </c>
      <c r="AB319">
        <f>sumifs(ab:ab,A:A,"总成",B:B,"852-209000-100")*INDIRECT(ADDRESS(319,5))</f>
        <v>0</v>
      </c>
      <c r="AC319">
        <f>sumifs(ac:ac,A:A,"总成",B:B,"852-209000-100")*INDIRECT(ADDRESS(319,5))</f>
        <v>0</v>
      </c>
      <c r="AD319">
        <f>sumifs(ad:ad,A:A,"总成",B:B,"852-209000-100")*INDIRECT(ADDRESS(319,5))</f>
        <v>0</v>
      </c>
      <c r="AE319">
        <f>sumifs(ae:ae,A:A,"总成",B:B,"852-209000-100")*INDIRECT(ADDRESS(319,5))</f>
        <v>0</v>
      </c>
      <c r="AF319">
        <f>sumifs(af:af,A:A,"总成",B:B,"852-209000-100")*INDIRECT(ADDRESS(319,5))</f>
        <v>0</v>
      </c>
      <c r="AG319">
        <f>sumifs(ag:ag,A:A,"总成",B:B,"852-209000-100")*INDIRECT(ADDRESS(319,5))</f>
        <v>0</v>
      </c>
      <c r="AH319">
        <f>sumifs(ah:ah,A:A,"总成",B:B,"852-209000-100")*INDIRECT(ADDRESS(319,5))</f>
        <v>0</v>
      </c>
      <c r="AI319">
        <f>sumifs(ai:ai,A:A,"总成",B:B,"852-209000-100")*INDIRECT(ADDRESS(319,5))</f>
        <v>0</v>
      </c>
      <c r="AJ319">
        <f>sumifs(aj:aj,A:A,"总成",B:B,"852-209000-100")*INDIRECT(ADDRESS(319,5))</f>
        <v>0</v>
      </c>
      <c r="AK319">
        <f>sumifs(ak:ak,A:A,"总成",B:B,"852-209000-100")*INDIRECT(ADDRESS(319,5))</f>
        <v>0</v>
      </c>
      <c r="AL319">
        <f>sumifs(al:al,A:A,"总成",B:B,"852-209000-100")*INDIRECT(ADDRESS(319,5))</f>
        <v>0</v>
      </c>
      <c r="AM319">
        <f>sumifs(am:am,A:A,"总成",B:B,"852-209000-100")*INDIRECT(ADDRESS(319,5))</f>
        <v>0</v>
      </c>
      <c r="AN319">
        <f>sumifs(an:an,A:A,"总成",B:B,"852-209000-100")*INDIRECT(ADDRESS(319,5))</f>
        <v>0</v>
      </c>
      <c r="AO319">
        <f>sumifs(ao:ao,A:A,"总成",B:B,"852-209000-100")*INDIRECT(ADDRESS(319,5))</f>
        <v>0</v>
      </c>
      <c r="AP319">
        <f>sumifs(ap:ap,A:A,"总成",B:B,"852-209000-100")*INDIRECT(ADDRESS(319,5))</f>
        <v>0</v>
      </c>
      <c r="AQ319">
        <f>sumifs(aq:aq,A:A,"总成",B:B,"852-209000-100")*INDIRECT(ADDRESS(319,5))</f>
        <v>0</v>
      </c>
      <c r="AR319">
        <f>sumifs(ar:ar,A:A,"总成",B:B,"852-209000-100")*INDIRECT(ADDRESS(319,5))</f>
        <v>0</v>
      </c>
    </row>
    <row r="320" spans="1:44">
      <c r="A320" t="s">
        <v>31</v>
      </c>
      <c r="B320" t="s">
        <v>637</v>
      </c>
      <c r="C320" t="s">
        <v>638</v>
      </c>
      <c r="E320" t="s">
        <v>444</v>
      </c>
      <c r="F320" t="s">
        <v>639</v>
      </c>
      <c r="K320" t="s">
        <v>590</v>
      </c>
      <c r="L320" t="s">
        <v>37</v>
      </c>
      <c r="M320">
        <f>sumifs(m:m,A:A,"总成",B:B,"852-209000-100")*INDIRECT(ADDRESS(320,5))</f>
        <v>0</v>
      </c>
      <c r="N320">
        <f>sumifs(n:n,A:A,"总成",B:B,"852-209000-100")*INDIRECT(ADDRESS(320,5))</f>
        <v>0</v>
      </c>
      <c r="O320">
        <f>sumifs(o:o,A:A,"总成",B:B,"852-209000-100")*INDIRECT(ADDRESS(320,5))</f>
        <v>0</v>
      </c>
      <c r="P320">
        <f>sumifs(p:p,A:A,"总成",B:B,"852-209000-100")*INDIRECT(ADDRESS(320,5))</f>
        <v>0</v>
      </c>
      <c r="Q320">
        <f>sumifs(q:q,A:A,"总成",B:B,"852-209000-100")*INDIRECT(ADDRESS(320,5))</f>
        <v>0</v>
      </c>
      <c r="R320">
        <f>sumifs(r:r,A:A,"总成",B:B,"852-209000-100")*INDIRECT(ADDRESS(320,5))</f>
        <v>0</v>
      </c>
      <c r="S320">
        <f>sumifs(s:s,A:A,"总成",B:B,"852-209000-100")*INDIRECT(ADDRESS(320,5))</f>
        <v>0</v>
      </c>
      <c r="T320">
        <f>sumifs(t:t,A:A,"总成",B:B,"852-209000-100")*INDIRECT(ADDRESS(320,5))</f>
        <v>0</v>
      </c>
      <c r="U320">
        <f>sumifs(u:u,A:A,"总成",B:B,"852-209000-100")*INDIRECT(ADDRESS(320,5))</f>
        <v>0</v>
      </c>
      <c r="V320">
        <f>sumifs(v:v,A:A,"总成",B:B,"852-209000-100")*INDIRECT(ADDRESS(320,5))</f>
        <v>0</v>
      </c>
      <c r="W320">
        <f>sumifs(w:w,A:A,"总成",B:B,"852-209000-100")*INDIRECT(ADDRESS(320,5))</f>
        <v>0</v>
      </c>
      <c r="X320">
        <f>sumifs(x:x,A:A,"总成",B:B,"852-209000-100")*INDIRECT(ADDRESS(320,5))</f>
        <v>0</v>
      </c>
      <c r="Y320">
        <f>sumifs(y:y,A:A,"总成",B:B,"852-209000-100")*INDIRECT(ADDRESS(320,5))</f>
        <v>0</v>
      </c>
      <c r="Z320">
        <f>sumifs(z:z,A:A,"总成",B:B,"852-209000-100")*INDIRECT(ADDRESS(320,5))</f>
        <v>0</v>
      </c>
      <c r="AA320">
        <f>sumifs(aa:aa,A:A,"总成",B:B,"852-209000-100")*INDIRECT(ADDRESS(320,5))</f>
        <v>0</v>
      </c>
      <c r="AB320">
        <f>sumifs(ab:ab,A:A,"总成",B:B,"852-209000-100")*INDIRECT(ADDRESS(320,5))</f>
        <v>0</v>
      </c>
      <c r="AC320">
        <f>sumifs(ac:ac,A:A,"总成",B:B,"852-209000-100")*INDIRECT(ADDRESS(320,5))</f>
        <v>0</v>
      </c>
      <c r="AD320">
        <f>sumifs(ad:ad,A:A,"总成",B:B,"852-209000-100")*INDIRECT(ADDRESS(320,5))</f>
        <v>0</v>
      </c>
      <c r="AE320">
        <f>sumifs(ae:ae,A:A,"总成",B:B,"852-209000-100")*INDIRECT(ADDRESS(320,5))</f>
        <v>0</v>
      </c>
      <c r="AF320">
        <f>sumifs(af:af,A:A,"总成",B:B,"852-209000-100")*INDIRECT(ADDRESS(320,5))</f>
        <v>0</v>
      </c>
      <c r="AG320">
        <f>sumifs(ag:ag,A:A,"总成",B:B,"852-209000-100")*INDIRECT(ADDRESS(320,5))</f>
        <v>0</v>
      </c>
      <c r="AH320">
        <f>sumifs(ah:ah,A:A,"总成",B:B,"852-209000-100")*INDIRECT(ADDRESS(320,5))</f>
        <v>0</v>
      </c>
      <c r="AI320">
        <f>sumifs(ai:ai,A:A,"总成",B:B,"852-209000-100")*INDIRECT(ADDRESS(320,5))</f>
        <v>0</v>
      </c>
      <c r="AJ320">
        <f>sumifs(aj:aj,A:A,"总成",B:B,"852-209000-100")*INDIRECT(ADDRESS(320,5))</f>
        <v>0</v>
      </c>
      <c r="AK320">
        <f>sumifs(ak:ak,A:A,"总成",B:B,"852-209000-100")*INDIRECT(ADDRESS(320,5))</f>
        <v>0</v>
      </c>
      <c r="AL320">
        <f>sumifs(al:al,A:A,"总成",B:B,"852-209000-100")*INDIRECT(ADDRESS(320,5))</f>
        <v>0</v>
      </c>
      <c r="AM320">
        <f>sumifs(am:am,A:A,"总成",B:B,"852-209000-100")*INDIRECT(ADDRESS(320,5))</f>
        <v>0</v>
      </c>
      <c r="AN320">
        <f>sumifs(an:an,A:A,"总成",B:B,"852-209000-100")*INDIRECT(ADDRESS(320,5))</f>
        <v>0</v>
      </c>
      <c r="AO320">
        <f>sumifs(ao:ao,A:A,"总成",B:B,"852-209000-100")*INDIRECT(ADDRESS(320,5))</f>
        <v>0</v>
      </c>
      <c r="AP320">
        <f>sumifs(ap:ap,A:A,"总成",B:B,"852-209000-100")*INDIRECT(ADDRESS(320,5))</f>
        <v>0</v>
      </c>
      <c r="AQ320">
        <f>sumifs(aq:aq,A:A,"总成",B:B,"852-209000-100")*INDIRECT(ADDRESS(320,5))</f>
        <v>0</v>
      </c>
      <c r="AR320">
        <f>sumifs(ar:ar,A:A,"总成",B:B,"852-209000-100")*INDIRECT(ADDRESS(320,5))</f>
        <v>0</v>
      </c>
    </row>
    <row r="321" spans="1:44">
      <c r="A321" t="s">
        <v>31</v>
      </c>
      <c r="B321" t="s">
        <v>640</v>
      </c>
      <c r="C321" t="s">
        <v>641</v>
      </c>
      <c r="D321" t="s">
        <v>480</v>
      </c>
      <c r="E321" t="s">
        <v>444</v>
      </c>
      <c r="F321" t="s">
        <v>642</v>
      </c>
      <c r="K321" t="s">
        <v>590</v>
      </c>
      <c r="L321" t="s">
        <v>37</v>
      </c>
      <c r="M321">
        <f>sumifs(m:m,A:A,"总成",B:B,"852-209000-100")*INDIRECT(ADDRESS(321,5))</f>
        <v>0</v>
      </c>
      <c r="N321">
        <f>sumifs(n:n,A:A,"总成",B:B,"852-209000-100")*INDIRECT(ADDRESS(321,5))</f>
        <v>0</v>
      </c>
      <c r="O321">
        <f>sumifs(o:o,A:A,"总成",B:B,"852-209000-100")*INDIRECT(ADDRESS(321,5))</f>
        <v>0</v>
      </c>
      <c r="P321">
        <f>sumifs(p:p,A:A,"总成",B:B,"852-209000-100")*INDIRECT(ADDRESS(321,5))</f>
        <v>0</v>
      </c>
      <c r="Q321">
        <f>sumifs(q:q,A:A,"总成",B:B,"852-209000-100")*INDIRECT(ADDRESS(321,5))</f>
        <v>0</v>
      </c>
      <c r="R321">
        <f>sumifs(r:r,A:A,"总成",B:B,"852-209000-100")*INDIRECT(ADDRESS(321,5))</f>
        <v>0</v>
      </c>
      <c r="S321">
        <f>sumifs(s:s,A:A,"总成",B:B,"852-209000-100")*INDIRECT(ADDRESS(321,5))</f>
        <v>0</v>
      </c>
      <c r="T321">
        <f>sumifs(t:t,A:A,"总成",B:B,"852-209000-100")*INDIRECT(ADDRESS(321,5))</f>
        <v>0</v>
      </c>
      <c r="U321">
        <f>sumifs(u:u,A:A,"总成",B:B,"852-209000-100")*INDIRECT(ADDRESS(321,5))</f>
        <v>0</v>
      </c>
      <c r="V321">
        <f>sumifs(v:v,A:A,"总成",B:B,"852-209000-100")*INDIRECT(ADDRESS(321,5))</f>
        <v>0</v>
      </c>
      <c r="W321">
        <f>sumifs(w:w,A:A,"总成",B:B,"852-209000-100")*INDIRECT(ADDRESS(321,5))</f>
        <v>0</v>
      </c>
      <c r="X321">
        <f>sumifs(x:x,A:A,"总成",B:B,"852-209000-100")*INDIRECT(ADDRESS(321,5))</f>
        <v>0</v>
      </c>
      <c r="Y321">
        <f>sumifs(y:y,A:A,"总成",B:B,"852-209000-100")*INDIRECT(ADDRESS(321,5))</f>
        <v>0</v>
      </c>
      <c r="Z321">
        <f>sumifs(z:z,A:A,"总成",B:B,"852-209000-100")*INDIRECT(ADDRESS(321,5))</f>
        <v>0</v>
      </c>
      <c r="AA321">
        <f>sumifs(aa:aa,A:A,"总成",B:B,"852-209000-100")*INDIRECT(ADDRESS(321,5))</f>
        <v>0</v>
      </c>
      <c r="AB321">
        <f>sumifs(ab:ab,A:A,"总成",B:B,"852-209000-100")*INDIRECT(ADDRESS(321,5))</f>
        <v>0</v>
      </c>
      <c r="AC321">
        <f>sumifs(ac:ac,A:A,"总成",B:B,"852-209000-100")*INDIRECT(ADDRESS(321,5))</f>
        <v>0</v>
      </c>
      <c r="AD321">
        <f>sumifs(ad:ad,A:A,"总成",B:B,"852-209000-100")*INDIRECT(ADDRESS(321,5))</f>
        <v>0</v>
      </c>
      <c r="AE321">
        <f>sumifs(ae:ae,A:A,"总成",B:B,"852-209000-100")*INDIRECT(ADDRESS(321,5))</f>
        <v>0</v>
      </c>
      <c r="AF321">
        <f>sumifs(af:af,A:A,"总成",B:B,"852-209000-100")*INDIRECT(ADDRESS(321,5))</f>
        <v>0</v>
      </c>
      <c r="AG321">
        <f>sumifs(ag:ag,A:A,"总成",B:B,"852-209000-100")*INDIRECT(ADDRESS(321,5))</f>
        <v>0</v>
      </c>
      <c r="AH321">
        <f>sumifs(ah:ah,A:A,"总成",B:B,"852-209000-100")*INDIRECT(ADDRESS(321,5))</f>
        <v>0</v>
      </c>
      <c r="AI321">
        <f>sumifs(ai:ai,A:A,"总成",B:B,"852-209000-100")*INDIRECT(ADDRESS(321,5))</f>
        <v>0</v>
      </c>
      <c r="AJ321">
        <f>sumifs(aj:aj,A:A,"总成",B:B,"852-209000-100")*INDIRECT(ADDRESS(321,5))</f>
        <v>0</v>
      </c>
      <c r="AK321">
        <f>sumifs(ak:ak,A:A,"总成",B:B,"852-209000-100")*INDIRECT(ADDRESS(321,5))</f>
        <v>0</v>
      </c>
      <c r="AL321">
        <f>sumifs(al:al,A:A,"总成",B:B,"852-209000-100")*INDIRECT(ADDRESS(321,5))</f>
        <v>0</v>
      </c>
      <c r="AM321">
        <f>sumifs(am:am,A:A,"总成",B:B,"852-209000-100")*INDIRECT(ADDRESS(321,5))</f>
        <v>0</v>
      </c>
      <c r="AN321">
        <f>sumifs(an:an,A:A,"总成",B:B,"852-209000-100")*INDIRECT(ADDRESS(321,5))</f>
        <v>0</v>
      </c>
      <c r="AO321">
        <f>sumifs(ao:ao,A:A,"总成",B:B,"852-209000-100")*INDIRECT(ADDRESS(321,5))</f>
        <v>0</v>
      </c>
      <c r="AP321">
        <f>sumifs(ap:ap,A:A,"总成",B:B,"852-209000-100")*INDIRECT(ADDRESS(321,5))</f>
        <v>0</v>
      </c>
      <c r="AQ321">
        <f>sumifs(aq:aq,A:A,"总成",B:B,"852-209000-100")*INDIRECT(ADDRESS(321,5))</f>
        <v>0</v>
      </c>
      <c r="AR321">
        <f>sumifs(ar:ar,A:A,"总成",B:B,"852-209000-100")*INDIRECT(ADDRESS(321,5))</f>
        <v>0</v>
      </c>
    </row>
    <row r="322" spans="1:44">
      <c r="A322" t="s">
        <v>31</v>
      </c>
      <c r="B322" t="s">
        <v>643</v>
      </c>
      <c r="C322" t="s">
        <v>644</v>
      </c>
      <c r="D322" t="s">
        <v>480</v>
      </c>
      <c r="E322" t="s">
        <v>498</v>
      </c>
      <c r="F322" t="s">
        <v>645</v>
      </c>
      <c r="K322" t="s">
        <v>590</v>
      </c>
      <c r="L322" t="s">
        <v>37</v>
      </c>
      <c r="M322">
        <f>sumifs(m:m,A:A,"总成",B:B,"852-209000-100")*INDIRECT(ADDRESS(322,5))</f>
        <v>0</v>
      </c>
      <c r="N322">
        <f>sumifs(n:n,A:A,"总成",B:B,"852-209000-100")*INDIRECT(ADDRESS(322,5))</f>
        <v>0</v>
      </c>
      <c r="O322">
        <f>sumifs(o:o,A:A,"总成",B:B,"852-209000-100")*INDIRECT(ADDRESS(322,5))</f>
        <v>0</v>
      </c>
      <c r="P322">
        <f>sumifs(p:p,A:A,"总成",B:B,"852-209000-100")*INDIRECT(ADDRESS(322,5))</f>
        <v>0</v>
      </c>
      <c r="Q322">
        <f>sumifs(q:q,A:A,"总成",B:B,"852-209000-100")*INDIRECT(ADDRESS(322,5))</f>
        <v>0</v>
      </c>
      <c r="R322">
        <f>sumifs(r:r,A:A,"总成",B:B,"852-209000-100")*INDIRECT(ADDRESS(322,5))</f>
        <v>0</v>
      </c>
      <c r="S322">
        <f>sumifs(s:s,A:A,"总成",B:B,"852-209000-100")*INDIRECT(ADDRESS(322,5))</f>
        <v>0</v>
      </c>
      <c r="T322">
        <f>sumifs(t:t,A:A,"总成",B:B,"852-209000-100")*INDIRECT(ADDRESS(322,5))</f>
        <v>0</v>
      </c>
      <c r="U322">
        <f>sumifs(u:u,A:A,"总成",B:B,"852-209000-100")*INDIRECT(ADDRESS(322,5))</f>
        <v>0</v>
      </c>
      <c r="V322">
        <f>sumifs(v:v,A:A,"总成",B:B,"852-209000-100")*INDIRECT(ADDRESS(322,5))</f>
        <v>0</v>
      </c>
      <c r="W322">
        <f>sumifs(w:w,A:A,"总成",B:B,"852-209000-100")*INDIRECT(ADDRESS(322,5))</f>
        <v>0</v>
      </c>
      <c r="X322">
        <f>sumifs(x:x,A:A,"总成",B:B,"852-209000-100")*INDIRECT(ADDRESS(322,5))</f>
        <v>0</v>
      </c>
      <c r="Y322">
        <f>sumifs(y:y,A:A,"总成",B:B,"852-209000-100")*INDIRECT(ADDRESS(322,5))</f>
        <v>0</v>
      </c>
      <c r="Z322">
        <f>sumifs(z:z,A:A,"总成",B:B,"852-209000-100")*INDIRECT(ADDRESS(322,5))</f>
        <v>0</v>
      </c>
      <c r="AA322">
        <f>sumifs(aa:aa,A:A,"总成",B:B,"852-209000-100")*INDIRECT(ADDRESS(322,5))</f>
        <v>0</v>
      </c>
      <c r="AB322">
        <f>sumifs(ab:ab,A:A,"总成",B:B,"852-209000-100")*INDIRECT(ADDRESS(322,5))</f>
        <v>0</v>
      </c>
      <c r="AC322">
        <f>sumifs(ac:ac,A:A,"总成",B:B,"852-209000-100")*INDIRECT(ADDRESS(322,5))</f>
        <v>0</v>
      </c>
      <c r="AD322">
        <f>sumifs(ad:ad,A:A,"总成",B:B,"852-209000-100")*INDIRECT(ADDRESS(322,5))</f>
        <v>0</v>
      </c>
      <c r="AE322">
        <f>sumifs(ae:ae,A:A,"总成",B:B,"852-209000-100")*INDIRECT(ADDRESS(322,5))</f>
        <v>0</v>
      </c>
      <c r="AF322">
        <f>sumifs(af:af,A:A,"总成",B:B,"852-209000-100")*INDIRECT(ADDRESS(322,5))</f>
        <v>0</v>
      </c>
      <c r="AG322">
        <f>sumifs(ag:ag,A:A,"总成",B:B,"852-209000-100")*INDIRECT(ADDRESS(322,5))</f>
        <v>0</v>
      </c>
      <c r="AH322">
        <f>sumifs(ah:ah,A:A,"总成",B:B,"852-209000-100")*INDIRECT(ADDRESS(322,5))</f>
        <v>0</v>
      </c>
      <c r="AI322">
        <f>sumifs(ai:ai,A:A,"总成",B:B,"852-209000-100")*INDIRECT(ADDRESS(322,5))</f>
        <v>0</v>
      </c>
      <c r="AJ322">
        <f>sumifs(aj:aj,A:A,"总成",B:B,"852-209000-100")*INDIRECT(ADDRESS(322,5))</f>
        <v>0</v>
      </c>
      <c r="AK322">
        <f>sumifs(ak:ak,A:A,"总成",B:B,"852-209000-100")*INDIRECT(ADDRESS(322,5))</f>
        <v>0</v>
      </c>
      <c r="AL322">
        <f>sumifs(al:al,A:A,"总成",B:B,"852-209000-100")*INDIRECT(ADDRESS(322,5))</f>
        <v>0</v>
      </c>
      <c r="AM322">
        <f>sumifs(am:am,A:A,"总成",B:B,"852-209000-100")*INDIRECT(ADDRESS(322,5))</f>
        <v>0</v>
      </c>
      <c r="AN322">
        <f>sumifs(an:an,A:A,"总成",B:B,"852-209000-100")*INDIRECT(ADDRESS(322,5))</f>
        <v>0</v>
      </c>
      <c r="AO322">
        <f>sumifs(ao:ao,A:A,"总成",B:B,"852-209000-100")*INDIRECT(ADDRESS(322,5))</f>
        <v>0</v>
      </c>
      <c r="AP322">
        <f>sumifs(ap:ap,A:A,"总成",B:B,"852-209000-100")*INDIRECT(ADDRESS(322,5))</f>
        <v>0</v>
      </c>
      <c r="AQ322">
        <f>sumifs(aq:aq,A:A,"总成",B:B,"852-209000-100")*INDIRECT(ADDRESS(322,5))</f>
        <v>0</v>
      </c>
      <c r="AR322">
        <f>sumifs(ar:ar,A:A,"总成",B:B,"852-209000-100")*INDIRECT(ADDRESS(322,5))</f>
        <v>0</v>
      </c>
    </row>
    <row r="323" spans="1:44">
      <c r="A323" t="s">
        <v>31</v>
      </c>
      <c r="B323" t="s">
        <v>646</v>
      </c>
      <c r="C323" t="s">
        <v>647</v>
      </c>
      <c r="E323" t="s">
        <v>444</v>
      </c>
      <c r="F323" t="s">
        <v>648</v>
      </c>
      <c r="K323" t="s">
        <v>590</v>
      </c>
      <c r="L323" t="s">
        <v>37</v>
      </c>
      <c r="M323">
        <f>sumifs(m:m,A:A,"总成",B:B,"852-209000-100")*INDIRECT(ADDRESS(323,5))</f>
        <v>0</v>
      </c>
      <c r="N323">
        <f>sumifs(n:n,A:A,"总成",B:B,"852-209000-100")*INDIRECT(ADDRESS(323,5))</f>
        <v>0</v>
      </c>
      <c r="O323">
        <f>sumifs(o:o,A:A,"总成",B:B,"852-209000-100")*INDIRECT(ADDRESS(323,5))</f>
        <v>0</v>
      </c>
      <c r="P323">
        <f>sumifs(p:p,A:A,"总成",B:B,"852-209000-100")*INDIRECT(ADDRESS(323,5))</f>
        <v>0</v>
      </c>
      <c r="Q323">
        <f>sumifs(q:q,A:A,"总成",B:B,"852-209000-100")*INDIRECT(ADDRESS(323,5))</f>
        <v>0</v>
      </c>
      <c r="R323">
        <f>sumifs(r:r,A:A,"总成",B:B,"852-209000-100")*INDIRECT(ADDRESS(323,5))</f>
        <v>0</v>
      </c>
      <c r="S323">
        <f>sumifs(s:s,A:A,"总成",B:B,"852-209000-100")*INDIRECT(ADDRESS(323,5))</f>
        <v>0</v>
      </c>
      <c r="T323">
        <f>sumifs(t:t,A:A,"总成",B:B,"852-209000-100")*INDIRECT(ADDRESS(323,5))</f>
        <v>0</v>
      </c>
      <c r="U323">
        <f>sumifs(u:u,A:A,"总成",B:B,"852-209000-100")*INDIRECT(ADDRESS(323,5))</f>
        <v>0</v>
      </c>
      <c r="V323">
        <f>sumifs(v:v,A:A,"总成",B:B,"852-209000-100")*INDIRECT(ADDRESS(323,5))</f>
        <v>0</v>
      </c>
      <c r="W323">
        <f>sumifs(w:w,A:A,"总成",B:B,"852-209000-100")*INDIRECT(ADDRESS(323,5))</f>
        <v>0</v>
      </c>
      <c r="X323">
        <f>sumifs(x:x,A:A,"总成",B:B,"852-209000-100")*INDIRECT(ADDRESS(323,5))</f>
        <v>0</v>
      </c>
      <c r="Y323">
        <f>sumifs(y:y,A:A,"总成",B:B,"852-209000-100")*INDIRECT(ADDRESS(323,5))</f>
        <v>0</v>
      </c>
      <c r="Z323">
        <f>sumifs(z:z,A:A,"总成",B:B,"852-209000-100")*INDIRECT(ADDRESS(323,5))</f>
        <v>0</v>
      </c>
      <c r="AA323">
        <f>sumifs(aa:aa,A:A,"总成",B:B,"852-209000-100")*INDIRECT(ADDRESS(323,5))</f>
        <v>0</v>
      </c>
      <c r="AB323">
        <f>sumifs(ab:ab,A:A,"总成",B:B,"852-209000-100")*INDIRECT(ADDRESS(323,5))</f>
        <v>0</v>
      </c>
      <c r="AC323">
        <f>sumifs(ac:ac,A:A,"总成",B:B,"852-209000-100")*INDIRECT(ADDRESS(323,5))</f>
        <v>0</v>
      </c>
      <c r="AD323">
        <f>sumifs(ad:ad,A:A,"总成",B:B,"852-209000-100")*INDIRECT(ADDRESS(323,5))</f>
        <v>0</v>
      </c>
      <c r="AE323">
        <f>sumifs(ae:ae,A:A,"总成",B:B,"852-209000-100")*INDIRECT(ADDRESS(323,5))</f>
        <v>0</v>
      </c>
      <c r="AF323">
        <f>sumifs(af:af,A:A,"总成",B:B,"852-209000-100")*INDIRECT(ADDRESS(323,5))</f>
        <v>0</v>
      </c>
      <c r="AG323">
        <f>sumifs(ag:ag,A:A,"总成",B:B,"852-209000-100")*INDIRECT(ADDRESS(323,5))</f>
        <v>0</v>
      </c>
      <c r="AH323">
        <f>sumifs(ah:ah,A:A,"总成",B:B,"852-209000-100")*INDIRECT(ADDRESS(323,5))</f>
        <v>0</v>
      </c>
      <c r="AI323">
        <f>sumifs(ai:ai,A:A,"总成",B:B,"852-209000-100")*INDIRECT(ADDRESS(323,5))</f>
        <v>0</v>
      </c>
      <c r="AJ323">
        <f>sumifs(aj:aj,A:A,"总成",B:B,"852-209000-100")*INDIRECT(ADDRESS(323,5))</f>
        <v>0</v>
      </c>
      <c r="AK323">
        <f>sumifs(ak:ak,A:A,"总成",B:B,"852-209000-100")*INDIRECT(ADDRESS(323,5))</f>
        <v>0</v>
      </c>
      <c r="AL323">
        <f>sumifs(al:al,A:A,"总成",B:B,"852-209000-100")*INDIRECT(ADDRESS(323,5))</f>
        <v>0</v>
      </c>
      <c r="AM323">
        <f>sumifs(am:am,A:A,"总成",B:B,"852-209000-100")*INDIRECT(ADDRESS(323,5))</f>
        <v>0</v>
      </c>
      <c r="AN323">
        <f>sumifs(an:an,A:A,"总成",B:B,"852-209000-100")*INDIRECT(ADDRESS(323,5))</f>
        <v>0</v>
      </c>
      <c r="AO323">
        <f>sumifs(ao:ao,A:A,"总成",B:B,"852-209000-100")*INDIRECT(ADDRESS(323,5))</f>
        <v>0</v>
      </c>
      <c r="AP323">
        <f>sumifs(ap:ap,A:A,"总成",B:B,"852-209000-100")*INDIRECT(ADDRESS(323,5))</f>
        <v>0</v>
      </c>
      <c r="AQ323">
        <f>sumifs(aq:aq,A:A,"总成",B:B,"852-209000-100")*INDIRECT(ADDRESS(323,5))</f>
        <v>0</v>
      </c>
      <c r="AR323">
        <f>sumifs(ar:ar,A:A,"总成",B:B,"852-209000-100")*INDIRECT(ADDRESS(323,5))</f>
        <v>0</v>
      </c>
    </row>
    <row r="324" spans="1:44">
      <c r="A324" t="s">
        <v>31</v>
      </c>
      <c r="B324" t="s">
        <v>649</v>
      </c>
      <c r="C324" t="s">
        <v>650</v>
      </c>
      <c r="F324" t="s">
        <v>651</v>
      </c>
      <c r="K324" t="s">
        <v>590</v>
      </c>
      <c r="L324" t="s">
        <v>37</v>
      </c>
      <c r="M324">
        <f>sumifs(m:m,A:A,"总成",B:B,"852-209000-100")*INDIRECT(ADDRESS(324,5))</f>
        <v>0</v>
      </c>
      <c r="N324">
        <f>sumifs(n:n,A:A,"总成",B:B,"852-209000-100")*INDIRECT(ADDRESS(324,5))</f>
        <v>0</v>
      </c>
      <c r="O324">
        <f>sumifs(o:o,A:A,"总成",B:B,"852-209000-100")*INDIRECT(ADDRESS(324,5))</f>
        <v>0</v>
      </c>
      <c r="P324">
        <f>sumifs(p:p,A:A,"总成",B:B,"852-209000-100")*INDIRECT(ADDRESS(324,5))</f>
        <v>0</v>
      </c>
      <c r="Q324">
        <f>sumifs(q:q,A:A,"总成",B:B,"852-209000-100")*INDIRECT(ADDRESS(324,5))</f>
        <v>0</v>
      </c>
      <c r="R324">
        <f>sumifs(r:r,A:A,"总成",B:B,"852-209000-100")*INDIRECT(ADDRESS(324,5))</f>
        <v>0</v>
      </c>
      <c r="S324">
        <f>sumifs(s:s,A:A,"总成",B:B,"852-209000-100")*INDIRECT(ADDRESS(324,5))</f>
        <v>0</v>
      </c>
      <c r="T324">
        <f>sumifs(t:t,A:A,"总成",B:B,"852-209000-100")*INDIRECT(ADDRESS(324,5))</f>
        <v>0</v>
      </c>
      <c r="U324">
        <f>sumifs(u:u,A:A,"总成",B:B,"852-209000-100")*INDIRECT(ADDRESS(324,5))</f>
        <v>0</v>
      </c>
      <c r="V324">
        <f>sumifs(v:v,A:A,"总成",B:B,"852-209000-100")*INDIRECT(ADDRESS(324,5))</f>
        <v>0</v>
      </c>
      <c r="W324">
        <f>sumifs(w:w,A:A,"总成",B:B,"852-209000-100")*INDIRECT(ADDRESS(324,5))</f>
        <v>0</v>
      </c>
      <c r="X324">
        <f>sumifs(x:x,A:A,"总成",B:B,"852-209000-100")*INDIRECT(ADDRESS(324,5))</f>
        <v>0</v>
      </c>
      <c r="Y324">
        <f>sumifs(y:y,A:A,"总成",B:B,"852-209000-100")*INDIRECT(ADDRESS(324,5))</f>
        <v>0</v>
      </c>
      <c r="Z324">
        <f>sumifs(z:z,A:A,"总成",B:B,"852-209000-100")*INDIRECT(ADDRESS(324,5))</f>
        <v>0</v>
      </c>
      <c r="AA324">
        <f>sumifs(aa:aa,A:A,"总成",B:B,"852-209000-100")*INDIRECT(ADDRESS(324,5))</f>
        <v>0</v>
      </c>
      <c r="AB324">
        <f>sumifs(ab:ab,A:A,"总成",B:B,"852-209000-100")*INDIRECT(ADDRESS(324,5))</f>
        <v>0</v>
      </c>
      <c r="AC324">
        <f>sumifs(ac:ac,A:A,"总成",B:B,"852-209000-100")*INDIRECT(ADDRESS(324,5))</f>
        <v>0</v>
      </c>
      <c r="AD324">
        <f>sumifs(ad:ad,A:A,"总成",B:B,"852-209000-100")*INDIRECT(ADDRESS(324,5))</f>
        <v>0</v>
      </c>
      <c r="AE324">
        <f>sumifs(ae:ae,A:A,"总成",B:B,"852-209000-100")*INDIRECT(ADDRESS(324,5))</f>
        <v>0</v>
      </c>
      <c r="AF324">
        <f>sumifs(af:af,A:A,"总成",B:B,"852-209000-100")*INDIRECT(ADDRESS(324,5))</f>
        <v>0</v>
      </c>
      <c r="AG324">
        <f>sumifs(ag:ag,A:A,"总成",B:B,"852-209000-100")*INDIRECT(ADDRESS(324,5))</f>
        <v>0</v>
      </c>
      <c r="AH324">
        <f>sumifs(ah:ah,A:A,"总成",B:B,"852-209000-100")*INDIRECT(ADDRESS(324,5))</f>
        <v>0</v>
      </c>
      <c r="AI324">
        <f>sumifs(ai:ai,A:A,"总成",B:B,"852-209000-100")*INDIRECT(ADDRESS(324,5))</f>
        <v>0</v>
      </c>
      <c r="AJ324">
        <f>sumifs(aj:aj,A:A,"总成",B:B,"852-209000-100")*INDIRECT(ADDRESS(324,5))</f>
        <v>0</v>
      </c>
      <c r="AK324">
        <f>sumifs(ak:ak,A:A,"总成",B:B,"852-209000-100")*INDIRECT(ADDRESS(324,5))</f>
        <v>0</v>
      </c>
      <c r="AL324">
        <f>sumifs(al:al,A:A,"总成",B:B,"852-209000-100")*INDIRECT(ADDRESS(324,5))</f>
        <v>0</v>
      </c>
      <c r="AM324">
        <f>sumifs(am:am,A:A,"总成",B:B,"852-209000-100")*INDIRECT(ADDRESS(324,5))</f>
        <v>0</v>
      </c>
      <c r="AN324">
        <f>sumifs(an:an,A:A,"总成",B:B,"852-209000-100")*INDIRECT(ADDRESS(324,5))</f>
        <v>0</v>
      </c>
      <c r="AO324">
        <f>sumifs(ao:ao,A:A,"总成",B:B,"852-209000-100")*INDIRECT(ADDRESS(324,5))</f>
        <v>0</v>
      </c>
      <c r="AP324">
        <f>sumifs(ap:ap,A:A,"总成",B:B,"852-209000-100")*INDIRECT(ADDRESS(324,5))</f>
        <v>0</v>
      </c>
      <c r="AQ324">
        <f>sumifs(aq:aq,A:A,"总成",B:B,"852-209000-100")*INDIRECT(ADDRESS(324,5))</f>
        <v>0</v>
      </c>
      <c r="AR324">
        <f>sumifs(ar:ar,A:A,"总成",B:B,"852-209000-100")*INDIRECT(ADDRESS(324,5))</f>
        <v>0</v>
      </c>
    </row>
    <row r="325" spans="1:44">
      <c r="A325" t="s">
        <v>31</v>
      </c>
      <c r="B325" t="s">
        <v>652</v>
      </c>
      <c r="C325" t="s">
        <v>653</v>
      </c>
      <c r="E325" t="s">
        <v>444</v>
      </c>
      <c r="F325" t="s">
        <v>589</v>
      </c>
      <c r="K325" t="s">
        <v>590</v>
      </c>
      <c r="L325" t="s">
        <v>37</v>
      </c>
      <c r="M325">
        <f>sumifs(m:m,A:A,"总成",B:B,"852-209000-100")*INDIRECT(ADDRESS(325,5))</f>
        <v>0</v>
      </c>
      <c r="N325">
        <f>sumifs(n:n,A:A,"总成",B:B,"852-209000-100")*INDIRECT(ADDRESS(325,5))</f>
        <v>0</v>
      </c>
      <c r="O325">
        <f>sumifs(o:o,A:A,"总成",B:B,"852-209000-100")*INDIRECT(ADDRESS(325,5))</f>
        <v>0</v>
      </c>
      <c r="P325">
        <f>sumifs(p:p,A:A,"总成",B:B,"852-209000-100")*INDIRECT(ADDRESS(325,5))</f>
        <v>0</v>
      </c>
      <c r="Q325">
        <f>sumifs(q:q,A:A,"总成",B:B,"852-209000-100")*INDIRECT(ADDRESS(325,5))</f>
        <v>0</v>
      </c>
      <c r="R325">
        <f>sumifs(r:r,A:A,"总成",B:B,"852-209000-100")*INDIRECT(ADDRESS(325,5))</f>
        <v>0</v>
      </c>
      <c r="S325">
        <f>sumifs(s:s,A:A,"总成",B:B,"852-209000-100")*INDIRECT(ADDRESS(325,5))</f>
        <v>0</v>
      </c>
      <c r="T325">
        <f>sumifs(t:t,A:A,"总成",B:B,"852-209000-100")*INDIRECT(ADDRESS(325,5))</f>
        <v>0</v>
      </c>
      <c r="U325">
        <f>sumifs(u:u,A:A,"总成",B:B,"852-209000-100")*INDIRECT(ADDRESS(325,5))</f>
        <v>0</v>
      </c>
      <c r="V325">
        <f>sumifs(v:v,A:A,"总成",B:B,"852-209000-100")*INDIRECT(ADDRESS(325,5))</f>
        <v>0</v>
      </c>
      <c r="W325">
        <f>sumifs(w:w,A:A,"总成",B:B,"852-209000-100")*INDIRECT(ADDRESS(325,5))</f>
        <v>0</v>
      </c>
      <c r="X325">
        <f>sumifs(x:x,A:A,"总成",B:B,"852-209000-100")*INDIRECT(ADDRESS(325,5))</f>
        <v>0</v>
      </c>
      <c r="Y325">
        <f>sumifs(y:y,A:A,"总成",B:B,"852-209000-100")*INDIRECT(ADDRESS(325,5))</f>
        <v>0</v>
      </c>
      <c r="Z325">
        <f>sumifs(z:z,A:A,"总成",B:B,"852-209000-100")*INDIRECT(ADDRESS(325,5))</f>
        <v>0</v>
      </c>
      <c r="AA325">
        <f>sumifs(aa:aa,A:A,"总成",B:B,"852-209000-100")*INDIRECT(ADDRESS(325,5))</f>
        <v>0</v>
      </c>
      <c r="AB325">
        <f>sumifs(ab:ab,A:A,"总成",B:B,"852-209000-100")*INDIRECT(ADDRESS(325,5))</f>
        <v>0</v>
      </c>
      <c r="AC325">
        <f>sumifs(ac:ac,A:A,"总成",B:B,"852-209000-100")*INDIRECT(ADDRESS(325,5))</f>
        <v>0</v>
      </c>
      <c r="AD325">
        <f>sumifs(ad:ad,A:A,"总成",B:B,"852-209000-100")*INDIRECT(ADDRESS(325,5))</f>
        <v>0</v>
      </c>
      <c r="AE325">
        <f>sumifs(ae:ae,A:A,"总成",B:B,"852-209000-100")*INDIRECT(ADDRESS(325,5))</f>
        <v>0</v>
      </c>
      <c r="AF325">
        <f>sumifs(af:af,A:A,"总成",B:B,"852-209000-100")*INDIRECT(ADDRESS(325,5))</f>
        <v>0</v>
      </c>
      <c r="AG325">
        <f>sumifs(ag:ag,A:A,"总成",B:B,"852-209000-100")*INDIRECT(ADDRESS(325,5))</f>
        <v>0</v>
      </c>
      <c r="AH325">
        <f>sumifs(ah:ah,A:A,"总成",B:B,"852-209000-100")*INDIRECT(ADDRESS(325,5))</f>
        <v>0</v>
      </c>
      <c r="AI325">
        <f>sumifs(ai:ai,A:A,"总成",B:B,"852-209000-100")*INDIRECT(ADDRESS(325,5))</f>
        <v>0</v>
      </c>
      <c r="AJ325">
        <f>sumifs(aj:aj,A:A,"总成",B:B,"852-209000-100")*INDIRECT(ADDRESS(325,5))</f>
        <v>0</v>
      </c>
      <c r="AK325">
        <f>sumifs(ak:ak,A:A,"总成",B:B,"852-209000-100")*INDIRECT(ADDRESS(325,5))</f>
        <v>0</v>
      </c>
      <c r="AL325">
        <f>sumifs(al:al,A:A,"总成",B:B,"852-209000-100")*INDIRECT(ADDRESS(325,5))</f>
        <v>0</v>
      </c>
      <c r="AM325">
        <f>sumifs(am:am,A:A,"总成",B:B,"852-209000-100")*INDIRECT(ADDRESS(325,5))</f>
        <v>0</v>
      </c>
      <c r="AN325">
        <f>sumifs(an:an,A:A,"总成",B:B,"852-209000-100")*INDIRECT(ADDRESS(325,5))</f>
        <v>0</v>
      </c>
      <c r="AO325">
        <f>sumifs(ao:ao,A:A,"总成",B:B,"852-209000-100")*INDIRECT(ADDRESS(325,5))</f>
        <v>0</v>
      </c>
      <c r="AP325">
        <f>sumifs(ap:ap,A:A,"总成",B:B,"852-209000-100")*INDIRECT(ADDRESS(325,5))</f>
        <v>0</v>
      </c>
      <c r="AQ325">
        <f>sumifs(aq:aq,A:A,"总成",B:B,"852-209000-100")*INDIRECT(ADDRESS(325,5))</f>
        <v>0</v>
      </c>
      <c r="AR325">
        <f>sumifs(ar:ar,A:A,"总成",B:B,"852-209000-100")*INDIRECT(ADDRESS(325,5))</f>
        <v>0</v>
      </c>
    </row>
    <row r="326" spans="1:44">
      <c r="A326" t="s">
        <v>14</v>
      </c>
      <c r="B326" t="s">
        <v>587</v>
      </c>
      <c r="C326" t="s">
        <v>588</v>
      </c>
      <c r="D326" t="s">
        <v>480</v>
      </c>
      <c r="E326" t="s">
        <v>444</v>
      </c>
      <c r="F326" t="s">
        <v>654</v>
      </c>
      <c r="K326" t="s">
        <v>590</v>
      </c>
      <c r="L326" t="s">
        <v>21</v>
      </c>
      <c r="M326">
        <f>vlookup("852-199000-100",生产发行表!B:AZ,column(l1),0)</f>
        <v>0</v>
      </c>
      <c r="N326">
        <f>vlookup("852-199000-100",生产发行表!B:AZ,column(m1),0)</f>
        <v>0</v>
      </c>
      <c r="O326">
        <f>vlookup("852-199000-100",生产发行表!B:AZ,column(n1),0)</f>
        <v>0</v>
      </c>
      <c r="P326">
        <f>vlookup("852-199000-100",生产发行表!B:AZ,column(o1),0)</f>
        <v>0</v>
      </c>
      <c r="Q326">
        <f>vlookup("852-199000-100",生产发行表!B:AZ,column(p1),0)</f>
        <v>0</v>
      </c>
      <c r="R326">
        <f>vlookup("852-199000-100",生产发行表!B:AZ,column(q1),0)</f>
        <v>0</v>
      </c>
      <c r="S326">
        <f>vlookup("852-199000-100",生产发行表!B:AZ,column(r1),0)</f>
        <v>0</v>
      </c>
      <c r="T326">
        <f>vlookup("852-199000-100",生产发行表!B:AZ,column(s1),0)</f>
        <v>0</v>
      </c>
      <c r="U326">
        <f>vlookup("852-199000-100",生产发行表!B:AZ,column(t1),0)</f>
        <v>0</v>
      </c>
      <c r="V326">
        <f>vlookup("852-199000-100",生产发行表!B:AZ,column(u1),0)</f>
        <v>0</v>
      </c>
      <c r="W326">
        <f>vlookup("852-199000-100",生产发行表!B:AZ,column(v1),0)</f>
        <v>0</v>
      </c>
      <c r="X326">
        <f>vlookup("852-199000-100",生产发行表!B:AZ,column(w1),0)</f>
        <v>0</v>
      </c>
      <c r="Y326">
        <f>vlookup("852-199000-100",生产发行表!B:AZ,column(x1),0)</f>
        <v>0</v>
      </c>
      <c r="Z326">
        <f>vlookup("852-199000-100",生产发行表!B:AZ,column(y1),0)</f>
        <v>0</v>
      </c>
      <c r="AA326">
        <f>vlookup("852-199000-100",生产发行表!B:AZ,column(z1),0)</f>
        <v>0</v>
      </c>
      <c r="AB326">
        <f>vlookup("852-199000-100",生产发行表!B:AZ,column(aa1),0)</f>
        <v>0</v>
      </c>
      <c r="AC326">
        <f>vlookup("852-199000-100",生产发行表!B:AZ,column(ab1),0)</f>
        <v>0</v>
      </c>
      <c r="AD326">
        <f>vlookup("852-199000-100",生产发行表!B:AZ,column(ac1),0)</f>
        <v>0</v>
      </c>
      <c r="AE326">
        <f>vlookup("852-199000-100",生产发行表!B:AZ,column(ad1),0)</f>
        <v>0</v>
      </c>
      <c r="AF326">
        <f>vlookup("852-199000-100",生产发行表!B:AZ,column(ae1),0)</f>
        <v>0</v>
      </c>
      <c r="AG326">
        <f>vlookup("852-199000-100",生产发行表!B:AZ,column(af1),0)</f>
        <v>0</v>
      </c>
      <c r="AH326">
        <f>vlookup("852-199000-100",生产发行表!B:AZ,column(ag1),0)</f>
        <v>0</v>
      </c>
      <c r="AI326">
        <f>vlookup("852-199000-100",生产发行表!B:AZ,column(ah1),0)</f>
        <v>0</v>
      </c>
      <c r="AJ326">
        <f>vlookup("852-199000-100",生产发行表!B:AZ,column(ai1),0)</f>
        <v>0</v>
      </c>
      <c r="AK326">
        <f>vlookup("852-199000-100",生产发行表!B:AZ,column(aj1),0)</f>
        <v>0</v>
      </c>
      <c r="AL326">
        <f>vlookup("852-199000-100",生产发行表!B:AZ,column(ak1),0)</f>
        <v>0</v>
      </c>
      <c r="AM326">
        <f>vlookup("852-199000-100",生产发行表!B:AZ,column(al1),0)</f>
        <v>0</v>
      </c>
      <c r="AN326">
        <f>vlookup("852-199000-100",生产发行表!B:AZ,column(am1),0)</f>
        <v>0</v>
      </c>
      <c r="AO326">
        <f>vlookup("852-199000-100",生产发行表!B:AZ,column(an1),0)</f>
        <v>0</v>
      </c>
      <c r="AP326">
        <f>vlookup("852-199000-100",生产发行表!B:AZ,column(ao1),0)</f>
        <v>0</v>
      </c>
      <c r="AQ326">
        <f>vlookup("852-199000-100",生产发行表!B:AZ,column(ap1),0)</f>
        <v>0</v>
      </c>
      <c r="AR326">
        <f>vlookup("852-199000-100",生产发行表!B:AZ,column(aq1),0)</f>
        <v>0</v>
      </c>
    </row>
    <row r="327" spans="1:44">
      <c r="A327" t="s">
        <v>31</v>
      </c>
      <c r="B327" t="s">
        <v>655</v>
      </c>
      <c r="C327" t="s">
        <v>656</v>
      </c>
      <c r="K327" t="s">
        <v>590</v>
      </c>
      <c r="L327" t="s">
        <v>37</v>
      </c>
      <c r="M327">
        <f>sumifs(m:m,A:A,"总成",B:B,"852-199000-100")*INDIRECT(ADDRESS(327,5))</f>
        <v>0</v>
      </c>
      <c r="N327">
        <f>sumifs(n:n,A:A,"总成",B:B,"852-199000-100")*INDIRECT(ADDRESS(327,5))</f>
        <v>0</v>
      </c>
      <c r="O327">
        <f>sumifs(o:o,A:A,"总成",B:B,"852-199000-100")*INDIRECT(ADDRESS(327,5))</f>
        <v>0</v>
      </c>
      <c r="P327">
        <f>sumifs(p:p,A:A,"总成",B:B,"852-199000-100")*INDIRECT(ADDRESS(327,5))</f>
        <v>0</v>
      </c>
      <c r="Q327">
        <f>sumifs(q:q,A:A,"总成",B:B,"852-199000-100")*INDIRECT(ADDRESS(327,5))</f>
        <v>0</v>
      </c>
      <c r="R327">
        <f>sumifs(r:r,A:A,"总成",B:B,"852-199000-100")*INDIRECT(ADDRESS(327,5))</f>
        <v>0</v>
      </c>
      <c r="S327">
        <f>sumifs(s:s,A:A,"总成",B:B,"852-199000-100")*INDIRECT(ADDRESS(327,5))</f>
        <v>0</v>
      </c>
      <c r="T327">
        <f>sumifs(t:t,A:A,"总成",B:B,"852-199000-100")*INDIRECT(ADDRESS(327,5))</f>
        <v>0</v>
      </c>
      <c r="U327">
        <f>sumifs(u:u,A:A,"总成",B:B,"852-199000-100")*INDIRECT(ADDRESS(327,5))</f>
        <v>0</v>
      </c>
      <c r="V327">
        <f>sumifs(v:v,A:A,"总成",B:B,"852-199000-100")*INDIRECT(ADDRESS(327,5))</f>
        <v>0</v>
      </c>
      <c r="W327">
        <f>sumifs(w:w,A:A,"总成",B:B,"852-199000-100")*INDIRECT(ADDRESS(327,5))</f>
        <v>0</v>
      </c>
      <c r="X327">
        <f>sumifs(x:x,A:A,"总成",B:B,"852-199000-100")*INDIRECT(ADDRESS(327,5))</f>
        <v>0</v>
      </c>
      <c r="Y327">
        <f>sumifs(y:y,A:A,"总成",B:B,"852-199000-100")*INDIRECT(ADDRESS(327,5))</f>
        <v>0</v>
      </c>
      <c r="Z327">
        <f>sumifs(z:z,A:A,"总成",B:B,"852-199000-100")*INDIRECT(ADDRESS(327,5))</f>
        <v>0</v>
      </c>
      <c r="AA327">
        <f>sumifs(aa:aa,A:A,"总成",B:B,"852-199000-100")*INDIRECT(ADDRESS(327,5))</f>
        <v>0</v>
      </c>
      <c r="AB327">
        <f>sumifs(ab:ab,A:A,"总成",B:B,"852-199000-100")*INDIRECT(ADDRESS(327,5))</f>
        <v>0</v>
      </c>
      <c r="AC327">
        <f>sumifs(ac:ac,A:A,"总成",B:B,"852-199000-100")*INDIRECT(ADDRESS(327,5))</f>
        <v>0</v>
      </c>
      <c r="AD327">
        <f>sumifs(ad:ad,A:A,"总成",B:B,"852-199000-100")*INDIRECT(ADDRESS(327,5))</f>
        <v>0</v>
      </c>
      <c r="AE327">
        <f>sumifs(ae:ae,A:A,"总成",B:B,"852-199000-100")*INDIRECT(ADDRESS(327,5))</f>
        <v>0</v>
      </c>
      <c r="AF327">
        <f>sumifs(af:af,A:A,"总成",B:B,"852-199000-100")*INDIRECT(ADDRESS(327,5))</f>
        <v>0</v>
      </c>
      <c r="AG327">
        <f>sumifs(ag:ag,A:A,"总成",B:B,"852-199000-100")*INDIRECT(ADDRESS(327,5))</f>
        <v>0</v>
      </c>
      <c r="AH327">
        <f>sumifs(ah:ah,A:A,"总成",B:B,"852-199000-100")*INDIRECT(ADDRESS(327,5))</f>
        <v>0</v>
      </c>
      <c r="AI327">
        <f>sumifs(ai:ai,A:A,"总成",B:B,"852-199000-100")*INDIRECT(ADDRESS(327,5))</f>
        <v>0</v>
      </c>
      <c r="AJ327">
        <f>sumifs(aj:aj,A:A,"总成",B:B,"852-199000-100")*INDIRECT(ADDRESS(327,5))</f>
        <v>0</v>
      </c>
      <c r="AK327">
        <f>sumifs(ak:ak,A:A,"总成",B:B,"852-199000-100")*INDIRECT(ADDRESS(327,5))</f>
        <v>0</v>
      </c>
      <c r="AL327">
        <f>sumifs(al:al,A:A,"总成",B:B,"852-199000-100")*INDIRECT(ADDRESS(327,5))</f>
        <v>0</v>
      </c>
      <c r="AM327">
        <f>sumifs(am:am,A:A,"总成",B:B,"852-199000-100")*INDIRECT(ADDRESS(327,5))</f>
        <v>0</v>
      </c>
      <c r="AN327">
        <f>sumifs(an:an,A:A,"总成",B:B,"852-199000-100")*INDIRECT(ADDRESS(327,5))</f>
        <v>0</v>
      </c>
      <c r="AO327">
        <f>sumifs(ao:ao,A:A,"总成",B:B,"852-199000-100")*INDIRECT(ADDRESS(327,5))</f>
        <v>0</v>
      </c>
      <c r="AP327">
        <f>sumifs(ap:ap,A:A,"总成",B:B,"852-199000-100")*INDIRECT(ADDRESS(327,5))</f>
        <v>0</v>
      </c>
      <c r="AQ327">
        <f>sumifs(aq:aq,A:A,"总成",B:B,"852-199000-100")*INDIRECT(ADDRESS(327,5))</f>
        <v>0</v>
      </c>
      <c r="AR327">
        <f>sumifs(ar:ar,A:A,"总成",B:B,"852-199000-100")*INDIRECT(ADDRESS(327,5))</f>
        <v>0</v>
      </c>
    </row>
    <row r="328" spans="1:44">
      <c r="A328" t="s">
        <v>14</v>
      </c>
      <c r="B328" t="s">
        <v>593</v>
      </c>
      <c r="C328" t="s">
        <v>594</v>
      </c>
      <c r="E328" t="s">
        <v>591</v>
      </c>
      <c r="F328" t="s">
        <v>592</v>
      </c>
      <c r="K328" t="s">
        <v>657</v>
      </c>
      <c r="L328" t="s">
        <v>21</v>
      </c>
      <c r="M328">
        <f>vlookup("272-064300-000",生产发行表!B:AZ,column(l1),0)</f>
        <v>0</v>
      </c>
      <c r="N328">
        <f>vlookup("272-064300-000",生产发行表!B:AZ,column(m1),0)</f>
        <v>0</v>
      </c>
      <c r="O328">
        <f>vlookup("272-064300-000",生产发行表!B:AZ,column(n1),0)</f>
        <v>0</v>
      </c>
      <c r="P328">
        <f>vlookup("272-064300-000",生产发行表!B:AZ,column(o1),0)</f>
        <v>0</v>
      </c>
      <c r="Q328">
        <f>vlookup("272-064300-000",生产发行表!B:AZ,column(p1),0)</f>
        <v>0</v>
      </c>
      <c r="R328">
        <f>vlookup("272-064300-000",生产发行表!B:AZ,column(q1),0)</f>
        <v>0</v>
      </c>
      <c r="S328">
        <f>vlookup("272-064300-000",生产发行表!B:AZ,column(r1),0)</f>
        <v>0</v>
      </c>
      <c r="T328">
        <f>vlookup("272-064300-000",生产发行表!B:AZ,column(s1),0)</f>
        <v>0</v>
      </c>
      <c r="U328">
        <f>vlookup("272-064300-000",生产发行表!B:AZ,column(t1),0)</f>
        <v>0</v>
      </c>
      <c r="V328">
        <f>vlookup("272-064300-000",生产发行表!B:AZ,column(u1),0)</f>
        <v>0</v>
      </c>
      <c r="W328">
        <f>vlookup("272-064300-000",生产发行表!B:AZ,column(v1),0)</f>
        <v>0</v>
      </c>
      <c r="X328">
        <f>vlookup("272-064300-000",生产发行表!B:AZ,column(w1),0)</f>
        <v>0</v>
      </c>
      <c r="Y328">
        <f>vlookup("272-064300-000",生产发行表!B:AZ,column(x1),0)</f>
        <v>0</v>
      </c>
      <c r="Z328">
        <f>vlookup("272-064300-000",生产发行表!B:AZ,column(y1),0)</f>
        <v>0</v>
      </c>
      <c r="AA328">
        <f>vlookup("272-064300-000",生产发行表!B:AZ,column(z1),0)</f>
        <v>0</v>
      </c>
      <c r="AB328">
        <f>vlookup("272-064300-000",生产发行表!B:AZ,column(aa1),0)</f>
        <v>0</v>
      </c>
      <c r="AC328">
        <f>vlookup("272-064300-000",生产发行表!B:AZ,column(ab1),0)</f>
        <v>0</v>
      </c>
      <c r="AD328">
        <f>vlookup("272-064300-000",生产发行表!B:AZ,column(ac1),0)</f>
        <v>0</v>
      </c>
      <c r="AE328">
        <f>vlookup("272-064300-000",生产发行表!B:AZ,column(ad1),0)</f>
        <v>0</v>
      </c>
      <c r="AF328">
        <f>vlookup("272-064300-000",生产发行表!B:AZ,column(ae1),0)</f>
        <v>0</v>
      </c>
      <c r="AG328">
        <f>vlookup("272-064300-000",生产发行表!B:AZ,column(af1),0)</f>
        <v>0</v>
      </c>
      <c r="AH328">
        <f>vlookup("272-064300-000",生产发行表!B:AZ,column(ag1),0)</f>
        <v>0</v>
      </c>
      <c r="AI328">
        <f>vlookup("272-064300-000",生产发行表!B:AZ,column(ah1),0)</f>
        <v>0</v>
      </c>
      <c r="AJ328">
        <f>vlookup("272-064300-000",生产发行表!B:AZ,column(ai1),0)</f>
        <v>0</v>
      </c>
      <c r="AK328">
        <f>vlookup("272-064300-000",生产发行表!B:AZ,column(aj1),0)</f>
        <v>0</v>
      </c>
      <c r="AL328">
        <f>vlookup("272-064300-000",生产发行表!B:AZ,column(ak1),0)</f>
        <v>0</v>
      </c>
      <c r="AM328">
        <f>vlookup("272-064300-000",生产发行表!B:AZ,column(al1),0)</f>
        <v>0</v>
      </c>
      <c r="AN328">
        <f>vlookup("272-064300-000",生产发行表!B:AZ,column(am1),0)</f>
        <v>0</v>
      </c>
      <c r="AO328">
        <f>vlookup("272-064300-000",生产发行表!B:AZ,column(an1),0)</f>
        <v>0</v>
      </c>
      <c r="AP328">
        <f>vlookup("272-064300-000",生产发行表!B:AZ,column(ao1),0)</f>
        <v>0</v>
      </c>
      <c r="AQ328">
        <f>vlookup("272-064300-000",生产发行表!B:AZ,column(ap1),0)</f>
        <v>0</v>
      </c>
      <c r="AR328">
        <f>vlookup("272-064300-000",生产发行表!B:AZ,column(aq1),0)</f>
        <v>0</v>
      </c>
    </row>
    <row r="329" spans="1:44">
      <c r="A329" t="s">
        <v>14</v>
      </c>
      <c r="B329" t="s">
        <v>597</v>
      </c>
      <c r="C329" t="s">
        <v>598</v>
      </c>
      <c r="E329" t="s">
        <v>595</v>
      </c>
      <c r="F329" t="s">
        <v>596</v>
      </c>
      <c r="K329" t="s">
        <v>657</v>
      </c>
      <c r="L329" t="s">
        <v>21</v>
      </c>
      <c r="M329">
        <f>vlookup("262-002200-000",生产发行表!B:AZ,column(l1),0)</f>
        <v>0</v>
      </c>
      <c r="N329">
        <f>vlookup("262-002200-000",生产发行表!B:AZ,column(m1),0)</f>
        <v>0</v>
      </c>
      <c r="O329">
        <f>vlookup("262-002200-000",生产发行表!B:AZ,column(n1),0)</f>
        <v>0</v>
      </c>
      <c r="P329">
        <f>vlookup("262-002200-000",生产发行表!B:AZ,column(o1),0)</f>
        <v>0</v>
      </c>
      <c r="Q329">
        <f>vlookup("262-002200-000",生产发行表!B:AZ,column(p1),0)</f>
        <v>0</v>
      </c>
      <c r="R329">
        <f>vlookup("262-002200-000",生产发行表!B:AZ,column(q1),0)</f>
        <v>0</v>
      </c>
      <c r="S329">
        <f>vlookup("262-002200-000",生产发行表!B:AZ,column(r1),0)</f>
        <v>0</v>
      </c>
      <c r="T329">
        <f>vlookup("262-002200-000",生产发行表!B:AZ,column(s1),0)</f>
        <v>0</v>
      </c>
      <c r="U329">
        <f>vlookup("262-002200-000",生产发行表!B:AZ,column(t1),0)</f>
        <v>0</v>
      </c>
      <c r="V329">
        <f>vlookup("262-002200-000",生产发行表!B:AZ,column(u1),0)</f>
        <v>0</v>
      </c>
      <c r="W329">
        <f>vlookup("262-002200-000",生产发行表!B:AZ,column(v1),0)</f>
        <v>0</v>
      </c>
      <c r="X329">
        <f>vlookup("262-002200-000",生产发行表!B:AZ,column(w1),0)</f>
        <v>0</v>
      </c>
      <c r="Y329">
        <f>vlookup("262-002200-000",生产发行表!B:AZ,column(x1),0)</f>
        <v>0</v>
      </c>
      <c r="Z329">
        <f>vlookup("262-002200-000",生产发行表!B:AZ,column(y1),0)</f>
        <v>0</v>
      </c>
      <c r="AA329">
        <f>vlookup("262-002200-000",生产发行表!B:AZ,column(z1),0)</f>
        <v>0</v>
      </c>
      <c r="AB329">
        <f>vlookup("262-002200-000",生产发行表!B:AZ,column(aa1),0)</f>
        <v>0</v>
      </c>
      <c r="AC329">
        <f>vlookup("262-002200-000",生产发行表!B:AZ,column(ab1),0)</f>
        <v>0</v>
      </c>
      <c r="AD329">
        <f>vlookup("262-002200-000",生产发行表!B:AZ,column(ac1),0)</f>
        <v>0</v>
      </c>
      <c r="AE329">
        <f>vlookup("262-002200-000",生产发行表!B:AZ,column(ad1),0)</f>
        <v>0</v>
      </c>
      <c r="AF329">
        <f>vlookup("262-002200-000",生产发行表!B:AZ,column(ae1),0)</f>
        <v>0</v>
      </c>
      <c r="AG329">
        <f>vlookup("262-002200-000",生产发行表!B:AZ,column(af1),0)</f>
        <v>0</v>
      </c>
      <c r="AH329">
        <f>vlookup("262-002200-000",生产发行表!B:AZ,column(ag1),0)</f>
        <v>0</v>
      </c>
      <c r="AI329">
        <f>vlookup("262-002200-000",生产发行表!B:AZ,column(ah1),0)</f>
        <v>0</v>
      </c>
      <c r="AJ329">
        <f>vlookup("262-002200-000",生产发行表!B:AZ,column(ai1),0)</f>
        <v>0</v>
      </c>
      <c r="AK329">
        <f>vlookup("262-002200-000",生产发行表!B:AZ,column(aj1),0)</f>
        <v>0</v>
      </c>
      <c r="AL329">
        <f>vlookup("262-002200-000",生产发行表!B:AZ,column(ak1),0)</f>
        <v>0</v>
      </c>
      <c r="AM329">
        <f>vlookup("262-002200-000",生产发行表!B:AZ,column(al1),0)</f>
        <v>0</v>
      </c>
      <c r="AN329">
        <f>vlookup("262-002200-000",生产发行表!B:AZ,column(am1),0)</f>
        <v>0</v>
      </c>
      <c r="AO329">
        <f>vlookup("262-002200-000",生产发行表!B:AZ,column(an1),0)</f>
        <v>0</v>
      </c>
      <c r="AP329">
        <f>vlookup("262-002200-000",生产发行表!B:AZ,column(ao1),0)</f>
        <v>0</v>
      </c>
      <c r="AQ329">
        <f>vlookup("262-002200-000",生产发行表!B:AZ,column(ap1),0)</f>
        <v>0</v>
      </c>
      <c r="AR329">
        <f>vlookup("262-002200-000",生产发行表!B:AZ,column(aq1),0)</f>
        <v>0</v>
      </c>
    </row>
    <row r="330" spans="1:44">
      <c r="A330" t="s">
        <v>14</v>
      </c>
      <c r="B330" t="s">
        <v>597</v>
      </c>
      <c r="C330" t="s">
        <v>598</v>
      </c>
      <c r="F330" t="s">
        <v>596</v>
      </c>
      <c r="K330" t="s">
        <v>657</v>
      </c>
      <c r="L330" t="s">
        <v>21</v>
      </c>
      <c r="M330">
        <f>vlookup("262-002200-000",生产发行表!B:AZ,column(l1),0)</f>
        <v>0</v>
      </c>
      <c r="N330">
        <f>vlookup("262-002200-000",生产发行表!B:AZ,column(m1),0)</f>
        <v>0</v>
      </c>
      <c r="O330">
        <f>vlookup("262-002200-000",生产发行表!B:AZ,column(n1),0)</f>
        <v>0</v>
      </c>
      <c r="P330">
        <f>vlookup("262-002200-000",生产发行表!B:AZ,column(o1),0)</f>
        <v>0</v>
      </c>
      <c r="Q330">
        <f>vlookup("262-002200-000",生产发行表!B:AZ,column(p1),0)</f>
        <v>0</v>
      </c>
      <c r="R330">
        <f>vlookup("262-002200-000",生产发行表!B:AZ,column(q1),0)</f>
        <v>0</v>
      </c>
      <c r="S330">
        <f>vlookup("262-002200-000",生产发行表!B:AZ,column(r1),0)</f>
        <v>0</v>
      </c>
      <c r="T330">
        <f>vlookup("262-002200-000",生产发行表!B:AZ,column(s1),0)</f>
        <v>0</v>
      </c>
      <c r="U330">
        <f>vlookup("262-002200-000",生产发行表!B:AZ,column(t1),0)</f>
        <v>0</v>
      </c>
      <c r="V330">
        <f>vlookup("262-002200-000",生产发行表!B:AZ,column(u1),0)</f>
        <v>0</v>
      </c>
      <c r="W330">
        <f>vlookup("262-002200-000",生产发行表!B:AZ,column(v1),0)</f>
        <v>0</v>
      </c>
      <c r="X330">
        <f>vlookup("262-002200-000",生产发行表!B:AZ,column(w1),0)</f>
        <v>0</v>
      </c>
      <c r="Y330">
        <f>vlookup("262-002200-000",生产发行表!B:AZ,column(x1),0)</f>
        <v>0</v>
      </c>
      <c r="Z330">
        <f>vlookup("262-002200-000",生产发行表!B:AZ,column(y1),0)</f>
        <v>0</v>
      </c>
      <c r="AA330">
        <f>vlookup("262-002200-000",生产发行表!B:AZ,column(z1),0)</f>
        <v>0</v>
      </c>
      <c r="AB330">
        <f>vlookup("262-002200-000",生产发行表!B:AZ,column(aa1),0)</f>
        <v>0</v>
      </c>
      <c r="AC330">
        <f>vlookup("262-002200-000",生产发行表!B:AZ,column(ab1),0)</f>
        <v>0</v>
      </c>
      <c r="AD330">
        <f>vlookup("262-002200-000",生产发行表!B:AZ,column(ac1),0)</f>
        <v>0</v>
      </c>
      <c r="AE330">
        <f>vlookup("262-002200-000",生产发行表!B:AZ,column(ad1),0)</f>
        <v>0</v>
      </c>
      <c r="AF330">
        <f>vlookup("262-002200-000",生产发行表!B:AZ,column(ae1),0)</f>
        <v>0</v>
      </c>
      <c r="AG330">
        <f>vlookup("262-002200-000",生产发行表!B:AZ,column(af1),0)</f>
        <v>0</v>
      </c>
      <c r="AH330">
        <f>vlookup("262-002200-000",生产发行表!B:AZ,column(ag1),0)</f>
        <v>0</v>
      </c>
      <c r="AI330">
        <f>vlookup("262-002200-000",生产发行表!B:AZ,column(ah1),0)</f>
        <v>0</v>
      </c>
      <c r="AJ330">
        <f>vlookup("262-002200-000",生产发行表!B:AZ,column(ai1),0)</f>
        <v>0</v>
      </c>
      <c r="AK330">
        <f>vlookup("262-002200-000",生产发行表!B:AZ,column(aj1),0)</f>
        <v>0</v>
      </c>
      <c r="AL330">
        <f>vlookup("262-002200-000",生产发行表!B:AZ,column(ak1),0)</f>
        <v>0</v>
      </c>
      <c r="AM330">
        <f>vlookup("262-002200-000",生产发行表!B:AZ,column(al1),0)</f>
        <v>0</v>
      </c>
      <c r="AN330">
        <f>vlookup("262-002200-000",生产发行表!B:AZ,column(am1),0)</f>
        <v>0</v>
      </c>
      <c r="AO330">
        <f>vlookup("262-002200-000",生产发行表!B:AZ,column(an1),0)</f>
        <v>0</v>
      </c>
      <c r="AP330">
        <f>vlookup("262-002200-000",生产发行表!B:AZ,column(ao1),0)</f>
        <v>0</v>
      </c>
      <c r="AQ330">
        <f>vlookup("262-002200-000",生产发行表!B:AZ,column(ap1),0)</f>
        <v>0</v>
      </c>
      <c r="AR330">
        <f>vlookup("262-002200-000",生产发行表!B:AZ,column(aq1),0)</f>
        <v>0</v>
      </c>
    </row>
    <row r="331" spans="1:44">
      <c r="A331" t="s">
        <v>14</v>
      </c>
      <c r="B331" t="s">
        <v>600</v>
      </c>
      <c r="C331" t="s">
        <v>601</v>
      </c>
      <c r="E331" t="s">
        <v>444</v>
      </c>
      <c r="F331" t="s">
        <v>599</v>
      </c>
      <c r="K331" t="s">
        <v>657</v>
      </c>
      <c r="L331" t="s">
        <v>21</v>
      </c>
      <c r="M331">
        <f>vlookup("272-064200-000",生产发行表!B:AZ,column(l1),0)</f>
        <v>0</v>
      </c>
      <c r="N331">
        <f>vlookup("272-064200-000",生产发行表!B:AZ,column(m1),0)</f>
        <v>0</v>
      </c>
      <c r="O331">
        <f>vlookup("272-064200-000",生产发行表!B:AZ,column(n1),0)</f>
        <v>0</v>
      </c>
      <c r="P331">
        <f>vlookup("272-064200-000",生产发行表!B:AZ,column(o1),0)</f>
        <v>0</v>
      </c>
      <c r="Q331">
        <f>vlookup("272-064200-000",生产发行表!B:AZ,column(p1),0)</f>
        <v>0</v>
      </c>
      <c r="R331">
        <f>vlookup("272-064200-000",生产发行表!B:AZ,column(q1),0)</f>
        <v>0</v>
      </c>
      <c r="S331">
        <f>vlookup("272-064200-000",生产发行表!B:AZ,column(r1),0)</f>
        <v>0</v>
      </c>
      <c r="T331">
        <f>vlookup("272-064200-000",生产发行表!B:AZ,column(s1),0)</f>
        <v>0</v>
      </c>
      <c r="U331">
        <f>vlookup("272-064200-000",生产发行表!B:AZ,column(t1),0)</f>
        <v>0</v>
      </c>
      <c r="V331">
        <f>vlookup("272-064200-000",生产发行表!B:AZ,column(u1),0)</f>
        <v>0</v>
      </c>
      <c r="W331">
        <f>vlookup("272-064200-000",生产发行表!B:AZ,column(v1),0)</f>
        <v>0</v>
      </c>
      <c r="X331">
        <f>vlookup("272-064200-000",生产发行表!B:AZ,column(w1),0)</f>
        <v>0</v>
      </c>
      <c r="Y331">
        <f>vlookup("272-064200-000",生产发行表!B:AZ,column(x1),0)</f>
        <v>0</v>
      </c>
      <c r="Z331">
        <f>vlookup("272-064200-000",生产发行表!B:AZ,column(y1),0)</f>
        <v>0</v>
      </c>
      <c r="AA331">
        <f>vlookup("272-064200-000",生产发行表!B:AZ,column(z1),0)</f>
        <v>0</v>
      </c>
      <c r="AB331">
        <f>vlookup("272-064200-000",生产发行表!B:AZ,column(aa1),0)</f>
        <v>0</v>
      </c>
      <c r="AC331">
        <f>vlookup("272-064200-000",生产发行表!B:AZ,column(ab1),0)</f>
        <v>0</v>
      </c>
      <c r="AD331">
        <f>vlookup("272-064200-000",生产发行表!B:AZ,column(ac1),0)</f>
        <v>0</v>
      </c>
      <c r="AE331">
        <f>vlookup("272-064200-000",生产发行表!B:AZ,column(ad1),0)</f>
        <v>0</v>
      </c>
      <c r="AF331">
        <f>vlookup("272-064200-000",生产发行表!B:AZ,column(ae1),0)</f>
        <v>0</v>
      </c>
      <c r="AG331">
        <f>vlookup("272-064200-000",生产发行表!B:AZ,column(af1),0)</f>
        <v>0</v>
      </c>
      <c r="AH331">
        <f>vlookup("272-064200-000",生产发行表!B:AZ,column(ag1),0)</f>
        <v>0</v>
      </c>
      <c r="AI331">
        <f>vlookup("272-064200-000",生产发行表!B:AZ,column(ah1),0)</f>
        <v>0</v>
      </c>
      <c r="AJ331">
        <f>vlookup("272-064200-000",生产发行表!B:AZ,column(ai1),0)</f>
        <v>0</v>
      </c>
      <c r="AK331">
        <f>vlookup("272-064200-000",生产发行表!B:AZ,column(aj1),0)</f>
        <v>0</v>
      </c>
      <c r="AL331">
        <f>vlookup("272-064200-000",生产发行表!B:AZ,column(ak1),0)</f>
        <v>0</v>
      </c>
      <c r="AM331">
        <f>vlookup("272-064200-000",生产发行表!B:AZ,column(al1),0)</f>
        <v>0</v>
      </c>
      <c r="AN331">
        <f>vlookup("272-064200-000",生产发行表!B:AZ,column(am1),0)</f>
        <v>0</v>
      </c>
      <c r="AO331">
        <f>vlookup("272-064200-000",生产发行表!B:AZ,column(an1),0)</f>
        <v>0</v>
      </c>
      <c r="AP331">
        <f>vlookup("272-064200-000",生产发行表!B:AZ,column(ao1),0)</f>
        <v>0</v>
      </c>
      <c r="AQ331">
        <f>vlookup("272-064200-000",生产发行表!B:AZ,column(ap1),0)</f>
        <v>0</v>
      </c>
      <c r="AR331">
        <f>vlookup("272-064200-000",生产发行表!B:AZ,column(aq1),0)</f>
        <v>0</v>
      </c>
    </row>
    <row r="332" spans="1:44">
      <c r="A332" t="s">
        <v>14</v>
      </c>
      <c r="B332" t="s">
        <v>597</v>
      </c>
      <c r="C332" t="s">
        <v>598</v>
      </c>
      <c r="F332" t="s">
        <v>596</v>
      </c>
      <c r="K332" t="s">
        <v>657</v>
      </c>
      <c r="L332" t="s">
        <v>21</v>
      </c>
      <c r="M332">
        <f>vlookup("262-002200-000",生产发行表!B:AZ,column(l1),0)</f>
        <v>0</v>
      </c>
      <c r="N332">
        <f>vlookup("262-002200-000",生产发行表!B:AZ,column(m1),0)</f>
        <v>0</v>
      </c>
      <c r="O332">
        <f>vlookup("262-002200-000",生产发行表!B:AZ,column(n1),0)</f>
        <v>0</v>
      </c>
      <c r="P332">
        <f>vlookup("262-002200-000",生产发行表!B:AZ,column(o1),0)</f>
        <v>0</v>
      </c>
      <c r="Q332">
        <f>vlookup("262-002200-000",生产发行表!B:AZ,column(p1),0)</f>
        <v>0</v>
      </c>
      <c r="R332">
        <f>vlookup("262-002200-000",生产发行表!B:AZ,column(q1),0)</f>
        <v>0</v>
      </c>
      <c r="S332">
        <f>vlookup("262-002200-000",生产发行表!B:AZ,column(r1),0)</f>
        <v>0</v>
      </c>
      <c r="T332">
        <f>vlookup("262-002200-000",生产发行表!B:AZ,column(s1),0)</f>
        <v>0</v>
      </c>
      <c r="U332">
        <f>vlookup("262-002200-000",生产发行表!B:AZ,column(t1),0)</f>
        <v>0</v>
      </c>
      <c r="V332">
        <f>vlookup("262-002200-000",生产发行表!B:AZ,column(u1),0)</f>
        <v>0</v>
      </c>
      <c r="W332">
        <f>vlookup("262-002200-000",生产发行表!B:AZ,column(v1),0)</f>
        <v>0</v>
      </c>
      <c r="X332">
        <f>vlookup("262-002200-000",生产发行表!B:AZ,column(w1),0)</f>
        <v>0</v>
      </c>
      <c r="Y332">
        <f>vlookup("262-002200-000",生产发行表!B:AZ,column(x1),0)</f>
        <v>0</v>
      </c>
      <c r="Z332">
        <f>vlookup("262-002200-000",生产发行表!B:AZ,column(y1),0)</f>
        <v>0</v>
      </c>
      <c r="AA332">
        <f>vlookup("262-002200-000",生产发行表!B:AZ,column(z1),0)</f>
        <v>0</v>
      </c>
      <c r="AB332">
        <f>vlookup("262-002200-000",生产发行表!B:AZ,column(aa1),0)</f>
        <v>0</v>
      </c>
      <c r="AC332">
        <f>vlookup("262-002200-000",生产发行表!B:AZ,column(ab1),0)</f>
        <v>0</v>
      </c>
      <c r="AD332">
        <f>vlookup("262-002200-000",生产发行表!B:AZ,column(ac1),0)</f>
        <v>0</v>
      </c>
      <c r="AE332">
        <f>vlookup("262-002200-000",生产发行表!B:AZ,column(ad1),0)</f>
        <v>0</v>
      </c>
      <c r="AF332">
        <f>vlookup("262-002200-000",生产发行表!B:AZ,column(ae1),0)</f>
        <v>0</v>
      </c>
      <c r="AG332">
        <f>vlookup("262-002200-000",生产发行表!B:AZ,column(af1),0)</f>
        <v>0</v>
      </c>
      <c r="AH332">
        <f>vlookup("262-002200-000",生产发行表!B:AZ,column(ag1),0)</f>
        <v>0</v>
      </c>
      <c r="AI332">
        <f>vlookup("262-002200-000",生产发行表!B:AZ,column(ah1),0)</f>
        <v>0</v>
      </c>
      <c r="AJ332">
        <f>vlookup("262-002200-000",生产发行表!B:AZ,column(ai1),0)</f>
        <v>0</v>
      </c>
      <c r="AK332">
        <f>vlookup("262-002200-000",生产发行表!B:AZ,column(aj1),0)</f>
        <v>0</v>
      </c>
      <c r="AL332">
        <f>vlookup("262-002200-000",生产发行表!B:AZ,column(ak1),0)</f>
        <v>0</v>
      </c>
      <c r="AM332">
        <f>vlookup("262-002200-000",生产发行表!B:AZ,column(al1),0)</f>
        <v>0</v>
      </c>
      <c r="AN332">
        <f>vlookup("262-002200-000",生产发行表!B:AZ,column(am1),0)</f>
        <v>0</v>
      </c>
      <c r="AO332">
        <f>vlookup("262-002200-000",生产发行表!B:AZ,column(an1),0)</f>
        <v>0</v>
      </c>
      <c r="AP332">
        <f>vlookup("262-002200-000",生产发行表!B:AZ,column(ao1),0)</f>
        <v>0</v>
      </c>
      <c r="AQ332">
        <f>vlookup("262-002200-000",生产发行表!B:AZ,column(ap1),0)</f>
        <v>0</v>
      </c>
      <c r="AR332">
        <f>vlookup("262-002200-000",生产发行表!B:AZ,column(aq1),0)</f>
        <v>0</v>
      </c>
    </row>
    <row r="333" spans="1:44">
      <c r="A333" t="s">
        <v>14</v>
      </c>
      <c r="B333" t="s">
        <v>603</v>
      </c>
      <c r="C333" t="s">
        <v>604</v>
      </c>
      <c r="D333" t="s">
        <v>448</v>
      </c>
      <c r="E333">
        <v>1</v>
      </c>
      <c r="F333" t="s">
        <v>602</v>
      </c>
      <c r="K333" t="s">
        <v>657</v>
      </c>
      <c r="L333" t="s">
        <v>21</v>
      </c>
      <c r="M333">
        <f>vlookup("222-175000-000",生产发行表!B:AZ,column(l1),0)</f>
        <v>0</v>
      </c>
      <c r="N333">
        <f>vlookup("222-175000-000",生产发行表!B:AZ,column(m1),0)</f>
        <v>0</v>
      </c>
      <c r="O333">
        <f>vlookup("222-175000-000",生产发行表!B:AZ,column(n1),0)</f>
        <v>0</v>
      </c>
      <c r="P333">
        <f>vlookup("222-175000-000",生产发行表!B:AZ,column(o1),0)</f>
        <v>0</v>
      </c>
      <c r="Q333">
        <f>vlookup("222-175000-000",生产发行表!B:AZ,column(p1),0)</f>
        <v>0</v>
      </c>
      <c r="R333">
        <f>vlookup("222-175000-000",生产发行表!B:AZ,column(q1),0)</f>
        <v>0</v>
      </c>
      <c r="S333">
        <f>vlookup("222-175000-000",生产发行表!B:AZ,column(r1),0)</f>
        <v>0</v>
      </c>
      <c r="T333">
        <f>vlookup("222-175000-000",生产发行表!B:AZ,column(s1),0)</f>
        <v>0</v>
      </c>
      <c r="U333">
        <f>vlookup("222-175000-000",生产发行表!B:AZ,column(t1),0)</f>
        <v>0</v>
      </c>
      <c r="V333">
        <f>vlookup("222-175000-000",生产发行表!B:AZ,column(u1),0)</f>
        <v>0</v>
      </c>
      <c r="W333">
        <f>vlookup("222-175000-000",生产发行表!B:AZ,column(v1),0)</f>
        <v>0</v>
      </c>
      <c r="X333">
        <f>vlookup("222-175000-000",生产发行表!B:AZ,column(w1),0)</f>
        <v>0</v>
      </c>
      <c r="Y333">
        <f>vlookup("222-175000-000",生产发行表!B:AZ,column(x1),0)</f>
        <v>0</v>
      </c>
      <c r="Z333">
        <f>vlookup("222-175000-000",生产发行表!B:AZ,column(y1),0)</f>
        <v>0</v>
      </c>
      <c r="AA333">
        <f>vlookup("222-175000-000",生产发行表!B:AZ,column(z1),0)</f>
        <v>0</v>
      </c>
      <c r="AB333">
        <f>vlookup("222-175000-000",生产发行表!B:AZ,column(aa1),0)</f>
        <v>0</v>
      </c>
      <c r="AC333">
        <f>vlookup("222-175000-000",生产发行表!B:AZ,column(ab1),0)</f>
        <v>0</v>
      </c>
      <c r="AD333">
        <f>vlookup("222-175000-000",生产发行表!B:AZ,column(ac1),0)</f>
        <v>0</v>
      </c>
      <c r="AE333">
        <f>vlookup("222-175000-000",生产发行表!B:AZ,column(ad1),0)</f>
        <v>0</v>
      </c>
      <c r="AF333">
        <f>vlookup("222-175000-000",生产发行表!B:AZ,column(ae1),0)</f>
        <v>0</v>
      </c>
      <c r="AG333">
        <f>vlookup("222-175000-000",生产发行表!B:AZ,column(af1),0)</f>
        <v>0</v>
      </c>
      <c r="AH333">
        <f>vlookup("222-175000-000",生产发行表!B:AZ,column(ag1),0)</f>
        <v>0</v>
      </c>
      <c r="AI333">
        <f>vlookup("222-175000-000",生产发行表!B:AZ,column(ah1),0)</f>
        <v>0</v>
      </c>
      <c r="AJ333">
        <f>vlookup("222-175000-000",生产发行表!B:AZ,column(ai1),0)</f>
        <v>0</v>
      </c>
      <c r="AK333">
        <f>vlookup("222-175000-000",生产发行表!B:AZ,column(aj1),0)</f>
        <v>0</v>
      </c>
      <c r="AL333">
        <f>vlookup("222-175000-000",生产发行表!B:AZ,column(ak1),0)</f>
        <v>0</v>
      </c>
      <c r="AM333">
        <f>vlookup("222-175000-000",生产发行表!B:AZ,column(al1),0)</f>
        <v>0</v>
      </c>
      <c r="AN333">
        <f>vlookup("222-175000-000",生产发行表!B:AZ,column(am1),0)</f>
        <v>0</v>
      </c>
      <c r="AO333">
        <f>vlookup("222-175000-000",生产发行表!B:AZ,column(an1),0)</f>
        <v>0</v>
      </c>
      <c r="AP333">
        <f>vlookup("222-175000-000",生产发行表!B:AZ,column(ao1),0)</f>
        <v>0</v>
      </c>
      <c r="AQ333">
        <f>vlookup("222-175000-000",生产发行表!B:AZ,column(ap1),0)</f>
        <v>0</v>
      </c>
      <c r="AR333">
        <f>vlookup("222-175000-000",生产发行表!B:AZ,column(aq1),0)</f>
        <v>0</v>
      </c>
    </row>
    <row r="334" spans="1:44">
      <c r="A334" t="s">
        <v>14</v>
      </c>
      <c r="B334" t="s">
        <v>606</v>
      </c>
      <c r="C334" t="s">
        <v>607</v>
      </c>
      <c r="F334" t="s">
        <v>605</v>
      </c>
      <c r="K334" t="s">
        <v>657</v>
      </c>
      <c r="L334" t="s">
        <v>21</v>
      </c>
      <c r="M334">
        <f>vlookup("852-189000-112",生产发行表!B:AZ,column(l1),0)</f>
        <v>0</v>
      </c>
      <c r="N334">
        <f>vlookup("852-189000-112",生产发行表!B:AZ,column(m1),0)</f>
        <v>0</v>
      </c>
      <c r="O334">
        <f>vlookup("852-189000-112",生产发行表!B:AZ,column(n1),0)</f>
        <v>0</v>
      </c>
      <c r="P334">
        <f>vlookup("852-189000-112",生产发行表!B:AZ,column(o1),0)</f>
        <v>0</v>
      </c>
      <c r="Q334">
        <f>vlookup("852-189000-112",生产发行表!B:AZ,column(p1),0)</f>
        <v>0</v>
      </c>
      <c r="R334">
        <f>vlookup("852-189000-112",生产发行表!B:AZ,column(q1),0)</f>
        <v>0</v>
      </c>
      <c r="S334">
        <f>vlookup("852-189000-112",生产发行表!B:AZ,column(r1),0)</f>
        <v>0</v>
      </c>
      <c r="T334">
        <f>vlookup("852-189000-112",生产发行表!B:AZ,column(s1),0)</f>
        <v>0</v>
      </c>
      <c r="U334">
        <f>vlookup("852-189000-112",生产发行表!B:AZ,column(t1),0)</f>
        <v>0</v>
      </c>
      <c r="V334">
        <f>vlookup("852-189000-112",生产发行表!B:AZ,column(u1),0)</f>
        <v>0</v>
      </c>
      <c r="W334">
        <f>vlookup("852-189000-112",生产发行表!B:AZ,column(v1),0)</f>
        <v>0</v>
      </c>
      <c r="X334">
        <f>vlookup("852-189000-112",生产发行表!B:AZ,column(w1),0)</f>
        <v>0</v>
      </c>
      <c r="Y334">
        <f>vlookup("852-189000-112",生产发行表!B:AZ,column(x1),0)</f>
        <v>0</v>
      </c>
      <c r="Z334">
        <f>vlookup("852-189000-112",生产发行表!B:AZ,column(y1),0)</f>
        <v>0</v>
      </c>
      <c r="AA334">
        <f>vlookup("852-189000-112",生产发行表!B:AZ,column(z1),0)</f>
        <v>0</v>
      </c>
      <c r="AB334">
        <f>vlookup("852-189000-112",生产发行表!B:AZ,column(aa1),0)</f>
        <v>0</v>
      </c>
      <c r="AC334">
        <f>vlookup("852-189000-112",生产发行表!B:AZ,column(ab1),0)</f>
        <v>0</v>
      </c>
      <c r="AD334">
        <f>vlookup("852-189000-112",生产发行表!B:AZ,column(ac1),0)</f>
        <v>0</v>
      </c>
      <c r="AE334">
        <f>vlookup("852-189000-112",生产发行表!B:AZ,column(ad1),0)</f>
        <v>0</v>
      </c>
      <c r="AF334">
        <f>vlookup("852-189000-112",生产发行表!B:AZ,column(ae1),0)</f>
        <v>0</v>
      </c>
      <c r="AG334">
        <f>vlookup("852-189000-112",生产发行表!B:AZ,column(af1),0)</f>
        <v>0</v>
      </c>
      <c r="AH334">
        <f>vlookup("852-189000-112",生产发行表!B:AZ,column(ag1),0)</f>
        <v>0</v>
      </c>
      <c r="AI334">
        <f>vlookup("852-189000-112",生产发行表!B:AZ,column(ah1),0)</f>
        <v>0</v>
      </c>
      <c r="AJ334">
        <f>vlookup("852-189000-112",生产发行表!B:AZ,column(ai1),0)</f>
        <v>0</v>
      </c>
      <c r="AK334">
        <f>vlookup("852-189000-112",生产发行表!B:AZ,column(aj1),0)</f>
        <v>0</v>
      </c>
      <c r="AL334">
        <f>vlookup("852-189000-112",生产发行表!B:AZ,column(ak1),0)</f>
        <v>0</v>
      </c>
      <c r="AM334">
        <f>vlookup("852-189000-112",生产发行表!B:AZ,column(al1),0)</f>
        <v>0</v>
      </c>
      <c r="AN334">
        <f>vlookup("852-189000-112",生产发行表!B:AZ,column(am1),0)</f>
        <v>0</v>
      </c>
      <c r="AO334">
        <f>vlookup("852-189000-112",生产发行表!B:AZ,column(an1),0)</f>
        <v>0</v>
      </c>
      <c r="AP334">
        <f>vlookup("852-189000-112",生产发行表!B:AZ,column(ao1),0)</f>
        <v>0</v>
      </c>
      <c r="AQ334">
        <f>vlookup("852-189000-112",生产发行表!B:AZ,column(ap1),0)</f>
        <v>0</v>
      </c>
      <c r="AR334">
        <f>vlookup("852-189000-112",生产发行表!B:AZ,column(aq1),0)</f>
        <v>0</v>
      </c>
    </row>
    <row r="335" spans="1:44">
      <c r="A335" t="s">
        <v>14</v>
      </c>
      <c r="B335" t="s">
        <v>609</v>
      </c>
      <c r="C335" t="s">
        <v>610</v>
      </c>
      <c r="E335" t="s">
        <v>444</v>
      </c>
      <c r="F335" t="s">
        <v>608</v>
      </c>
      <c r="K335" t="s">
        <v>657</v>
      </c>
      <c r="L335" t="s">
        <v>21</v>
      </c>
      <c r="M335">
        <f>vlookup("222-172000-000",生产发行表!B:AZ,column(l1),0)</f>
        <v>0</v>
      </c>
      <c r="N335">
        <f>vlookup("222-172000-000",生产发行表!B:AZ,column(m1),0)</f>
        <v>0</v>
      </c>
      <c r="O335">
        <f>vlookup("222-172000-000",生产发行表!B:AZ,column(n1),0)</f>
        <v>0</v>
      </c>
      <c r="P335">
        <f>vlookup("222-172000-000",生产发行表!B:AZ,column(o1),0)</f>
        <v>0</v>
      </c>
      <c r="Q335">
        <f>vlookup("222-172000-000",生产发行表!B:AZ,column(p1),0)</f>
        <v>0</v>
      </c>
      <c r="R335">
        <f>vlookup("222-172000-000",生产发行表!B:AZ,column(q1),0)</f>
        <v>0</v>
      </c>
      <c r="S335">
        <f>vlookup("222-172000-000",生产发行表!B:AZ,column(r1),0)</f>
        <v>0</v>
      </c>
      <c r="T335">
        <f>vlookup("222-172000-000",生产发行表!B:AZ,column(s1),0)</f>
        <v>0</v>
      </c>
      <c r="U335">
        <f>vlookup("222-172000-000",生产发行表!B:AZ,column(t1),0)</f>
        <v>0</v>
      </c>
      <c r="V335">
        <f>vlookup("222-172000-000",生产发行表!B:AZ,column(u1),0)</f>
        <v>0</v>
      </c>
      <c r="W335">
        <f>vlookup("222-172000-000",生产发行表!B:AZ,column(v1),0)</f>
        <v>0</v>
      </c>
      <c r="X335">
        <f>vlookup("222-172000-000",生产发行表!B:AZ,column(w1),0)</f>
        <v>0</v>
      </c>
      <c r="Y335">
        <f>vlookup("222-172000-000",生产发行表!B:AZ,column(x1),0)</f>
        <v>0</v>
      </c>
      <c r="Z335">
        <f>vlookup("222-172000-000",生产发行表!B:AZ,column(y1),0)</f>
        <v>0</v>
      </c>
      <c r="AA335">
        <f>vlookup("222-172000-000",生产发行表!B:AZ,column(z1),0)</f>
        <v>0</v>
      </c>
      <c r="AB335">
        <f>vlookup("222-172000-000",生产发行表!B:AZ,column(aa1),0)</f>
        <v>0</v>
      </c>
      <c r="AC335">
        <f>vlookup("222-172000-000",生产发行表!B:AZ,column(ab1),0)</f>
        <v>0</v>
      </c>
      <c r="AD335">
        <f>vlookup("222-172000-000",生产发行表!B:AZ,column(ac1),0)</f>
        <v>0</v>
      </c>
      <c r="AE335">
        <f>vlookup("222-172000-000",生产发行表!B:AZ,column(ad1),0)</f>
        <v>0</v>
      </c>
      <c r="AF335">
        <f>vlookup("222-172000-000",生产发行表!B:AZ,column(ae1),0)</f>
        <v>0</v>
      </c>
      <c r="AG335">
        <f>vlookup("222-172000-000",生产发行表!B:AZ,column(af1),0)</f>
        <v>0</v>
      </c>
      <c r="AH335">
        <f>vlookup("222-172000-000",生产发行表!B:AZ,column(ag1),0)</f>
        <v>0</v>
      </c>
      <c r="AI335">
        <f>vlookup("222-172000-000",生产发行表!B:AZ,column(ah1),0)</f>
        <v>0</v>
      </c>
      <c r="AJ335">
        <f>vlookup("222-172000-000",生产发行表!B:AZ,column(ai1),0)</f>
        <v>0</v>
      </c>
      <c r="AK335">
        <f>vlookup("222-172000-000",生产发行表!B:AZ,column(aj1),0)</f>
        <v>0</v>
      </c>
      <c r="AL335">
        <f>vlookup("222-172000-000",生产发行表!B:AZ,column(ak1),0)</f>
        <v>0</v>
      </c>
      <c r="AM335">
        <f>vlookup("222-172000-000",生产发行表!B:AZ,column(al1),0)</f>
        <v>0</v>
      </c>
      <c r="AN335">
        <f>vlookup("222-172000-000",生产发行表!B:AZ,column(am1),0)</f>
        <v>0</v>
      </c>
      <c r="AO335">
        <f>vlookup("222-172000-000",生产发行表!B:AZ,column(an1),0)</f>
        <v>0</v>
      </c>
      <c r="AP335">
        <f>vlookup("222-172000-000",生产发行表!B:AZ,column(ao1),0)</f>
        <v>0</v>
      </c>
      <c r="AQ335">
        <f>vlookup("222-172000-000",生产发行表!B:AZ,column(ap1),0)</f>
        <v>0</v>
      </c>
      <c r="AR335">
        <f>vlookup("222-172000-000",生产发行表!B:AZ,column(aq1),0)</f>
        <v>0</v>
      </c>
    </row>
    <row r="336" spans="1:44">
      <c r="A336" t="s">
        <v>14</v>
      </c>
      <c r="B336" t="s">
        <v>612</v>
      </c>
      <c r="C336" t="s">
        <v>613</v>
      </c>
      <c r="E336" t="s">
        <v>444</v>
      </c>
      <c r="F336" t="s">
        <v>611</v>
      </c>
      <c r="K336" t="s">
        <v>657</v>
      </c>
      <c r="L336" t="s">
        <v>21</v>
      </c>
      <c r="M336">
        <f>vlookup("272-029800-000",生产发行表!B:AZ,column(l1),0)</f>
        <v>0</v>
      </c>
      <c r="N336">
        <f>vlookup("272-029800-000",生产发行表!B:AZ,column(m1),0)</f>
        <v>0</v>
      </c>
      <c r="O336">
        <f>vlookup("272-029800-000",生产发行表!B:AZ,column(n1),0)</f>
        <v>0</v>
      </c>
      <c r="P336">
        <f>vlookup("272-029800-000",生产发行表!B:AZ,column(o1),0)</f>
        <v>0</v>
      </c>
      <c r="Q336">
        <f>vlookup("272-029800-000",生产发行表!B:AZ,column(p1),0)</f>
        <v>0</v>
      </c>
      <c r="R336">
        <f>vlookup("272-029800-000",生产发行表!B:AZ,column(q1),0)</f>
        <v>0</v>
      </c>
      <c r="S336">
        <f>vlookup("272-029800-000",生产发行表!B:AZ,column(r1),0)</f>
        <v>0</v>
      </c>
      <c r="T336">
        <f>vlookup("272-029800-000",生产发行表!B:AZ,column(s1),0)</f>
        <v>0</v>
      </c>
      <c r="U336">
        <f>vlookup("272-029800-000",生产发行表!B:AZ,column(t1),0)</f>
        <v>0</v>
      </c>
      <c r="V336">
        <f>vlookup("272-029800-000",生产发行表!B:AZ,column(u1),0)</f>
        <v>0</v>
      </c>
      <c r="W336">
        <f>vlookup("272-029800-000",生产发行表!B:AZ,column(v1),0)</f>
        <v>0</v>
      </c>
      <c r="X336">
        <f>vlookup("272-029800-000",生产发行表!B:AZ,column(w1),0)</f>
        <v>0</v>
      </c>
      <c r="Y336">
        <f>vlookup("272-029800-000",生产发行表!B:AZ,column(x1),0)</f>
        <v>0</v>
      </c>
      <c r="Z336">
        <f>vlookup("272-029800-000",生产发行表!B:AZ,column(y1),0)</f>
        <v>0</v>
      </c>
      <c r="AA336">
        <f>vlookup("272-029800-000",生产发行表!B:AZ,column(z1),0)</f>
        <v>0</v>
      </c>
      <c r="AB336">
        <f>vlookup("272-029800-000",生产发行表!B:AZ,column(aa1),0)</f>
        <v>0</v>
      </c>
      <c r="AC336">
        <f>vlookup("272-029800-000",生产发行表!B:AZ,column(ab1),0)</f>
        <v>0</v>
      </c>
      <c r="AD336">
        <f>vlookup("272-029800-000",生产发行表!B:AZ,column(ac1),0)</f>
        <v>0</v>
      </c>
      <c r="AE336">
        <f>vlookup("272-029800-000",生产发行表!B:AZ,column(ad1),0)</f>
        <v>0</v>
      </c>
      <c r="AF336">
        <f>vlookup("272-029800-000",生产发行表!B:AZ,column(ae1),0)</f>
        <v>0</v>
      </c>
      <c r="AG336">
        <f>vlookup("272-029800-000",生产发行表!B:AZ,column(af1),0)</f>
        <v>0</v>
      </c>
      <c r="AH336">
        <f>vlookup("272-029800-000",生产发行表!B:AZ,column(ag1),0)</f>
        <v>0</v>
      </c>
      <c r="AI336">
        <f>vlookup("272-029800-000",生产发行表!B:AZ,column(ah1),0)</f>
        <v>0</v>
      </c>
      <c r="AJ336">
        <f>vlookup("272-029800-000",生产发行表!B:AZ,column(ai1),0)</f>
        <v>0</v>
      </c>
      <c r="AK336">
        <f>vlookup("272-029800-000",生产发行表!B:AZ,column(aj1),0)</f>
        <v>0</v>
      </c>
      <c r="AL336">
        <f>vlookup("272-029800-000",生产发行表!B:AZ,column(ak1),0)</f>
        <v>0</v>
      </c>
      <c r="AM336">
        <f>vlookup("272-029800-000",生产发行表!B:AZ,column(al1),0)</f>
        <v>0</v>
      </c>
      <c r="AN336">
        <f>vlookup("272-029800-000",生产发行表!B:AZ,column(am1),0)</f>
        <v>0</v>
      </c>
      <c r="AO336">
        <f>vlookup("272-029800-000",生产发行表!B:AZ,column(an1),0)</f>
        <v>0</v>
      </c>
      <c r="AP336">
        <f>vlookup("272-029800-000",生产发行表!B:AZ,column(ao1),0)</f>
        <v>0</v>
      </c>
      <c r="AQ336">
        <f>vlookup("272-029800-000",生产发行表!B:AZ,column(ap1),0)</f>
        <v>0</v>
      </c>
      <c r="AR336">
        <f>vlookup("272-029800-000",生产发行表!B:AZ,column(aq1),0)</f>
        <v>0</v>
      </c>
    </row>
    <row r="337" spans="1:44">
      <c r="A337" t="s">
        <v>14</v>
      </c>
      <c r="B337" t="s">
        <v>597</v>
      </c>
      <c r="C337" t="s">
        <v>598</v>
      </c>
      <c r="F337" t="s">
        <v>596</v>
      </c>
      <c r="K337" t="s">
        <v>657</v>
      </c>
      <c r="L337" t="s">
        <v>21</v>
      </c>
      <c r="M337">
        <f>vlookup("262-002200-000",生产发行表!B:AZ,column(l1),0)</f>
        <v>0</v>
      </c>
      <c r="N337">
        <f>vlookup("262-002200-000",生产发行表!B:AZ,column(m1),0)</f>
        <v>0</v>
      </c>
      <c r="O337">
        <f>vlookup("262-002200-000",生产发行表!B:AZ,column(n1),0)</f>
        <v>0</v>
      </c>
      <c r="P337">
        <f>vlookup("262-002200-000",生产发行表!B:AZ,column(o1),0)</f>
        <v>0</v>
      </c>
      <c r="Q337">
        <f>vlookup("262-002200-000",生产发行表!B:AZ,column(p1),0)</f>
        <v>0</v>
      </c>
      <c r="R337">
        <f>vlookup("262-002200-000",生产发行表!B:AZ,column(q1),0)</f>
        <v>0</v>
      </c>
      <c r="S337">
        <f>vlookup("262-002200-000",生产发行表!B:AZ,column(r1),0)</f>
        <v>0</v>
      </c>
      <c r="T337">
        <f>vlookup("262-002200-000",生产发行表!B:AZ,column(s1),0)</f>
        <v>0</v>
      </c>
      <c r="U337">
        <f>vlookup("262-002200-000",生产发行表!B:AZ,column(t1),0)</f>
        <v>0</v>
      </c>
      <c r="V337">
        <f>vlookup("262-002200-000",生产发行表!B:AZ,column(u1),0)</f>
        <v>0</v>
      </c>
      <c r="W337">
        <f>vlookup("262-002200-000",生产发行表!B:AZ,column(v1),0)</f>
        <v>0</v>
      </c>
      <c r="X337">
        <f>vlookup("262-002200-000",生产发行表!B:AZ,column(w1),0)</f>
        <v>0</v>
      </c>
      <c r="Y337">
        <f>vlookup("262-002200-000",生产发行表!B:AZ,column(x1),0)</f>
        <v>0</v>
      </c>
      <c r="Z337">
        <f>vlookup("262-002200-000",生产发行表!B:AZ,column(y1),0)</f>
        <v>0</v>
      </c>
      <c r="AA337">
        <f>vlookup("262-002200-000",生产发行表!B:AZ,column(z1),0)</f>
        <v>0</v>
      </c>
      <c r="AB337">
        <f>vlookup("262-002200-000",生产发行表!B:AZ,column(aa1),0)</f>
        <v>0</v>
      </c>
      <c r="AC337">
        <f>vlookup("262-002200-000",生产发行表!B:AZ,column(ab1),0)</f>
        <v>0</v>
      </c>
      <c r="AD337">
        <f>vlookup("262-002200-000",生产发行表!B:AZ,column(ac1),0)</f>
        <v>0</v>
      </c>
      <c r="AE337">
        <f>vlookup("262-002200-000",生产发行表!B:AZ,column(ad1),0)</f>
        <v>0</v>
      </c>
      <c r="AF337">
        <f>vlookup("262-002200-000",生产发行表!B:AZ,column(ae1),0)</f>
        <v>0</v>
      </c>
      <c r="AG337">
        <f>vlookup("262-002200-000",生产发行表!B:AZ,column(af1),0)</f>
        <v>0</v>
      </c>
      <c r="AH337">
        <f>vlookup("262-002200-000",生产发行表!B:AZ,column(ag1),0)</f>
        <v>0</v>
      </c>
      <c r="AI337">
        <f>vlookup("262-002200-000",生产发行表!B:AZ,column(ah1),0)</f>
        <v>0</v>
      </c>
      <c r="AJ337">
        <f>vlookup("262-002200-000",生产发行表!B:AZ,column(ai1),0)</f>
        <v>0</v>
      </c>
      <c r="AK337">
        <f>vlookup("262-002200-000",生产发行表!B:AZ,column(aj1),0)</f>
        <v>0</v>
      </c>
      <c r="AL337">
        <f>vlookup("262-002200-000",生产发行表!B:AZ,column(ak1),0)</f>
        <v>0</v>
      </c>
      <c r="AM337">
        <f>vlookup("262-002200-000",生产发行表!B:AZ,column(al1),0)</f>
        <v>0</v>
      </c>
      <c r="AN337">
        <f>vlookup("262-002200-000",生产发行表!B:AZ,column(am1),0)</f>
        <v>0</v>
      </c>
      <c r="AO337">
        <f>vlookup("262-002200-000",生产发行表!B:AZ,column(an1),0)</f>
        <v>0</v>
      </c>
      <c r="AP337">
        <f>vlookup("262-002200-000",生产发行表!B:AZ,column(ao1),0)</f>
        <v>0</v>
      </c>
      <c r="AQ337">
        <f>vlookup("262-002200-000",生产发行表!B:AZ,column(ap1),0)</f>
        <v>0</v>
      </c>
      <c r="AR337">
        <f>vlookup("262-002200-000",生产发行表!B:AZ,column(aq1),0)</f>
        <v>0</v>
      </c>
    </row>
    <row r="338" spans="1:44">
      <c r="A338" t="s">
        <v>14</v>
      </c>
      <c r="B338" t="s">
        <v>615</v>
      </c>
      <c r="C338" t="s">
        <v>616</v>
      </c>
      <c r="E338" t="s">
        <v>444</v>
      </c>
      <c r="F338" t="s">
        <v>614</v>
      </c>
      <c r="K338" t="s">
        <v>657</v>
      </c>
      <c r="L338" t="s">
        <v>21</v>
      </c>
      <c r="M338">
        <f>vlookup("222-176000-000",生产发行表!B:AZ,column(l1),0)</f>
        <v>0</v>
      </c>
      <c r="N338">
        <f>vlookup("222-176000-000",生产发行表!B:AZ,column(m1),0)</f>
        <v>0</v>
      </c>
      <c r="O338">
        <f>vlookup("222-176000-000",生产发行表!B:AZ,column(n1),0)</f>
        <v>0</v>
      </c>
      <c r="P338">
        <f>vlookup("222-176000-000",生产发行表!B:AZ,column(o1),0)</f>
        <v>0</v>
      </c>
      <c r="Q338">
        <f>vlookup("222-176000-000",生产发行表!B:AZ,column(p1),0)</f>
        <v>0</v>
      </c>
      <c r="R338">
        <f>vlookup("222-176000-000",生产发行表!B:AZ,column(q1),0)</f>
        <v>0</v>
      </c>
      <c r="S338">
        <f>vlookup("222-176000-000",生产发行表!B:AZ,column(r1),0)</f>
        <v>0</v>
      </c>
      <c r="T338">
        <f>vlookup("222-176000-000",生产发行表!B:AZ,column(s1),0)</f>
        <v>0</v>
      </c>
      <c r="U338">
        <f>vlookup("222-176000-000",生产发行表!B:AZ,column(t1),0)</f>
        <v>0</v>
      </c>
      <c r="V338">
        <f>vlookup("222-176000-000",生产发行表!B:AZ,column(u1),0)</f>
        <v>0</v>
      </c>
      <c r="W338">
        <f>vlookup("222-176000-000",生产发行表!B:AZ,column(v1),0)</f>
        <v>0</v>
      </c>
      <c r="X338">
        <f>vlookup("222-176000-000",生产发行表!B:AZ,column(w1),0)</f>
        <v>0</v>
      </c>
      <c r="Y338">
        <f>vlookup("222-176000-000",生产发行表!B:AZ,column(x1),0)</f>
        <v>0</v>
      </c>
      <c r="Z338">
        <f>vlookup("222-176000-000",生产发行表!B:AZ,column(y1),0)</f>
        <v>0</v>
      </c>
      <c r="AA338">
        <f>vlookup("222-176000-000",生产发行表!B:AZ,column(z1),0)</f>
        <v>0</v>
      </c>
      <c r="AB338">
        <f>vlookup("222-176000-000",生产发行表!B:AZ,column(aa1),0)</f>
        <v>0</v>
      </c>
      <c r="AC338">
        <f>vlookup("222-176000-000",生产发行表!B:AZ,column(ab1),0)</f>
        <v>0</v>
      </c>
      <c r="AD338">
        <f>vlookup("222-176000-000",生产发行表!B:AZ,column(ac1),0)</f>
        <v>0</v>
      </c>
      <c r="AE338">
        <f>vlookup("222-176000-000",生产发行表!B:AZ,column(ad1),0)</f>
        <v>0</v>
      </c>
      <c r="AF338">
        <f>vlookup("222-176000-000",生产发行表!B:AZ,column(ae1),0)</f>
        <v>0</v>
      </c>
      <c r="AG338">
        <f>vlookup("222-176000-000",生产发行表!B:AZ,column(af1),0)</f>
        <v>0</v>
      </c>
      <c r="AH338">
        <f>vlookup("222-176000-000",生产发行表!B:AZ,column(ag1),0)</f>
        <v>0</v>
      </c>
      <c r="AI338">
        <f>vlookup("222-176000-000",生产发行表!B:AZ,column(ah1),0)</f>
        <v>0</v>
      </c>
      <c r="AJ338">
        <f>vlookup("222-176000-000",生产发行表!B:AZ,column(ai1),0)</f>
        <v>0</v>
      </c>
      <c r="AK338">
        <f>vlookup("222-176000-000",生产发行表!B:AZ,column(aj1),0)</f>
        <v>0</v>
      </c>
      <c r="AL338">
        <f>vlookup("222-176000-000",生产发行表!B:AZ,column(ak1),0)</f>
        <v>0</v>
      </c>
      <c r="AM338">
        <f>vlookup("222-176000-000",生产发行表!B:AZ,column(al1),0)</f>
        <v>0</v>
      </c>
      <c r="AN338">
        <f>vlookup("222-176000-000",生产发行表!B:AZ,column(am1),0)</f>
        <v>0</v>
      </c>
      <c r="AO338">
        <f>vlookup("222-176000-000",生产发行表!B:AZ,column(an1),0)</f>
        <v>0</v>
      </c>
      <c r="AP338">
        <f>vlookup("222-176000-000",生产发行表!B:AZ,column(ao1),0)</f>
        <v>0</v>
      </c>
      <c r="AQ338">
        <f>vlookup("222-176000-000",生产发行表!B:AZ,column(ap1),0)</f>
        <v>0</v>
      </c>
      <c r="AR338">
        <f>vlookup("222-176000-000",生产发行表!B:AZ,column(aq1),0)</f>
        <v>0</v>
      </c>
    </row>
    <row r="339" spans="1:44">
      <c r="A339" t="s">
        <v>14</v>
      </c>
      <c r="B339" t="s">
        <v>618</v>
      </c>
      <c r="C339" t="s">
        <v>619</v>
      </c>
      <c r="E339" t="s">
        <v>444</v>
      </c>
      <c r="F339" t="s">
        <v>617</v>
      </c>
      <c r="K339" t="s">
        <v>657</v>
      </c>
      <c r="L339" t="s">
        <v>21</v>
      </c>
      <c r="M339">
        <f>vlookup("222-177000-000",生产发行表!B:AZ,column(l1),0)</f>
        <v>0</v>
      </c>
      <c r="N339">
        <f>vlookup("222-177000-000",生产发行表!B:AZ,column(m1),0)</f>
        <v>0</v>
      </c>
      <c r="O339">
        <f>vlookup("222-177000-000",生产发行表!B:AZ,column(n1),0)</f>
        <v>0</v>
      </c>
      <c r="P339">
        <f>vlookup("222-177000-000",生产发行表!B:AZ,column(o1),0)</f>
        <v>0</v>
      </c>
      <c r="Q339">
        <f>vlookup("222-177000-000",生产发行表!B:AZ,column(p1),0)</f>
        <v>0</v>
      </c>
      <c r="R339">
        <f>vlookup("222-177000-000",生产发行表!B:AZ,column(q1),0)</f>
        <v>0</v>
      </c>
      <c r="S339">
        <f>vlookup("222-177000-000",生产发行表!B:AZ,column(r1),0)</f>
        <v>0</v>
      </c>
      <c r="T339">
        <f>vlookup("222-177000-000",生产发行表!B:AZ,column(s1),0)</f>
        <v>0</v>
      </c>
      <c r="U339">
        <f>vlookup("222-177000-000",生产发行表!B:AZ,column(t1),0)</f>
        <v>0</v>
      </c>
      <c r="V339">
        <f>vlookup("222-177000-000",生产发行表!B:AZ,column(u1),0)</f>
        <v>0</v>
      </c>
      <c r="W339">
        <f>vlookup("222-177000-000",生产发行表!B:AZ,column(v1),0)</f>
        <v>0</v>
      </c>
      <c r="X339">
        <f>vlookup("222-177000-000",生产发行表!B:AZ,column(w1),0)</f>
        <v>0</v>
      </c>
      <c r="Y339">
        <f>vlookup("222-177000-000",生产发行表!B:AZ,column(x1),0)</f>
        <v>0</v>
      </c>
      <c r="Z339">
        <f>vlookup("222-177000-000",生产发行表!B:AZ,column(y1),0)</f>
        <v>0</v>
      </c>
      <c r="AA339">
        <f>vlookup("222-177000-000",生产发行表!B:AZ,column(z1),0)</f>
        <v>0</v>
      </c>
      <c r="AB339">
        <f>vlookup("222-177000-000",生产发行表!B:AZ,column(aa1),0)</f>
        <v>0</v>
      </c>
      <c r="AC339">
        <f>vlookup("222-177000-000",生产发行表!B:AZ,column(ab1),0)</f>
        <v>0</v>
      </c>
      <c r="AD339">
        <f>vlookup("222-177000-000",生产发行表!B:AZ,column(ac1),0)</f>
        <v>0</v>
      </c>
      <c r="AE339">
        <f>vlookup("222-177000-000",生产发行表!B:AZ,column(ad1),0)</f>
        <v>0</v>
      </c>
      <c r="AF339">
        <f>vlookup("222-177000-000",生产发行表!B:AZ,column(ae1),0)</f>
        <v>0</v>
      </c>
      <c r="AG339">
        <f>vlookup("222-177000-000",生产发行表!B:AZ,column(af1),0)</f>
        <v>0</v>
      </c>
      <c r="AH339">
        <f>vlookup("222-177000-000",生产发行表!B:AZ,column(ag1),0)</f>
        <v>0</v>
      </c>
      <c r="AI339">
        <f>vlookup("222-177000-000",生产发行表!B:AZ,column(ah1),0)</f>
        <v>0</v>
      </c>
      <c r="AJ339">
        <f>vlookup("222-177000-000",生产发行表!B:AZ,column(ai1),0)</f>
        <v>0</v>
      </c>
      <c r="AK339">
        <f>vlookup("222-177000-000",生产发行表!B:AZ,column(aj1),0)</f>
        <v>0</v>
      </c>
      <c r="AL339">
        <f>vlookup("222-177000-000",生产发行表!B:AZ,column(ak1),0)</f>
        <v>0</v>
      </c>
      <c r="AM339">
        <f>vlookup("222-177000-000",生产发行表!B:AZ,column(al1),0)</f>
        <v>0</v>
      </c>
      <c r="AN339">
        <f>vlookup("222-177000-000",生产发行表!B:AZ,column(am1),0)</f>
        <v>0</v>
      </c>
      <c r="AO339">
        <f>vlookup("222-177000-000",生产发行表!B:AZ,column(an1),0)</f>
        <v>0</v>
      </c>
      <c r="AP339">
        <f>vlookup("222-177000-000",生产发行表!B:AZ,column(ao1),0)</f>
        <v>0</v>
      </c>
      <c r="AQ339">
        <f>vlookup("222-177000-000",生产发行表!B:AZ,column(ap1),0)</f>
        <v>0</v>
      </c>
      <c r="AR339">
        <f>vlookup("222-177000-000",生产发行表!B:AZ,column(aq1),0)</f>
        <v>0</v>
      </c>
    </row>
    <row r="340" spans="1:44">
      <c r="A340" t="s">
        <v>14</v>
      </c>
      <c r="B340" t="s">
        <v>352</v>
      </c>
      <c r="C340" t="s">
        <v>353</v>
      </c>
      <c r="E340" t="s">
        <v>620</v>
      </c>
      <c r="F340" t="s">
        <v>621</v>
      </c>
      <c r="K340" t="s">
        <v>657</v>
      </c>
      <c r="L340" t="s">
        <v>21</v>
      </c>
      <c r="M340">
        <f>vlookup("262-000200-000",生产发行表!B:AZ,column(l1),0)</f>
        <v>0</v>
      </c>
      <c r="N340">
        <f>vlookup("262-000200-000",生产发行表!B:AZ,column(m1),0)</f>
        <v>0</v>
      </c>
      <c r="O340">
        <f>vlookup("262-000200-000",生产发行表!B:AZ,column(n1),0)</f>
        <v>0</v>
      </c>
      <c r="P340">
        <f>vlookup("262-000200-000",生产发行表!B:AZ,column(o1),0)</f>
        <v>0</v>
      </c>
      <c r="Q340">
        <f>vlookup("262-000200-000",生产发行表!B:AZ,column(p1),0)</f>
        <v>0</v>
      </c>
      <c r="R340">
        <f>vlookup("262-000200-000",生产发行表!B:AZ,column(q1),0)</f>
        <v>0</v>
      </c>
      <c r="S340">
        <f>vlookup("262-000200-000",生产发行表!B:AZ,column(r1),0)</f>
        <v>0</v>
      </c>
      <c r="T340">
        <f>vlookup("262-000200-000",生产发行表!B:AZ,column(s1),0)</f>
        <v>0</v>
      </c>
      <c r="U340">
        <f>vlookup("262-000200-000",生产发行表!B:AZ,column(t1),0)</f>
        <v>0</v>
      </c>
      <c r="V340">
        <f>vlookup("262-000200-000",生产发行表!B:AZ,column(u1),0)</f>
        <v>0</v>
      </c>
      <c r="W340">
        <f>vlookup("262-000200-000",生产发行表!B:AZ,column(v1),0)</f>
        <v>0</v>
      </c>
      <c r="X340">
        <f>vlookup("262-000200-000",生产发行表!B:AZ,column(w1),0)</f>
        <v>0</v>
      </c>
      <c r="Y340">
        <f>vlookup("262-000200-000",生产发行表!B:AZ,column(x1),0)</f>
        <v>0</v>
      </c>
      <c r="Z340">
        <f>vlookup("262-000200-000",生产发行表!B:AZ,column(y1),0)</f>
        <v>0</v>
      </c>
      <c r="AA340">
        <f>vlookup("262-000200-000",生产发行表!B:AZ,column(z1),0)</f>
        <v>0</v>
      </c>
      <c r="AB340">
        <f>vlookup("262-000200-000",生产发行表!B:AZ,column(aa1),0)</f>
        <v>0</v>
      </c>
      <c r="AC340">
        <f>vlookup("262-000200-000",生产发行表!B:AZ,column(ab1),0)</f>
        <v>0</v>
      </c>
      <c r="AD340">
        <f>vlookup("262-000200-000",生产发行表!B:AZ,column(ac1),0)</f>
        <v>0</v>
      </c>
      <c r="AE340">
        <f>vlookup("262-000200-000",生产发行表!B:AZ,column(ad1),0)</f>
        <v>0</v>
      </c>
      <c r="AF340">
        <f>vlookup("262-000200-000",生产发行表!B:AZ,column(ae1),0)</f>
        <v>0</v>
      </c>
      <c r="AG340">
        <f>vlookup("262-000200-000",生产发行表!B:AZ,column(af1),0)</f>
        <v>0</v>
      </c>
      <c r="AH340">
        <f>vlookup("262-000200-000",生产发行表!B:AZ,column(ag1),0)</f>
        <v>0</v>
      </c>
      <c r="AI340">
        <f>vlookup("262-000200-000",生产发行表!B:AZ,column(ah1),0)</f>
        <v>0</v>
      </c>
      <c r="AJ340">
        <f>vlookup("262-000200-000",生产发行表!B:AZ,column(ai1),0)</f>
        <v>0</v>
      </c>
      <c r="AK340">
        <f>vlookup("262-000200-000",生产发行表!B:AZ,column(aj1),0)</f>
        <v>0</v>
      </c>
      <c r="AL340">
        <f>vlookup("262-000200-000",生产发行表!B:AZ,column(ak1),0)</f>
        <v>0</v>
      </c>
      <c r="AM340">
        <f>vlookup("262-000200-000",生产发行表!B:AZ,column(al1),0)</f>
        <v>0</v>
      </c>
      <c r="AN340">
        <f>vlookup("262-000200-000",生产发行表!B:AZ,column(am1),0)</f>
        <v>0</v>
      </c>
      <c r="AO340">
        <f>vlookup("262-000200-000",生产发行表!B:AZ,column(an1),0)</f>
        <v>0</v>
      </c>
      <c r="AP340">
        <f>vlookup("262-000200-000",生产发行表!B:AZ,column(ao1),0)</f>
        <v>0</v>
      </c>
      <c r="AQ340">
        <f>vlookup("262-000200-000",生产发行表!B:AZ,column(ap1),0)</f>
        <v>0</v>
      </c>
      <c r="AR340">
        <f>vlookup("262-000200-000",生产发行表!B:AZ,column(aq1),0)</f>
        <v>0</v>
      </c>
    </row>
    <row r="341" spans="1:44">
      <c r="A341" t="s">
        <v>14</v>
      </c>
      <c r="B341" t="s">
        <v>623</v>
      </c>
      <c r="C341" t="s">
        <v>624</v>
      </c>
      <c r="E341">
        <v>1</v>
      </c>
      <c r="F341" t="s">
        <v>622</v>
      </c>
      <c r="K341" t="s">
        <v>657</v>
      </c>
      <c r="L341" t="s">
        <v>21</v>
      </c>
      <c r="M341">
        <f>vlookup("272-064000-000",生产发行表!B:AZ,column(l1),0)</f>
        <v>0</v>
      </c>
      <c r="N341">
        <f>vlookup("272-064000-000",生产发行表!B:AZ,column(m1),0)</f>
        <v>0</v>
      </c>
      <c r="O341">
        <f>vlookup("272-064000-000",生产发行表!B:AZ,column(n1),0)</f>
        <v>0</v>
      </c>
      <c r="P341">
        <f>vlookup("272-064000-000",生产发行表!B:AZ,column(o1),0)</f>
        <v>0</v>
      </c>
      <c r="Q341">
        <f>vlookup("272-064000-000",生产发行表!B:AZ,column(p1),0)</f>
        <v>0</v>
      </c>
      <c r="R341">
        <f>vlookup("272-064000-000",生产发行表!B:AZ,column(q1),0)</f>
        <v>0</v>
      </c>
      <c r="S341">
        <f>vlookup("272-064000-000",生产发行表!B:AZ,column(r1),0)</f>
        <v>0</v>
      </c>
      <c r="T341">
        <f>vlookup("272-064000-000",生产发行表!B:AZ,column(s1),0)</f>
        <v>0</v>
      </c>
      <c r="U341">
        <f>vlookup("272-064000-000",生产发行表!B:AZ,column(t1),0)</f>
        <v>0</v>
      </c>
      <c r="V341">
        <f>vlookup("272-064000-000",生产发行表!B:AZ,column(u1),0)</f>
        <v>0</v>
      </c>
      <c r="W341">
        <f>vlookup("272-064000-000",生产发行表!B:AZ,column(v1),0)</f>
        <v>0</v>
      </c>
      <c r="X341">
        <f>vlookup("272-064000-000",生产发行表!B:AZ,column(w1),0)</f>
        <v>0</v>
      </c>
      <c r="Y341">
        <f>vlookup("272-064000-000",生产发行表!B:AZ,column(x1),0)</f>
        <v>0</v>
      </c>
      <c r="Z341">
        <f>vlookup("272-064000-000",生产发行表!B:AZ,column(y1),0)</f>
        <v>0</v>
      </c>
      <c r="AA341">
        <f>vlookup("272-064000-000",生产发行表!B:AZ,column(z1),0)</f>
        <v>0</v>
      </c>
      <c r="AB341">
        <f>vlookup("272-064000-000",生产发行表!B:AZ,column(aa1),0)</f>
        <v>0</v>
      </c>
      <c r="AC341">
        <f>vlookup("272-064000-000",生产发行表!B:AZ,column(ab1),0)</f>
        <v>0</v>
      </c>
      <c r="AD341">
        <f>vlookup("272-064000-000",生产发行表!B:AZ,column(ac1),0)</f>
        <v>0</v>
      </c>
      <c r="AE341">
        <f>vlookup("272-064000-000",生产发行表!B:AZ,column(ad1),0)</f>
        <v>0</v>
      </c>
      <c r="AF341">
        <f>vlookup("272-064000-000",生产发行表!B:AZ,column(ae1),0)</f>
        <v>0</v>
      </c>
      <c r="AG341">
        <f>vlookup("272-064000-000",生产发行表!B:AZ,column(af1),0)</f>
        <v>0</v>
      </c>
      <c r="AH341">
        <f>vlookup("272-064000-000",生产发行表!B:AZ,column(ag1),0)</f>
        <v>0</v>
      </c>
      <c r="AI341">
        <f>vlookup("272-064000-000",生产发行表!B:AZ,column(ah1),0)</f>
        <v>0</v>
      </c>
      <c r="AJ341">
        <f>vlookup("272-064000-000",生产发行表!B:AZ,column(ai1),0)</f>
        <v>0</v>
      </c>
      <c r="AK341">
        <f>vlookup("272-064000-000",生产发行表!B:AZ,column(aj1),0)</f>
        <v>0</v>
      </c>
      <c r="AL341">
        <f>vlookup("272-064000-000",生产发行表!B:AZ,column(ak1),0)</f>
        <v>0</v>
      </c>
      <c r="AM341">
        <f>vlookup("272-064000-000",生产发行表!B:AZ,column(al1),0)</f>
        <v>0</v>
      </c>
      <c r="AN341">
        <f>vlookup("272-064000-000",生产发行表!B:AZ,column(am1),0)</f>
        <v>0</v>
      </c>
      <c r="AO341">
        <f>vlookup("272-064000-000",生产发行表!B:AZ,column(an1),0)</f>
        <v>0</v>
      </c>
      <c r="AP341">
        <f>vlookup("272-064000-000",生产发行表!B:AZ,column(ao1),0)</f>
        <v>0</v>
      </c>
      <c r="AQ341">
        <f>vlookup("272-064000-000",生产发行表!B:AZ,column(ap1),0)</f>
        <v>0</v>
      </c>
      <c r="AR341">
        <f>vlookup("272-064000-000",生产发行表!B:AZ,column(aq1),0)</f>
        <v>0</v>
      </c>
    </row>
    <row r="342" spans="1:44">
      <c r="A342" t="s">
        <v>14</v>
      </c>
      <c r="B342" t="s">
        <v>627</v>
      </c>
      <c r="C342" t="s">
        <v>628</v>
      </c>
      <c r="E342" t="s">
        <v>625</v>
      </c>
      <c r="F342" t="s">
        <v>626</v>
      </c>
      <c r="K342" t="s">
        <v>657</v>
      </c>
      <c r="L342" t="s">
        <v>21</v>
      </c>
      <c r="M342">
        <f>vlookup("232-006500-000",生产发行表!B:AZ,column(l1),0)</f>
        <v>0</v>
      </c>
      <c r="N342">
        <f>vlookup("232-006500-000",生产发行表!B:AZ,column(m1),0)</f>
        <v>0</v>
      </c>
      <c r="O342">
        <f>vlookup("232-006500-000",生产发行表!B:AZ,column(n1),0)</f>
        <v>0</v>
      </c>
      <c r="P342">
        <f>vlookup("232-006500-000",生产发行表!B:AZ,column(o1),0)</f>
        <v>0</v>
      </c>
      <c r="Q342">
        <f>vlookup("232-006500-000",生产发行表!B:AZ,column(p1),0)</f>
        <v>0</v>
      </c>
      <c r="R342">
        <f>vlookup("232-006500-000",生产发行表!B:AZ,column(q1),0)</f>
        <v>0</v>
      </c>
      <c r="S342">
        <f>vlookup("232-006500-000",生产发行表!B:AZ,column(r1),0)</f>
        <v>0</v>
      </c>
      <c r="T342">
        <f>vlookup("232-006500-000",生产发行表!B:AZ,column(s1),0)</f>
        <v>0</v>
      </c>
      <c r="U342">
        <f>vlookup("232-006500-000",生产发行表!B:AZ,column(t1),0)</f>
        <v>0</v>
      </c>
      <c r="V342">
        <f>vlookup("232-006500-000",生产发行表!B:AZ,column(u1),0)</f>
        <v>0</v>
      </c>
      <c r="W342">
        <f>vlookup("232-006500-000",生产发行表!B:AZ,column(v1),0)</f>
        <v>0</v>
      </c>
      <c r="X342">
        <f>vlookup("232-006500-000",生产发行表!B:AZ,column(w1),0)</f>
        <v>0</v>
      </c>
      <c r="Y342">
        <f>vlookup("232-006500-000",生产发行表!B:AZ,column(x1),0)</f>
        <v>0</v>
      </c>
      <c r="Z342">
        <f>vlookup("232-006500-000",生产发行表!B:AZ,column(y1),0)</f>
        <v>0</v>
      </c>
      <c r="AA342">
        <f>vlookup("232-006500-000",生产发行表!B:AZ,column(z1),0)</f>
        <v>0</v>
      </c>
      <c r="AB342">
        <f>vlookup("232-006500-000",生产发行表!B:AZ,column(aa1),0)</f>
        <v>0</v>
      </c>
      <c r="AC342">
        <f>vlookup("232-006500-000",生产发行表!B:AZ,column(ab1),0)</f>
        <v>0</v>
      </c>
      <c r="AD342">
        <f>vlookup("232-006500-000",生产发行表!B:AZ,column(ac1),0)</f>
        <v>0</v>
      </c>
      <c r="AE342">
        <f>vlookup("232-006500-000",生产发行表!B:AZ,column(ad1),0)</f>
        <v>0</v>
      </c>
      <c r="AF342">
        <f>vlookup("232-006500-000",生产发行表!B:AZ,column(ae1),0)</f>
        <v>0</v>
      </c>
      <c r="AG342">
        <f>vlookup("232-006500-000",生产发行表!B:AZ,column(af1),0)</f>
        <v>0</v>
      </c>
      <c r="AH342">
        <f>vlookup("232-006500-000",生产发行表!B:AZ,column(ag1),0)</f>
        <v>0</v>
      </c>
      <c r="AI342">
        <f>vlookup("232-006500-000",生产发行表!B:AZ,column(ah1),0)</f>
        <v>0</v>
      </c>
      <c r="AJ342">
        <f>vlookup("232-006500-000",生产发行表!B:AZ,column(ai1),0)</f>
        <v>0</v>
      </c>
      <c r="AK342">
        <f>vlookup("232-006500-000",生产发行表!B:AZ,column(aj1),0)</f>
        <v>0</v>
      </c>
      <c r="AL342">
        <f>vlookup("232-006500-000",生产发行表!B:AZ,column(ak1),0)</f>
        <v>0</v>
      </c>
      <c r="AM342">
        <f>vlookup("232-006500-000",生产发行表!B:AZ,column(al1),0)</f>
        <v>0</v>
      </c>
      <c r="AN342">
        <f>vlookup("232-006500-000",生产发行表!B:AZ,column(am1),0)</f>
        <v>0</v>
      </c>
      <c r="AO342">
        <f>vlookup("232-006500-000",生产发行表!B:AZ,column(an1),0)</f>
        <v>0</v>
      </c>
      <c r="AP342">
        <f>vlookup("232-006500-000",生产发行表!B:AZ,column(ao1),0)</f>
        <v>0</v>
      </c>
      <c r="AQ342">
        <f>vlookup("232-006500-000",生产发行表!B:AZ,column(ap1),0)</f>
        <v>0</v>
      </c>
      <c r="AR342">
        <f>vlookup("232-006500-000",生产发行表!B:AZ,column(aq1),0)</f>
        <v>0</v>
      </c>
    </row>
    <row r="343" spans="1:44">
      <c r="A343" t="s">
        <v>14</v>
      </c>
      <c r="B343" t="s">
        <v>321</v>
      </c>
      <c r="C343" t="s">
        <v>629</v>
      </c>
      <c r="E343" t="s">
        <v>30</v>
      </c>
      <c r="F343" t="s">
        <v>323</v>
      </c>
      <c r="K343" t="s">
        <v>657</v>
      </c>
      <c r="L343" t="s">
        <v>21</v>
      </c>
      <c r="M343">
        <f>vlookup("222-014500-000",生产发行表!B:AZ,column(l1),0)</f>
        <v>0</v>
      </c>
      <c r="N343">
        <f>vlookup("222-014500-000",生产发行表!B:AZ,column(m1),0)</f>
        <v>0</v>
      </c>
      <c r="O343">
        <f>vlookup("222-014500-000",生产发行表!B:AZ,column(n1),0)</f>
        <v>0</v>
      </c>
      <c r="P343">
        <f>vlookup("222-014500-000",生产发行表!B:AZ,column(o1),0)</f>
        <v>0</v>
      </c>
      <c r="Q343">
        <f>vlookup("222-014500-000",生产发行表!B:AZ,column(p1),0)</f>
        <v>0</v>
      </c>
      <c r="R343">
        <f>vlookup("222-014500-000",生产发行表!B:AZ,column(q1),0)</f>
        <v>0</v>
      </c>
      <c r="S343">
        <f>vlookup("222-014500-000",生产发行表!B:AZ,column(r1),0)</f>
        <v>0</v>
      </c>
      <c r="T343">
        <f>vlookup("222-014500-000",生产发行表!B:AZ,column(s1),0)</f>
        <v>0</v>
      </c>
      <c r="U343">
        <f>vlookup("222-014500-000",生产发行表!B:AZ,column(t1),0)</f>
        <v>0</v>
      </c>
      <c r="V343">
        <f>vlookup("222-014500-000",生产发行表!B:AZ,column(u1),0)</f>
        <v>0</v>
      </c>
      <c r="W343">
        <f>vlookup("222-014500-000",生产发行表!B:AZ,column(v1),0)</f>
        <v>0</v>
      </c>
      <c r="X343">
        <f>vlookup("222-014500-000",生产发行表!B:AZ,column(w1),0)</f>
        <v>0</v>
      </c>
      <c r="Y343">
        <f>vlookup("222-014500-000",生产发行表!B:AZ,column(x1),0)</f>
        <v>0</v>
      </c>
      <c r="Z343">
        <f>vlookup("222-014500-000",生产发行表!B:AZ,column(y1),0)</f>
        <v>0</v>
      </c>
      <c r="AA343">
        <f>vlookup("222-014500-000",生产发行表!B:AZ,column(z1),0)</f>
        <v>0</v>
      </c>
      <c r="AB343">
        <f>vlookup("222-014500-000",生产发行表!B:AZ,column(aa1),0)</f>
        <v>0</v>
      </c>
      <c r="AC343">
        <f>vlookup("222-014500-000",生产发行表!B:AZ,column(ab1),0)</f>
        <v>0</v>
      </c>
      <c r="AD343">
        <f>vlookup("222-014500-000",生产发行表!B:AZ,column(ac1),0)</f>
        <v>0</v>
      </c>
      <c r="AE343">
        <f>vlookup("222-014500-000",生产发行表!B:AZ,column(ad1),0)</f>
        <v>0</v>
      </c>
      <c r="AF343">
        <f>vlookup("222-014500-000",生产发行表!B:AZ,column(ae1),0)</f>
        <v>0</v>
      </c>
      <c r="AG343">
        <f>vlookup("222-014500-000",生产发行表!B:AZ,column(af1),0)</f>
        <v>0</v>
      </c>
      <c r="AH343">
        <f>vlookup("222-014500-000",生产发行表!B:AZ,column(ag1),0)</f>
        <v>0</v>
      </c>
      <c r="AI343">
        <f>vlookup("222-014500-000",生产发行表!B:AZ,column(ah1),0)</f>
        <v>0</v>
      </c>
      <c r="AJ343">
        <f>vlookup("222-014500-000",生产发行表!B:AZ,column(ai1),0)</f>
        <v>0</v>
      </c>
      <c r="AK343">
        <f>vlookup("222-014500-000",生产发行表!B:AZ,column(aj1),0)</f>
        <v>0</v>
      </c>
      <c r="AL343">
        <f>vlookup("222-014500-000",生产发行表!B:AZ,column(ak1),0)</f>
        <v>0</v>
      </c>
      <c r="AM343">
        <f>vlookup("222-014500-000",生产发行表!B:AZ,column(al1),0)</f>
        <v>0</v>
      </c>
      <c r="AN343">
        <f>vlookup("222-014500-000",生产发行表!B:AZ,column(am1),0)</f>
        <v>0</v>
      </c>
      <c r="AO343">
        <f>vlookup("222-014500-000",生产发行表!B:AZ,column(an1),0)</f>
        <v>0</v>
      </c>
      <c r="AP343">
        <f>vlookup("222-014500-000",生产发行表!B:AZ,column(ao1),0)</f>
        <v>0</v>
      </c>
      <c r="AQ343">
        <f>vlookup("222-014500-000",生产发行表!B:AZ,column(ap1),0)</f>
        <v>0</v>
      </c>
      <c r="AR343">
        <f>vlookup("222-014500-000",生产发行表!B:AZ,column(aq1),0)</f>
        <v>0</v>
      </c>
    </row>
    <row r="344" spans="1:44">
      <c r="A344" t="s">
        <v>14</v>
      </c>
      <c r="B344" t="s">
        <v>631</v>
      </c>
      <c r="C344" t="s">
        <v>632</v>
      </c>
      <c r="E344" t="s">
        <v>238</v>
      </c>
      <c r="F344" t="s">
        <v>630</v>
      </c>
      <c r="K344" t="s">
        <v>657</v>
      </c>
      <c r="L344" t="s">
        <v>21</v>
      </c>
      <c r="M344">
        <f>vlookup("211-016500-000",生产发行表!B:AZ,column(l1),0)</f>
        <v>0</v>
      </c>
      <c r="N344">
        <f>vlookup("211-016500-000",生产发行表!B:AZ,column(m1),0)</f>
        <v>0</v>
      </c>
      <c r="O344">
        <f>vlookup("211-016500-000",生产发行表!B:AZ,column(n1),0)</f>
        <v>0</v>
      </c>
      <c r="P344">
        <f>vlookup("211-016500-000",生产发行表!B:AZ,column(o1),0)</f>
        <v>0</v>
      </c>
      <c r="Q344">
        <f>vlookup("211-016500-000",生产发行表!B:AZ,column(p1),0)</f>
        <v>0</v>
      </c>
      <c r="R344">
        <f>vlookup("211-016500-000",生产发行表!B:AZ,column(q1),0)</f>
        <v>0</v>
      </c>
      <c r="S344">
        <f>vlookup("211-016500-000",生产发行表!B:AZ,column(r1),0)</f>
        <v>0</v>
      </c>
      <c r="T344">
        <f>vlookup("211-016500-000",生产发行表!B:AZ,column(s1),0)</f>
        <v>0</v>
      </c>
      <c r="U344">
        <f>vlookup("211-016500-000",生产发行表!B:AZ,column(t1),0)</f>
        <v>0</v>
      </c>
      <c r="V344">
        <f>vlookup("211-016500-000",生产发行表!B:AZ,column(u1),0)</f>
        <v>0</v>
      </c>
      <c r="W344">
        <f>vlookup("211-016500-000",生产发行表!B:AZ,column(v1),0)</f>
        <v>0</v>
      </c>
      <c r="X344">
        <f>vlookup("211-016500-000",生产发行表!B:AZ,column(w1),0)</f>
        <v>0</v>
      </c>
      <c r="Y344">
        <f>vlookup("211-016500-000",生产发行表!B:AZ,column(x1),0)</f>
        <v>0</v>
      </c>
      <c r="Z344">
        <f>vlookup("211-016500-000",生产发行表!B:AZ,column(y1),0)</f>
        <v>0</v>
      </c>
      <c r="AA344">
        <f>vlookup("211-016500-000",生产发行表!B:AZ,column(z1),0)</f>
        <v>0</v>
      </c>
      <c r="AB344">
        <f>vlookup("211-016500-000",生产发行表!B:AZ,column(aa1),0)</f>
        <v>0</v>
      </c>
      <c r="AC344">
        <f>vlookup("211-016500-000",生产发行表!B:AZ,column(ab1),0)</f>
        <v>0</v>
      </c>
      <c r="AD344">
        <f>vlookup("211-016500-000",生产发行表!B:AZ,column(ac1),0)</f>
        <v>0</v>
      </c>
      <c r="AE344">
        <f>vlookup("211-016500-000",生产发行表!B:AZ,column(ad1),0)</f>
        <v>0</v>
      </c>
      <c r="AF344">
        <f>vlookup("211-016500-000",生产发行表!B:AZ,column(ae1),0)</f>
        <v>0</v>
      </c>
      <c r="AG344">
        <f>vlookup("211-016500-000",生产发行表!B:AZ,column(af1),0)</f>
        <v>0</v>
      </c>
      <c r="AH344">
        <f>vlookup("211-016500-000",生产发行表!B:AZ,column(ag1),0)</f>
        <v>0</v>
      </c>
      <c r="AI344">
        <f>vlookup("211-016500-000",生产发行表!B:AZ,column(ah1),0)</f>
        <v>0</v>
      </c>
      <c r="AJ344">
        <f>vlookup("211-016500-000",生产发行表!B:AZ,column(ai1),0)</f>
        <v>0</v>
      </c>
      <c r="AK344">
        <f>vlookup("211-016500-000",生产发行表!B:AZ,column(aj1),0)</f>
        <v>0</v>
      </c>
      <c r="AL344">
        <f>vlookup("211-016500-000",生产发行表!B:AZ,column(ak1),0)</f>
        <v>0</v>
      </c>
      <c r="AM344">
        <f>vlookup("211-016500-000",生产发行表!B:AZ,column(al1),0)</f>
        <v>0</v>
      </c>
      <c r="AN344">
        <f>vlookup("211-016500-000",生产发行表!B:AZ,column(am1),0)</f>
        <v>0</v>
      </c>
      <c r="AO344">
        <f>vlookup("211-016500-000",生产发行表!B:AZ,column(an1),0)</f>
        <v>0</v>
      </c>
      <c r="AP344">
        <f>vlookup("211-016500-000",生产发行表!B:AZ,column(ao1),0)</f>
        <v>0</v>
      </c>
      <c r="AQ344">
        <f>vlookup("211-016500-000",生产发行表!B:AZ,column(ap1),0)</f>
        <v>0</v>
      </c>
      <c r="AR344">
        <f>vlookup("211-016500-000",生产发行表!B:AZ,column(aq1),0)</f>
        <v>0</v>
      </c>
    </row>
    <row r="345" spans="1:44">
      <c r="A345" t="s">
        <v>14</v>
      </c>
      <c r="B345" t="s">
        <v>634</v>
      </c>
      <c r="C345" t="s">
        <v>635</v>
      </c>
      <c r="E345" t="s">
        <v>444</v>
      </c>
      <c r="F345" t="s">
        <v>633</v>
      </c>
      <c r="K345" t="s">
        <v>657</v>
      </c>
      <c r="L345" t="s">
        <v>21</v>
      </c>
      <c r="M345">
        <f>vlookup("212-037000-000",生产发行表!B:AZ,column(l1),0)</f>
        <v>0</v>
      </c>
      <c r="N345">
        <f>vlookup("212-037000-000",生产发行表!B:AZ,column(m1),0)</f>
        <v>0</v>
      </c>
      <c r="O345">
        <f>vlookup("212-037000-000",生产发行表!B:AZ,column(n1),0)</f>
        <v>0</v>
      </c>
      <c r="P345">
        <f>vlookup("212-037000-000",生产发行表!B:AZ,column(o1),0)</f>
        <v>0</v>
      </c>
      <c r="Q345">
        <f>vlookup("212-037000-000",生产发行表!B:AZ,column(p1),0)</f>
        <v>0</v>
      </c>
      <c r="R345">
        <f>vlookup("212-037000-000",生产发行表!B:AZ,column(q1),0)</f>
        <v>0</v>
      </c>
      <c r="S345">
        <f>vlookup("212-037000-000",生产发行表!B:AZ,column(r1),0)</f>
        <v>0</v>
      </c>
      <c r="T345">
        <f>vlookup("212-037000-000",生产发行表!B:AZ,column(s1),0)</f>
        <v>0</v>
      </c>
      <c r="U345">
        <f>vlookup("212-037000-000",生产发行表!B:AZ,column(t1),0)</f>
        <v>0</v>
      </c>
      <c r="V345">
        <f>vlookup("212-037000-000",生产发行表!B:AZ,column(u1),0)</f>
        <v>0</v>
      </c>
      <c r="W345">
        <f>vlookup("212-037000-000",生产发行表!B:AZ,column(v1),0)</f>
        <v>0</v>
      </c>
      <c r="X345">
        <f>vlookup("212-037000-000",生产发行表!B:AZ,column(w1),0)</f>
        <v>0</v>
      </c>
      <c r="Y345">
        <f>vlookup("212-037000-000",生产发行表!B:AZ,column(x1),0)</f>
        <v>0</v>
      </c>
      <c r="Z345">
        <f>vlookup("212-037000-000",生产发行表!B:AZ,column(y1),0)</f>
        <v>0</v>
      </c>
      <c r="AA345">
        <f>vlookup("212-037000-000",生产发行表!B:AZ,column(z1),0)</f>
        <v>0</v>
      </c>
      <c r="AB345">
        <f>vlookup("212-037000-000",生产发行表!B:AZ,column(aa1),0)</f>
        <v>0</v>
      </c>
      <c r="AC345">
        <f>vlookup("212-037000-000",生产发行表!B:AZ,column(ab1),0)</f>
        <v>0</v>
      </c>
      <c r="AD345">
        <f>vlookup("212-037000-000",生产发行表!B:AZ,column(ac1),0)</f>
        <v>0</v>
      </c>
      <c r="AE345">
        <f>vlookup("212-037000-000",生产发行表!B:AZ,column(ad1),0)</f>
        <v>0</v>
      </c>
      <c r="AF345">
        <f>vlookup("212-037000-000",生产发行表!B:AZ,column(ae1),0)</f>
        <v>0</v>
      </c>
      <c r="AG345">
        <f>vlookup("212-037000-000",生产发行表!B:AZ,column(af1),0)</f>
        <v>0</v>
      </c>
      <c r="AH345">
        <f>vlookup("212-037000-000",生产发行表!B:AZ,column(ag1),0)</f>
        <v>0</v>
      </c>
      <c r="AI345">
        <f>vlookup("212-037000-000",生产发行表!B:AZ,column(ah1),0)</f>
        <v>0</v>
      </c>
      <c r="AJ345">
        <f>vlookup("212-037000-000",生产发行表!B:AZ,column(ai1),0)</f>
        <v>0</v>
      </c>
      <c r="AK345">
        <f>vlookup("212-037000-000",生产发行表!B:AZ,column(aj1),0)</f>
        <v>0</v>
      </c>
      <c r="AL345">
        <f>vlookup("212-037000-000",生产发行表!B:AZ,column(ak1),0)</f>
        <v>0</v>
      </c>
      <c r="AM345">
        <f>vlookup("212-037000-000",生产发行表!B:AZ,column(al1),0)</f>
        <v>0</v>
      </c>
      <c r="AN345">
        <f>vlookup("212-037000-000",生产发行表!B:AZ,column(am1),0)</f>
        <v>0</v>
      </c>
      <c r="AO345">
        <f>vlookup("212-037000-000",生产发行表!B:AZ,column(an1),0)</f>
        <v>0</v>
      </c>
      <c r="AP345">
        <f>vlookup("212-037000-000",生产发行表!B:AZ,column(ao1),0)</f>
        <v>0</v>
      </c>
      <c r="AQ345">
        <f>vlookup("212-037000-000",生产发行表!B:AZ,column(ap1),0)</f>
        <v>0</v>
      </c>
      <c r="AR345">
        <f>vlookup("212-037000-000",生产发行表!B:AZ,column(aq1),0)</f>
        <v>0</v>
      </c>
    </row>
    <row r="346" spans="1:44">
      <c r="A346" t="s">
        <v>14</v>
      </c>
      <c r="B346" t="s">
        <v>637</v>
      </c>
      <c r="C346" t="s">
        <v>638</v>
      </c>
      <c r="E346" t="s">
        <v>444</v>
      </c>
      <c r="F346" t="s">
        <v>636</v>
      </c>
      <c r="K346" t="s">
        <v>657</v>
      </c>
      <c r="L346" t="s">
        <v>21</v>
      </c>
      <c r="M346">
        <f>vlookup("272-014100-000",生产发行表!B:AZ,column(l1),0)</f>
        <v>0</v>
      </c>
      <c r="N346">
        <f>vlookup("272-014100-000",生产发行表!B:AZ,column(m1),0)</f>
        <v>0</v>
      </c>
      <c r="O346">
        <f>vlookup("272-014100-000",生产发行表!B:AZ,column(n1),0)</f>
        <v>0</v>
      </c>
      <c r="P346">
        <f>vlookup("272-014100-000",生产发行表!B:AZ,column(o1),0)</f>
        <v>0</v>
      </c>
      <c r="Q346">
        <f>vlookup("272-014100-000",生产发行表!B:AZ,column(p1),0)</f>
        <v>0</v>
      </c>
      <c r="R346">
        <f>vlookup("272-014100-000",生产发行表!B:AZ,column(q1),0)</f>
        <v>0</v>
      </c>
      <c r="S346">
        <f>vlookup("272-014100-000",生产发行表!B:AZ,column(r1),0)</f>
        <v>0</v>
      </c>
      <c r="T346">
        <f>vlookup("272-014100-000",生产发行表!B:AZ,column(s1),0)</f>
        <v>0</v>
      </c>
      <c r="U346">
        <f>vlookup("272-014100-000",生产发行表!B:AZ,column(t1),0)</f>
        <v>0</v>
      </c>
      <c r="V346">
        <f>vlookup("272-014100-000",生产发行表!B:AZ,column(u1),0)</f>
        <v>0</v>
      </c>
      <c r="W346">
        <f>vlookup("272-014100-000",生产发行表!B:AZ,column(v1),0)</f>
        <v>0</v>
      </c>
      <c r="X346">
        <f>vlookup("272-014100-000",生产发行表!B:AZ,column(w1),0)</f>
        <v>0</v>
      </c>
      <c r="Y346">
        <f>vlookup("272-014100-000",生产发行表!B:AZ,column(x1),0)</f>
        <v>0</v>
      </c>
      <c r="Z346">
        <f>vlookup("272-014100-000",生产发行表!B:AZ,column(y1),0)</f>
        <v>0</v>
      </c>
      <c r="AA346">
        <f>vlookup("272-014100-000",生产发行表!B:AZ,column(z1),0)</f>
        <v>0</v>
      </c>
      <c r="AB346">
        <f>vlookup("272-014100-000",生产发行表!B:AZ,column(aa1),0)</f>
        <v>0</v>
      </c>
      <c r="AC346">
        <f>vlookup("272-014100-000",生产发行表!B:AZ,column(ab1),0)</f>
        <v>0</v>
      </c>
      <c r="AD346">
        <f>vlookup("272-014100-000",生产发行表!B:AZ,column(ac1),0)</f>
        <v>0</v>
      </c>
      <c r="AE346">
        <f>vlookup("272-014100-000",生产发行表!B:AZ,column(ad1),0)</f>
        <v>0</v>
      </c>
      <c r="AF346">
        <f>vlookup("272-014100-000",生产发行表!B:AZ,column(ae1),0)</f>
        <v>0</v>
      </c>
      <c r="AG346">
        <f>vlookup("272-014100-000",生产发行表!B:AZ,column(af1),0)</f>
        <v>0</v>
      </c>
      <c r="AH346">
        <f>vlookup("272-014100-000",生产发行表!B:AZ,column(ag1),0)</f>
        <v>0</v>
      </c>
      <c r="AI346">
        <f>vlookup("272-014100-000",生产发行表!B:AZ,column(ah1),0)</f>
        <v>0</v>
      </c>
      <c r="AJ346">
        <f>vlookup("272-014100-000",生产发行表!B:AZ,column(ai1),0)</f>
        <v>0</v>
      </c>
      <c r="AK346">
        <f>vlookup("272-014100-000",生产发行表!B:AZ,column(aj1),0)</f>
        <v>0</v>
      </c>
      <c r="AL346">
        <f>vlookup("272-014100-000",生产发行表!B:AZ,column(ak1),0)</f>
        <v>0</v>
      </c>
      <c r="AM346">
        <f>vlookup("272-014100-000",生产发行表!B:AZ,column(al1),0)</f>
        <v>0</v>
      </c>
      <c r="AN346">
        <f>vlookup("272-014100-000",生产发行表!B:AZ,column(am1),0)</f>
        <v>0</v>
      </c>
      <c r="AO346">
        <f>vlookup("272-014100-000",生产发行表!B:AZ,column(an1),0)</f>
        <v>0</v>
      </c>
      <c r="AP346">
        <f>vlookup("272-014100-000",生产发行表!B:AZ,column(ao1),0)</f>
        <v>0</v>
      </c>
      <c r="AQ346">
        <f>vlookup("272-014100-000",生产发行表!B:AZ,column(ap1),0)</f>
        <v>0</v>
      </c>
      <c r="AR346">
        <f>vlookup("272-014100-000",生产发行表!B:AZ,column(aq1),0)</f>
        <v>0</v>
      </c>
    </row>
    <row r="347" spans="1:44">
      <c r="A347" t="s">
        <v>14</v>
      </c>
      <c r="B347" t="s">
        <v>640</v>
      </c>
      <c r="C347" t="s">
        <v>641</v>
      </c>
      <c r="D347" t="s">
        <v>480</v>
      </c>
      <c r="E347" t="s">
        <v>444</v>
      </c>
      <c r="F347" t="s">
        <v>639</v>
      </c>
      <c r="K347" t="s">
        <v>657</v>
      </c>
      <c r="L347" t="s">
        <v>21</v>
      </c>
      <c r="M347">
        <f>vlookup("222-178000-000",生产发行表!B:AZ,column(l1),0)</f>
        <v>0</v>
      </c>
      <c r="N347">
        <f>vlookup("222-178000-000",生产发行表!B:AZ,column(m1),0)</f>
        <v>0</v>
      </c>
      <c r="O347">
        <f>vlookup("222-178000-000",生产发行表!B:AZ,column(n1),0)</f>
        <v>0</v>
      </c>
      <c r="P347">
        <f>vlookup("222-178000-000",生产发行表!B:AZ,column(o1),0)</f>
        <v>0</v>
      </c>
      <c r="Q347">
        <f>vlookup("222-178000-000",生产发行表!B:AZ,column(p1),0)</f>
        <v>0</v>
      </c>
      <c r="R347">
        <f>vlookup("222-178000-000",生产发行表!B:AZ,column(q1),0)</f>
        <v>0</v>
      </c>
      <c r="S347">
        <f>vlookup("222-178000-000",生产发行表!B:AZ,column(r1),0)</f>
        <v>0</v>
      </c>
      <c r="T347">
        <f>vlookup("222-178000-000",生产发行表!B:AZ,column(s1),0)</f>
        <v>0</v>
      </c>
      <c r="U347">
        <f>vlookup("222-178000-000",生产发行表!B:AZ,column(t1),0)</f>
        <v>0</v>
      </c>
      <c r="V347">
        <f>vlookup("222-178000-000",生产发行表!B:AZ,column(u1),0)</f>
        <v>0</v>
      </c>
      <c r="W347">
        <f>vlookup("222-178000-000",生产发行表!B:AZ,column(v1),0)</f>
        <v>0</v>
      </c>
      <c r="X347">
        <f>vlookup("222-178000-000",生产发行表!B:AZ,column(w1),0)</f>
        <v>0</v>
      </c>
      <c r="Y347">
        <f>vlookup("222-178000-000",生产发行表!B:AZ,column(x1),0)</f>
        <v>0</v>
      </c>
      <c r="Z347">
        <f>vlookup("222-178000-000",生产发行表!B:AZ,column(y1),0)</f>
        <v>0</v>
      </c>
      <c r="AA347">
        <f>vlookup("222-178000-000",生产发行表!B:AZ,column(z1),0)</f>
        <v>0</v>
      </c>
      <c r="AB347">
        <f>vlookup("222-178000-000",生产发行表!B:AZ,column(aa1),0)</f>
        <v>0</v>
      </c>
      <c r="AC347">
        <f>vlookup("222-178000-000",生产发行表!B:AZ,column(ab1),0)</f>
        <v>0</v>
      </c>
      <c r="AD347">
        <f>vlookup("222-178000-000",生产发行表!B:AZ,column(ac1),0)</f>
        <v>0</v>
      </c>
      <c r="AE347">
        <f>vlookup("222-178000-000",生产发行表!B:AZ,column(ad1),0)</f>
        <v>0</v>
      </c>
      <c r="AF347">
        <f>vlookup("222-178000-000",生产发行表!B:AZ,column(ae1),0)</f>
        <v>0</v>
      </c>
      <c r="AG347">
        <f>vlookup("222-178000-000",生产发行表!B:AZ,column(af1),0)</f>
        <v>0</v>
      </c>
      <c r="AH347">
        <f>vlookup("222-178000-000",生产发行表!B:AZ,column(ag1),0)</f>
        <v>0</v>
      </c>
      <c r="AI347">
        <f>vlookup("222-178000-000",生产发行表!B:AZ,column(ah1),0)</f>
        <v>0</v>
      </c>
      <c r="AJ347">
        <f>vlookup("222-178000-000",生产发行表!B:AZ,column(ai1),0)</f>
        <v>0</v>
      </c>
      <c r="AK347">
        <f>vlookup("222-178000-000",生产发行表!B:AZ,column(aj1),0)</f>
        <v>0</v>
      </c>
      <c r="AL347">
        <f>vlookup("222-178000-000",生产发行表!B:AZ,column(ak1),0)</f>
        <v>0</v>
      </c>
      <c r="AM347">
        <f>vlookup("222-178000-000",生产发行表!B:AZ,column(al1),0)</f>
        <v>0</v>
      </c>
      <c r="AN347">
        <f>vlookup("222-178000-000",生产发行表!B:AZ,column(am1),0)</f>
        <v>0</v>
      </c>
      <c r="AO347">
        <f>vlookup("222-178000-000",生产发行表!B:AZ,column(an1),0)</f>
        <v>0</v>
      </c>
      <c r="AP347">
        <f>vlookup("222-178000-000",生产发行表!B:AZ,column(ao1),0)</f>
        <v>0</v>
      </c>
      <c r="AQ347">
        <f>vlookup("222-178000-000",生产发行表!B:AZ,column(ap1),0)</f>
        <v>0</v>
      </c>
      <c r="AR347">
        <f>vlookup("222-178000-000",生产发行表!B:AZ,column(aq1),0)</f>
        <v>0</v>
      </c>
    </row>
    <row r="348" spans="1:44">
      <c r="A348" t="s">
        <v>14</v>
      </c>
      <c r="B348" t="s">
        <v>643</v>
      </c>
      <c r="C348" t="s">
        <v>644</v>
      </c>
      <c r="D348" t="s">
        <v>480</v>
      </c>
      <c r="E348" t="s">
        <v>444</v>
      </c>
      <c r="F348" t="s">
        <v>642</v>
      </c>
      <c r="K348" t="s">
        <v>657</v>
      </c>
      <c r="L348" t="s">
        <v>21</v>
      </c>
      <c r="M348">
        <f>vlookup("222-179000-000",生产发行表!B:AZ,column(l1),0)</f>
        <v>0</v>
      </c>
      <c r="N348">
        <f>vlookup("222-179000-000",生产发行表!B:AZ,column(m1),0)</f>
        <v>0</v>
      </c>
      <c r="O348">
        <f>vlookup("222-179000-000",生产发行表!B:AZ,column(n1),0)</f>
        <v>0</v>
      </c>
      <c r="P348">
        <f>vlookup("222-179000-000",生产发行表!B:AZ,column(o1),0)</f>
        <v>0</v>
      </c>
      <c r="Q348">
        <f>vlookup("222-179000-000",生产发行表!B:AZ,column(p1),0)</f>
        <v>0</v>
      </c>
      <c r="R348">
        <f>vlookup("222-179000-000",生产发行表!B:AZ,column(q1),0)</f>
        <v>0</v>
      </c>
      <c r="S348">
        <f>vlookup("222-179000-000",生产发行表!B:AZ,column(r1),0)</f>
        <v>0</v>
      </c>
      <c r="T348">
        <f>vlookup("222-179000-000",生产发行表!B:AZ,column(s1),0)</f>
        <v>0</v>
      </c>
      <c r="U348">
        <f>vlookup("222-179000-000",生产发行表!B:AZ,column(t1),0)</f>
        <v>0</v>
      </c>
      <c r="V348">
        <f>vlookup("222-179000-000",生产发行表!B:AZ,column(u1),0)</f>
        <v>0</v>
      </c>
      <c r="W348">
        <f>vlookup("222-179000-000",生产发行表!B:AZ,column(v1),0)</f>
        <v>0</v>
      </c>
      <c r="X348">
        <f>vlookup("222-179000-000",生产发行表!B:AZ,column(w1),0)</f>
        <v>0</v>
      </c>
      <c r="Y348">
        <f>vlookup("222-179000-000",生产发行表!B:AZ,column(x1),0)</f>
        <v>0</v>
      </c>
      <c r="Z348">
        <f>vlookup("222-179000-000",生产发行表!B:AZ,column(y1),0)</f>
        <v>0</v>
      </c>
      <c r="AA348">
        <f>vlookup("222-179000-000",生产发行表!B:AZ,column(z1),0)</f>
        <v>0</v>
      </c>
      <c r="AB348">
        <f>vlookup("222-179000-000",生产发行表!B:AZ,column(aa1),0)</f>
        <v>0</v>
      </c>
      <c r="AC348">
        <f>vlookup("222-179000-000",生产发行表!B:AZ,column(ab1),0)</f>
        <v>0</v>
      </c>
      <c r="AD348">
        <f>vlookup("222-179000-000",生产发行表!B:AZ,column(ac1),0)</f>
        <v>0</v>
      </c>
      <c r="AE348">
        <f>vlookup("222-179000-000",生产发行表!B:AZ,column(ad1),0)</f>
        <v>0</v>
      </c>
      <c r="AF348">
        <f>vlookup("222-179000-000",生产发行表!B:AZ,column(ae1),0)</f>
        <v>0</v>
      </c>
      <c r="AG348">
        <f>vlookup("222-179000-000",生产发行表!B:AZ,column(af1),0)</f>
        <v>0</v>
      </c>
      <c r="AH348">
        <f>vlookup("222-179000-000",生产发行表!B:AZ,column(ag1),0)</f>
        <v>0</v>
      </c>
      <c r="AI348">
        <f>vlookup("222-179000-000",生产发行表!B:AZ,column(ah1),0)</f>
        <v>0</v>
      </c>
      <c r="AJ348">
        <f>vlookup("222-179000-000",生产发行表!B:AZ,column(ai1),0)</f>
        <v>0</v>
      </c>
      <c r="AK348">
        <f>vlookup("222-179000-000",生产发行表!B:AZ,column(aj1),0)</f>
        <v>0</v>
      </c>
      <c r="AL348">
        <f>vlookup("222-179000-000",生产发行表!B:AZ,column(ak1),0)</f>
        <v>0</v>
      </c>
      <c r="AM348">
        <f>vlookup("222-179000-000",生产发行表!B:AZ,column(al1),0)</f>
        <v>0</v>
      </c>
      <c r="AN348">
        <f>vlookup("222-179000-000",生产发行表!B:AZ,column(am1),0)</f>
        <v>0</v>
      </c>
      <c r="AO348">
        <f>vlookup("222-179000-000",生产发行表!B:AZ,column(an1),0)</f>
        <v>0</v>
      </c>
      <c r="AP348">
        <f>vlookup("222-179000-000",生产发行表!B:AZ,column(ao1),0)</f>
        <v>0</v>
      </c>
      <c r="AQ348">
        <f>vlookup("222-179000-000",生产发行表!B:AZ,column(ap1),0)</f>
        <v>0</v>
      </c>
      <c r="AR348">
        <f>vlookup("222-179000-000",生产发行表!B:AZ,column(aq1),0)</f>
        <v>0</v>
      </c>
    </row>
    <row r="349" spans="1:44">
      <c r="A349" t="s">
        <v>14</v>
      </c>
      <c r="B349" t="s">
        <v>646</v>
      </c>
      <c r="C349" t="s">
        <v>647</v>
      </c>
      <c r="E349" t="s">
        <v>498</v>
      </c>
      <c r="F349" t="s">
        <v>645</v>
      </c>
      <c r="K349" t="s">
        <v>657</v>
      </c>
      <c r="L349" t="s">
        <v>21</v>
      </c>
      <c r="M349">
        <f>vlookup("232-012000-000",生产发行表!B:AZ,column(l1),0)</f>
        <v>0</v>
      </c>
      <c r="N349">
        <f>vlookup("232-012000-000",生产发行表!B:AZ,column(m1),0)</f>
        <v>0</v>
      </c>
      <c r="O349">
        <f>vlookup("232-012000-000",生产发行表!B:AZ,column(n1),0)</f>
        <v>0</v>
      </c>
      <c r="P349">
        <f>vlookup("232-012000-000",生产发行表!B:AZ,column(o1),0)</f>
        <v>0</v>
      </c>
      <c r="Q349">
        <f>vlookup("232-012000-000",生产发行表!B:AZ,column(p1),0)</f>
        <v>0</v>
      </c>
      <c r="R349">
        <f>vlookup("232-012000-000",生产发行表!B:AZ,column(q1),0)</f>
        <v>0</v>
      </c>
      <c r="S349">
        <f>vlookup("232-012000-000",生产发行表!B:AZ,column(r1),0)</f>
        <v>0</v>
      </c>
      <c r="T349">
        <f>vlookup("232-012000-000",生产发行表!B:AZ,column(s1),0)</f>
        <v>0</v>
      </c>
      <c r="U349">
        <f>vlookup("232-012000-000",生产发行表!B:AZ,column(t1),0)</f>
        <v>0</v>
      </c>
      <c r="V349">
        <f>vlookup("232-012000-000",生产发行表!B:AZ,column(u1),0)</f>
        <v>0</v>
      </c>
      <c r="W349">
        <f>vlookup("232-012000-000",生产发行表!B:AZ,column(v1),0)</f>
        <v>0</v>
      </c>
      <c r="X349">
        <f>vlookup("232-012000-000",生产发行表!B:AZ,column(w1),0)</f>
        <v>0</v>
      </c>
      <c r="Y349">
        <f>vlookup("232-012000-000",生产发行表!B:AZ,column(x1),0)</f>
        <v>0</v>
      </c>
      <c r="Z349">
        <f>vlookup("232-012000-000",生产发行表!B:AZ,column(y1),0)</f>
        <v>0</v>
      </c>
      <c r="AA349">
        <f>vlookup("232-012000-000",生产发行表!B:AZ,column(z1),0)</f>
        <v>0</v>
      </c>
      <c r="AB349">
        <f>vlookup("232-012000-000",生产发行表!B:AZ,column(aa1),0)</f>
        <v>0</v>
      </c>
      <c r="AC349">
        <f>vlookup("232-012000-000",生产发行表!B:AZ,column(ab1),0)</f>
        <v>0</v>
      </c>
      <c r="AD349">
        <f>vlookup("232-012000-000",生产发行表!B:AZ,column(ac1),0)</f>
        <v>0</v>
      </c>
      <c r="AE349">
        <f>vlookup("232-012000-000",生产发行表!B:AZ,column(ad1),0)</f>
        <v>0</v>
      </c>
      <c r="AF349">
        <f>vlookup("232-012000-000",生产发行表!B:AZ,column(ae1),0)</f>
        <v>0</v>
      </c>
      <c r="AG349">
        <f>vlookup("232-012000-000",生产发行表!B:AZ,column(af1),0)</f>
        <v>0</v>
      </c>
      <c r="AH349">
        <f>vlookup("232-012000-000",生产发行表!B:AZ,column(ag1),0)</f>
        <v>0</v>
      </c>
      <c r="AI349">
        <f>vlookup("232-012000-000",生产发行表!B:AZ,column(ah1),0)</f>
        <v>0</v>
      </c>
      <c r="AJ349">
        <f>vlookup("232-012000-000",生产发行表!B:AZ,column(ai1),0)</f>
        <v>0</v>
      </c>
      <c r="AK349">
        <f>vlookup("232-012000-000",生产发行表!B:AZ,column(aj1),0)</f>
        <v>0</v>
      </c>
      <c r="AL349">
        <f>vlookup("232-012000-000",生产发行表!B:AZ,column(ak1),0)</f>
        <v>0</v>
      </c>
      <c r="AM349">
        <f>vlookup("232-012000-000",生产发行表!B:AZ,column(al1),0)</f>
        <v>0</v>
      </c>
      <c r="AN349">
        <f>vlookup("232-012000-000",生产发行表!B:AZ,column(am1),0)</f>
        <v>0</v>
      </c>
      <c r="AO349">
        <f>vlookup("232-012000-000",生产发行表!B:AZ,column(an1),0)</f>
        <v>0</v>
      </c>
      <c r="AP349">
        <f>vlookup("232-012000-000",生产发行表!B:AZ,column(ao1),0)</f>
        <v>0</v>
      </c>
      <c r="AQ349">
        <f>vlookup("232-012000-000",生产发行表!B:AZ,column(ap1),0)</f>
        <v>0</v>
      </c>
      <c r="AR349">
        <f>vlookup("232-012000-000",生产发行表!B:AZ,column(aq1),0)</f>
        <v>0</v>
      </c>
    </row>
    <row r="350" spans="1:44">
      <c r="A350" t="s">
        <v>14</v>
      </c>
      <c r="B350" t="s">
        <v>649</v>
      </c>
      <c r="C350" t="s">
        <v>650</v>
      </c>
      <c r="E350" t="s">
        <v>444</v>
      </c>
      <c r="F350" t="s">
        <v>648</v>
      </c>
      <c r="K350" t="s">
        <v>657</v>
      </c>
      <c r="L350" t="s">
        <v>21</v>
      </c>
      <c r="M350">
        <f>vlookup("272-005800-000",生产发行表!B:AZ,column(l1),0)</f>
        <v>0</v>
      </c>
      <c r="N350">
        <f>vlookup("272-005800-000",生产发行表!B:AZ,column(m1),0)</f>
        <v>0</v>
      </c>
      <c r="O350">
        <f>vlookup("272-005800-000",生产发行表!B:AZ,column(n1),0)</f>
        <v>0</v>
      </c>
      <c r="P350">
        <f>vlookup("272-005800-000",生产发行表!B:AZ,column(o1),0)</f>
        <v>0</v>
      </c>
      <c r="Q350">
        <f>vlookup("272-005800-000",生产发行表!B:AZ,column(p1),0)</f>
        <v>0</v>
      </c>
      <c r="R350">
        <f>vlookup("272-005800-000",生产发行表!B:AZ,column(q1),0)</f>
        <v>0</v>
      </c>
      <c r="S350">
        <f>vlookup("272-005800-000",生产发行表!B:AZ,column(r1),0)</f>
        <v>0</v>
      </c>
      <c r="T350">
        <f>vlookup("272-005800-000",生产发行表!B:AZ,column(s1),0)</f>
        <v>0</v>
      </c>
      <c r="U350">
        <f>vlookup("272-005800-000",生产发行表!B:AZ,column(t1),0)</f>
        <v>0</v>
      </c>
      <c r="V350">
        <f>vlookup("272-005800-000",生产发行表!B:AZ,column(u1),0)</f>
        <v>0</v>
      </c>
      <c r="W350">
        <f>vlookup("272-005800-000",生产发行表!B:AZ,column(v1),0)</f>
        <v>0</v>
      </c>
      <c r="X350">
        <f>vlookup("272-005800-000",生产发行表!B:AZ,column(w1),0)</f>
        <v>0</v>
      </c>
      <c r="Y350">
        <f>vlookup("272-005800-000",生产发行表!B:AZ,column(x1),0)</f>
        <v>0</v>
      </c>
      <c r="Z350">
        <f>vlookup("272-005800-000",生产发行表!B:AZ,column(y1),0)</f>
        <v>0</v>
      </c>
      <c r="AA350">
        <f>vlookup("272-005800-000",生产发行表!B:AZ,column(z1),0)</f>
        <v>0</v>
      </c>
      <c r="AB350">
        <f>vlookup("272-005800-000",生产发行表!B:AZ,column(aa1),0)</f>
        <v>0</v>
      </c>
      <c r="AC350">
        <f>vlookup("272-005800-000",生产发行表!B:AZ,column(ab1),0)</f>
        <v>0</v>
      </c>
      <c r="AD350">
        <f>vlookup("272-005800-000",生产发行表!B:AZ,column(ac1),0)</f>
        <v>0</v>
      </c>
      <c r="AE350">
        <f>vlookup("272-005800-000",生产发行表!B:AZ,column(ad1),0)</f>
        <v>0</v>
      </c>
      <c r="AF350">
        <f>vlookup("272-005800-000",生产发行表!B:AZ,column(ae1),0)</f>
        <v>0</v>
      </c>
      <c r="AG350">
        <f>vlookup("272-005800-000",生产发行表!B:AZ,column(af1),0)</f>
        <v>0</v>
      </c>
      <c r="AH350">
        <f>vlookup("272-005800-000",生产发行表!B:AZ,column(ag1),0)</f>
        <v>0</v>
      </c>
      <c r="AI350">
        <f>vlookup("272-005800-000",生产发行表!B:AZ,column(ah1),0)</f>
        <v>0</v>
      </c>
      <c r="AJ350">
        <f>vlookup("272-005800-000",生产发行表!B:AZ,column(ai1),0)</f>
        <v>0</v>
      </c>
      <c r="AK350">
        <f>vlookup("272-005800-000",生产发行表!B:AZ,column(aj1),0)</f>
        <v>0</v>
      </c>
      <c r="AL350">
        <f>vlookup("272-005800-000",生产发行表!B:AZ,column(ak1),0)</f>
        <v>0</v>
      </c>
      <c r="AM350">
        <f>vlookup("272-005800-000",生产发行表!B:AZ,column(al1),0)</f>
        <v>0</v>
      </c>
      <c r="AN350">
        <f>vlookup("272-005800-000",生产发行表!B:AZ,column(am1),0)</f>
        <v>0</v>
      </c>
      <c r="AO350">
        <f>vlookup("272-005800-000",生产发行表!B:AZ,column(an1),0)</f>
        <v>0</v>
      </c>
      <c r="AP350">
        <f>vlookup("272-005800-000",生产发行表!B:AZ,column(ao1),0)</f>
        <v>0</v>
      </c>
      <c r="AQ350">
        <f>vlookup("272-005800-000",生产发行表!B:AZ,column(ap1),0)</f>
        <v>0</v>
      </c>
      <c r="AR350">
        <f>vlookup("272-005800-000",生产发行表!B:AZ,column(aq1),0)</f>
        <v>0</v>
      </c>
    </row>
    <row r="351" spans="1:44">
      <c r="A351" t="s">
        <v>14</v>
      </c>
      <c r="B351" t="s">
        <v>652</v>
      </c>
      <c r="C351" t="s">
        <v>653</v>
      </c>
      <c r="F351" t="s">
        <v>651</v>
      </c>
      <c r="K351" t="s">
        <v>657</v>
      </c>
      <c r="L351" t="s">
        <v>21</v>
      </c>
      <c r="M351">
        <f>vlookup("272-015200-000",生产发行表!B:AZ,column(l1),0)</f>
        <v>0</v>
      </c>
      <c r="N351">
        <f>vlookup("272-015200-000",生产发行表!B:AZ,column(m1),0)</f>
        <v>0</v>
      </c>
      <c r="O351">
        <f>vlookup("272-015200-000",生产发行表!B:AZ,column(n1),0)</f>
        <v>0</v>
      </c>
      <c r="P351">
        <f>vlookup("272-015200-000",生产发行表!B:AZ,column(o1),0)</f>
        <v>0</v>
      </c>
      <c r="Q351">
        <f>vlookup("272-015200-000",生产发行表!B:AZ,column(p1),0)</f>
        <v>0</v>
      </c>
      <c r="R351">
        <f>vlookup("272-015200-000",生产发行表!B:AZ,column(q1),0)</f>
        <v>0</v>
      </c>
      <c r="S351">
        <f>vlookup("272-015200-000",生产发行表!B:AZ,column(r1),0)</f>
        <v>0</v>
      </c>
      <c r="T351">
        <f>vlookup("272-015200-000",生产发行表!B:AZ,column(s1),0)</f>
        <v>0</v>
      </c>
      <c r="U351">
        <f>vlookup("272-015200-000",生产发行表!B:AZ,column(t1),0)</f>
        <v>0</v>
      </c>
      <c r="V351">
        <f>vlookup("272-015200-000",生产发行表!B:AZ,column(u1),0)</f>
        <v>0</v>
      </c>
      <c r="W351">
        <f>vlookup("272-015200-000",生产发行表!B:AZ,column(v1),0)</f>
        <v>0</v>
      </c>
      <c r="X351">
        <f>vlookup("272-015200-000",生产发行表!B:AZ,column(w1),0)</f>
        <v>0</v>
      </c>
      <c r="Y351">
        <f>vlookup("272-015200-000",生产发行表!B:AZ,column(x1),0)</f>
        <v>0</v>
      </c>
      <c r="Z351">
        <f>vlookup("272-015200-000",生产发行表!B:AZ,column(y1),0)</f>
        <v>0</v>
      </c>
      <c r="AA351">
        <f>vlookup("272-015200-000",生产发行表!B:AZ,column(z1),0)</f>
        <v>0</v>
      </c>
      <c r="AB351">
        <f>vlookup("272-015200-000",生产发行表!B:AZ,column(aa1),0)</f>
        <v>0</v>
      </c>
      <c r="AC351">
        <f>vlookup("272-015200-000",生产发行表!B:AZ,column(ab1),0)</f>
        <v>0</v>
      </c>
      <c r="AD351">
        <f>vlookup("272-015200-000",生产发行表!B:AZ,column(ac1),0)</f>
        <v>0</v>
      </c>
      <c r="AE351">
        <f>vlookup("272-015200-000",生产发行表!B:AZ,column(ad1),0)</f>
        <v>0</v>
      </c>
      <c r="AF351">
        <f>vlookup("272-015200-000",生产发行表!B:AZ,column(ae1),0)</f>
        <v>0</v>
      </c>
      <c r="AG351">
        <f>vlookup("272-015200-000",生产发行表!B:AZ,column(af1),0)</f>
        <v>0</v>
      </c>
      <c r="AH351">
        <f>vlookup("272-015200-000",生产发行表!B:AZ,column(ag1),0)</f>
        <v>0</v>
      </c>
      <c r="AI351">
        <f>vlookup("272-015200-000",生产发行表!B:AZ,column(ah1),0)</f>
        <v>0</v>
      </c>
      <c r="AJ351">
        <f>vlookup("272-015200-000",生产发行表!B:AZ,column(ai1),0)</f>
        <v>0</v>
      </c>
      <c r="AK351">
        <f>vlookup("272-015200-000",生产发行表!B:AZ,column(aj1),0)</f>
        <v>0</v>
      </c>
      <c r="AL351">
        <f>vlookup("272-015200-000",生产发行表!B:AZ,column(ak1),0)</f>
        <v>0</v>
      </c>
      <c r="AM351">
        <f>vlookup("272-015200-000",生产发行表!B:AZ,column(al1),0)</f>
        <v>0</v>
      </c>
      <c r="AN351">
        <f>vlookup("272-015200-000",生产发行表!B:AZ,column(am1),0)</f>
        <v>0</v>
      </c>
      <c r="AO351">
        <f>vlookup("272-015200-000",生产发行表!B:AZ,column(an1),0)</f>
        <v>0</v>
      </c>
      <c r="AP351">
        <f>vlookup("272-015200-000",生产发行表!B:AZ,column(ao1),0)</f>
        <v>0</v>
      </c>
      <c r="AQ351">
        <f>vlookup("272-015200-000",生产发行表!B:AZ,column(ap1),0)</f>
        <v>0</v>
      </c>
      <c r="AR351">
        <f>vlookup("272-015200-000",生产发行表!B:AZ,column(aq1),0)</f>
        <v>0</v>
      </c>
    </row>
    <row r="352" spans="1:44">
      <c r="AR352">
        <f>indirect(address(353,43))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55"/>
  <sheetViews>
    <sheetView workbookViewId="0"/>
  </sheetViews>
  <sheetFormatPr defaultRowHeight="15"/>
  <sheetData>
    <row r="1" spans="1:77">
      <c r="A1" t="s">
        <v>658</v>
      </c>
    </row>
    <row r="2" spans="1:77">
      <c r="A2" t="s">
        <v>659</v>
      </c>
    </row>
    <row r="3" spans="1:7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  <c r="AR3" t="s">
        <v>13</v>
      </c>
    </row>
    <row r="4" spans="1:7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H4" t="s">
        <v>19</v>
      </c>
      <c r="I4">
        <v>12</v>
      </c>
      <c r="K4" t="s">
        <v>20</v>
      </c>
      <c r="L4" t="s">
        <v>37</v>
      </c>
      <c r="M4">
        <f>sumifs(生产物料推移表!m:m,生产物料推移表!L:L,"计划生产",生产物料推移表!B:B,"952-228000-100")</f>
        <v>0</v>
      </c>
      <c r="N4">
        <f>sumifs(生产物料推移表!n:n,生产物料推移表!L:L,"计划生产",生产物料推移表!B:B,"952-228000-100")</f>
        <v>0</v>
      </c>
      <c r="O4">
        <f>sumifs(生产物料推移表!o:o,生产物料推移表!L:L,"计划生产",生产物料推移表!B:B,"952-228000-100")</f>
        <v>0</v>
      </c>
      <c r="P4">
        <f>sumifs(生产物料推移表!p:p,生产物料推移表!L:L,"计划生产",生产物料推移表!B:B,"952-228000-100")</f>
        <v>0</v>
      </c>
      <c r="Q4">
        <f>sumifs(生产物料推移表!q:q,生产物料推移表!L:L,"计划生产",生产物料推移表!B:B,"952-228000-100")</f>
        <v>0</v>
      </c>
      <c r="R4">
        <f>sumifs(生产物料推移表!r:r,生产物料推移表!L:L,"计划生产",生产物料推移表!B:B,"952-228000-100")</f>
        <v>0</v>
      </c>
      <c r="S4">
        <f>sumifs(生产物料推移表!s:s,生产物料推移表!L:L,"计划生产",生产物料推移表!B:B,"952-228000-100")</f>
        <v>0</v>
      </c>
      <c r="T4">
        <f>sumifs(生产物料推移表!t:t,生产物料推移表!L:L,"计划生产",生产物料推移表!B:B,"952-228000-100")</f>
        <v>0</v>
      </c>
      <c r="U4">
        <f>sumifs(生产物料推移表!u:u,生产物料推移表!L:L,"计划生产",生产物料推移表!B:B,"952-228000-100")</f>
        <v>0</v>
      </c>
      <c r="V4">
        <f>sumifs(生产物料推移表!v:v,生产物料推移表!L:L,"计划生产",生产物料推移表!B:B,"952-228000-100")</f>
        <v>0</v>
      </c>
      <c r="W4">
        <f>sumifs(生产物料推移表!w:w,生产物料推移表!L:L,"计划生产",生产物料推移表!B:B,"952-228000-100")</f>
        <v>0</v>
      </c>
      <c r="X4">
        <f>sumifs(生产物料推移表!x:x,生产物料推移表!L:L,"计划生产",生产物料推移表!B:B,"952-228000-100")</f>
        <v>0</v>
      </c>
      <c r="Y4">
        <f>sumifs(生产物料推移表!y:y,生产物料推移表!L:L,"计划生产",生产物料推移表!B:B,"952-228000-100")</f>
        <v>0</v>
      </c>
      <c r="Z4">
        <f>sumifs(生产物料推移表!z:z,生产物料推移表!L:L,"计划生产",生产物料推移表!B:B,"952-228000-100")</f>
        <v>0</v>
      </c>
      <c r="AA4">
        <f>sumifs(生产物料推移表!aa:aa,生产物料推移表!L:L,"计划生产",生产物料推移表!B:B,"952-228000-100")</f>
        <v>0</v>
      </c>
      <c r="AB4">
        <f>sumifs(生产物料推移表!ab:ab,生产物料推移表!L:L,"计划生产",生产物料推移表!B:B,"952-228000-100")</f>
        <v>0</v>
      </c>
      <c r="AC4">
        <f>sumifs(生产物料推移表!ac:ac,生产物料推移表!L:L,"计划生产",生产物料推移表!B:B,"952-228000-100")</f>
        <v>0</v>
      </c>
      <c r="AD4">
        <f>sumifs(生产物料推移表!ad:ad,生产物料推移表!L:L,"计划生产",生产物料推移表!B:B,"952-228000-100")</f>
        <v>0</v>
      </c>
      <c r="AE4">
        <f>sumifs(生产物料推移表!ae:ae,生产物料推移表!L:L,"计划生产",生产物料推移表!B:B,"952-228000-100")</f>
        <v>0</v>
      </c>
      <c r="AF4">
        <f>sumifs(生产物料推移表!af:af,生产物料推移表!L:L,"计划生产",生产物料推移表!B:B,"952-228000-100")</f>
        <v>0</v>
      </c>
      <c r="AG4">
        <f>sumifs(生产物料推移表!ag:ag,生产物料推移表!L:L,"计划生产",生产物料推移表!B:B,"952-228000-100")</f>
        <v>0</v>
      </c>
      <c r="AH4">
        <f>sumifs(生产物料推移表!ah:ah,生产物料推移表!L:L,"计划生产",生产物料推移表!B:B,"952-228000-100")</f>
        <v>0</v>
      </c>
      <c r="AI4">
        <f>sumifs(生产物料推移表!ai:ai,生产物料推移表!L:L,"计划生产",生产物料推移表!B:B,"952-228000-100")</f>
        <v>0</v>
      </c>
      <c r="AJ4">
        <f>sumifs(生产物料推移表!aj:aj,生产物料推移表!L:L,"计划生产",生产物料推移表!B:B,"952-228000-100")</f>
        <v>0</v>
      </c>
      <c r="AK4">
        <f>sumifs(生产物料推移表!ak:ak,生产物料推移表!L:L,"计划生产",生产物料推移表!B:B,"952-228000-100")</f>
        <v>0</v>
      </c>
      <c r="AL4">
        <f>sumifs(生产物料推移表!al:al,生产物料推移表!L:L,"计划生产",生产物料推移表!B:B,"952-228000-100")</f>
        <v>0</v>
      </c>
      <c r="AM4">
        <f>sumifs(生产物料推移表!am:am,生产物料推移表!L:L,"计划生产",生产物料推移表!B:B,"952-228000-100")</f>
        <v>0</v>
      </c>
      <c r="AN4">
        <f>sumifs(生产物料推移表!an:an,生产物料推移表!L:L,"计划生产",生产物料推移表!B:B,"952-228000-100")</f>
        <v>0</v>
      </c>
      <c r="AO4">
        <f>sumifs(生产物料推移表!ao:ao,生产物料推移表!L:L,"计划生产",生产物料推移表!B:B,"952-228000-100")</f>
        <v>0</v>
      </c>
      <c r="AP4">
        <f>sumifs(生产物料推移表!ap:ap,生产物料推移表!L:L,"计划生产",生产物料推移表!B:B,"952-228000-100")</f>
        <v>0</v>
      </c>
      <c r="AQ4">
        <f>sumifs(生产物料推移表!aq:aq,生产物料推移表!L:L,"计划生产",生产物料推移表!B:B,"952-228000-100")</f>
        <v>0</v>
      </c>
      <c r="AR4">
        <f>sumifs(生产物料推移表!ar:ar,生产物料推移表!L:L,"计划生产",生产物料推移表!B:B,"952-228000-100")</f>
        <v>0</v>
      </c>
      <c r="BY4">
        <f>sum(j4:an4)</f>
        <v>0</v>
      </c>
    </row>
    <row r="5" spans="1:77">
      <c r="A5" t="s">
        <v>14</v>
      </c>
      <c r="B5" t="s">
        <v>22</v>
      </c>
      <c r="C5" t="s">
        <v>23</v>
      </c>
      <c r="D5" t="s">
        <v>17</v>
      </c>
      <c r="E5">
        <v>1</v>
      </c>
      <c r="F5" t="s">
        <v>24</v>
      </c>
      <c r="H5" t="s">
        <v>19</v>
      </c>
      <c r="I5">
        <v>12</v>
      </c>
      <c r="K5" t="s">
        <v>20</v>
      </c>
      <c r="L5" t="s">
        <v>37</v>
      </c>
      <c r="M5">
        <f>sumifs(生产物料推移表!m:m,生产物料推移表!L:L,"计划生产",生产物料推移表!B:B,"952-228000-200")</f>
        <v>0</v>
      </c>
      <c r="N5">
        <f>sumifs(生产物料推移表!n:n,生产物料推移表!L:L,"计划生产",生产物料推移表!B:B,"952-228000-200")</f>
        <v>0</v>
      </c>
      <c r="O5">
        <f>sumifs(生产物料推移表!o:o,生产物料推移表!L:L,"计划生产",生产物料推移表!B:B,"952-228000-200")</f>
        <v>0</v>
      </c>
      <c r="P5">
        <f>sumifs(生产物料推移表!p:p,生产物料推移表!L:L,"计划生产",生产物料推移表!B:B,"952-228000-200")</f>
        <v>0</v>
      </c>
      <c r="Q5">
        <f>sumifs(生产物料推移表!q:q,生产物料推移表!L:L,"计划生产",生产物料推移表!B:B,"952-228000-200")</f>
        <v>0</v>
      </c>
      <c r="R5">
        <f>sumifs(生产物料推移表!r:r,生产物料推移表!L:L,"计划生产",生产物料推移表!B:B,"952-228000-200")</f>
        <v>0</v>
      </c>
      <c r="S5">
        <f>sumifs(生产物料推移表!s:s,生产物料推移表!L:L,"计划生产",生产物料推移表!B:B,"952-228000-200")</f>
        <v>0</v>
      </c>
      <c r="T5">
        <f>sumifs(生产物料推移表!t:t,生产物料推移表!L:L,"计划生产",生产物料推移表!B:B,"952-228000-200")</f>
        <v>0</v>
      </c>
      <c r="U5">
        <f>sumifs(生产物料推移表!u:u,生产物料推移表!L:L,"计划生产",生产物料推移表!B:B,"952-228000-200")</f>
        <v>0</v>
      </c>
      <c r="V5">
        <f>sumifs(生产物料推移表!v:v,生产物料推移表!L:L,"计划生产",生产物料推移表!B:B,"952-228000-200")</f>
        <v>0</v>
      </c>
      <c r="W5">
        <f>sumifs(生产物料推移表!w:w,生产物料推移表!L:L,"计划生产",生产物料推移表!B:B,"952-228000-200")</f>
        <v>0</v>
      </c>
      <c r="X5">
        <f>sumifs(生产物料推移表!x:x,生产物料推移表!L:L,"计划生产",生产物料推移表!B:B,"952-228000-200")</f>
        <v>0</v>
      </c>
      <c r="Y5">
        <f>sumifs(生产物料推移表!y:y,生产物料推移表!L:L,"计划生产",生产物料推移表!B:B,"952-228000-200")</f>
        <v>0</v>
      </c>
      <c r="Z5">
        <f>sumifs(生产物料推移表!z:z,生产物料推移表!L:L,"计划生产",生产物料推移表!B:B,"952-228000-200")</f>
        <v>0</v>
      </c>
      <c r="AA5">
        <f>sumifs(生产物料推移表!aa:aa,生产物料推移表!L:L,"计划生产",生产物料推移表!B:B,"952-228000-200")</f>
        <v>0</v>
      </c>
      <c r="AB5">
        <f>sumifs(生产物料推移表!ab:ab,生产物料推移表!L:L,"计划生产",生产物料推移表!B:B,"952-228000-200")</f>
        <v>0</v>
      </c>
      <c r="AC5">
        <f>sumifs(生产物料推移表!ac:ac,生产物料推移表!L:L,"计划生产",生产物料推移表!B:B,"952-228000-200")</f>
        <v>0</v>
      </c>
      <c r="AD5">
        <f>sumifs(生产物料推移表!ad:ad,生产物料推移表!L:L,"计划生产",生产物料推移表!B:B,"952-228000-200")</f>
        <v>0</v>
      </c>
      <c r="AE5">
        <f>sumifs(生产物料推移表!ae:ae,生产物料推移表!L:L,"计划生产",生产物料推移表!B:B,"952-228000-200")</f>
        <v>0</v>
      </c>
      <c r="AF5">
        <f>sumifs(生产物料推移表!af:af,生产物料推移表!L:L,"计划生产",生产物料推移表!B:B,"952-228000-200")</f>
        <v>0</v>
      </c>
      <c r="AG5">
        <f>sumifs(生产物料推移表!ag:ag,生产物料推移表!L:L,"计划生产",生产物料推移表!B:B,"952-228000-200")</f>
        <v>0</v>
      </c>
      <c r="AH5">
        <f>sumifs(生产物料推移表!ah:ah,生产物料推移表!L:L,"计划生产",生产物料推移表!B:B,"952-228000-200")</f>
        <v>0</v>
      </c>
      <c r="AI5">
        <f>sumifs(生产物料推移表!ai:ai,生产物料推移表!L:L,"计划生产",生产物料推移表!B:B,"952-228000-200")</f>
        <v>0</v>
      </c>
      <c r="AJ5">
        <f>sumifs(生产物料推移表!aj:aj,生产物料推移表!L:L,"计划生产",生产物料推移表!B:B,"952-228000-200")</f>
        <v>0</v>
      </c>
      <c r="AK5">
        <f>sumifs(生产物料推移表!ak:ak,生产物料推移表!L:L,"计划生产",生产物料推移表!B:B,"952-228000-200")</f>
        <v>0</v>
      </c>
      <c r="AL5">
        <f>sumifs(生产物料推移表!al:al,生产物料推移表!L:L,"计划生产",生产物料推移表!B:B,"952-228000-200")</f>
        <v>0</v>
      </c>
      <c r="AM5">
        <f>sumifs(生产物料推移表!am:am,生产物料推移表!L:L,"计划生产",生产物料推移表!B:B,"952-228000-200")</f>
        <v>0</v>
      </c>
      <c r="AN5">
        <f>sumifs(生产物料推移表!an:an,生产物料推移表!L:L,"计划生产",生产物料推移表!B:B,"952-228000-200")</f>
        <v>0</v>
      </c>
      <c r="AO5">
        <f>sumifs(生产物料推移表!ao:ao,生产物料推移表!L:L,"计划生产",生产物料推移表!B:B,"952-228000-200")</f>
        <v>0</v>
      </c>
      <c r="AP5">
        <f>sumifs(生产物料推移表!ap:ap,生产物料推移表!L:L,"计划生产",生产物料推移表!B:B,"952-228000-200")</f>
        <v>0</v>
      </c>
      <c r="AQ5">
        <f>sumifs(生产物料推移表!aq:aq,生产物料推移表!L:L,"计划生产",生产物料推移表!B:B,"952-228000-200")</f>
        <v>0</v>
      </c>
      <c r="AR5">
        <f>sumifs(生产物料推移表!ar:ar,生产物料推移表!L:L,"计划生产",生产物料推移表!B:B,"952-228000-200")</f>
        <v>0</v>
      </c>
      <c r="BY5">
        <f>sum(j5:an5)</f>
        <v>0</v>
      </c>
    </row>
    <row r="6" spans="1:77">
      <c r="A6" t="s">
        <v>14</v>
      </c>
      <c r="B6" t="s">
        <v>25</v>
      </c>
      <c r="C6" t="s">
        <v>26</v>
      </c>
      <c r="D6" t="s">
        <v>27</v>
      </c>
      <c r="E6">
        <v>1</v>
      </c>
      <c r="F6" t="s">
        <v>28</v>
      </c>
      <c r="H6" t="s">
        <v>29</v>
      </c>
      <c r="I6" t="s">
        <v>30</v>
      </c>
      <c r="K6" t="s">
        <v>20</v>
      </c>
      <c r="L6" t="s">
        <v>37</v>
      </c>
      <c r="M6">
        <f>sumifs(生产物料推移表!m:m,生产物料推移表!L:L,"计划生产",生产物料推移表!B:B,"952-229000-100")</f>
        <v>0</v>
      </c>
      <c r="N6">
        <f>sumifs(生产物料推移表!n:n,生产物料推移表!L:L,"计划生产",生产物料推移表!B:B,"952-229000-100")</f>
        <v>0</v>
      </c>
      <c r="O6">
        <f>sumifs(生产物料推移表!o:o,生产物料推移表!L:L,"计划生产",生产物料推移表!B:B,"952-229000-100")</f>
        <v>0</v>
      </c>
      <c r="P6">
        <f>sumifs(生产物料推移表!p:p,生产物料推移表!L:L,"计划生产",生产物料推移表!B:B,"952-229000-100")</f>
        <v>0</v>
      </c>
      <c r="Q6">
        <f>sumifs(生产物料推移表!q:q,生产物料推移表!L:L,"计划生产",生产物料推移表!B:B,"952-229000-100")</f>
        <v>0</v>
      </c>
      <c r="R6">
        <f>sumifs(生产物料推移表!r:r,生产物料推移表!L:L,"计划生产",生产物料推移表!B:B,"952-229000-100")</f>
        <v>0</v>
      </c>
      <c r="S6">
        <f>sumifs(生产物料推移表!s:s,生产物料推移表!L:L,"计划生产",生产物料推移表!B:B,"952-229000-100")</f>
        <v>0</v>
      </c>
      <c r="T6">
        <f>sumifs(生产物料推移表!t:t,生产物料推移表!L:L,"计划生产",生产物料推移表!B:B,"952-229000-100")</f>
        <v>0</v>
      </c>
      <c r="U6">
        <f>sumifs(生产物料推移表!u:u,生产物料推移表!L:L,"计划生产",生产物料推移表!B:B,"952-229000-100")</f>
        <v>0</v>
      </c>
      <c r="V6">
        <f>sumifs(生产物料推移表!v:v,生产物料推移表!L:L,"计划生产",生产物料推移表!B:B,"952-229000-100")</f>
        <v>0</v>
      </c>
      <c r="W6">
        <f>sumifs(生产物料推移表!w:w,生产物料推移表!L:L,"计划生产",生产物料推移表!B:B,"952-229000-100")</f>
        <v>0</v>
      </c>
      <c r="X6">
        <f>sumifs(生产物料推移表!x:x,生产物料推移表!L:L,"计划生产",生产物料推移表!B:B,"952-229000-100")</f>
        <v>0</v>
      </c>
      <c r="Y6">
        <f>sumifs(生产物料推移表!y:y,生产物料推移表!L:L,"计划生产",生产物料推移表!B:B,"952-229000-100")</f>
        <v>0</v>
      </c>
      <c r="Z6">
        <f>sumifs(生产物料推移表!z:z,生产物料推移表!L:L,"计划生产",生产物料推移表!B:B,"952-229000-100")</f>
        <v>0</v>
      </c>
      <c r="AA6">
        <f>sumifs(生产物料推移表!aa:aa,生产物料推移表!L:L,"计划生产",生产物料推移表!B:B,"952-229000-100")</f>
        <v>0</v>
      </c>
      <c r="AB6">
        <f>sumifs(生产物料推移表!ab:ab,生产物料推移表!L:L,"计划生产",生产物料推移表!B:B,"952-229000-100")</f>
        <v>0</v>
      </c>
      <c r="AC6">
        <f>sumifs(生产物料推移表!ac:ac,生产物料推移表!L:L,"计划生产",生产物料推移表!B:B,"952-229000-100")</f>
        <v>0</v>
      </c>
      <c r="AD6">
        <f>sumifs(生产物料推移表!ad:ad,生产物料推移表!L:L,"计划生产",生产物料推移表!B:B,"952-229000-100")</f>
        <v>0</v>
      </c>
      <c r="AE6">
        <f>sumifs(生产物料推移表!ae:ae,生产物料推移表!L:L,"计划生产",生产物料推移表!B:B,"952-229000-100")</f>
        <v>0</v>
      </c>
      <c r="AF6">
        <f>sumifs(生产物料推移表!af:af,生产物料推移表!L:L,"计划生产",生产物料推移表!B:B,"952-229000-100")</f>
        <v>0</v>
      </c>
      <c r="AG6">
        <f>sumifs(生产物料推移表!ag:ag,生产物料推移表!L:L,"计划生产",生产物料推移表!B:B,"952-229000-100")</f>
        <v>0</v>
      </c>
      <c r="AH6">
        <f>sumifs(生产物料推移表!ah:ah,生产物料推移表!L:L,"计划生产",生产物料推移表!B:B,"952-229000-100")</f>
        <v>0</v>
      </c>
      <c r="AI6">
        <f>sumifs(生产物料推移表!ai:ai,生产物料推移表!L:L,"计划生产",生产物料推移表!B:B,"952-229000-100")</f>
        <v>0</v>
      </c>
      <c r="AJ6">
        <f>sumifs(生产物料推移表!aj:aj,生产物料推移表!L:L,"计划生产",生产物料推移表!B:B,"952-229000-100")</f>
        <v>0</v>
      </c>
      <c r="AK6">
        <f>sumifs(生产物料推移表!ak:ak,生产物料推移表!L:L,"计划生产",生产物料推移表!B:B,"952-229000-100")</f>
        <v>0</v>
      </c>
      <c r="AL6">
        <f>sumifs(生产物料推移表!al:al,生产物料推移表!L:L,"计划生产",生产物料推移表!B:B,"952-229000-100")</f>
        <v>0</v>
      </c>
      <c r="AM6">
        <f>sumifs(生产物料推移表!am:am,生产物料推移表!L:L,"计划生产",生产物料推移表!B:B,"952-229000-100")</f>
        <v>0</v>
      </c>
      <c r="AN6">
        <f>sumifs(生产物料推移表!an:an,生产物料推移表!L:L,"计划生产",生产物料推移表!B:B,"952-229000-100")</f>
        <v>0</v>
      </c>
      <c r="AO6">
        <f>sumifs(生产物料推移表!ao:ao,生产物料推移表!L:L,"计划生产",生产物料推移表!B:B,"952-229000-100")</f>
        <v>0</v>
      </c>
      <c r="AP6">
        <f>sumifs(生产物料推移表!ap:ap,生产物料推移表!L:L,"计划生产",生产物料推移表!B:B,"952-229000-100")</f>
        <v>0</v>
      </c>
      <c r="AQ6">
        <f>sumifs(生产物料推移表!aq:aq,生产物料推移表!L:L,"计划生产",生产物料推移表!B:B,"952-229000-100")</f>
        <v>0</v>
      </c>
      <c r="AR6">
        <f>sumifs(生产物料推移表!ar:ar,生产物料推移表!L:L,"计划生产",生产物料推移表!B:B,"952-229000-100")</f>
        <v>0</v>
      </c>
      <c r="BY6">
        <f>sum(j6:an6)</f>
        <v>0</v>
      </c>
    </row>
    <row r="7" spans="1:77">
      <c r="A7" t="s">
        <v>14</v>
      </c>
      <c r="B7" t="s">
        <v>38</v>
      </c>
      <c r="C7" t="s">
        <v>39</v>
      </c>
      <c r="D7" t="s">
        <v>27</v>
      </c>
      <c r="E7">
        <v>1</v>
      </c>
      <c r="F7" t="s">
        <v>40</v>
      </c>
      <c r="H7" t="s">
        <v>29</v>
      </c>
      <c r="I7" t="s">
        <v>30</v>
      </c>
      <c r="K7" t="s">
        <v>20</v>
      </c>
      <c r="L7" t="s">
        <v>37</v>
      </c>
      <c r="M7">
        <f>sumifs(生产物料推移表!m:m,生产物料推移表!L:L,"计划生产",生产物料推移表!B:B,"952-229000-200")</f>
        <v>0</v>
      </c>
      <c r="N7">
        <f>sumifs(生产物料推移表!n:n,生产物料推移表!L:L,"计划生产",生产物料推移表!B:B,"952-229000-200")</f>
        <v>0</v>
      </c>
      <c r="O7">
        <f>sumifs(生产物料推移表!o:o,生产物料推移表!L:L,"计划生产",生产物料推移表!B:B,"952-229000-200")</f>
        <v>0</v>
      </c>
      <c r="P7">
        <f>sumifs(生产物料推移表!p:p,生产物料推移表!L:L,"计划生产",生产物料推移表!B:B,"952-229000-200")</f>
        <v>0</v>
      </c>
      <c r="Q7">
        <f>sumifs(生产物料推移表!q:q,生产物料推移表!L:L,"计划生产",生产物料推移表!B:B,"952-229000-200")</f>
        <v>0</v>
      </c>
      <c r="R7">
        <f>sumifs(生产物料推移表!r:r,生产物料推移表!L:L,"计划生产",生产物料推移表!B:B,"952-229000-200")</f>
        <v>0</v>
      </c>
      <c r="S7">
        <f>sumifs(生产物料推移表!s:s,生产物料推移表!L:L,"计划生产",生产物料推移表!B:B,"952-229000-200")</f>
        <v>0</v>
      </c>
      <c r="T7">
        <f>sumifs(生产物料推移表!t:t,生产物料推移表!L:L,"计划生产",生产物料推移表!B:B,"952-229000-200")</f>
        <v>0</v>
      </c>
      <c r="U7">
        <f>sumifs(生产物料推移表!u:u,生产物料推移表!L:L,"计划生产",生产物料推移表!B:B,"952-229000-200")</f>
        <v>0</v>
      </c>
      <c r="V7">
        <f>sumifs(生产物料推移表!v:v,生产物料推移表!L:L,"计划生产",生产物料推移表!B:B,"952-229000-200")</f>
        <v>0</v>
      </c>
      <c r="W7">
        <f>sumifs(生产物料推移表!w:w,生产物料推移表!L:L,"计划生产",生产物料推移表!B:B,"952-229000-200")</f>
        <v>0</v>
      </c>
      <c r="X7">
        <f>sumifs(生产物料推移表!x:x,生产物料推移表!L:L,"计划生产",生产物料推移表!B:B,"952-229000-200")</f>
        <v>0</v>
      </c>
      <c r="Y7">
        <f>sumifs(生产物料推移表!y:y,生产物料推移表!L:L,"计划生产",生产物料推移表!B:B,"952-229000-200")</f>
        <v>0</v>
      </c>
      <c r="Z7">
        <f>sumifs(生产物料推移表!z:z,生产物料推移表!L:L,"计划生产",生产物料推移表!B:B,"952-229000-200")</f>
        <v>0</v>
      </c>
      <c r="AA7">
        <f>sumifs(生产物料推移表!aa:aa,生产物料推移表!L:L,"计划生产",生产物料推移表!B:B,"952-229000-200")</f>
        <v>0</v>
      </c>
      <c r="AB7">
        <f>sumifs(生产物料推移表!ab:ab,生产物料推移表!L:L,"计划生产",生产物料推移表!B:B,"952-229000-200")</f>
        <v>0</v>
      </c>
      <c r="AC7">
        <f>sumifs(生产物料推移表!ac:ac,生产物料推移表!L:L,"计划生产",生产物料推移表!B:B,"952-229000-200")</f>
        <v>0</v>
      </c>
      <c r="AD7">
        <f>sumifs(生产物料推移表!ad:ad,生产物料推移表!L:L,"计划生产",生产物料推移表!B:B,"952-229000-200")</f>
        <v>0</v>
      </c>
      <c r="AE7">
        <f>sumifs(生产物料推移表!ae:ae,生产物料推移表!L:L,"计划生产",生产物料推移表!B:B,"952-229000-200")</f>
        <v>0</v>
      </c>
      <c r="AF7">
        <f>sumifs(生产物料推移表!af:af,生产物料推移表!L:L,"计划生产",生产物料推移表!B:B,"952-229000-200")</f>
        <v>0</v>
      </c>
      <c r="AG7">
        <f>sumifs(生产物料推移表!ag:ag,生产物料推移表!L:L,"计划生产",生产物料推移表!B:B,"952-229000-200")</f>
        <v>0</v>
      </c>
      <c r="AH7">
        <f>sumifs(生产物料推移表!ah:ah,生产物料推移表!L:L,"计划生产",生产物料推移表!B:B,"952-229000-200")</f>
        <v>0</v>
      </c>
      <c r="AI7">
        <f>sumifs(生产物料推移表!ai:ai,生产物料推移表!L:L,"计划生产",生产物料推移表!B:B,"952-229000-200")</f>
        <v>0</v>
      </c>
      <c r="AJ7">
        <f>sumifs(生产物料推移表!aj:aj,生产物料推移表!L:L,"计划生产",生产物料推移表!B:B,"952-229000-200")</f>
        <v>0</v>
      </c>
      <c r="AK7">
        <f>sumifs(生产物料推移表!ak:ak,生产物料推移表!L:L,"计划生产",生产物料推移表!B:B,"952-229000-200")</f>
        <v>0</v>
      </c>
      <c r="AL7">
        <f>sumifs(生产物料推移表!al:al,生产物料推移表!L:L,"计划生产",生产物料推移表!B:B,"952-229000-200")</f>
        <v>0</v>
      </c>
      <c r="AM7">
        <f>sumifs(生产物料推移表!am:am,生产物料推移表!L:L,"计划生产",生产物料推移表!B:B,"952-229000-200")</f>
        <v>0</v>
      </c>
      <c r="AN7">
        <f>sumifs(生产物料推移表!an:an,生产物料推移表!L:L,"计划生产",生产物料推移表!B:B,"952-229000-200")</f>
        <v>0</v>
      </c>
      <c r="AO7">
        <f>sumifs(生产物料推移表!ao:ao,生产物料推移表!L:L,"计划生产",生产物料推移表!B:B,"952-229000-200")</f>
        <v>0</v>
      </c>
      <c r="AP7">
        <f>sumifs(生产物料推移表!ap:ap,生产物料推移表!L:L,"计划生产",生产物料推移表!B:B,"952-229000-200")</f>
        <v>0</v>
      </c>
      <c r="AQ7">
        <f>sumifs(生产物料推移表!aq:aq,生产物料推移表!L:L,"计划生产",生产物料推移表!B:B,"952-229000-200")</f>
        <v>0</v>
      </c>
      <c r="AR7">
        <f>sumifs(生产物料推移表!ar:ar,生产物料推移表!L:L,"计划生产",生产物料推移表!B:B,"952-229000-200")</f>
        <v>0</v>
      </c>
      <c r="BY7">
        <f>sum(j7:an7)</f>
        <v>0</v>
      </c>
    </row>
    <row r="8" spans="1:77">
      <c r="A8" t="s">
        <v>14</v>
      </c>
      <c r="B8" t="s">
        <v>44</v>
      </c>
      <c r="C8" t="s">
        <v>45</v>
      </c>
      <c r="D8" t="s">
        <v>46</v>
      </c>
      <c r="E8">
        <v>1</v>
      </c>
      <c r="F8" t="s">
        <v>47</v>
      </c>
      <c r="H8" t="s">
        <v>48</v>
      </c>
      <c r="I8" t="s">
        <v>49</v>
      </c>
      <c r="K8" t="s">
        <v>20</v>
      </c>
      <c r="L8" t="s">
        <v>37</v>
      </c>
      <c r="M8">
        <f>sumifs(生产物料推移表!m:m,生产物料推移表!L:L,"计划生产",生产物料推移表!B:B,"952-230000-100")</f>
        <v>0</v>
      </c>
      <c r="N8">
        <f>sumifs(生产物料推移表!n:n,生产物料推移表!L:L,"计划生产",生产物料推移表!B:B,"952-230000-100")</f>
        <v>0</v>
      </c>
      <c r="O8">
        <f>sumifs(生产物料推移表!o:o,生产物料推移表!L:L,"计划生产",生产物料推移表!B:B,"952-230000-100")</f>
        <v>0</v>
      </c>
      <c r="P8">
        <f>sumifs(生产物料推移表!p:p,生产物料推移表!L:L,"计划生产",生产物料推移表!B:B,"952-230000-100")</f>
        <v>0</v>
      </c>
      <c r="Q8">
        <f>sumifs(生产物料推移表!q:q,生产物料推移表!L:L,"计划生产",生产物料推移表!B:B,"952-230000-100")</f>
        <v>0</v>
      </c>
      <c r="R8">
        <f>sumifs(生产物料推移表!r:r,生产物料推移表!L:L,"计划生产",生产物料推移表!B:B,"952-230000-100")</f>
        <v>0</v>
      </c>
      <c r="S8">
        <f>sumifs(生产物料推移表!s:s,生产物料推移表!L:L,"计划生产",生产物料推移表!B:B,"952-230000-100")</f>
        <v>0</v>
      </c>
      <c r="T8">
        <f>sumifs(生产物料推移表!t:t,生产物料推移表!L:L,"计划生产",生产物料推移表!B:B,"952-230000-100")</f>
        <v>0</v>
      </c>
      <c r="U8">
        <f>sumifs(生产物料推移表!u:u,生产物料推移表!L:L,"计划生产",生产物料推移表!B:B,"952-230000-100")</f>
        <v>0</v>
      </c>
      <c r="V8">
        <f>sumifs(生产物料推移表!v:v,生产物料推移表!L:L,"计划生产",生产物料推移表!B:B,"952-230000-100")</f>
        <v>0</v>
      </c>
      <c r="W8">
        <f>sumifs(生产物料推移表!w:w,生产物料推移表!L:L,"计划生产",生产物料推移表!B:B,"952-230000-100")</f>
        <v>0</v>
      </c>
      <c r="X8">
        <f>sumifs(生产物料推移表!x:x,生产物料推移表!L:L,"计划生产",生产物料推移表!B:B,"952-230000-100")</f>
        <v>0</v>
      </c>
      <c r="Y8">
        <f>sumifs(生产物料推移表!y:y,生产物料推移表!L:L,"计划生产",生产物料推移表!B:B,"952-230000-100")</f>
        <v>0</v>
      </c>
      <c r="Z8">
        <f>sumifs(生产物料推移表!z:z,生产物料推移表!L:L,"计划生产",生产物料推移表!B:B,"952-230000-100")</f>
        <v>0</v>
      </c>
      <c r="AA8">
        <f>sumifs(生产物料推移表!aa:aa,生产物料推移表!L:L,"计划生产",生产物料推移表!B:B,"952-230000-100")</f>
        <v>0</v>
      </c>
      <c r="AB8">
        <f>sumifs(生产物料推移表!ab:ab,生产物料推移表!L:L,"计划生产",生产物料推移表!B:B,"952-230000-100")</f>
        <v>0</v>
      </c>
      <c r="AC8">
        <f>sumifs(生产物料推移表!ac:ac,生产物料推移表!L:L,"计划生产",生产物料推移表!B:B,"952-230000-100")</f>
        <v>0</v>
      </c>
      <c r="AD8">
        <f>sumifs(生产物料推移表!ad:ad,生产物料推移表!L:L,"计划生产",生产物料推移表!B:B,"952-230000-100")</f>
        <v>0</v>
      </c>
      <c r="AE8">
        <f>sumifs(生产物料推移表!ae:ae,生产物料推移表!L:L,"计划生产",生产物料推移表!B:B,"952-230000-100")</f>
        <v>0</v>
      </c>
      <c r="AF8">
        <f>sumifs(生产物料推移表!af:af,生产物料推移表!L:L,"计划生产",生产物料推移表!B:B,"952-230000-100")</f>
        <v>0</v>
      </c>
      <c r="AG8">
        <f>sumifs(生产物料推移表!ag:ag,生产物料推移表!L:L,"计划生产",生产物料推移表!B:B,"952-230000-100")</f>
        <v>0</v>
      </c>
      <c r="AH8">
        <f>sumifs(生产物料推移表!ah:ah,生产物料推移表!L:L,"计划生产",生产物料推移表!B:B,"952-230000-100")</f>
        <v>0</v>
      </c>
      <c r="AI8">
        <f>sumifs(生产物料推移表!ai:ai,生产物料推移表!L:L,"计划生产",生产物料推移表!B:B,"952-230000-100")</f>
        <v>0</v>
      </c>
      <c r="AJ8">
        <f>sumifs(生产物料推移表!aj:aj,生产物料推移表!L:L,"计划生产",生产物料推移表!B:B,"952-230000-100")</f>
        <v>0</v>
      </c>
      <c r="AK8">
        <f>sumifs(生产物料推移表!ak:ak,生产物料推移表!L:L,"计划生产",生产物料推移表!B:B,"952-230000-100")</f>
        <v>0</v>
      </c>
      <c r="AL8">
        <f>sumifs(生产物料推移表!al:al,生产物料推移表!L:L,"计划生产",生产物料推移表!B:B,"952-230000-100")</f>
        <v>0</v>
      </c>
      <c r="AM8">
        <f>sumifs(生产物料推移表!am:am,生产物料推移表!L:L,"计划生产",生产物料推移表!B:B,"952-230000-100")</f>
        <v>0</v>
      </c>
      <c r="AN8">
        <f>sumifs(生产物料推移表!an:an,生产物料推移表!L:L,"计划生产",生产物料推移表!B:B,"952-230000-100")</f>
        <v>0</v>
      </c>
      <c r="AO8">
        <f>sumifs(生产物料推移表!ao:ao,生产物料推移表!L:L,"计划生产",生产物料推移表!B:B,"952-230000-100")</f>
        <v>0</v>
      </c>
      <c r="AP8">
        <f>sumifs(生产物料推移表!ap:ap,生产物料推移表!L:L,"计划生产",生产物料推移表!B:B,"952-230000-100")</f>
        <v>0</v>
      </c>
      <c r="AQ8">
        <f>sumifs(生产物料推移表!aq:aq,生产物料推移表!L:L,"计划生产",生产物料推移表!B:B,"952-230000-100")</f>
        <v>0</v>
      </c>
      <c r="AR8">
        <f>sumifs(生产物料推移表!ar:ar,生产物料推移表!L:L,"计划生产",生产物料推移表!B:B,"952-230000-100")</f>
        <v>0</v>
      </c>
      <c r="BY8">
        <f>sum(j8:an8)</f>
        <v>0</v>
      </c>
    </row>
    <row r="9" spans="1:77">
      <c r="A9" t="s">
        <v>14</v>
      </c>
      <c r="B9" t="s">
        <v>59</v>
      </c>
      <c r="C9" t="s">
        <v>60</v>
      </c>
      <c r="D9" t="s">
        <v>27</v>
      </c>
      <c r="E9">
        <v>1</v>
      </c>
      <c r="F9" t="s">
        <v>61</v>
      </c>
      <c r="H9" t="s">
        <v>35</v>
      </c>
      <c r="I9" t="s">
        <v>36</v>
      </c>
      <c r="K9" t="s">
        <v>20</v>
      </c>
      <c r="L9" t="s">
        <v>37</v>
      </c>
      <c r="M9">
        <f>sumifs(生产物料推移表!m:m,生产物料推移表!L:L,"计划生产",生产物料推移表!B:B,"852-232000-110")</f>
        <v>0</v>
      </c>
      <c r="N9">
        <f>sumifs(生产物料推移表!n:n,生产物料推移表!L:L,"计划生产",生产物料推移表!B:B,"852-232000-110")</f>
        <v>0</v>
      </c>
      <c r="O9">
        <f>sumifs(生产物料推移表!o:o,生产物料推移表!L:L,"计划生产",生产物料推移表!B:B,"852-232000-110")</f>
        <v>0</v>
      </c>
      <c r="P9">
        <f>sumifs(生产物料推移表!p:p,生产物料推移表!L:L,"计划生产",生产物料推移表!B:B,"852-232000-110")</f>
        <v>0</v>
      </c>
      <c r="Q9">
        <f>sumifs(生产物料推移表!q:q,生产物料推移表!L:L,"计划生产",生产物料推移表!B:B,"852-232000-110")</f>
        <v>0</v>
      </c>
      <c r="R9">
        <f>sumifs(生产物料推移表!r:r,生产物料推移表!L:L,"计划生产",生产物料推移表!B:B,"852-232000-110")</f>
        <v>0</v>
      </c>
      <c r="S9">
        <f>sumifs(生产物料推移表!s:s,生产物料推移表!L:L,"计划生产",生产物料推移表!B:B,"852-232000-110")</f>
        <v>0</v>
      </c>
      <c r="T9">
        <f>sumifs(生产物料推移表!t:t,生产物料推移表!L:L,"计划生产",生产物料推移表!B:B,"852-232000-110")</f>
        <v>0</v>
      </c>
      <c r="U9">
        <f>sumifs(生产物料推移表!u:u,生产物料推移表!L:L,"计划生产",生产物料推移表!B:B,"852-232000-110")</f>
        <v>0</v>
      </c>
      <c r="V9">
        <f>sumifs(生产物料推移表!v:v,生产物料推移表!L:L,"计划生产",生产物料推移表!B:B,"852-232000-110")</f>
        <v>0</v>
      </c>
      <c r="W9">
        <f>sumifs(生产物料推移表!w:w,生产物料推移表!L:L,"计划生产",生产物料推移表!B:B,"852-232000-110")</f>
        <v>0</v>
      </c>
      <c r="X9">
        <f>sumifs(生产物料推移表!x:x,生产物料推移表!L:L,"计划生产",生产物料推移表!B:B,"852-232000-110")</f>
        <v>0</v>
      </c>
      <c r="Y9">
        <f>sumifs(生产物料推移表!y:y,生产物料推移表!L:L,"计划生产",生产物料推移表!B:B,"852-232000-110")</f>
        <v>0</v>
      </c>
      <c r="Z9">
        <f>sumifs(生产物料推移表!z:z,生产物料推移表!L:L,"计划生产",生产物料推移表!B:B,"852-232000-110")</f>
        <v>0</v>
      </c>
      <c r="AA9">
        <f>sumifs(生产物料推移表!aa:aa,生产物料推移表!L:L,"计划生产",生产物料推移表!B:B,"852-232000-110")</f>
        <v>0</v>
      </c>
      <c r="AB9">
        <f>sumifs(生产物料推移表!ab:ab,生产物料推移表!L:L,"计划生产",生产物料推移表!B:B,"852-232000-110")</f>
        <v>0</v>
      </c>
      <c r="AC9">
        <f>sumifs(生产物料推移表!ac:ac,生产物料推移表!L:L,"计划生产",生产物料推移表!B:B,"852-232000-110")</f>
        <v>0</v>
      </c>
      <c r="AD9">
        <f>sumifs(生产物料推移表!ad:ad,生产物料推移表!L:L,"计划生产",生产物料推移表!B:B,"852-232000-110")</f>
        <v>0</v>
      </c>
      <c r="AE9">
        <f>sumifs(生产物料推移表!ae:ae,生产物料推移表!L:L,"计划生产",生产物料推移表!B:B,"852-232000-110")</f>
        <v>0</v>
      </c>
      <c r="AF9">
        <f>sumifs(生产物料推移表!af:af,生产物料推移表!L:L,"计划生产",生产物料推移表!B:B,"852-232000-110")</f>
        <v>0</v>
      </c>
      <c r="AG9">
        <f>sumifs(生产物料推移表!ag:ag,生产物料推移表!L:L,"计划生产",生产物料推移表!B:B,"852-232000-110")</f>
        <v>0</v>
      </c>
      <c r="AH9">
        <f>sumifs(生产物料推移表!ah:ah,生产物料推移表!L:L,"计划生产",生产物料推移表!B:B,"852-232000-110")</f>
        <v>0</v>
      </c>
      <c r="AI9">
        <f>sumifs(生产物料推移表!ai:ai,生产物料推移表!L:L,"计划生产",生产物料推移表!B:B,"852-232000-110")</f>
        <v>0</v>
      </c>
      <c r="AJ9">
        <f>sumifs(生产物料推移表!aj:aj,生产物料推移表!L:L,"计划生产",生产物料推移表!B:B,"852-232000-110")</f>
        <v>0</v>
      </c>
      <c r="AK9">
        <f>sumifs(生产物料推移表!ak:ak,生产物料推移表!L:L,"计划生产",生产物料推移表!B:B,"852-232000-110")</f>
        <v>0</v>
      </c>
      <c r="AL9">
        <f>sumifs(生产物料推移表!al:al,生产物料推移表!L:L,"计划生产",生产物料推移表!B:B,"852-232000-110")</f>
        <v>0</v>
      </c>
      <c r="AM9">
        <f>sumifs(生产物料推移表!am:am,生产物料推移表!L:L,"计划生产",生产物料推移表!B:B,"852-232000-110")</f>
        <v>0</v>
      </c>
      <c r="AN9">
        <f>sumifs(生产物料推移表!an:an,生产物料推移表!L:L,"计划生产",生产物料推移表!B:B,"852-232000-110")</f>
        <v>0</v>
      </c>
      <c r="AO9">
        <f>sumifs(生产物料推移表!ao:ao,生产物料推移表!L:L,"计划生产",生产物料推移表!B:B,"852-232000-110")</f>
        <v>0</v>
      </c>
      <c r="AP9">
        <f>sumifs(生产物料推移表!ap:ap,生产物料推移表!L:L,"计划生产",生产物料推移表!B:B,"852-232000-110")</f>
        <v>0</v>
      </c>
      <c r="AQ9">
        <f>sumifs(生产物料推移表!aq:aq,生产物料推移表!L:L,"计划生产",生产物料推移表!B:B,"852-232000-110")</f>
        <v>0</v>
      </c>
      <c r="AR9">
        <f>sumifs(生产物料推移表!ar:ar,生产物料推移表!L:L,"计划生产",生产物料推移表!B:B,"852-232000-110")</f>
        <v>0</v>
      </c>
      <c r="BY9">
        <f>sum(j9:an9)</f>
        <v>0</v>
      </c>
    </row>
    <row r="10" spans="1:77">
      <c r="A10" t="s">
        <v>14</v>
      </c>
      <c r="B10" t="s">
        <v>69</v>
      </c>
      <c r="C10" t="s">
        <v>70</v>
      </c>
      <c r="D10" t="s">
        <v>46</v>
      </c>
      <c r="E10">
        <v>1</v>
      </c>
      <c r="F10" t="s">
        <v>71</v>
      </c>
      <c r="H10" t="s">
        <v>72</v>
      </c>
      <c r="I10">
        <v>30</v>
      </c>
      <c r="K10" t="s">
        <v>20</v>
      </c>
      <c r="L10" t="s">
        <v>37</v>
      </c>
      <c r="M10">
        <f>sumifs(生产物料推移表!m:m,生产物料推移表!L:L,"计划生产",生产物料推移表!B:B,"952-238000-100")</f>
        <v>0</v>
      </c>
      <c r="N10">
        <f>sumifs(生产物料推移表!n:n,生产物料推移表!L:L,"计划生产",生产物料推移表!B:B,"952-238000-100")</f>
        <v>0</v>
      </c>
      <c r="O10">
        <f>sumifs(生产物料推移表!o:o,生产物料推移表!L:L,"计划生产",生产物料推移表!B:B,"952-238000-100")</f>
        <v>0</v>
      </c>
      <c r="P10">
        <f>sumifs(生产物料推移表!p:p,生产物料推移表!L:L,"计划生产",生产物料推移表!B:B,"952-238000-100")</f>
        <v>0</v>
      </c>
      <c r="Q10">
        <f>sumifs(生产物料推移表!q:q,生产物料推移表!L:L,"计划生产",生产物料推移表!B:B,"952-238000-100")</f>
        <v>0</v>
      </c>
      <c r="R10">
        <f>sumifs(生产物料推移表!r:r,生产物料推移表!L:L,"计划生产",生产物料推移表!B:B,"952-238000-100")</f>
        <v>0</v>
      </c>
      <c r="S10">
        <f>sumifs(生产物料推移表!s:s,生产物料推移表!L:L,"计划生产",生产物料推移表!B:B,"952-238000-100")</f>
        <v>0</v>
      </c>
      <c r="T10">
        <f>sumifs(生产物料推移表!t:t,生产物料推移表!L:L,"计划生产",生产物料推移表!B:B,"952-238000-100")</f>
        <v>0</v>
      </c>
      <c r="U10">
        <f>sumifs(生产物料推移表!u:u,生产物料推移表!L:L,"计划生产",生产物料推移表!B:B,"952-238000-100")</f>
        <v>0</v>
      </c>
      <c r="V10">
        <f>sumifs(生产物料推移表!v:v,生产物料推移表!L:L,"计划生产",生产物料推移表!B:B,"952-238000-100")</f>
        <v>0</v>
      </c>
      <c r="W10">
        <f>sumifs(生产物料推移表!w:w,生产物料推移表!L:L,"计划生产",生产物料推移表!B:B,"952-238000-100")</f>
        <v>0</v>
      </c>
      <c r="X10">
        <f>sumifs(生产物料推移表!x:x,生产物料推移表!L:L,"计划生产",生产物料推移表!B:B,"952-238000-100")</f>
        <v>0</v>
      </c>
      <c r="Y10">
        <f>sumifs(生产物料推移表!y:y,生产物料推移表!L:L,"计划生产",生产物料推移表!B:B,"952-238000-100")</f>
        <v>0</v>
      </c>
      <c r="Z10">
        <f>sumifs(生产物料推移表!z:z,生产物料推移表!L:L,"计划生产",生产物料推移表!B:B,"952-238000-100")</f>
        <v>0</v>
      </c>
      <c r="AA10">
        <f>sumifs(生产物料推移表!aa:aa,生产物料推移表!L:L,"计划生产",生产物料推移表!B:B,"952-238000-100")</f>
        <v>0</v>
      </c>
      <c r="AB10">
        <f>sumifs(生产物料推移表!ab:ab,生产物料推移表!L:L,"计划生产",生产物料推移表!B:B,"952-238000-100")</f>
        <v>0</v>
      </c>
      <c r="AC10">
        <f>sumifs(生产物料推移表!ac:ac,生产物料推移表!L:L,"计划生产",生产物料推移表!B:B,"952-238000-100")</f>
        <v>0</v>
      </c>
      <c r="AD10">
        <f>sumifs(生产物料推移表!ad:ad,生产物料推移表!L:L,"计划生产",生产物料推移表!B:B,"952-238000-100")</f>
        <v>0</v>
      </c>
      <c r="AE10">
        <f>sumifs(生产物料推移表!ae:ae,生产物料推移表!L:L,"计划生产",生产物料推移表!B:B,"952-238000-100")</f>
        <v>0</v>
      </c>
      <c r="AF10">
        <f>sumifs(生产物料推移表!af:af,生产物料推移表!L:L,"计划生产",生产物料推移表!B:B,"952-238000-100")</f>
        <v>0</v>
      </c>
      <c r="AG10">
        <f>sumifs(生产物料推移表!ag:ag,生产物料推移表!L:L,"计划生产",生产物料推移表!B:B,"952-238000-100")</f>
        <v>0</v>
      </c>
      <c r="AH10">
        <f>sumifs(生产物料推移表!ah:ah,生产物料推移表!L:L,"计划生产",生产物料推移表!B:B,"952-238000-100")</f>
        <v>0</v>
      </c>
      <c r="AI10">
        <f>sumifs(生产物料推移表!ai:ai,生产物料推移表!L:L,"计划生产",生产物料推移表!B:B,"952-238000-100")</f>
        <v>0</v>
      </c>
      <c r="AJ10">
        <f>sumifs(生产物料推移表!aj:aj,生产物料推移表!L:L,"计划生产",生产物料推移表!B:B,"952-238000-100")</f>
        <v>0</v>
      </c>
      <c r="AK10">
        <f>sumifs(生产物料推移表!ak:ak,生产物料推移表!L:L,"计划生产",生产物料推移表!B:B,"952-238000-100")</f>
        <v>0</v>
      </c>
      <c r="AL10">
        <f>sumifs(生产物料推移表!al:al,生产物料推移表!L:L,"计划生产",生产物料推移表!B:B,"952-238000-100")</f>
        <v>0</v>
      </c>
      <c r="AM10">
        <f>sumifs(生产物料推移表!am:am,生产物料推移表!L:L,"计划生产",生产物料推移表!B:B,"952-238000-100")</f>
        <v>0</v>
      </c>
      <c r="AN10">
        <f>sumifs(生产物料推移表!an:an,生产物料推移表!L:L,"计划生产",生产物料推移表!B:B,"952-238000-100")</f>
        <v>0</v>
      </c>
      <c r="AO10">
        <f>sumifs(生产物料推移表!ao:ao,生产物料推移表!L:L,"计划生产",生产物料推移表!B:B,"952-238000-100")</f>
        <v>0</v>
      </c>
      <c r="AP10">
        <f>sumifs(生产物料推移表!ap:ap,生产物料推移表!L:L,"计划生产",生产物料推移表!B:B,"952-238000-100")</f>
        <v>0</v>
      </c>
      <c r="AQ10">
        <f>sumifs(生产物料推移表!aq:aq,生产物料推移表!L:L,"计划生产",生产物料推移表!B:B,"952-238000-100")</f>
        <v>0</v>
      </c>
      <c r="AR10">
        <f>sumifs(生产物料推移表!ar:ar,生产物料推移表!L:L,"计划生产",生产物料推移表!B:B,"952-238000-100")</f>
        <v>0</v>
      </c>
      <c r="BY10">
        <f>sum(j10:an10)</f>
        <v>0</v>
      </c>
    </row>
    <row r="11" spans="1:77">
      <c r="A11" t="s">
        <v>14</v>
      </c>
      <c r="B11" t="s">
        <v>79</v>
      </c>
      <c r="C11" t="s">
        <v>80</v>
      </c>
      <c r="D11" t="s">
        <v>46</v>
      </c>
      <c r="E11">
        <v>1</v>
      </c>
      <c r="F11" t="s">
        <v>81</v>
      </c>
      <c r="H11" t="s">
        <v>72</v>
      </c>
      <c r="I11">
        <v>30</v>
      </c>
      <c r="K11" t="s">
        <v>20</v>
      </c>
      <c r="L11" t="s">
        <v>37</v>
      </c>
      <c r="M11">
        <f>sumifs(生产物料推移表!m:m,生产物料推移表!L:L,"计划生产",生产物料推移表!B:B,"952-238000-200")</f>
        <v>0</v>
      </c>
      <c r="N11">
        <f>sumifs(生产物料推移表!n:n,生产物料推移表!L:L,"计划生产",生产物料推移表!B:B,"952-238000-200")</f>
        <v>0</v>
      </c>
      <c r="O11">
        <f>sumifs(生产物料推移表!o:o,生产物料推移表!L:L,"计划生产",生产物料推移表!B:B,"952-238000-200")</f>
        <v>0</v>
      </c>
      <c r="P11">
        <f>sumifs(生产物料推移表!p:p,生产物料推移表!L:L,"计划生产",生产物料推移表!B:B,"952-238000-200")</f>
        <v>0</v>
      </c>
      <c r="Q11">
        <f>sumifs(生产物料推移表!q:q,生产物料推移表!L:L,"计划生产",生产物料推移表!B:B,"952-238000-200")</f>
        <v>0</v>
      </c>
      <c r="R11">
        <f>sumifs(生产物料推移表!r:r,生产物料推移表!L:L,"计划生产",生产物料推移表!B:B,"952-238000-200")</f>
        <v>0</v>
      </c>
      <c r="S11">
        <f>sumifs(生产物料推移表!s:s,生产物料推移表!L:L,"计划生产",生产物料推移表!B:B,"952-238000-200")</f>
        <v>0</v>
      </c>
      <c r="T11">
        <f>sumifs(生产物料推移表!t:t,生产物料推移表!L:L,"计划生产",生产物料推移表!B:B,"952-238000-200")</f>
        <v>0</v>
      </c>
      <c r="U11">
        <f>sumifs(生产物料推移表!u:u,生产物料推移表!L:L,"计划生产",生产物料推移表!B:B,"952-238000-200")</f>
        <v>0</v>
      </c>
      <c r="V11">
        <f>sumifs(生产物料推移表!v:v,生产物料推移表!L:L,"计划生产",生产物料推移表!B:B,"952-238000-200")</f>
        <v>0</v>
      </c>
      <c r="W11">
        <f>sumifs(生产物料推移表!w:w,生产物料推移表!L:L,"计划生产",生产物料推移表!B:B,"952-238000-200")</f>
        <v>0</v>
      </c>
      <c r="X11">
        <f>sumifs(生产物料推移表!x:x,生产物料推移表!L:L,"计划生产",生产物料推移表!B:B,"952-238000-200")</f>
        <v>0</v>
      </c>
      <c r="Y11">
        <f>sumifs(生产物料推移表!y:y,生产物料推移表!L:L,"计划生产",生产物料推移表!B:B,"952-238000-200")</f>
        <v>0</v>
      </c>
      <c r="Z11">
        <f>sumifs(生产物料推移表!z:z,生产物料推移表!L:L,"计划生产",生产物料推移表!B:B,"952-238000-200")</f>
        <v>0</v>
      </c>
      <c r="AA11">
        <f>sumifs(生产物料推移表!aa:aa,生产物料推移表!L:L,"计划生产",生产物料推移表!B:B,"952-238000-200")</f>
        <v>0</v>
      </c>
      <c r="AB11">
        <f>sumifs(生产物料推移表!ab:ab,生产物料推移表!L:L,"计划生产",生产物料推移表!B:B,"952-238000-200")</f>
        <v>0</v>
      </c>
      <c r="AC11">
        <f>sumifs(生产物料推移表!ac:ac,生产物料推移表!L:L,"计划生产",生产物料推移表!B:B,"952-238000-200")</f>
        <v>0</v>
      </c>
      <c r="AD11">
        <f>sumifs(生产物料推移表!ad:ad,生产物料推移表!L:L,"计划生产",生产物料推移表!B:B,"952-238000-200")</f>
        <v>0</v>
      </c>
      <c r="AE11">
        <f>sumifs(生产物料推移表!ae:ae,生产物料推移表!L:L,"计划生产",生产物料推移表!B:B,"952-238000-200")</f>
        <v>0</v>
      </c>
      <c r="AF11">
        <f>sumifs(生产物料推移表!af:af,生产物料推移表!L:L,"计划生产",生产物料推移表!B:B,"952-238000-200")</f>
        <v>0</v>
      </c>
      <c r="AG11">
        <f>sumifs(生产物料推移表!ag:ag,生产物料推移表!L:L,"计划生产",生产物料推移表!B:B,"952-238000-200")</f>
        <v>0</v>
      </c>
      <c r="AH11">
        <f>sumifs(生产物料推移表!ah:ah,生产物料推移表!L:L,"计划生产",生产物料推移表!B:B,"952-238000-200")</f>
        <v>0</v>
      </c>
      <c r="AI11">
        <f>sumifs(生产物料推移表!ai:ai,生产物料推移表!L:L,"计划生产",生产物料推移表!B:B,"952-238000-200")</f>
        <v>0</v>
      </c>
      <c r="AJ11">
        <f>sumifs(生产物料推移表!aj:aj,生产物料推移表!L:L,"计划生产",生产物料推移表!B:B,"952-238000-200")</f>
        <v>0</v>
      </c>
      <c r="AK11">
        <f>sumifs(生产物料推移表!ak:ak,生产物料推移表!L:L,"计划生产",生产物料推移表!B:B,"952-238000-200")</f>
        <v>0</v>
      </c>
      <c r="AL11">
        <f>sumifs(生产物料推移表!al:al,生产物料推移表!L:L,"计划生产",生产物料推移表!B:B,"952-238000-200")</f>
        <v>0</v>
      </c>
      <c r="AM11">
        <f>sumifs(生产物料推移表!am:am,生产物料推移表!L:L,"计划生产",生产物料推移表!B:B,"952-238000-200")</f>
        <v>0</v>
      </c>
      <c r="AN11">
        <f>sumifs(生产物料推移表!an:an,生产物料推移表!L:L,"计划生产",生产物料推移表!B:B,"952-238000-200")</f>
        <v>0</v>
      </c>
      <c r="AO11">
        <f>sumifs(生产物料推移表!ao:ao,生产物料推移表!L:L,"计划生产",生产物料推移表!B:B,"952-238000-200")</f>
        <v>0</v>
      </c>
      <c r="AP11">
        <f>sumifs(生产物料推移表!ap:ap,生产物料推移表!L:L,"计划生产",生产物料推移表!B:B,"952-238000-200")</f>
        <v>0</v>
      </c>
      <c r="AQ11">
        <f>sumifs(生产物料推移表!aq:aq,生产物料推移表!L:L,"计划生产",生产物料推移表!B:B,"952-238000-200")</f>
        <v>0</v>
      </c>
      <c r="AR11">
        <f>sumifs(生产物料推移表!ar:ar,生产物料推移表!L:L,"计划生产",生产物料推移表!B:B,"952-238000-200")</f>
        <v>0</v>
      </c>
      <c r="BY11">
        <f>sum(j11:an11)</f>
        <v>0</v>
      </c>
    </row>
    <row r="12" spans="1:77">
      <c r="A12" t="s">
        <v>14</v>
      </c>
      <c r="B12" t="s">
        <v>88</v>
      </c>
      <c r="C12" t="s">
        <v>89</v>
      </c>
      <c r="D12" t="s">
        <v>46</v>
      </c>
      <c r="E12">
        <v>1</v>
      </c>
      <c r="F12" t="s">
        <v>90</v>
      </c>
      <c r="H12" t="s">
        <v>72</v>
      </c>
      <c r="I12" t="s">
        <v>91</v>
      </c>
      <c r="K12" t="s">
        <v>20</v>
      </c>
      <c r="L12" t="s">
        <v>37</v>
      </c>
      <c r="M12">
        <f>sumifs(生产物料推移表!m:m,生产物料推移表!L:L,"计划生产",生产物料推移表!B:B,"952-239000-100")</f>
        <v>0</v>
      </c>
      <c r="N12">
        <f>sumifs(生产物料推移表!n:n,生产物料推移表!L:L,"计划生产",生产物料推移表!B:B,"952-239000-100")</f>
        <v>0</v>
      </c>
      <c r="O12">
        <f>sumifs(生产物料推移表!o:o,生产物料推移表!L:L,"计划生产",生产物料推移表!B:B,"952-239000-100")</f>
        <v>0</v>
      </c>
      <c r="P12">
        <f>sumifs(生产物料推移表!p:p,生产物料推移表!L:L,"计划生产",生产物料推移表!B:B,"952-239000-100")</f>
        <v>0</v>
      </c>
      <c r="Q12">
        <f>sumifs(生产物料推移表!q:q,生产物料推移表!L:L,"计划生产",生产物料推移表!B:B,"952-239000-100")</f>
        <v>0</v>
      </c>
      <c r="R12">
        <f>sumifs(生产物料推移表!r:r,生产物料推移表!L:L,"计划生产",生产物料推移表!B:B,"952-239000-100")</f>
        <v>0</v>
      </c>
      <c r="S12">
        <f>sumifs(生产物料推移表!s:s,生产物料推移表!L:L,"计划生产",生产物料推移表!B:B,"952-239000-100")</f>
        <v>0</v>
      </c>
      <c r="T12">
        <f>sumifs(生产物料推移表!t:t,生产物料推移表!L:L,"计划生产",生产物料推移表!B:B,"952-239000-100")</f>
        <v>0</v>
      </c>
      <c r="U12">
        <f>sumifs(生产物料推移表!u:u,生产物料推移表!L:L,"计划生产",生产物料推移表!B:B,"952-239000-100")</f>
        <v>0</v>
      </c>
      <c r="V12">
        <f>sumifs(生产物料推移表!v:v,生产物料推移表!L:L,"计划生产",生产物料推移表!B:B,"952-239000-100")</f>
        <v>0</v>
      </c>
      <c r="W12">
        <f>sumifs(生产物料推移表!w:w,生产物料推移表!L:L,"计划生产",生产物料推移表!B:B,"952-239000-100")</f>
        <v>0</v>
      </c>
      <c r="X12">
        <f>sumifs(生产物料推移表!x:x,生产物料推移表!L:L,"计划生产",生产物料推移表!B:B,"952-239000-100")</f>
        <v>0</v>
      </c>
      <c r="Y12">
        <f>sumifs(生产物料推移表!y:y,生产物料推移表!L:L,"计划生产",生产物料推移表!B:B,"952-239000-100")</f>
        <v>0</v>
      </c>
      <c r="Z12">
        <f>sumifs(生产物料推移表!z:z,生产物料推移表!L:L,"计划生产",生产物料推移表!B:B,"952-239000-100")</f>
        <v>0</v>
      </c>
      <c r="AA12">
        <f>sumifs(生产物料推移表!aa:aa,生产物料推移表!L:L,"计划生产",生产物料推移表!B:B,"952-239000-100")</f>
        <v>0</v>
      </c>
      <c r="AB12">
        <f>sumifs(生产物料推移表!ab:ab,生产物料推移表!L:L,"计划生产",生产物料推移表!B:B,"952-239000-100")</f>
        <v>0</v>
      </c>
      <c r="AC12">
        <f>sumifs(生产物料推移表!ac:ac,生产物料推移表!L:L,"计划生产",生产物料推移表!B:B,"952-239000-100")</f>
        <v>0</v>
      </c>
      <c r="AD12">
        <f>sumifs(生产物料推移表!ad:ad,生产物料推移表!L:L,"计划生产",生产物料推移表!B:B,"952-239000-100")</f>
        <v>0</v>
      </c>
      <c r="AE12">
        <f>sumifs(生产物料推移表!ae:ae,生产物料推移表!L:L,"计划生产",生产物料推移表!B:B,"952-239000-100")</f>
        <v>0</v>
      </c>
      <c r="AF12">
        <f>sumifs(生产物料推移表!af:af,生产物料推移表!L:L,"计划生产",生产物料推移表!B:B,"952-239000-100")</f>
        <v>0</v>
      </c>
      <c r="AG12">
        <f>sumifs(生产物料推移表!ag:ag,生产物料推移表!L:L,"计划生产",生产物料推移表!B:B,"952-239000-100")</f>
        <v>0</v>
      </c>
      <c r="AH12">
        <f>sumifs(生产物料推移表!ah:ah,生产物料推移表!L:L,"计划生产",生产物料推移表!B:B,"952-239000-100")</f>
        <v>0</v>
      </c>
      <c r="AI12">
        <f>sumifs(生产物料推移表!ai:ai,生产物料推移表!L:L,"计划生产",生产物料推移表!B:B,"952-239000-100")</f>
        <v>0</v>
      </c>
      <c r="AJ12">
        <f>sumifs(生产物料推移表!aj:aj,生产物料推移表!L:L,"计划生产",生产物料推移表!B:B,"952-239000-100")</f>
        <v>0</v>
      </c>
      <c r="AK12">
        <f>sumifs(生产物料推移表!ak:ak,生产物料推移表!L:L,"计划生产",生产物料推移表!B:B,"952-239000-100")</f>
        <v>0</v>
      </c>
      <c r="AL12">
        <f>sumifs(生产物料推移表!al:al,生产物料推移表!L:L,"计划生产",生产物料推移表!B:B,"952-239000-100")</f>
        <v>0</v>
      </c>
      <c r="AM12">
        <f>sumifs(生产物料推移表!am:am,生产物料推移表!L:L,"计划生产",生产物料推移表!B:B,"952-239000-100")</f>
        <v>0</v>
      </c>
      <c r="AN12">
        <f>sumifs(生产物料推移表!an:an,生产物料推移表!L:L,"计划生产",生产物料推移表!B:B,"952-239000-100")</f>
        <v>0</v>
      </c>
      <c r="AO12">
        <f>sumifs(生产物料推移表!ao:ao,生产物料推移表!L:L,"计划生产",生产物料推移表!B:B,"952-239000-100")</f>
        <v>0</v>
      </c>
      <c r="AP12">
        <f>sumifs(生产物料推移表!ap:ap,生产物料推移表!L:L,"计划生产",生产物料推移表!B:B,"952-239000-100")</f>
        <v>0</v>
      </c>
      <c r="AQ12">
        <f>sumifs(生产物料推移表!aq:aq,生产物料推移表!L:L,"计划生产",生产物料推移表!B:B,"952-239000-100")</f>
        <v>0</v>
      </c>
      <c r="AR12">
        <f>sumifs(生产物料推移表!ar:ar,生产物料推移表!L:L,"计划生产",生产物料推移表!B:B,"952-239000-100")</f>
        <v>0</v>
      </c>
      <c r="BY12">
        <f>sum(j12:an12)</f>
        <v>0</v>
      </c>
    </row>
    <row r="13" spans="1:77">
      <c r="A13" t="s">
        <v>14</v>
      </c>
      <c r="B13" t="s">
        <v>95</v>
      </c>
      <c r="C13" t="s">
        <v>96</v>
      </c>
      <c r="D13" t="s">
        <v>46</v>
      </c>
      <c r="E13">
        <v>1</v>
      </c>
      <c r="F13" t="s">
        <v>97</v>
      </c>
      <c r="H13" t="s">
        <v>72</v>
      </c>
      <c r="I13" t="s">
        <v>91</v>
      </c>
      <c r="K13" t="s">
        <v>20</v>
      </c>
      <c r="L13" t="s">
        <v>37</v>
      </c>
      <c r="M13">
        <f>sumifs(生产物料推移表!m:m,生产物料推移表!L:L,"计划生产",生产物料推移表!B:B,"952-239000-200")</f>
        <v>0</v>
      </c>
      <c r="N13">
        <f>sumifs(生产物料推移表!n:n,生产物料推移表!L:L,"计划生产",生产物料推移表!B:B,"952-239000-200")</f>
        <v>0</v>
      </c>
      <c r="O13">
        <f>sumifs(生产物料推移表!o:o,生产物料推移表!L:L,"计划生产",生产物料推移表!B:B,"952-239000-200")</f>
        <v>0</v>
      </c>
      <c r="P13">
        <f>sumifs(生产物料推移表!p:p,生产物料推移表!L:L,"计划生产",生产物料推移表!B:B,"952-239000-200")</f>
        <v>0</v>
      </c>
      <c r="Q13">
        <f>sumifs(生产物料推移表!q:q,生产物料推移表!L:L,"计划生产",生产物料推移表!B:B,"952-239000-200")</f>
        <v>0</v>
      </c>
      <c r="R13">
        <f>sumifs(生产物料推移表!r:r,生产物料推移表!L:L,"计划生产",生产物料推移表!B:B,"952-239000-200")</f>
        <v>0</v>
      </c>
      <c r="S13">
        <f>sumifs(生产物料推移表!s:s,生产物料推移表!L:L,"计划生产",生产物料推移表!B:B,"952-239000-200")</f>
        <v>0</v>
      </c>
      <c r="T13">
        <f>sumifs(生产物料推移表!t:t,生产物料推移表!L:L,"计划生产",生产物料推移表!B:B,"952-239000-200")</f>
        <v>0</v>
      </c>
      <c r="U13">
        <f>sumifs(生产物料推移表!u:u,生产物料推移表!L:L,"计划生产",生产物料推移表!B:B,"952-239000-200")</f>
        <v>0</v>
      </c>
      <c r="V13">
        <f>sumifs(生产物料推移表!v:v,生产物料推移表!L:L,"计划生产",生产物料推移表!B:B,"952-239000-200")</f>
        <v>0</v>
      </c>
      <c r="W13">
        <f>sumifs(生产物料推移表!w:w,生产物料推移表!L:L,"计划生产",生产物料推移表!B:B,"952-239000-200")</f>
        <v>0</v>
      </c>
      <c r="X13">
        <f>sumifs(生产物料推移表!x:x,生产物料推移表!L:L,"计划生产",生产物料推移表!B:B,"952-239000-200")</f>
        <v>0</v>
      </c>
      <c r="Y13">
        <f>sumifs(生产物料推移表!y:y,生产物料推移表!L:L,"计划生产",生产物料推移表!B:B,"952-239000-200")</f>
        <v>0</v>
      </c>
      <c r="Z13">
        <f>sumifs(生产物料推移表!z:z,生产物料推移表!L:L,"计划生产",生产物料推移表!B:B,"952-239000-200")</f>
        <v>0</v>
      </c>
      <c r="AA13">
        <f>sumifs(生产物料推移表!aa:aa,生产物料推移表!L:L,"计划生产",生产物料推移表!B:B,"952-239000-200")</f>
        <v>0</v>
      </c>
      <c r="AB13">
        <f>sumifs(生产物料推移表!ab:ab,生产物料推移表!L:L,"计划生产",生产物料推移表!B:B,"952-239000-200")</f>
        <v>0</v>
      </c>
      <c r="AC13">
        <f>sumifs(生产物料推移表!ac:ac,生产物料推移表!L:L,"计划生产",生产物料推移表!B:B,"952-239000-200")</f>
        <v>0</v>
      </c>
      <c r="AD13">
        <f>sumifs(生产物料推移表!ad:ad,生产物料推移表!L:L,"计划生产",生产物料推移表!B:B,"952-239000-200")</f>
        <v>0</v>
      </c>
      <c r="AE13">
        <f>sumifs(生产物料推移表!ae:ae,生产物料推移表!L:L,"计划生产",生产物料推移表!B:B,"952-239000-200")</f>
        <v>0</v>
      </c>
      <c r="AF13">
        <f>sumifs(生产物料推移表!af:af,生产物料推移表!L:L,"计划生产",生产物料推移表!B:B,"952-239000-200")</f>
        <v>0</v>
      </c>
      <c r="AG13">
        <f>sumifs(生产物料推移表!ag:ag,生产物料推移表!L:L,"计划生产",生产物料推移表!B:B,"952-239000-200")</f>
        <v>0</v>
      </c>
      <c r="AH13">
        <f>sumifs(生产物料推移表!ah:ah,生产物料推移表!L:L,"计划生产",生产物料推移表!B:B,"952-239000-200")</f>
        <v>0</v>
      </c>
      <c r="AI13">
        <f>sumifs(生产物料推移表!ai:ai,生产物料推移表!L:L,"计划生产",生产物料推移表!B:B,"952-239000-200")</f>
        <v>0</v>
      </c>
      <c r="AJ13">
        <f>sumifs(生产物料推移表!aj:aj,生产物料推移表!L:L,"计划生产",生产物料推移表!B:B,"952-239000-200")</f>
        <v>0</v>
      </c>
      <c r="AK13">
        <f>sumifs(生产物料推移表!ak:ak,生产物料推移表!L:L,"计划生产",生产物料推移表!B:B,"952-239000-200")</f>
        <v>0</v>
      </c>
      <c r="AL13">
        <f>sumifs(生产物料推移表!al:al,生产物料推移表!L:L,"计划生产",生产物料推移表!B:B,"952-239000-200")</f>
        <v>0</v>
      </c>
      <c r="AM13">
        <f>sumifs(生产物料推移表!am:am,生产物料推移表!L:L,"计划生产",生产物料推移表!B:B,"952-239000-200")</f>
        <v>0</v>
      </c>
      <c r="AN13">
        <f>sumifs(生产物料推移表!an:an,生产物料推移表!L:L,"计划生产",生产物料推移表!B:B,"952-239000-200")</f>
        <v>0</v>
      </c>
      <c r="AO13">
        <f>sumifs(生产物料推移表!ao:ao,生产物料推移表!L:L,"计划生产",生产物料推移表!B:B,"952-239000-200")</f>
        <v>0</v>
      </c>
      <c r="AP13">
        <f>sumifs(生产物料推移表!ap:ap,生产物料推移表!L:L,"计划生产",生产物料推移表!B:B,"952-239000-200")</f>
        <v>0</v>
      </c>
      <c r="AQ13">
        <f>sumifs(生产物料推移表!aq:aq,生产物料推移表!L:L,"计划生产",生产物料推移表!B:B,"952-239000-200")</f>
        <v>0</v>
      </c>
      <c r="AR13">
        <f>sumifs(生产物料推移表!ar:ar,生产物料推移表!L:L,"计划生产",生产物料推移表!B:B,"952-239000-200")</f>
        <v>0</v>
      </c>
      <c r="BY13">
        <f>sum(j13:an13)</f>
        <v>0</v>
      </c>
    </row>
    <row r="14" spans="1:77">
      <c r="A14" t="s">
        <v>14</v>
      </c>
      <c r="B14" t="s">
        <v>101</v>
      </c>
      <c r="C14" t="s">
        <v>102</v>
      </c>
      <c r="D14" t="s">
        <v>46</v>
      </c>
      <c r="E14">
        <v>1</v>
      </c>
      <c r="F14" t="s">
        <v>103</v>
      </c>
      <c r="H14" t="s">
        <v>104</v>
      </c>
      <c r="I14">
        <v>20</v>
      </c>
      <c r="K14" t="s">
        <v>20</v>
      </c>
      <c r="L14" t="s">
        <v>37</v>
      </c>
      <c r="M14">
        <f>sumifs(生产物料推移表!m:m,生产物料推移表!L:L,"计划生产",生产物料推移表!B:B,"952-244000-100")</f>
        <v>0</v>
      </c>
      <c r="N14">
        <f>sumifs(生产物料推移表!n:n,生产物料推移表!L:L,"计划生产",生产物料推移表!B:B,"952-244000-100")</f>
        <v>0</v>
      </c>
      <c r="O14">
        <f>sumifs(生产物料推移表!o:o,生产物料推移表!L:L,"计划生产",生产物料推移表!B:B,"952-244000-100")</f>
        <v>0</v>
      </c>
      <c r="P14">
        <f>sumifs(生产物料推移表!p:p,生产物料推移表!L:L,"计划生产",生产物料推移表!B:B,"952-244000-100")</f>
        <v>0</v>
      </c>
      <c r="Q14">
        <f>sumifs(生产物料推移表!q:q,生产物料推移表!L:L,"计划生产",生产物料推移表!B:B,"952-244000-100")</f>
        <v>0</v>
      </c>
      <c r="R14">
        <f>sumifs(生产物料推移表!r:r,生产物料推移表!L:L,"计划生产",生产物料推移表!B:B,"952-244000-100")</f>
        <v>0</v>
      </c>
      <c r="S14">
        <f>sumifs(生产物料推移表!s:s,生产物料推移表!L:L,"计划生产",生产物料推移表!B:B,"952-244000-100")</f>
        <v>0</v>
      </c>
      <c r="T14">
        <f>sumifs(生产物料推移表!t:t,生产物料推移表!L:L,"计划生产",生产物料推移表!B:B,"952-244000-100")</f>
        <v>0</v>
      </c>
      <c r="U14">
        <f>sumifs(生产物料推移表!u:u,生产物料推移表!L:L,"计划生产",生产物料推移表!B:B,"952-244000-100")</f>
        <v>0</v>
      </c>
      <c r="V14">
        <f>sumifs(生产物料推移表!v:v,生产物料推移表!L:L,"计划生产",生产物料推移表!B:B,"952-244000-100")</f>
        <v>0</v>
      </c>
      <c r="W14">
        <f>sumifs(生产物料推移表!w:w,生产物料推移表!L:L,"计划生产",生产物料推移表!B:B,"952-244000-100")</f>
        <v>0</v>
      </c>
      <c r="X14">
        <f>sumifs(生产物料推移表!x:x,生产物料推移表!L:L,"计划生产",生产物料推移表!B:B,"952-244000-100")</f>
        <v>0</v>
      </c>
      <c r="Y14">
        <f>sumifs(生产物料推移表!y:y,生产物料推移表!L:L,"计划生产",生产物料推移表!B:B,"952-244000-100")</f>
        <v>0</v>
      </c>
      <c r="Z14">
        <f>sumifs(生产物料推移表!z:z,生产物料推移表!L:L,"计划生产",生产物料推移表!B:B,"952-244000-100")</f>
        <v>0</v>
      </c>
      <c r="AA14">
        <f>sumifs(生产物料推移表!aa:aa,生产物料推移表!L:L,"计划生产",生产物料推移表!B:B,"952-244000-100")</f>
        <v>0</v>
      </c>
      <c r="AB14">
        <f>sumifs(生产物料推移表!ab:ab,生产物料推移表!L:L,"计划生产",生产物料推移表!B:B,"952-244000-100")</f>
        <v>0</v>
      </c>
      <c r="AC14">
        <f>sumifs(生产物料推移表!ac:ac,生产物料推移表!L:L,"计划生产",生产物料推移表!B:B,"952-244000-100")</f>
        <v>0</v>
      </c>
      <c r="AD14">
        <f>sumifs(生产物料推移表!ad:ad,生产物料推移表!L:L,"计划生产",生产物料推移表!B:B,"952-244000-100")</f>
        <v>0</v>
      </c>
      <c r="AE14">
        <f>sumifs(生产物料推移表!ae:ae,生产物料推移表!L:L,"计划生产",生产物料推移表!B:B,"952-244000-100")</f>
        <v>0</v>
      </c>
      <c r="AF14">
        <f>sumifs(生产物料推移表!af:af,生产物料推移表!L:L,"计划生产",生产物料推移表!B:B,"952-244000-100")</f>
        <v>0</v>
      </c>
      <c r="AG14">
        <f>sumifs(生产物料推移表!ag:ag,生产物料推移表!L:L,"计划生产",生产物料推移表!B:B,"952-244000-100")</f>
        <v>0</v>
      </c>
      <c r="AH14">
        <f>sumifs(生产物料推移表!ah:ah,生产物料推移表!L:L,"计划生产",生产物料推移表!B:B,"952-244000-100")</f>
        <v>0</v>
      </c>
      <c r="AI14">
        <f>sumifs(生产物料推移表!ai:ai,生产物料推移表!L:L,"计划生产",生产物料推移表!B:B,"952-244000-100")</f>
        <v>0</v>
      </c>
      <c r="AJ14">
        <f>sumifs(生产物料推移表!aj:aj,生产物料推移表!L:L,"计划生产",生产物料推移表!B:B,"952-244000-100")</f>
        <v>0</v>
      </c>
      <c r="AK14">
        <f>sumifs(生产物料推移表!ak:ak,生产物料推移表!L:L,"计划生产",生产物料推移表!B:B,"952-244000-100")</f>
        <v>0</v>
      </c>
      <c r="AL14">
        <f>sumifs(生产物料推移表!al:al,生产物料推移表!L:L,"计划生产",生产物料推移表!B:B,"952-244000-100")</f>
        <v>0</v>
      </c>
      <c r="AM14">
        <f>sumifs(生产物料推移表!am:am,生产物料推移表!L:L,"计划生产",生产物料推移表!B:B,"952-244000-100")</f>
        <v>0</v>
      </c>
      <c r="AN14">
        <f>sumifs(生产物料推移表!an:an,生产物料推移表!L:L,"计划生产",生产物料推移表!B:B,"952-244000-100")</f>
        <v>0</v>
      </c>
      <c r="AO14">
        <f>sumifs(生产物料推移表!ao:ao,生产物料推移表!L:L,"计划生产",生产物料推移表!B:B,"952-244000-100")</f>
        <v>0</v>
      </c>
      <c r="AP14">
        <f>sumifs(生产物料推移表!ap:ap,生产物料推移表!L:L,"计划生产",生产物料推移表!B:B,"952-244000-100")</f>
        <v>0</v>
      </c>
      <c r="AQ14">
        <f>sumifs(生产物料推移表!aq:aq,生产物料推移表!L:L,"计划生产",生产物料推移表!B:B,"952-244000-100")</f>
        <v>0</v>
      </c>
      <c r="AR14">
        <f>sumifs(生产物料推移表!ar:ar,生产物料推移表!L:L,"计划生产",生产物料推移表!B:B,"952-244000-100")</f>
        <v>0</v>
      </c>
      <c r="BY14">
        <f>sum(j14:an14)</f>
        <v>0</v>
      </c>
    </row>
    <row r="15" spans="1:77">
      <c r="A15" t="s">
        <v>14</v>
      </c>
      <c r="B15" t="s">
        <v>108</v>
      </c>
      <c r="C15" t="s">
        <v>109</v>
      </c>
      <c r="D15" t="s">
        <v>17</v>
      </c>
      <c r="E15">
        <v>1</v>
      </c>
      <c r="F15" t="s">
        <v>110</v>
      </c>
      <c r="H15" t="s">
        <v>111</v>
      </c>
      <c r="I15">
        <v>16</v>
      </c>
      <c r="K15" t="s">
        <v>20</v>
      </c>
      <c r="L15" t="s">
        <v>37</v>
      </c>
      <c r="M15">
        <f>sumifs(生产物料推移表!m:m,生产物料推移表!L:L,"计划生产",生产物料推移表!B:B,"952-245000-100")</f>
        <v>0</v>
      </c>
      <c r="N15">
        <f>sumifs(生产物料推移表!n:n,生产物料推移表!L:L,"计划生产",生产物料推移表!B:B,"952-245000-100")</f>
        <v>0</v>
      </c>
      <c r="O15">
        <f>sumifs(生产物料推移表!o:o,生产物料推移表!L:L,"计划生产",生产物料推移表!B:B,"952-245000-100")</f>
        <v>0</v>
      </c>
      <c r="P15">
        <f>sumifs(生产物料推移表!p:p,生产物料推移表!L:L,"计划生产",生产物料推移表!B:B,"952-245000-100")</f>
        <v>0</v>
      </c>
      <c r="Q15">
        <f>sumifs(生产物料推移表!q:q,生产物料推移表!L:L,"计划生产",生产物料推移表!B:B,"952-245000-100")</f>
        <v>0</v>
      </c>
      <c r="R15">
        <f>sumifs(生产物料推移表!r:r,生产物料推移表!L:L,"计划生产",生产物料推移表!B:B,"952-245000-100")</f>
        <v>0</v>
      </c>
      <c r="S15">
        <f>sumifs(生产物料推移表!s:s,生产物料推移表!L:L,"计划生产",生产物料推移表!B:B,"952-245000-100")</f>
        <v>0</v>
      </c>
      <c r="T15">
        <f>sumifs(生产物料推移表!t:t,生产物料推移表!L:L,"计划生产",生产物料推移表!B:B,"952-245000-100")</f>
        <v>0</v>
      </c>
      <c r="U15">
        <f>sumifs(生产物料推移表!u:u,生产物料推移表!L:L,"计划生产",生产物料推移表!B:B,"952-245000-100")</f>
        <v>0</v>
      </c>
      <c r="V15">
        <f>sumifs(生产物料推移表!v:v,生产物料推移表!L:L,"计划生产",生产物料推移表!B:B,"952-245000-100")</f>
        <v>0</v>
      </c>
      <c r="W15">
        <f>sumifs(生产物料推移表!w:w,生产物料推移表!L:L,"计划生产",生产物料推移表!B:B,"952-245000-100")</f>
        <v>0</v>
      </c>
      <c r="X15">
        <f>sumifs(生产物料推移表!x:x,生产物料推移表!L:L,"计划生产",生产物料推移表!B:B,"952-245000-100")</f>
        <v>0</v>
      </c>
      <c r="Y15">
        <f>sumifs(生产物料推移表!y:y,生产物料推移表!L:L,"计划生产",生产物料推移表!B:B,"952-245000-100")</f>
        <v>0</v>
      </c>
      <c r="Z15">
        <f>sumifs(生产物料推移表!z:z,生产物料推移表!L:L,"计划生产",生产物料推移表!B:B,"952-245000-100")</f>
        <v>0</v>
      </c>
      <c r="AA15">
        <f>sumifs(生产物料推移表!aa:aa,生产物料推移表!L:L,"计划生产",生产物料推移表!B:B,"952-245000-100")</f>
        <v>0</v>
      </c>
      <c r="AB15">
        <f>sumifs(生产物料推移表!ab:ab,生产物料推移表!L:L,"计划生产",生产物料推移表!B:B,"952-245000-100")</f>
        <v>0</v>
      </c>
      <c r="AC15">
        <f>sumifs(生产物料推移表!ac:ac,生产物料推移表!L:L,"计划生产",生产物料推移表!B:B,"952-245000-100")</f>
        <v>0</v>
      </c>
      <c r="AD15">
        <f>sumifs(生产物料推移表!ad:ad,生产物料推移表!L:L,"计划生产",生产物料推移表!B:B,"952-245000-100")</f>
        <v>0</v>
      </c>
      <c r="AE15">
        <f>sumifs(生产物料推移表!ae:ae,生产物料推移表!L:L,"计划生产",生产物料推移表!B:B,"952-245000-100")</f>
        <v>0</v>
      </c>
      <c r="AF15">
        <f>sumifs(生产物料推移表!af:af,生产物料推移表!L:L,"计划生产",生产物料推移表!B:B,"952-245000-100")</f>
        <v>0</v>
      </c>
      <c r="AG15">
        <f>sumifs(生产物料推移表!ag:ag,生产物料推移表!L:L,"计划生产",生产物料推移表!B:B,"952-245000-100")</f>
        <v>0</v>
      </c>
      <c r="AH15">
        <f>sumifs(生产物料推移表!ah:ah,生产物料推移表!L:L,"计划生产",生产物料推移表!B:B,"952-245000-100")</f>
        <v>0</v>
      </c>
      <c r="AI15">
        <f>sumifs(生产物料推移表!ai:ai,生产物料推移表!L:L,"计划生产",生产物料推移表!B:B,"952-245000-100")</f>
        <v>0</v>
      </c>
      <c r="AJ15">
        <f>sumifs(生产物料推移表!aj:aj,生产物料推移表!L:L,"计划生产",生产物料推移表!B:B,"952-245000-100")</f>
        <v>0</v>
      </c>
      <c r="AK15">
        <f>sumifs(生产物料推移表!ak:ak,生产物料推移表!L:L,"计划生产",生产物料推移表!B:B,"952-245000-100")</f>
        <v>0</v>
      </c>
      <c r="AL15">
        <f>sumifs(生产物料推移表!al:al,生产物料推移表!L:L,"计划生产",生产物料推移表!B:B,"952-245000-100")</f>
        <v>0</v>
      </c>
      <c r="AM15">
        <f>sumifs(生产物料推移表!am:am,生产物料推移表!L:L,"计划生产",生产物料推移表!B:B,"952-245000-100")</f>
        <v>0</v>
      </c>
      <c r="AN15">
        <f>sumifs(生产物料推移表!an:an,生产物料推移表!L:L,"计划生产",生产物料推移表!B:B,"952-245000-100")</f>
        <v>0</v>
      </c>
      <c r="AO15">
        <f>sumifs(生产物料推移表!ao:ao,生产物料推移表!L:L,"计划生产",生产物料推移表!B:B,"952-245000-100")</f>
        <v>0</v>
      </c>
      <c r="AP15">
        <f>sumifs(生产物料推移表!ap:ap,生产物料推移表!L:L,"计划生产",生产物料推移表!B:B,"952-245000-100")</f>
        <v>0</v>
      </c>
      <c r="AQ15">
        <f>sumifs(生产物料推移表!aq:aq,生产物料推移表!L:L,"计划生产",生产物料推移表!B:B,"952-245000-100")</f>
        <v>0</v>
      </c>
      <c r="AR15">
        <f>sumifs(生产物料推移表!ar:ar,生产物料推移表!L:L,"计划生产",生产物料推移表!B:B,"952-245000-100")</f>
        <v>0</v>
      </c>
      <c r="BY15">
        <f>sum(j15:an15)</f>
        <v>0</v>
      </c>
    </row>
    <row r="16" spans="1:77">
      <c r="A16" t="s">
        <v>14</v>
      </c>
      <c r="B16" t="s">
        <v>112</v>
      </c>
      <c r="C16" t="s">
        <v>113</v>
      </c>
      <c r="D16" t="s">
        <v>17</v>
      </c>
      <c r="E16">
        <v>1</v>
      </c>
      <c r="F16" t="s">
        <v>114</v>
      </c>
      <c r="H16" t="s">
        <v>115</v>
      </c>
      <c r="I16">
        <v>16</v>
      </c>
      <c r="K16" t="s">
        <v>20</v>
      </c>
      <c r="L16" t="s">
        <v>37</v>
      </c>
      <c r="M16">
        <f>sumifs(生产物料推移表!m:m,生产物料推移表!L:L,"计划生产",生产物料推移表!B:B,"952-245000-200")</f>
        <v>0</v>
      </c>
      <c r="N16">
        <f>sumifs(生产物料推移表!n:n,生产物料推移表!L:L,"计划生产",生产物料推移表!B:B,"952-245000-200")</f>
        <v>0</v>
      </c>
      <c r="O16">
        <f>sumifs(生产物料推移表!o:o,生产物料推移表!L:L,"计划生产",生产物料推移表!B:B,"952-245000-200")</f>
        <v>0</v>
      </c>
      <c r="P16">
        <f>sumifs(生产物料推移表!p:p,生产物料推移表!L:L,"计划生产",生产物料推移表!B:B,"952-245000-200")</f>
        <v>0</v>
      </c>
      <c r="Q16">
        <f>sumifs(生产物料推移表!q:q,生产物料推移表!L:L,"计划生产",生产物料推移表!B:B,"952-245000-200")</f>
        <v>0</v>
      </c>
      <c r="R16">
        <f>sumifs(生产物料推移表!r:r,生产物料推移表!L:L,"计划生产",生产物料推移表!B:B,"952-245000-200")</f>
        <v>0</v>
      </c>
      <c r="S16">
        <f>sumifs(生产物料推移表!s:s,生产物料推移表!L:L,"计划生产",生产物料推移表!B:B,"952-245000-200")</f>
        <v>0</v>
      </c>
      <c r="T16">
        <f>sumifs(生产物料推移表!t:t,生产物料推移表!L:L,"计划生产",生产物料推移表!B:B,"952-245000-200")</f>
        <v>0</v>
      </c>
      <c r="U16">
        <f>sumifs(生产物料推移表!u:u,生产物料推移表!L:L,"计划生产",生产物料推移表!B:B,"952-245000-200")</f>
        <v>0</v>
      </c>
      <c r="V16">
        <f>sumifs(生产物料推移表!v:v,生产物料推移表!L:L,"计划生产",生产物料推移表!B:B,"952-245000-200")</f>
        <v>0</v>
      </c>
      <c r="W16">
        <f>sumifs(生产物料推移表!w:w,生产物料推移表!L:L,"计划生产",生产物料推移表!B:B,"952-245000-200")</f>
        <v>0</v>
      </c>
      <c r="X16">
        <f>sumifs(生产物料推移表!x:x,生产物料推移表!L:L,"计划生产",生产物料推移表!B:B,"952-245000-200")</f>
        <v>0</v>
      </c>
      <c r="Y16">
        <f>sumifs(生产物料推移表!y:y,生产物料推移表!L:L,"计划生产",生产物料推移表!B:B,"952-245000-200")</f>
        <v>0</v>
      </c>
      <c r="Z16">
        <f>sumifs(生产物料推移表!z:z,生产物料推移表!L:L,"计划生产",生产物料推移表!B:B,"952-245000-200")</f>
        <v>0</v>
      </c>
      <c r="AA16">
        <f>sumifs(生产物料推移表!aa:aa,生产物料推移表!L:L,"计划生产",生产物料推移表!B:B,"952-245000-200")</f>
        <v>0</v>
      </c>
      <c r="AB16">
        <f>sumifs(生产物料推移表!ab:ab,生产物料推移表!L:L,"计划生产",生产物料推移表!B:B,"952-245000-200")</f>
        <v>0</v>
      </c>
      <c r="AC16">
        <f>sumifs(生产物料推移表!ac:ac,生产物料推移表!L:L,"计划生产",生产物料推移表!B:B,"952-245000-200")</f>
        <v>0</v>
      </c>
      <c r="AD16">
        <f>sumifs(生产物料推移表!ad:ad,生产物料推移表!L:L,"计划生产",生产物料推移表!B:B,"952-245000-200")</f>
        <v>0</v>
      </c>
      <c r="AE16">
        <f>sumifs(生产物料推移表!ae:ae,生产物料推移表!L:L,"计划生产",生产物料推移表!B:B,"952-245000-200")</f>
        <v>0</v>
      </c>
      <c r="AF16">
        <f>sumifs(生产物料推移表!af:af,生产物料推移表!L:L,"计划生产",生产物料推移表!B:B,"952-245000-200")</f>
        <v>0</v>
      </c>
      <c r="AG16">
        <f>sumifs(生产物料推移表!ag:ag,生产物料推移表!L:L,"计划生产",生产物料推移表!B:B,"952-245000-200")</f>
        <v>0</v>
      </c>
      <c r="AH16">
        <f>sumifs(生产物料推移表!ah:ah,生产物料推移表!L:L,"计划生产",生产物料推移表!B:B,"952-245000-200")</f>
        <v>0</v>
      </c>
      <c r="AI16">
        <f>sumifs(生产物料推移表!ai:ai,生产物料推移表!L:L,"计划生产",生产物料推移表!B:B,"952-245000-200")</f>
        <v>0</v>
      </c>
      <c r="AJ16">
        <f>sumifs(生产物料推移表!aj:aj,生产物料推移表!L:L,"计划生产",生产物料推移表!B:B,"952-245000-200")</f>
        <v>0</v>
      </c>
      <c r="AK16">
        <f>sumifs(生产物料推移表!ak:ak,生产物料推移表!L:L,"计划生产",生产物料推移表!B:B,"952-245000-200")</f>
        <v>0</v>
      </c>
      <c r="AL16">
        <f>sumifs(生产物料推移表!al:al,生产物料推移表!L:L,"计划生产",生产物料推移表!B:B,"952-245000-200")</f>
        <v>0</v>
      </c>
      <c r="AM16">
        <f>sumifs(生产物料推移表!am:am,生产物料推移表!L:L,"计划生产",生产物料推移表!B:B,"952-245000-200")</f>
        <v>0</v>
      </c>
      <c r="AN16">
        <f>sumifs(生产物料推移表!an:an,生产物料推移表!L:L,"计划生产",生产物料推移表!B:B,"952-245000-200")</f>
        <v>0</v>
      </c>
      <c r="AO16">
        <f>sumifs(生产物料推移表!ao:ao,生产物料推移表!L:L,"计划生产",生产物料推移表!B:B,"952-245000-200")</f>
        <v>0</v>
      </c>
      <c r="AP16">
        <f>sumifs(生产物料推移表!ap:ap,生产物料推移表!L:L,"计划生产",生产物料推移表!B:B,"952-245000-200")</f>
        <v>0</v>
      </c>
      <c r="AQ16">
        <f>sumifs(生产物料推移表!aq:aq,生产物料推移表!L:L,"计划生产",生产物料推移表!B:B,"952-245000-200")</f>
        <v>0</v>
      </c>
      <c r="AR16">
        <f>sumifs(生产物料推移表!ar:ar,生产物料推移表!L:L,"计划生产",生产物料推移表!B:B,"952-245000-200")</f>
        <v>0</v>
      </c>
      <c r="BY16">
        <f>sum(j16:an16)</f>
        <v>0</v>
      </c>
    </row>
    <row r="17" spans="1:77">
      <c r="A17" t="s">
        <v>14</v>
      </c>
      <c r="B17" t="s">
        <v>116</v>
      </c>
      <c r="C17" t="s">
        <v>117</v>
      </c>
      <c r="D17" t="s">
        <v>46</v>
      </c>
      <c r="E17">
        <v>1</v>
      </c>
      <c r="F17" t="s">
        <v>118</v>
      </c>
      <c r="H17" t="s">
        <v>119</v>
      </c>
      <c r="I17">
        <v>50</v>
      </c>
      <c r="K17" t="s">
        <v>20</v>
      </c>
      <c r="L17" t="s">
        <v>37</v>
      </c>
      <c r="M17">
        <f>sumifs(生产物料推移表!m:m,生产物料推移表!L:L,"计划生产",生产物料推移表!B:B,"952-246000-100")</f>
        <v>0</v>
      </c>
      <c r="N17">
        <f>sumifs(生产物料推移表!n:n,生产物料推移表!L:L,"计划生产",生产物料推移表!B:B,"952-246000-100")</f>
        <v>0</v>
      </c>
      <c r="O17">
        <f>sumifs(生产物料推移表!o:o,生产物料推移表!L:L,"计划生产",生产物料推移表!B:B,"952-246000-100")</f>
        <v>0</v>
      </c>
      <c r="P17">
        <f>sumifs(生产物料推移表!p:p,生产物料推移表!L:L,"计划生产",生产物料推移表!B:B,"952-246000-100")</f>
        <v>0</v>
      </c>
      <c r="Q17">
        <f>sumifs(生产物料推移表!q:q,生产物料推移表!L:L,"计划生产",生产物料推移表!B:B,"952-246000-100")</f>
        <v>0</v>
      </c>
      <c r="R17">
        <f>sumifs(生产物料推移表!r:r,生产物料推移表!L:L,"计划生产",生产物料推移表!B:B,"952-246000-100")</f>
        <v>0</v>
      </c>
      <c r="S17">
        <f>sumifs(生产物料推移表!s:s,生产物料推移表!L:L,"计划生产",生产物料推移表!B:B,"952-246000-100")</f>
        <v>0</v>
      </c>
      <c r="T17">
        <f>sumifs(生产物料推移表!t:t,生产物料推移表!L:L,"计划生产",生产物料推移表!B:B,"952-246000-100")</f>
        <v>0</v>
      </c>
      <c r="U17">
        <f>sumifs(生产物料推移表!u:u,生产物料推移表!L:L,"计划生产",生产物料推移表!B:B,"952-246000-100")</f>
        <v>0</v>
      </c>
      <c r="V17">
        <f>sumifs(生产物料推移表!v:v,生产物料推移表!L:L,"计划生产",生产物料推移表!B:B,"952-246000-100")</f>
        <v>0</v>
      </c>
      <c r="W17">
        <f>sumifs(生产物料推移表!w:w,生产物料推移表!L:L,"计划生产",生产物料推移表!B:B,"952-246000-100")</f>
        <v>0</v>
      </c>
      <c r="X17">
        <f>sumifs(生产物料推移表!x:x,生产物料推移表!L:L,"计划生产",生产物料推移表!B:B,"952-246000-100")</f>
        <v>0</v>
      </c>
      <c r="Y17">
        <f>sumifs(生产物料推移表!y:y,生产物料推移表!L:L,"计划生产",生产物料推移表!B:B,"952-246000-100")</f>
        <v>0</v>
      </c>
      <c r="Z17">
        <f>sumifs(生产物料推移表!z:z,生产物料推移表!L:L,"计划生产",生产物料推移表!B:B,"952-246000-100")</f>
        <v>0</v>
      </c>
      <c r="AA17">
        <f>sumifs(生产物料推移表!aa:aa,生产物料推移表!L:L,"计划生产",生产物料推移表!B:B,"952-246000-100")</f>
        <v>0</v>
      </c>
      <c r="AB17">
        <f>sumifs(生产物料推移表!ab:ab,生产物料推移表!L:L,"计划生产",生产物料推移表!B:B,"952-246000-100")</f>
        <v>0</v>
      </c>
      <c r="AC17">
        <f>sumifs(生产物料推移表!ac:ac,生产物料推移表!L:L,"计划生产",生产物料推移表!B:B,"952-246000-100")</f>
        <v>0</v>
      </c>
      <c r="AD17">
        <f>sumifs(生产物料推移表!ad:ad,生产物料推移表!L:L,"计划生产",生产物料推移表!B:B,"952-246000-100")</f>
        <v>0</v>
      </c>
      <c r="AE17">
        <f>sumifs(生产物料推移表!ae:ae,生产物料推移表!L:L,"计划生产",生产物料推移表!B:B,"952-246000-100")</f>
        <v>0</v>
      </c>
      <c r="AF17">
        <f>sumifs(生产物料推移表!af:af,生产物料推移表!L:L,"计划生产",生产物料推移表!B:B,"952-246000-100")</f>
        <v>0</v>
      </c>
      <c r="AG17">
        <f>sumifs(生产物料推移表!ag:ag,生产物料推移表!L:L,"计划生产",生产物料推移表!B:B,"952-246000-100")</f>
        <v>0</v>
      </c>
      <c r="AH17">
        <f>sumifs(生产物料推移表!ah:ah,生产物料推移表!L:L,"计划生产",生产物料推移表!B:B,"952-246000-100")</f>
        <v>0</v>
      </c>
      <c r="AI17">
        <f>sumifs(生产物料推移表!ai:ai,生产物料推移表!L:L,"计划生产",生产物料推移表!B:B,"952-246000-100")</f>
        <v>0</v>
      </c>
      <c r="AJ17">
        <f>sumifs(生产物料推移表!aj:aj,生产物料推移表!L:L,"计划生产",生产物料推移表!B:B,"952-246000-100")</f>
        <v>0</v>
      </c>
      <c r="AK17">
        <f>sumifs(生产物料推移表!ak:ak,生产物料推移表!L:L,"计划生产",生产物料推移表!B:B,"952-246000-100")</f>
        <v>0</v>
      </c>
      <c r="AL17">
        <f>sumifs(生产物料推移表!al:al,生产物料推移表!L:L,"计划生产",生产物料推移表!B:B,"952-246000-100")</f>
        <v>0</v>
      </c>
      <c r="AM17">
        <f>sumifs(生产物料推移表!am:am,生产物料推移表!L:L,"计划生产",生产物料推移表!B:B,"952-246000-100")</f>
        <v>0</v>
      </c>
      <c r="AN17">
        <f>sumifs(生产物料推移表!an:an,生产物料推移表!L:L,"计划生产",生产物料推移表!B:B,"952-246000-100")</f>
        <v>0</v>
      </c>
      <c r="AO17">
        <f>sumifs(生产物料推移表!ao:ao,生产物料推移表!L:L,"计划生产",生产物料推移表!B:B,"952-246000-100")</f>
        <v>0</v>
      </c>
      <c r="AP17">
        <f>sumifs(生产物料推移表!ap:ap,生产物料推移表!L:L,"计划生产",生产物料推移表!B:B,"952-246000-100")</f>
        <v>0</v>
      </c>
      <c r="AQ17">
        <f>sumifs(生产物料推移表!aq:aq,生产物料推移表!L:L,"计划生产",生产物料推移表!B:B,"952-246000-100")</f>
        <v>0</v>
      </c>
      <c r="AR17">
        <f>sumifs(生产物料推移表!ar:ar,生产物料推移表!L:L,"计划生产",生产物料推移表!B:B,"952-246000-100")</f>
        <v>0</v>
      </c>
      <c r="BY17">
        <f>sum(j17:an17)</f>
        <v>0</v>
      </c>
    </row>
    <row r="18" spans="1:77">
      <c r="A18" t="s">
        <v>14</v>
      </c>
      <c r="B18" t="s">
        <v>123</v>
      </c>
      <c r="C18" t="s">
        <v>124</v>
      </c>
      <c r="D18" t="s">
        <v>46</v>
      </c>
      <c r="E18">
        <v>1</v>
      </c>
      <c r="F18" t="s">
        <v>125</v>
      </c>
      <c r="H18" t="s">
        <v>126</v>
      </c>
      <c r="I18">
        <v>50</v>
      </c>
      <c r="K18" t="s">
        <v>20</v>
      </c>
      <c r="L18" t="s">
        <v>37</v>
      </c>
      <c r="M18">
        <f>sumifs(生产物料推移表!m:m,生产物料推移表!L:L,"计划生产",生产物料推移表!B:B,"952-246000-200")</f>
        <v>0</v>
      </c>
      <c r="N18">
        <f>sumifs(生产物料推移表!n:n,生产物料推移表!L:L,"计划生产",生产物料推移表!B:B,"952-246000-200")</f>
        <v>0</v>
      </c>
      <c r="O18">
        <f>sumifs(生产物料推移表!o:o,生产物料推移表!L:L,"计划生产",生产物料推移表!B:B,"952-246000-200")</f>
        <v>0</v>
      </c>
      <c r="P18">
        <f>sumifs(生产物料推移表!p:p,生产物料推移表!L:L,"计划生产",生产物料推移表!B:B,"952-246000-200")</f>
        <v>0</v>
      </c>
      <c r="Q18">
        <f>sumifs(生产物料推移表!q:q,生产物料推移表!L:L,"计划生产",生产物料推移表!B:B,"952-246000-200")</f>
        <v>0</v>
      </c>
      <c r="R18">
        <f>sumifs(生产物料推移表!r:r,生产物料推移表!L:L,"计划生产",生产物料推移表!B:B,"952-246000-200")</f>
        <v>0</v>
      </c>
      <c r="S18">
        <f>sumifs(生产物料推移表!s:s,生产物料推移表!L:L,"计划生产",生产物料推移表!B:B,"952-246000-200")</f>
        <v>0</v>
      </c>
      <c r="T18">
        <f>sumifs(生产物料推移表!t:t,生产物料推移表!L:L,"计划生产",生产物料推移表!B:B,"952-246000-200")</f>
        <v>0</v>
      </c>
      <c r="U18">
        <f>sumifs(生产物料推移表!u:u,生产物料推移表!L:L,"计划生产",生产物料推移表!B:B,"952-246000-200")</f>
        <v>0</v>
      </c>
      <c r="V18">
        <f>sumifs(生产物料推移表!v:v,生产物料推移表!L:L,"计划生产",生产物料推移表!B:B,"952-246000-200")</f>
        <v>0</v>
      </c>
      <c r="W18">
        <f>sumifs(生产物料推移表!w:w,生产物料推移表!L:L,"计划生产",生产物料推移表!B:B,"952-246000-200")</f>
        <v>0</v>
      </c>
      <c r="X18">
        <f>sumifs(生产物料推移表!x:x,生产物料推移表!L:L,"计划生产",生产物料推移表!B:B,"952-246000-200")</f>
        <v>0</v>
      </c>
      <c r="Y18">
        <f>sumifs(生产物料推移表!y:y,生产物料推移表!L:L,"计划生产",生产物料推移表!B:B,"952-246000-200")</f>
        <v>0</v>
      </c>
      <c r="Z18">
        <f>sumifs(生产物料推移表!z:z,生产物料推移表!L:L,"计划生产",生产物料推移表!B:B,"952-246000-200")</f>
        <v>0</v>
      </c>
      <c r="AA18">
        <f>sumifs(生产物料推移表!aa:aa,生产物料推移表!L:L,"计划生产",生产物料推移表!B:B,"952-246000-200")</f>
        <v>0</v>
      </c>
      <c r="AB18">
        <f>sumifs(生产物料推移表!ab:ab,生产物料推移表!L:L,"计划生产",生产物料推移表!B:B,"952-246000-200")</f>
        <v>0</v>
      </c>
      <c r="AC18">
        <f>sumifs(生产物料推移表!ac:ac,生产物料推移表!L:L,"计划生产",生产物料推移表!B:B,"952-246000-200")</f>
        <v>0</v>
      </c>
      <c r="AD18">
        <f>sumifs(生产物料推移表!ad:ad,生产物料推移表!L:L,"计划生产",生产物料推移表!B:B,"952-246000-200")</f>
        <v>0</v>
      </c>
      <c r="AE18">
        <f>sumifs(生产物料推移表!ae:ae,生产物料推移表!L:L,"计划生产",生产物料推移表!B:B,"952-246000-200")</f>
        <v>0</v>
      </c>
      <c r="AF18">
        <f>sumifs(生产物料推移表!af:af,生产物料推移表!L:L,"计划生产",生产物料推移表!B:B,"952-246000-200")</f>
        <v>0</v>
      </c>
      <c r="AG18">
        <f>sumifs(生产物料推移表!ag:ag,生产物料推移表!L:L,"计划生产",生产物料推移表!B:B,"952-246000-200")</f>
        <v>0</v>
      </c>
      <c r="AH18">
        <f>sumifs(生产物料推移表!ah:ah,生产物料推移表!L:L,"计划生产",生产物料推移表!B:B,"952-246000-200")</f>
        <v>0</v>
      </c>
      <c r="AI18">
        <f>sumifs(生产物料推移表!ai:ai,生产物料推移表!L:L,"计划生产",生产物料推移表!B:B,"952-246000-200")</f>
        <v>0</v>
      </c>
      <c r="AJ18">
        <f>sumifs(生产物料推移表!aj:aj,生产物料推移表!L:L,"计划生产",生产物料推移表!B:B,"952-246000-200")</f>
        <v>0</v>
      </c>
      <c r="AK18">
        <f>sumifs(生产物料推移表!ak:ak,生产物料推移表!L:L,"计划生产",生产物料推移表!B:B,"952-246000-200")</f>
        <v>0</v>
      </c>
      <c r="AL18">
        <f>sumifs(生产物料推移表!al:al,生产物料推移表!L:L,"计划生产",生产物料推移表!B:B,"952-246000-200")</f>
        <v>0</v>
      </c>
      <c r="AM18">
        <f>sumifs(生产物料推移表!am:am,生产物料推移表!L:L,"计划生产",生产物料推移表!B:B,"952-246000-200")</f>
        <v>0</v>
      </c>
      <c r="AN18">
        <f>sumifs(生产物料推移表!an:an,生产物料推移表!L:L,"计划生产",生产物料推移表!B:B,"952-246000-200")</f>
        <v>0</v>
      </c>
      <c r="AO18">
        <f>sumifs(生产物料推移表!ao:ao,生产物料推移表!L:L,"计划生产",生产物料推移表!B:B,"952-246000-200")</f>
        <v>0</v>
      </c>
      <c r="AP18">
        <f>sumifs(生产物料推移表!ap:ap,生产物料推移表!L:L,"计划生产",生产物料推移表!B:B,"952-246000-200")</f>
        <v>0</v>
      </c>
      <c r="AQ18">
        <f>sumifs(生产物料推移表!aq:aq,生产物料推移表!L:L,"计划生产",生产物料推移表!B:B,"952-246000-200")</f>
        <v>0</v>
      </c>
      <c r="AR18">
        <f>sumifs(生产物料推移表!ar:ar,生产物料推移表!L:L,"计划生产",生产物料推移表!B:B,"952-246000-200")</f>
        <v>0</v>
      </c>
      <c r="BY18">
        <f>sum(j18:an18)</f>
        <v>0</v>
      </c>
    </row>
    <row r="19" spans="1:77">
      <c r="A19" t="s">
        <v>14</v>
      </c>
      <c r="B19" t="s">
        <v>130</v>
      </c>
      <c r="C19" t="s">
        <v>131</v>
      </c>
      <c r="D19" t="s">
        <v>46</v>
      </c>
      <c r="E19">
        <v>1</v>
      </c>
      <c r="F19" t="s">
        <v>132</v>
      </c>
      <c r="H19" t="s">
        <v>133</v>
      </c>
      <c r="I19">
        <v>20</v>
      </c>
      <c r="K19" t="s">
        <v>20</v>
      </c>
      <c r="L19" t="s">
        <v>37</v>
      </c>
      <c r="M19">
        <f>sumifs(生产物料推移表!m:m,生产物料推移表!L:L,"计划生产",生产物料推移表!B:B,"952-247000-100")</f>
        <v>0</v>
      </c>
      <c r="N19">
        <f>sumifs(生产物料推移表!n:n,生产物料推移表!L:L,"计划生产",生产物料推移表!B:B,"952-247000-100")</f>
        <v>0</v>
      </c>
      <c r="O19">
        <f>sumifs(生产物料推移表!o:o,生产物料推移表!L:L,"计划生产",生产物料推移表!B:B,"952-247000-100")</f>
        <v>0</v>
      </c>
      <c r="P19">
        <f>sumifs(生产物料推移表!p:p,生产物料推移表!L:L,"计划生产",生产物料推移表!B:B,"952-247000-100")</f>
        <v>0</v>
      </c>
      <c r="Q19">
        <f>sumifs(生产物料推移表!q:q,生产物料推移表!L:L,"计划生产",生产物料推移表!B:B,"952-247000-100")</f>
        <v>0</v>
      </c>
      <c r="R19">
        <f>sumifs(生产物料推移表!r:r,生产物料推移表!L:L,"计划生产",生产物料推移表!B:B,"952-247000-100")</f>
        <v>0</v>
      </c>
      <c r="S19">
        <f>sumifs(生产物料推移表!s:s,生产物料推移表!L:L,"计划生产",生产物料推移表!B:B,"952-247000-100")</f>
        <v>0</v>
      </c>
      <c r="T19">
        <f>sumifs(生产物料推移表!t:t,生产物料推移表!L:L,"计划生产",生产物料推移表!B:B,"952-247000-100")</f>
        <v>0</v>
      </c>
      <c r="U19">
        <f>sumifs(生产物料推移表!u:u,生产物料推移表!L:L,"计划生产",生产物料推移表!B:B,"952-247000-100")</f>
        <v>0</v>
      </c>
      <c r="V19">
        <f>sumifs(生产物料推移表!v:v,生产物料推移表!L:L,"计划生产",生产物料推移表!B:B,"952-247000-100")</f>
        <v>0</v>
      </c>
      <c r="W19">
        <f>sumifs(生产物料推移表!w:w,生产物料推移表!L:L,"计划生产",生产物料推移表!B:B,"952-247000-100")</f>
        <v>0</v>
      </c>
      <c r="X19">
        <f>sumifs(生产物料推移表!x:x,生产物料推移表!L:L,"计划生产",生产物料推移表!B:B,"952-247000-100")</f>
        <v>0</v>
      </c>
      <c r="Y19">
        <f>sumifs(生产物料推移表!y:y,生产物料推移表!L:L,"计划生产",生产物料推移表!B:B,"952-247000-100")</f>
        <v>0</v>
      </c>
      <c r="Z19">
        <f>sumifs(生产物料推移表!z:z,生产物料推移表!L:L,"计划生产",生产物料推移表!B:B,"952-247000-100")</f>
        <v>0</v>
      </c>
      <c r="AA19">
        <f>sumifs(生产物料推移表!aa:aa,生产物料推移表!L:L,"计划生产",生产物料推移表!B:B,"952-247000-100")</f>
        <v>0</v>
      </c>
      <c r="AB19">
        <f>sumifs(生产物料推移表!ab:ab,生产物料推移表!L:L,"计划生产",生产物料推移表!B:B,"952-247000-100")</f>
        <v>0</v>
      </c>
      <c r="AC19">
        <f>sumifs(生产物料推移表!ac:ac,生产物料推移表!L:L,"计划生产",生产物料推移表!B:B,"952-247000-100")</f>
        <v>0</v>
      </c>
      <c r="AD19">
        <f>sumifs(生产物料推移表!ad:ad,生产物料推移表!L:L,"计划生产",生产物料推移表!B:B,"952-247000-100")</f>
        <v>0</v>
      </c>
      <c r="AE19">
        <f>sumifs(生产物料推移表!ae:ae,生产物料推移表!L:L,"计划生产",生产物料推移表!B:B,"952-247000-100")</f>
        <v>0</v>
      </c>
      <c r="AF19">
        <f>sumifs(生产物料推移表!af:af,生产物料推移表!L:L,"计划生产",生产物料推移表!B:B,"952-247000-100")</f>
        <v>0</v>
      </c>
      <c r="AG19">
        <f>sumifs(生产物料推移表!ag:ag,生产物料推移表!L:L,"计划生产",生产物料推移表!B:B,"952-247000-100")</f>
        <v>0</v>
      </c>
      <c r="AH19">
        <f>sumifs(生产物料推移表!ah:ah,生产物料推移表!L:L,"计划生产",生产物料推移表!B:B,"952-247000-100")</f>
        <v>0</v>
      </c>
      <c r="AI19">
        <f>sumifs(生产物料推移表!ai:ai,生产物料推移表!L:L,"计划生产",生产物料推移表!B:B,"952-247000-100")</f>
        <v>0</v>
      </c>
      <c r="AJ19">
        <f>sumifs(生产物料推移表!aj:aj,生产物料推移表!L:L,"计划生产",生产物料推移表!B:B,"952-247000-100")</f>
        <v>0</v>
      </c>
      <c r="AK19">
        <f>sumifs(生产物料推移表!ak:ak,生产物料推移表!L:L,"计划生产",生产物料推移表!B:B,"952-247000-100")</f>
        <v>0</v>
      </c>
      <c r="AL19">
        <f>sumifs(生产物料推移表!al:al,生产物料推移表!L:L,"计划生产",生产物料推移表!B:B,"952-247000-100")</f>
        <v>0</v>
      </c>
      <c r="AM19">
        <f>sumifs(生产物料推移表!am:am,生产物料推移表!L:L,"计划生产",生产物料推移表!B:B,"952-247000-100")</f>
        <v>0</v>
      </c>
      <c r="AN19">
        <f>sumifs(生产物料推移表!an:an,生产物料推移表!L:L,"计划生产",生产物料推移表!B:B,"952-247000-100")</f>
        <v>0</v>
      </c>
      <c r="AO19">
        <f>sumifs(生产物料推移表!ao:ao,生产物料推移表!L:L,"计划生产",生产物料推移表!B:B,"952-247000-100")</f>
        <v>0</v>
      </c>
      <c r="AP19">
        <f>sumifs(生产物料推移表!ap:ap,生产物料推移表!L:L,"计划生产",生产物料推移表!B:B,"952-247000-100")</f>
        <v>0</v>
      </c>
      <c r="AQ19">
        <f>sumifs(生产物料推移表!aq:aq,生产物料推移表!L:L,"计划生产",生产物料推移表!B:B,"952-247000-100")</f>
        <v>0</v>
      </c>
      <c r="AR19">
        <f>sumifs(生产物料推移表!ar:ar,生产物料推移表!L:L,"计划生产",生产物料推移表!B:B,"952-247000-100")</f>
        <v>0</v>
      </c>
      <c r="BY19">
        <f>sum(j19:an19)</f>
        <v>0</v>
      </c>
    </row>
    <row r="20" spans="1:77">
      <c r="A20" t="s">
        <v>14</v>
      </c>
      <c r="B20" t="s">
        <v>137</v>
      </c>
      <c r="C20" t="s">
        <v>138</v>
      </c>
      <c r="D20" t="s">
        <v>46</v>
      </c>
      <c r="E20">
        <v>1</v>
      </c>
      <c r="F20" t="s">
        <v>139</v>
      </c>
      <c r="H20" t="s">
        <v>133</v>
      </c>
      <c r="I20">
        <v>20</v>
      </c>
      <c r="K20" t="s">
        <v>20</v>
      </c>
      <c r="L20" t="s">
        <v>37</v>
      </c>
      <c r="M20">
        <f>sumifs(生产物料推移表!m:m,生产物料推移表!L:L,"计划生产",生产物料推移表!B:B,"952-247000-200")</f>
        <v>0</v>
      </c>
      <c r="N20">
        <f>sumifs(生产物料推移表!n:n,生产物料推移表!L:L,"计划生产",生产物料推移表!B:B,"952-247000-200")</f>
        <v>0</v>
      </c>
      <c r="O20">
        <f>sumifs(生产物料推移表!o:o,生产物料推移表!L:L,"计划生产",生产物料推移表!B:B,"952-247000-200")</f>
        <v>0</v>
      </c>
      <c r="P20">
        <f>sumifs(生产物料推移表!p:p,生产物料推移表!L:L,"计划生产",生产物料推移表!B:B,"952-247000-200")</f>
        <v>0</v>
      </c>
      <c r="Q20">
        <f>sumifs(生产物料推移表!q:q,生产物料推移表!L:L,"计划生产",生产物料推移表!B:B,"952-247000-200")</f>
        <v>0</v>
      </c>
      <c r="R20">
        <f>sumifs(生产物料推移表!r:r,生产物料推移表!L:L,"计划生产",生产物料推移表!B:B,"952-247000-200")</f>
        <v>0</v>
      </c>
      <c r="S20">
        <f>sumifs(生产物料推移表!s:s,生产物料推移表!L:L,"计划生产",生产物料推移表!B:B,"952-247000-200")</f>
        <v>0</v>
      </c>
      <c r="T20">
        <f>sumifs(生产物料推移表!t:t,生产物料推移表!L:L,"计划生产",生产物料推移表!B:B,"952-247000-200")</f>
        <v>0</v>
      </c>
      <c r="U20">
        <f>sumifs(生产物料推移表!u:u,生产物料推移表!L:L,"计划生产",生产物料推移表!B:B,"952-247000-200")</f>
        <v>0</v>
      </c>
      <c r="V20">
        <f>sumifs(生产物料推移表!v:v,生产物料推移表!L:L,"计划生产",生产物料推移表!B:B,"952-247000-200")</f>
        <v>0</v>
      </c>
      <c r="W20">
        <f>sumifs(生产物料推移表!w:w,生产物料推移表!L:L,"计划生产",生产物料推移表!B:B,"952-247000-200")</f>
        <v>0</v>
      </c>
      <c r="X20">
        <f>sumifs(生产物料推移表!x:x,生产物料推移表!L:L,"计划生产",生产物料推移表!B:B,"952-247000-200")</f>
        <v>0</v>
      </c>
      <c r="Y20">
        <f>sumifs(生产物料推移表!y:y,生产物料推移表!L:L,"计划生产",生产物料推移表!B:B,"952-247000-200")</f>
        <v>0</v>
      </c>
      <c r="Z20">
        <f>sumifs(生产物料推移表!z:z,生产物料推移表!L:L,"计划生产",生产物料推移表!B:B,"952-247000-200")</f>
        <v>0</v>
      </c>
      <c r="AA20">
        <f>sumifs(生产物料推移表!aa:aa,生产物料推移表!L:L,"计划生产",生产物料推移表!B:B,"952-247000-200")</f>
        <v>0</v>
      </c>
      <c r="AB20">
        <f>sumifs(生产物料推移表!ab:ab,生产物料推移表!L:L,"计划生产",生产物料推移表!B:B,"952-247000-200")</f>
        <v>0</v>
      </c>
      <c r="AC20">
        <f>sumifs(生产物料推移表!ac:ac,生产物料推移表!L:L,"计划生产",生产物料推移表!B:B,"952-247000-200")</f>
        <v>0</v>
      </c>
      <c r="AD20">
        <f>sumifs(生产物料推移表!ad:ad,生产物料推移表!L:L,"计划生产",生产物料推移表!B:B,"952-247000-200")</f>
        <v>0</v>
      </c>
      <c r="AE20">
        <f>sumifs(生产物料推移表!ae:ae,生产物料推移表!L:L,"计划生产",生产物料推移表!B:B,"952-247000-200")</f>
        <v>0</v>
      </c>
      <c r="AF20">
        <f>sumifs(生产物料推移表!af:af,生产物料推移表!L:L,"计划生产",生产物料推移表!B:B,"952-247000-200")</f>
        <v>0</v>
      </c>
      <c r="AG20">
        <f>sumifs(生产物料推移表!ag:ag,生产物料推移表!L:L,"计划生产",生产物料推移表!B:B,"952-247000-200")</f>
        <v>0</v>
      </c>
      <c r="AH20">
        <f>sumifs(生产物料推移表!ah:ah,生产物料推移表!L:L,"计划生产",生产物料推移表!B:B,"952-247000-200")</f>
        <v>0</v>
      </c>
      <c r="AI20">
        <f>sumifs(生产物料推移表!ai:ai,生产物料推移表!L:L,"计划生产",生产物料推移表!B:B,"952-247000-200")</f>
        <v>0</v>
      </c>
      <c r="AJ20">
        <f>sumifs(生产物料推移表!aj:aj,生产物料推移表!L:L,"计划生产",生产物料推移表!B:B,"952-247000-200")</f>
        <v>0</v>
      </c>
      <c r="AK20">
        <f>sumifs(生产物料推移表!ak:ak,生产物料推移表!L:L,"计划生产",生产物料推移表!B:B,"952-247000-200")</f>
        <v>0</v>
      </c>
      <c r="AL20">
        <f>sumifs(生产物料推移表!al:al,生产物料推移表!L:L,"计划生产",生产物料推移表!B:B,"952-247000-200")</f>
        <v>0</v>
      </c>
      <c r="AM20">
        <f>sumifs(生产物料推移表!am:am,生产物料推移表!L:L,"计划生产",生产物料推移表!B:B,"952-247000-200")</f>
        <v>0</v>
      </c>
      <c r="AN20">
        <f>sumifs(生产物料推移表!an:an,生产物料推移表!L:L,"计划生产",生产物料推移表!B:B,"952-247000-200")</f>
        <v>0</v>
      </c>
      <c r="AO20">
        <f>sumifs(生产物料推移表!ao:ao,生产物料推移表!L:L,"计划生产",生产物料推移表!B:B,"952-247000-200")</f>
        <v>0</v>
      </c>
      <c r="AP20">
        <f>sumifs(生产物料推移表!ap:ap,生产物料推移表!L:L,"计划生产",生产物料推移表!B:B,"952-247000-200")</f>
        <v>0</v>
      </c>
      <c r="AQ20">
        <f>sumifs(生产物料推移表!aq:aq,生产物料推移表!L:L,"计划生产",生产物料推移表!B:B,"952-247000-200")</f>
        <v>0</v>
      </c>
      <c r="AR20">
        <f>sumifs(生产物料推移表!ar:ar,生产物料推移表!L:L,"计划生产",生产物料推移表!B:B,"952-247000-200")</f>
        <v>0</v>
      </c>
      <c r="BY20">
        <f>sum(j20:an20)</f>
        <v>0</v>
      </c>
    </row>
    <row r="21" spans="1:77">
      <c r="A21" t="s">
        <v>14</v>
      </c>
      <c r="B21" t="s">
        <v>143</v>
      </c>
      <c r="C21" t="s">
        <v>144</v>
      </c>
      <c r="D21" t="s">
        <v>46</v>
      </c>
      <c r="E21">
        <v>1</v>
      </c>
      <c r="F21" t="s">
        <v>145</v>
      </c>
      <c r="H21" t="s">
        <v>146</v>
      </c>
      <c r="I21">
        <v>10</v>
      </c>
      <c r="K21" t="s">
        <v>20</v>
      </c>
      <c r="L21" t="s">
        <v>37</v>
      </c>
      <c r="M21">
        <f>sumifs(生产物料推移表!m:m,生产物料推移表!L:L,"计划生产",生产物料推移表!B:B,"952-248000-100")</f>
        <v>0</v>
      </c>
      <c r="N21">
        <f>sumifs(生产物料推移表!n:n,生产物料推移表!L:L,"计划生产",生产物料推移表!B:B,"952-248000-100")</f>
        <v>0</v>
      </c>
      <c r="O21">
        <f>sumifs(生产物料推移表!o:o,生产物料推移表!L:L,"计划生产",生产物料推移表!B:B,"952-248000-100")</f>
        <v>0</v>
      </c>
      <c r="P21">
        <f>sumifs(生产物料推移表!p:p,生产物料推移表!L:L,"计划生产",生产物料推移表!B:B,"952-248000-100")</f>
        <v>0</v>
      </c>
      <c r="Q21">
        <f>sumifs(生产物料推移表!q:q,生产物料推移表!L:L,"计划生产",生产物料推移表!B:B,"952-248000-100")</f>
        <v>0</v>
      </c>
      <c r="R21">
        <f>sumifs(生产物料推移表!r:r,生产物料推移表!L:L,"计划生产",生产物料推移表!B:B,"952-248000-100")</f>
        <v>0</v>
      </c>
      <c r="S21">
        <f>sumifs(生产物料推移表!s:s,生产物料推移表!L:L,"计划生产",生产物料推移表!B:B,"952-248000-100")</f>
        <v>0</v>
      </c>
      <c r="T21">
        <f>sumifs(生产物料推移表!t:t,生产物料推移表!L:L,"计划生产",生产物料推移表!B:B,"952-248000-100")</f>
        <v>0</v>
      </c>
      <c r="U21">
        <f>sumifs(生产物料推移表!u:u,生产物料推移表!L:L,"计划生产",生产物料推移表!B:B,"952-248000-100")</f>
        <v>0</v>
      </c>
      <c r="V21">
        <f>sumifs(生产物料推移表!v:v,生产物料推移表!L:L,"计划生产",生产物料推移表!B:B,"952-248000-100")</f>
        <v>0</v>
      </c>
      <c r="W21">
        <f>sumifs(生产物料推移表!w:w,生产物料推移表!L:L,"计划生产",生产物料推移表!B:B,"952-248000-100")</f>
        <v>0</v>
      </c>
      <c r="X21">
        <f>sumifs(生产物料推移表!x:x,生产物料推移表!L:L,"计划生产",生产物料推移表!B:B,"952-248000-100")</f>
        <v>0</v>
      </c>
      <c r="Y21">
        <f>sumifs(生产物料推移表!y:y,生产物料推移表!L:L,"计划生产",生产物料推移表!B:B,"952-248000-100")</f>
        <v>0</v>
      </c>
      <c r="Z21">
        <f>sumifs(生产物料推移表!z:z,生产物料推移表!L:L,"计划生产",生产物料推移表!B:B,"952-248000-100")</f>
        <v>0</v>
      </c>
      <c r="AA21">
        <f>sumifs(生产物料推移表!aa:aa,生产物料推移表!L:L,"计划生产",生产物料推移表!B:B,"952-248000-100")</f>
        <v>0</v>
      </c>
      <c r="AB21">
        <f>sumifs(生产物料推移表!ab:ab,生产物料推移表!L:L,"计划生产",生产物料推移表!B:B,"952-248000-100")</f>
        <v>0</v>
      </c>
      <c r="AC21">
        <f>sumifs(生产物料推移表!ac:ac,生产物料推移表!L:L,"计划生产",生产物料推移表!B:B,"952-248000-100")</f>
        <v>0</v>
      </c>
      <c r="AD21">
        <f>sumifs(生产物料推移表!ad:ad,生产物料推移表!L:L,"计划生产",生产物料推移表!B:B,"952-248000-100")</f>
        <v>0</v>
      </c>
      <c r="AE21">
        <f>sumifs(生产物料推移表!ae:ae,生产物料推移表!L:L,"计划生产",生产物料推移表!B:B,"952-248000-100")</f>
        <v>0</v>
      </c>
      <c r="AF21">
        <f>sumifs(生产物料推移表!af:af,生产物料推移表!L:L,"计划生产",生产物料推移表!B:B,"952-248000-100")</f>
        <v>0</v>
      </c>
      <c r="AG21">
        <f>sumifs(生产物料推移表!ag:ag,生产物料推移表!L:L,"计划生产",生产物料推移表!B:B,"952-248000-100")</f>
        <v>0</v>
      </c>
      <c r="AH21">
        <f>sumifs(生产物料推移表!ah:ah,生产物料推移表!L:L,"计划生产",生产物料推移表!B:B,"952-248000-100")</f>
        <v>0</v>
      </c>
      <c r="AI21">
        <f>sumifs(生产物料推移表!ai:ai,生产物料推移表!L:L,"计划生产",生产物料推移表!B:B,"952-248000-100")</f>
        <v>0</v>
      </c>
      <c r="AJ21">
        <f>sumifs(生产物料推移表!aj:aj,生产物料推移表!L:L,"计划生产",生产物料推移表!B:B,"952-248000-100")</f>
        <v>0</v>
      </c>
      <c r="AK21">
        <f>sumifs(生产物料推移表!ak:ak,生产物料推移表!L:L,"计划生产",生产物料推移表!B:B,"952-248000-100")</f>
        <v>0</v>
      </c>
      <c r="AL21">
        <f>sumifs(生产物料推移表!al:al,生产物料推移表!L:L,"计划生产",生产物料推移表!B:B,"952-248000-100")</f>
        <v>0</v>
      </c>
      <c r="AM21">
        <f>sumifs(生产物料推移表!am:am,生产物料推移表!L:L,"计划生产",生产物料推移表!B:B,"952-248000-100")</f>
        <v>0</v>
      </c>
      <c r="AN21">
        <f>sumifs(生产物料推移表!an:an,生产物料推移表!L:L,"计划生产",生产物料推移表!B:B,"952-248000-100")</f>
        <v>0</v>
      </c>
      <c r="AO21">
        <f>sumifs(生产物料推移表!ao:ao,生产物料推移表!L:L,"计划生产",生产物料推移表!B:B,"952-248000-100")</f>
        <v>0</v>
      </c>
      <c r="AP21">
        <f>sumifs(生产物料推移表!ap:ap,生产物料推移表!L:L,"计划生产",生产物料推移表!B:B,"952-248000-100")</f>
        <v>0</v>
      </c>
      <c r="AQ21">
        <f>sumifs(生产物料推移表!aq:aq,生产物料推移表!L:L,"计划生产",生产物料推移表!B:B,"952-248000-100")</f>
        <v>0</v>
      </c>
      <c r="AR21">
        <f>sumifs(生产物料推移表!ar:ar,生产物料推移表!L:L,"计划生产",生产物料推移表!B:B,"952-248000-100")</f>
        <v>0</v>
      </c>
      <c r="BY21">
        <f>sum(j21:an21)</f>
        <v>0</v>
      </c>
    </row>
    <row r="22" spans="1:77">
      <c r="A22" t="s">
        <v>14</v>
      </c>
      <c r="B22" t="s">
        <v>150</v>
      </c>
      <c r="C22" t="s">
        <v>151</v>
      </c>
      <c r="D22" t="s">
        <v>46</v>
      </c>
      <c r="E22">
        <v>1</v>
      </c>
      <c r="F22" t="s">
        <v>152</v>
      </c>
      <c r="H22" t="s">
        <v>153</v>
      </c>
      <c r="I22">
        <v>10</v>
      </c>
      <c r="K22" t="s">
        <v>20</v>
      </c>
      <c r="L22" t="s">
        <v>37</v>
      </c>
      <c r="M22">
        <f>sumifs(生产物料推移表!m:m,生产物料推移表!L:L,"计划生产",生产物料推移表!B:B,"952-248000-200")</f>
        <v>0</v>
      </c>
      <c r="N22">
        <f>sumifs(生产物料推移表!n:n,生产物料推移表!L:L,"计划生产",生产物料推移表!B:B,"952-248000-200")</f>
        <v>0</v>
      </c>
      <c r="O22">
        <f>sumifs(生产物料推移表!o:o,生产物料推移表!L:L,"计划生产",生产物料推移表!B:B,"952-248000-200")</f>
        <v>0</v>
      </c>
      <c r="P22">
        <f>sumifs(生产物料推移表!p:p,生产物料推移表!L:L,"计划生产",生产物料推移表!B:B,"952-248000-200")</f>
        <v>0</v>
      </c>
      <c r="Q22">
        <f>sumifs(生产物料推移表!q:q,生产物料推移表!L:L,"计划生产",生产物料推移表!B:B,"952-248000-200")</f>
        <v>0</v>
      </c>
      <c r="R22">
        <f>sumifs(生产物料推移表!r:r,生产物料推移表!L:L,"计划生产",生产物料推移表!B:B,"952-248000-200")</f>
        <v>0</v>
      </c>
      <c r="S22">
        <f>sumifs(生产物料推移表!s:s,生产物料推移表!L:L,"计划生产",生产物料推移表!B:B,"952-248000-200")</f>
        <v>0</v>
      </c>
      <c r="T22">
        <f>sumifs(生产物料推移表!t:t,生产物料推移表!L:L,"计划生产",生产物料推移表!B:B,"952-248000-200")</f>
        <v>0</v>
      </c>
      <c r="U22">
        <f>sumifs(生产物料推移表!u:u,生产物料推移表!L:L,"计划生产",生产物料推移表!B:B,"952-248000-200")</f>
        <v>0</v>
      </c>
      <c r="V22">
        <f>sumifs(生产物料推移表!v:v,生产物料推移表!L:L,"计划生产",生产物料推移表!B:B,"952-248000-200")</f>
        <v>0</v>
      </c>
      <c r="W22">
        <f>sumifs(生产物料推移表!w:w,生产物料推移表!L:L,"计划生产",生产物料推移表!B:B,"952-248000-200")</f>
        <v>0</v>
      </c>
      <c r="X22">
        <f>sumifs(生产物料推移表!x:x,生产物料推移表!L:L,"计划生产",生产物料推移表!B:B,"952-248000-200")</f>
        <v>0</v>
      </c>
      <c r="Y22">
        <f>sumifs(生产物料推移表!y:y,生产物料推移表!L:L,"计划生产",生产物料推移表!B:B,"952-248000-200")</f>
        <v>0</v>
      </c>
      <c r="Z22">
        <f>sumifs(生产物料推移表!z:z,生产物料推移表!L:L,"计划生产",生产物料推移表!B:B,"952-248000-200")</f>
        <v>0</v>
      </c>
      <c r="AA22">
        <f>sumifs(生产物料推移表!aa:aa,生产物料推移表!L:L,"计划生产",生产物料推移表!B:B,"952-248000-200")</f>
        <v>0</v>
      </c>
      <c r="AB22">
        <f>sumifs(生产物料推移表!ab:ab,生产物料推移表!L:L,"计划生产",生产物料推移表!B:B,"952-248000-200")</f>
        <v>0</v>
      </c>
      <c r="AC22">
        <f>sumifs(生产物料推移表!ac:ac,生产物料推移表!L:L,"计划生产",生产物料推移表!B:B,"952-248000-200")</f>
        <v>0</v>
      </c>
      <c r="AD22">
        <f>sumifs(生产物料推移表!ad:ad,生产物料推移表!L:L,"计划生产",生产物料推移表!B:B,"952-248000-200")</f>
        <v>0</v>
      </c>
      <c r="AE22">
        <f>sumifs(生产物料推移表!ae:ae,生产物料推移表!L:L,"计划生产",生产物料推移表!B:B,"952-248000-200")</f>
        <v>0</v>
      </c>
      <c r="AF22">
        <f>sumifs(生产物料推移表!af:af,生产物料推移表!L:L,"计划生产",生产物料推移表!B:B,"952-248000-200")</f>
        <v>0</v>
      </c>
      <c r="AG22">
        <f>sumifs(生产物料推移表!ag:ag,生产物料推移表!L:L,"计划生产",生产物料推移表!B:B,"952-248000-200")</f>
        <v>0</v>
      </c>
      <c r="AH22">
        <f>sumifs(生产物料推移表!ah:ah,生产物料推移表!L:L,"计划生产",生产物料推移表!B:B,"952-248000-200")</f>
        <v>0</v>
      </c>
      <c r="AI22">
        <f>sumifs(生产物料推移表!ai:ai,生产物料推移表!L:L,"计划生产",生产物料推移表!B:B,"952-248000-200")</f>
        <v>0</v>
      </c>
      <c r="AJ22">
        <f>sumifs(生产物料推移表!aj:aj,生产物料推移表!L:L,"计划生产",生产物料推移表!B:B,"952-248000-200")</f>
        <v>0</v>
      </c>
      <c r="AK22">
        <f>sumifs(生产物料推移表!ak:ak,生产物料推移表!L:L,"计划生产",生产物料推移表!B:B,"952-248000-200")</f>
        <v>0</v>
      </c>
      <c r="AL22">
        <f>sumifs(生产物料推移表!al:al,生产物料推移表!L:L,"计划生产",生产物料推移表!B:B,"952-248000-200")</f>
        <v>0</v>
      </c>
      <c r="AM22">
        <f>sumifs(生产物料推移表!am:am,生产物料推移表!L:L,"计划生产",生产物料推移表!B:B,"952-248000-200")</f>
        <v>0</v>
      </c>
      <c r="AN22">
        <f>sumifs(生产物料推移表!an:an,生产物料推移表!L:L,"计划生产",生产物料推移表!B:B,"952-248000-200")</f>
        <v>0</v>
      </c>
      <c r="AO22">
        <f>sumifs(生产物料推移表!ao:ao,生产物料推移表!L:L,"计划生产",生产物料推移表!B:B,"952-248000-200")</f>
        <v>0</v>
      </c>
      <c r="AP22">
        <f>sumifs(生产物料推移表!ap:ap,生产物料推移表!L:L,"计划生产",生产物料推移表!B:B,"952-248000-200")</f>
        <v>0</v>
      </c>
      <c r="AQ22">
        <f>sumifs(生产物料推移表!aq:aq,生产物料推移表!L:L,"计划生产",生产物料推移表!B:B,"952-248000-200")</f>
        <v>0</v>
      </c>
      <c r="AR22">
        <f>sumifs(生产物料推移表!ar:ar,生产物料推移表!L:L,"计划生产",生产物料推移表!B:B,"952-248000-200")</f>
        <v>0</v>
      </c>
      <c r="BY22">
        <f>sum(j22:an22)</f>
        <v>0</v>
      </c>
    </row>
    <row r="23" spans="1:77">
      <c r="A23" t="s">
        <v>14</v>
      </c>
      <c r="B23" t="s">
        <v>157</v>
      </c>
      <c r="C23" t="s">
        <v>158</v>
      </c>
      <c r="D23" t="s">
        <v>17</v>
      </c>
      <c r="E23">
        <v>1</v>
      </c>
      <c r="F23" t="s">
        <v>159</v>
      </c>
      <c r="H23" t="s">
        <v>160</v>
      </c>
      <c r="I23">
        <v>18</v>
      </c>
      <c r="K23" t="s">
        <v>20</v>
      </c>
      <c r="L23" t="s">
        <v>37</v>
      </c>
      <c r="M23">
        <f>sumifs(生产物料推移表!m:m,生产物料推移表!L:L,"计划生产",生产物料推移表!B:B,"952-249000-100")</f>
        <v>0</v>
      </c>
      <c r="N23">
        <f>sumifs(生产物料推移表!n:n,生产物料推移表!L:L,"计划生产",生产物料推移表!B:B,"952-249000-100")</f>
        <v>0</v>
      </c>
      <c r="O23">
        <f>sumifs(生产物料推移表!o:o,生产物料推移表!L:L,"计划生产",生产物料推移表!B:B,"952-249000-100")</f>
        <v>0</v>
      </c>
      <c r="P23">
        <f>sumifs(生产物料推移表!p:p,生产物料推移表!L:L,"计划生产",生产物料推移表!B:B,"952-249000-100")</f>
        <v>0</v>
      </c>
      <c r="Q23">
        <f>sumifs(生产物料推移表!q:q,生产物料推移表!L:L,"计划生产",生产物料推移表!B:B,"952-249000-100")</f>
        <v>0</v>
      </c>
      <c r="R23">
        <f>sumifs(生产物料推移表!r:r,生产物料推移表!L:L,"计划生产",生产物料推移表!B:B,"952-249000-100")</f>
        <v>0</v>
      </c>
      <c r="S23">
        <f>sumifs(生产物料推移表!s:s,生产物料推移表!L:L,"计划生产",生产物料推移表!B:B,"952-249000-100")</f>
        <v>0</v>
      </c>
      <c r="T23">
        <f>sumifs(生产物料推移表!t:t,生产物料推移表!L:L,"计划生产",生产物料推移表!B:B,"952-249000-100")</f>
        <v>0</v>
      </c>
      <c r="U23">
        <f>sumifs(生产物料推移表!u:u,生产物料推移表!L:L,"计划生产",生产物料推移表!B:B,"952-249000-100")</f>
        <v>0</v>
      </c>
      <c r="V23">
        <f>sumifs(生产物料推移表!v:v,生产物料推移表!L:L,"计划生产",生产物料推移表!B:B,"952-249000-100")</f>
        <v>0</v>
      </c>
      <c r="W23">
        <f>sumifs(生产物料推移表!w:w,生产物料推移表!L:L,"计划生产",生产物料推移表!B:B,"952-249000-100")</f>
        <v>0</v>
      </c>
      <c r="X23">
        <f>sumifs(生产物料推移表!x:x,生产物料推移表!L:L,"计划生产",生产物料推移表!B:B,"952-249000-100")</f>
        <v>0</v>
      </c>
      <c r="Y23">
        <f>sumifs(生产物料推移表!y:y,生产物料推移表!L:L,"计划生产",生产物料推移表!B:B,"952-249000-100")</f>
        <v>0</v>
      </c>
      <c r="Z23">
        <f>sumifs(生产物料推移表!z:z,生产物料推移表!L:L,"计划生产",生产物料推移表!B:B,"952-249000-100")</f>
        <v>0</v>
      </c>
      <c r="AA23">
        <f>sumifs(生产物料推移表!aa:aa,生产物料推移表!L:L,"计划生产",生产物料推移表!B:B,"952-249000-100")</f>
        <v>0</v>
      </c>
      <c r="AB23">
        <f>sumifs(生产物料推移表!ab:ab,生产物料推移表!L:L,"计划生产",生产物料推移表!B:B,"952-249000-100")</f>
        <v>0</v>
      </c>
      <c r="AC23">
        <f>sumifs(生产物料推移表!ac:ac,生产物料推移表!L:L,"计划生产",生产物料推移表!B:B,"952-249000-100")</f>
        <v>0</v>
      </c>
      <c r="AD23">
        <f>sumifs(生产物料推移表!ad:ad,生产物料推移表!L:L,"计划生产",生产物料推移表!B:B,"952-249000-100")</f>
        <v>0</v>
      </c>
      <c r="AE23">
        <f>sumifs(生产物料推移表!ae:ae,生产物料推移表!L:L,"计划生产",生产物料推移表!B:B,"952-249000-100")</f>
        <v>0</v>
      </c>
      <c r="AF23">
        <f>sumifs(生产物料推移表!af:af,生产物料推移表!L:L,"计划生产",生产物料推移表!B:B,"952-249000-100")</f>
        <v>0</v>
      </c>
      <c r="AG23">
        <f>sumifs(生产物料推移表!ag:ag,生产物料推移表!L:L,"计划生产",生产物料推移表!B:B,"952-249000-100")</f>
        <v>0</v>
      </c>
      <c r="AH23">
        <f>sumifs(生产物料推移表!ah:ah,生产物料推移表!L:L,"计划生产",生产物料推移表!B:B,"952-249000-100")</f>
        <v>0</v>
      </c>
      <c r="AI23">
        <f>sumifs(生产物料推移表!ai:ai,生产物料推移表!L:L,"计划生产",生产物料推移表!B:B,"952-249000-100")</f>
        <v>0</v>
      </c>
      <c r="AJ23">
        <f>sumifs(生产物料推移表!aj:aj,生产物料推移表!L:L,"计划生产",生产物料推移表!B:B,"952-249000-100")</f>
        <v>0</v>
      </c>
      <c r="AK23">
        <f>sumifs(生产物料推移表!ak:ak,生产物料推移表!L:L,"计划生产",生产物料推移表!B:B,"952-249000-100")</f>
        <v>0</v>
      </c>
      <c r="AL23">
        <f>sumifs(生产物料推移表!al:al,生产物料推移表!L:L,"计划生产",生产物料推移表!B:B,"952-249000-100")</f>
        <v>0</v>
      </c>
      <c r="AM23">
        <f>sumifs(生产物料推移表!am:am,生产物料推移表!L:L,"计划生产",生产物料推移表!B:B,"952-249000-100")</f>
        <v>0</v>
      </c>
      <c r="AN23">
        <f>sumifs(生产物料推移表!an:an,生产物料推移表!L:L,"计划生产",生产物料推移表!B:B,"952-249000-100")</f>
        <v>0</v>
      </c>
      <c r="AO23">
        <f>sumifs(生产物料推移表!ao:ao,生产物料推移表!L:L,"计划生产",生产物料推移表!B:B,"952-249000-100")</f>
        <v>0</v>
      </c>
      <c r="AP23">
        <f>sumifs(生产物料推移表!ap:ap,生产物料推移表!L:L,"计划生产",生产物料推移表!B:B,"952-249000-100")</f>
        <v>0</v>
      </c>
      <c r="AQ23">
        <f>sumifs(生产物料推移表!aq:aq,生产物料推移表!L:L,"计划生产",生产物料推移表!B:B,"952-249000-100")</f>
        <v>0</v>
      </c>
      <c r="AR23">
        <f>sumifs(生产物料推移表!ar:ar,生产物料推移表!L:L,"计划生产",生产物料推移表!B:B,"952-249000-100")</f>
        <v>0</v>
      </c>
      <c r="BY23">
        <f>sum(j23:an23)</f>
        <v>0</v>
      </c>
    </row>
    <row r="24" spans="1:77">
      <c r="A24" t="s">
        <v>14</v>
      </c>
      <c r="B24" t="s">
        <v>161</v>
      </c>
      <c r="C24" t="s">
        <v>162</v>
      </c>
      <c r="D24" t="s">
        <v>163</v>
      </c>
      <c r="E24">
        <v>1</v>
      </c>
      <c r="F24" t="s">
        <v>164</v>
      </c>
      <c r="H24" t="s">
        <v>165</v>
      </c>
      <c r="I24" t="s">
        <v>166</v>
      </c>
      <c r="K24" t="s">
        <v>20</v>
      </c>
      <c r="L24" t="s">
        <v>37</v>
      </c>
      <c r="M24">
        <f>sumifs(生产物料推移表!m:m,生产物料推移表!L:L,"计划生产",生产物料推移表!B:B,"952-241000-100")</f>
        <v>0</v>
      </c>
      <c r="N24">
        <f>sumifs(生产物料推移表!n:n,生产物料推移表!L:L,"计划生产",生产物料推移表!B:B,"952-241000-100")</f>
        <v>0</v>
      </c>
      <c r="O24">
        <f>sumifs(生产物料推移表!o:o,生产物料推移表!L:L,"计划生产",生产物料推移表!B:B,"952-241000-100")</f>
        <v>0</v>
      </c>
      <c r="P24">
        <f>sumifs(生产物料推移表!p:p,生产物料推移表!L:L,"计划生产",生产物料推移表!B:B,"952-241000-100")</f>
        <v>0</v>
      </c>
      <c r="Q24">
        <f>sumifs(生产物料推移表!q:q,生产物料推移表!L:L,"计划生产",生产物料推移表!B:B,"952-241000-100")</f>
        <v>0</v>
      </c>
      <c r="R24">
        <f>sumifs(生产物料推移表!r:r,生产物料推移表!L:L,"计划生产",生产物料推移表!B:B,"952-241000-100")</f>
        <v>0</v>
      </c>
      <c r="S24">
        <f>sumifs(生产物料推移表!s:s,生产物料推移表!L:L,"计划生产",生产物料推移表!B:B,"952-241000-100")</f>
        <v>0</v>
      </c>
      <c r="T24">
        <f>sumifs(生产物料推移表!t:t,生产物料推移表!L:L,"计划生产",生产物料推移表!B:B,"952-241000-100")</f>
        <v>0</v>
      </c>
      <c r="U24">
        <f>sumifs(生产物料推移表!u:u,生产物料推移表!L:L,"计划生产",生产物料推移表!B:B,"952-241000-100")</f>
        <v>0</v>
      </c>
      <c r="V24">
        <f>sumifs(生产物料推移表!v:v,生产物料推移表!L:L,"计划生产",生产物料推移表!B:B,"952-241000-100")</f>
        <v>0</v>
      </c>
      <c r="W24">
        <f>sumifs(生产物料推移表!w:w,生产物料推移表!L:L,"计划生产",生产物料推移表!B:B,"952-241000-100")</f>
        <v>0</v>
      </c>
      <c r="X24">
        <f>sumifs(生产物料推移表!x:x,生产物料推移表!L:L,"计划生产",生产物料推移表!B:B,"952-241000-100")</f>
        <v>0</v>
      </c>
      <c r="Y24">
        <f>sumifs(生产物料推移表!y:y,生产物料推移表!L:L,"计划生产",生产物料推移表!B:B,"952-241000-100")</f>
        <v>0</v>
      </c>
      <c r="Z24">
        <f>sumifs(生产物料推移表!z:z,生产物料推移表!L:L,"计划生产",生产物料推移表!B:B,"952-241000-100")</f>
        <v>0</v>
      </c>
      <c r="AA24">
        <f>sumifs(生产物料推移表!aa:aa,生产物料推移表!L:L,"计划生产",生产物料推移表!B:B,"952-241000-100")</f>
        <v>0</v>
      </c>
      <c r="AB24">
        <f>sumifs(生产物料推移表!ab:ab,生产物料推移表!L:L,"计划生产",生产物料推移表!B:B,"952-241000-100")</f>
        <v>0</v>
      </c>
      <c r="AC24">
        <f>sumifs(生产物料推移表!ac:ac,生产物料推移表!L:L,"计划生产",生产物料推移表!B:B,"952-241000-100")</f>
        <v>0</v>
      </c>
      <c r="AD24">
        <f>sumifs(生产物料推移表!ad:ad,生产物料推移表!L:L,"计划生产",生产物料推移表!B:B,"952-241000-100")</f>
        <v>0</v>
      </c>
      <c r="AE24">
        <f>sumifs(生产物料推移表!ae:ae,生产物料推移表!L:L,"计划生产",生产物料推移表!B:B,"952-241000-100")</f>
        <v>0</v>
      </c>
      <c r="AF24">
        <f>sumifs(生产物料推移表!af:af,生产物料推移表!L:L,"计划生产",生产物料推移表!B:B,"952-241000-100")</f>
        <v>0</v>
      </c>
      <c r="AG24">
        <f>sumifs(生产物料推移表!ag:ag,生产物料推移表!L:L,"计划生产",生产物料推移表!B:B,"952-241000-100")</f>
        <v>0</v>
      </c>
      <c r="AH24">
        <f>sumifs(生产物料推移表!ah:ah,生产物料推移表!L:L,"计划生产",生产物料推移表!B:B,"952-241000-100")</f>
        <v>0</v>
      </c>
      <c r="AI24">
        <f>sumifs(生产物料推移表!ai:ai,生产物料推移表!L:L,"计划生产",生产物料推移表!B:B,"952-241000-100")</f>
        <v>0</v>
      </c>
      <c r="AJ24">
        <f>sumifs(生产物料推移表!aj:aj,生产物料推移表!L:L,"计划生产",生产物料推移表!B:B,"952-241000-100")</f>
        <v>0</v>
      </c>
      <c r="AK24">
        <f>sumifs(生产物料推移表!ak:ak,生产物料推移表!L:L,"计划生产",生产物料推移表!B:B,"952-241000-100")</f>
        <v>0</v>
      </c>
      <c r="AL24">
        <f>sumifs(生产物料推移表!al:al,生产物料推移表!L:L,"计划生产",生产物料推移表!B:B,"952-241000-100")</f>
        <v>0</v>
      </c>
      <c r="AM24">
        <f>sumifs(生产物料推移表!am:am,生产物料推移表!L:L,"计划生产",生产物料推移表!B:B,"952-241000-100")</f>
        <v>0</v>
      </c>
      <c r="AN24">
        <f>sumifs(生产物料推移表!an:an,生产物料推移表!L:L,"计划生产",生产物料推移表!B:B,"952-241000-100")</f>
        <v>0</v>
      </c>
      <c r="AO24">
        <f>sumifs(生产物料推移表!ao:ao,生产物料推移表!L:L,"计划生产",生产物料推移表!B:B,"952-241000-100")</f>
        <v>0</v>
      </c>
      <c r="AP24">
        <f>sumifs(生产物料推移表!ap:ap,生产物料推移表!L:L,"计划生产",生产物料推移表!B:B,"952-241000-100")</f>
        <v>0</v>
      </c>
      <c r="AQ24">
        <f>sumifs(生产物料推移表!aq:aq,生产物料推移表!L:L,"计划生产",生产物料推移表!B:B,"952-241000-100")</f>
        <v>0</v>
      </c>
      <c r="AR24">
        <f>sumifs(生产物料推移表!ar:ar,生产物料推移表!L:L,"计划生产",生产物料推移表!B:B,"952-241000-100")</f>
        <v>0</v>
      </c>
      <c r="BY24">
        <f>sum(j24:an24)</f>
        <v>0</v>
      </c>
    </row>
    <row r="25" spans="1:77">
      <c r="A25" t="s">
        <v>14</v>
      </c>
      <c r="B25" t="s">
        <v>170</v>
      </c>
      <c r="C25" t="s">
        <v>171</v>
      </c>
      <c r="D25" t="s">
        <v>163</v>
      </c>
      <c r="E25">
        <v>1</v>
      </c>
      <c r="F25" t="s">
        <v>172</v>
      </c>
      <c r="H25" t="s">
        <v>165</v>
      </c>
      <c r="I25" t="s">
        <v>166</v>
      </c>
      <c r="K25" t="s">
        <v>20</v>
      </c>
      <c r="L25" t="s">
        <v>37</v>
      </c>
      <c r="M25">
        <f>sumifs(生产物料推移表!m:m,生产物料推移表!L:L,"计划生产",生产物料推移表!B:B,"952-241000-200")</f>
        <v>0</v>
      </c>
      <c r="N25">
        <f>sumifs(生产物料推移表!n:n,生产物料推移表!L:L,"计划生产",生产物料推移表!B:B,"952-241000-200")</f>
        <v>0</v>
      </c>
      <c r="O25">
        <f>sumifs(生产物料推移表!o:o,生产物料推移表!L:L,"计划生产",生产物料推移表!B:B,"952-241000-200")</f>
        <v>0</v>
      </c>
      <c r="P25">
        <f>sumifs(生产物料推移表!p:p,生产物料推移表!L:L,"计划生产",生产物料推移表!B:B,"952-241000-200")</f>
        <v>0</v>
      </c>
      <c r="Q25">
        <f>sumifs(生产物料推移表!q:q,生产物料推移表!L:L,"计划生产",生产物料推移表!B:B,"952-241000-200")</f>
        <v>0</v>
      </c>
      <c r="R25">
        <f>sumifs(生产物料推移表!r:r,生产物料推移表!L:L,"计划生产",生产物料推移表!B:B,"952-241000-200")</f>
        <v>0</v>
      </c>
      <c r="S25">
        <f>sumifs(生产物料推移表!s:s,生产物料推移表!L:L,"计划生产",生产物料推移表!B:B,"952-241000-200")</f>
        <v>0</v>
      </c>
      <c r="T25">
        <f>sumifs(生产物料推移表!t:t,生产物料推移表!L:L,"计划生产",生产物料推移表!B:B,"952-241000-200")</f>
        <v>0</v>
      </c>
      <c r="U25">
        <f>sumifs(生产物料推移表!u:u,生产物料推移表!L:L,"计划生产",生产物料推移表!B:B,"952-241000-200")</f>
        <v>0</v>
      </c>
      <c r="V25">
        <f>sumifs(生产物料推移表!v:v,生产物料推移表!L:L,"计划生产",生产物料推移表!B:B,"952-241000-200")</f>
        <v>0</v>
      </c>
      <c r="W25">
        <f>sumifs(生产物料推移表!w:w,生产物料推移表!L:L,"计划生产",生产物料推移表!B:B,"952-241000-200")</f>
        <v>0</v>
      </c>
      <c r="X25">
        <f>sumifs(生产物料推移表!x:x,生产物料推移表!L:L,"计划生产",生产物料推移表!B:B,"952-241000-200")</f>
        <v>0</v>
      </c>
      <c r="Y25">
        <f>sumifs(生产物料推移表!y:y,生产物料推移表!L:L,"计划生产",生产物料推移表!B:B,"952-241000-200")</f>
        <v>0</v>
      </c>
      <c r="Z25">
        <f>sumifs(生产物料推移表!z:z,生产物料推移表!L:L,"计划生产",生产物料推移表!B:B,"952-241000-200")</f>
        <v>0</v>
      </c>
      <c r="AA25">
        <f>sumifs(生产物料推移表!aa:aa,生产物料推移表!L:L,"计划生产",生产物料推移表!B:B,"952-241000-200")</f>
        <v>0</v>
      </c>
      <c r="AB25">
        <f>sumifs(生产物料推移表!ab:ab,生产物料推移表!L:L,"计划生产",生产物料推移表!B:B,"952-241000-200")</f>
        <v>0</v>
      </c>
      <c r="AC25">
        <f>sumifs(生产物料推移表!ac:ac,生产物料推移表!L:L,"计划生产",生产物料推移表!B:B,"952-241000-200")</f>
        <v>0</v>
      </c>
      <c r="AD25">
        <f>sumifs(生产物料推移表!ad:ad,生产物料推移表!L:L,"计划生产",生产物料推移表!B:B,"952-241000-200")</f>
        <v>0</v>
      </c>
      <c r="AE25">
        <f>sumifs(生产物料推移表!ae:ae,生产物料推移表!L:L,"计划生产",生产物料推移表!B:B,"952-241000-200")</f>
        <v>0</v>
      </c>
      <c r="AF25">
        <f>sumifs(生产物料推移表!af:af,生产物料推移表!L:L,"计划生产",生产物料推移表!B:B,"952-241000-200")</f>
        <v>0</v>
      </c>
      <c r="AG25">
        <f>sumifs(生产物料推移表!ag:ag,生产物料推移表!L:L,"计划生产",生产物料推移表!B:B,"952-241000-200")</f>
        <v>0</v>
      </c>
      <c r="AH25">
        <f>sumifs(生产物料推移表!ah:ah,生产物料推移表!L:L,"计划生产",生产物料推移表!B:B,"952-241000-200")</f>
        <v>0</v>
      </c>
      <c r="AI25">
        <f>sumifs(生产物料推移表!ai:ai,生产物料推移表!L:L,"计划生产",生产物料推移表!B:B,"952-241000-200")</f>
        <v>0</v>
      </c>
      <c r="AJ25">
        <f>sumifs(生产物料推移表!aj:aj,生产物料推移表!L:L,"计划生产",生产物料推移表!B:B,"952-241000-200")</f>
        <v>0</v>
      </c>
      <c r="AK25">
        <f>sumifs(生产物料推移表!ak:ak,生产物料推移表!L:L,"计划生产",生产物料推移表!B:B,"952-241000-200")</f>
        <v>0</v>
      </c>
      <c r="AL25">
        <f>sumifs(生产物料推移表!al:al,生产物料推移表!L:L,"计划生产",生产物料推移表!B:B,"952-241000-200")</f>
        <v>0</v>
      </c>
      <c r="AM25">
        <f>sumifs(生产物料推移表!am:am,生产物料推移表!L:L,"计划生产",生产物料推移表!B:B,"952-241000-200")</f>
        <v>0</v>
      </c>
      <c r="AN25">
        <f>sumifs(生产物料推移表!an:an,生产物料推移表!L:L,"计划生产",生产物料推移表!B:B,"952-241000-200")</f>
        <v>0</v>
      </c>
      <c r="AO25">
        <f>sumifs(生产物料推移表!ao:ao,生产物料推移表!L:L,"计划生产",生产物料推移表!B:B,"952-241000-200")</f>
        <v>0</v>
      </c>
      <c r="AP25">
        <f>sumifs(生产物料推移表!ap:ap,生产物料推移表!L:L,"计划生产",生产物料推移表!B:B,"952-241000-200")</f>
        <v>0</v>
      </c>
      <c r="AQ25">
        <f>sumifs(生产物料推移表!aq:aq,生产物料推移表!L:L,"计划生产",生产物料推移表!B:B,"952-241000-200")</f>
        <v>0</v>
      </c>
      <c r="AR25">
        <f>sumifs(生产物料推移表!ar:ar,生产物料推移表!L:L,"计划生产",生产物料推移表!B:B,"952-241000-200")</f>
        <v>0</v>
      </c>
      <c r="BY25">
        <f>sum(j25:an25)</f>
        <v>0</v>
      </c>
    </row>
    <row r="26" spans="1:77">
      <c r="A26" t="s">
        <v>14</v>
      </c>
      <c r="B26" t="s">
        <v>176</v>
      </c>
      <c r="C26" t="s">
        <v>177</v>
      </c>
      <c r="D26" t="s">
        <v>27</v>
      </c>
      <c r="E26">
        <v>1</v>
      </c>
      <c r="F26" t="s">
        <v>178</v>
      </c>
      <c r="H26" t="s">
        <v>165</v>
      </c>
      <c r="I26" t="s">
        <v>166</v>
      </c>
      <c r="K26" t="s">
        <v>20</v>
      </c>
      <c r="L26" t="s">
        <v>37</v>
      </c>
      <c r="M26">
        <f>sumifs(生产物料推移表!m:m,生产物料推移表!L:L,"计划生产",生产物料推移表!B:B,"952-242000-100")</f>
        <v>0</v>
      </c>
      <c r="N26">
        <f>sumifs(生产物料推移表!n:n,生产物料推移表!L:L,"计划生产",生产物料推移表!B:B,"952-242000-100")</f>
        <v>0</v>
      </c>
      <c r="O26">
        <f>sumifs(生产物料推移表!o:o,生产物料推移表!L:L,"计划生产",生产物料推移表!B:B,"952-242000-100")</f>
        <v>0</v>
      </c>
      <c r="P26">
        <f>sumifs(生产物料推移表!p:p,生产物料推移表!L:L,"计划生产",生产物料推移表!B:B,"952-242000-100")</f>
        <v>0</v>
      </c>
      <c r="Q26">
        <f>sumifs(生产物料推移表!q:q,生产物料推移表!L:L,"计划生产",生产物料推移表!B:B,"952-242000-100")</f>
        <v>0</v>
      </c>
      <c r="R26">
        <f>sumifs(生产物料推移表!r:r,生产物料推移表!L:L,"计划生产",生产物料推移表!B:B,"952-242000-100")</f>
        <v>0</v>
      </c>
      <c r="S26">
        <f>sumifs(生产物料推移表!s:s,生产物料推移表!L:L,"计划生产",生产物料推移表!B:B,"952-242000-100")</f>
        <v>0</v>
      </c>
      <c r="T26">
        <f>sumifs(生产物料推移表!t:t,生产物料推移表!L:L,"计划生产",生产物料推移表!B:B,"952-242000-100")</f>
        <v>0</v>
      </c>
      <c r="U26">
        <f>sumifs(生产物料推移表!u:u,生产物料推移表!L:L,"计划生产",生产物料推移表!B:B,"952-242000-100")</f>
        <v>0</v>
      </c>
      <c r="V26">
        <f>sumifs(生产物料推移表!v:v,生产物料推移表!L:L,"计划生产",生产物料推移表!B:B,"952-242000-100")</f>
        <v>0</v>
      </c>
      <c r="W26">
        <f>sumifs(生产物料推移表!w:w,生产物料推移表!L:L,"计划生产",生产物料推移表!B:B,"952-242000-100")</f>
        <v>0</v>
      </c>
      <c r="X26">
        <f>sumifs(生产物料推移表!x:x,生产物料推移表!L:L,"计划生产",生产物料推移表!B:B,"952-242000-100")</f>
        <v>0</v>
      </c>
      <c r="Y26">
        <f>sumifs(生产物料推移表!y:y,生产物料推移表!L:L,"计划生产",生产物料推移表!B:B,"952-242000-100")</f>
        <v>0</v>
      </c>
      <c r="Z26">
        <f>sumifs(生产物料推移表!z:z,生产物料推移表!L:L,"计划生产",生产物料推移表!B:B,"952-242000-100")</f>
        <v>0</v>
      </c>
      <c r="AA26">
        <f>sumifs(生产物料推移表!aa:aa,生产物料推移表!L:L,"计划生产",生产物料推移表!B:B,"952-242000-100")</f>
        <v>0</v>
      </c>
      <c r="AB26">
        <f>sumifs(生产物料推移表!ab:ab,生产物料推移表!L:L,"计划生产",生产物料推移表!B:B,"952-242000-100")</f>
        <v>0</v>
      </c>
      <c r="AC26">
        <f>sumifs(生产物料推移表!ac:ac,生产物料推移表!L:L,"计划生产",生产物料推移表!B:B,"952-242000-100")</f>
        <v>0</v>
      </c>
      <c r="AD26">
        <f>sumifs(生产物料推移表!ad:ad,生产物料推移表!L:L,"计划生产",生产物料推移表!B:B,"952-242000-100")</f>
        <v>0</v>
      </c>
      <c r="AE26">
        <f>sumifs(生产物料推移表!ae:ae,生产物料推移表!L:L,"计划生产",生产物料推移表!B:B,"952-242000-100")</f>
        <v>0</v>
      </c>
      <c r="AF26">
        <f>sumifs(生产物料推移表!af:af,生产物料推移表!L:L,"计划生产",生产物料推移表!B:B,"952-242000-100")</f>
        <v>0</v>
      </c>
      <c r="AG26">
        <f>sumifs(生产物料推移表!ag:ag,生产物料推移表!L:L,"计划生产",生产物料推移表!B:B,"952-242000-100")</f>
        <v>0</v>
      </c>
      <c r="AH26">
        <f>sumifs(生产物料推移表!ah:ah,生产物料推移表!L:L,"计划生产",生产物料推移表!B:B,"952-242000-100")</f>
        <v>0</v>
      </c>
      <c r="AI26">
        <f>sumifs(生产物料推移表!ai:ai,生产物料推移表!L:L,"计划生产",生产物料推移表!B:B,"952-242000-100")</f>
        <v>0</v>
      </c>
      <c r="AJ26">
        <f>sumifs(生产物料推移表!aj:aj,生产物料推移表!L:L,"计划生产",生产物料推移表!B:B,"952-242000-100")</f>
        <v>0</v>
      </c>
      <c r="AK26">
        <f>sumifs(生产物料推移表!ak:ak,生产物料推移表!L:L,"计划生产",生产物料推移表!B:B,"952-242000-100")</f>
        <v>0</v>
      </c>
      <c r="AL26">
        <f>sumifs(生产物料推移表!al:al,生产物料推移表!L:L,"计划生产",生产物料推移表!B:B,"952-242000-100")</f>
        <v>0</v>
      </c>
      <c r="AM26">
        <f>sumifs(生产物料推移表!am:am,生产物料推移表!L:L,"计划生产",生产物料推移表!B:B,"952-242000-100")</f>
        <v>0</v>
      </c>
      <c r="AN26">
        <f>sumifs(生产物料推移表!an:an,生产物料推移表!L:L,"计划生产",生产物料推移表!B:B,"952-242000-100")</f>
        <v>0</v>
      </c>
      <c r="AO26">
        <f>sumifs(生产物料推移表!ao:ao,生产物料推移表!L:L,"计划生产",生产物料推移表!B:B,"952-242000-100")</f>
        <v>0</v>
      </c>
      <c r="AP26">
        <f>sumifs(生产物料推移表!ap:ap,生产物料推移表!L:L,"计划生产",生产物料推移表!B:B,"952-242000-100")</f>
        <v>0</v>
      </c>
      <c r="AQ26">
        <f>sumifs(生产物料推移表!aq:aq,生产物料推移表!L:L,"计划生产",生产物料推移表!B:B,"952-242000-100")</f>
        <v>0</v>
      </c>
      <c r="AR26">
        <f>sumifs(生产物料推移表!ar:ar,生产物料推移表!L:L,"计划生产",生产物料推移表!B:B,"952-242000-100")</f>
        <v>0</v>
      </c>
      <c r="BY26">
        <f>sum(j26:an26)</f>
        <v>0</v>
      </c>
    </row>
    <row r="27" spans="1:77">
      <c r="A27" t="s">
        <v>14</v>
      </c>
      <c r="B27" t="s">
        <v>182</v>
      </c>
      <c r="C27" t="s">
        <v>183</v>
      </c>
      <c r="D27" t="s">
        <v>27</v>
      </c>
      <c r="E27">
        <v>1</v>
      </c>
      <c r="F27" t="s">
        <v>184</v>
      </c>
      <c r="H27" t="s">
        <v>165</v>
      </c>
      <c r="I27" t="s">
        <v>166</v>
      </c>
      <c r="K27" t="s">
        <v>20</v>
      </c>
      <c r="L27" t="s">
        <v>37</v>
      </c>
      <c r="M27">
        <f>sumifs(生产物料推移表!m:m,生产物料推移表!L:L,"计划生产",生产物料推移表!B:B,"952-242000-200")</f>
        <v>0</v>
      </c>
      <c r="N27">
        <f>sumifs(生产物料推移表!n:n,生产物料推移表!L:L,"计划生产",生产物料推移表!B:B,"952-242000-200")</f>
        <v>0</v>
      </c>
      <c r="O27">
        <f>sumifs(生产物料推移表!o:o,生产物料推移表!L:L,"计划生产",生产物料推移表!B:B,"952-242000-200")</f>
        <v>0</v>
      </c>
      <c r="P27">
        <f>sumifs(生产物料推移表!p:p,生产物料推移表!L:L,"计划生产",生产物料推移表!B:B,"952-242000-200")</f>
        <v>0</v>
      </c>
      <c r="Q27">
        <f>sumifs(生产物料推移表!q:q,生产物料推移表!L:L,"计划生产",生产物料推移表!B:B,"952-242000-200")</f>
        <v>0</v>
      </c>
      <c r="R27">
        <f>sumifs(生产物料推移表!r:r,生产物料推移表!L:L,"计划生产",生产物料推移表!B:B,"952-242000-200")</f>
        <v>0</v>
      </c>
      <c r="S27">
        <f>sumifs(生产物料推移表!s:s,生产物料推移表!L:L,"计划生产",生产物料推移表!B:B,"952-242000-200")</f>
        <v>0</v>
      </c>
      <c r="T27">
        <f>sumifs(生产物料推移表!t:t,生产物料推移表!L:L,"计划生产",生产物料推移表!B:B,"952-242000-200")</f>
        <v>0</v>
      </c>
      <c r="U27">
        <f>sumifs(生产物料推移表!u:u,生产物料推移表!L:L,"计划生产",生产物料推移表!B:B,"952-242000-200")</f>
        <v>0</v>
      </c>
      <c r="V27">
        <f>sumifs(生产物料推移表!v:v,生产物料推移表!L:L,"计划生产",生产物料推移表!B:B,"952-242000-200")</f>
        <v>0</v>
      </c>
      <c r="W27">
        <f>sumifs(生产物料推移表!w:w,生产物料推移表!L:L,"计划生产",生产物料推移表!B:B,"952-242000-200")</f>
        <v>0</v>
      </c>
      <c r="X27">
        <f>sumifs(生产物料推移表!x:x,生产物料推移表!L:L,"计划生产",生产物料推移表!B:B,"952-242000-200")</f>
        <v>0</v>
      </c>
      <c r="Y27">
        <f>sumifs(生产物料推移表!y:y,生产物料推移表!L:L,"计划生产",生产物料推移表!B:B,"952-242000-200")</f>
        <v>0</v>
      </c>
      <c r="Z27">
        <f>sumifs(生产物料推移表!z:z,生产物料推移表!L:L,"计划生产",生产物料推移表!B:B,"952-242000-200")</f>
        <v>0</v>
      </c>
      <c r="AA27">
        <f>sumifs(生产物料推移表!aa:aa,生产物料推移表!L:L,"计划生产",生产物料推移表!B:B,"952-242000-200")</f>
        <v>0</v>
      </c>
      <c r="AB27">
        <f>sumifs(生产物料推移表!ab:ab,生产物料推移表!L:L,"计划生产",生产物料推移表!B:B,"952-242000-200")</f>
        <v>0</v>
      </c>
      <c r="AC27">
        <f>sumifs(生产物料推移表!ac:ac,生产物料推移表!L:L,"计划生产",生产物料推移表!B:B,"952-242000-200")</f>
        <v>0</v>
      </c>
      <c r="AD27">
        <f>sumifs(生产物料推移表!ad:ad,生产物料推移表!L:L,"计划生产",生产物料推移表!B:B,"952-242000-200")</f>
        <v>0</v>
      </c>
      <c r="AE27">
        <f>sumifs(生产物料推移表!ae:ae,生产物料推移表!L:L,"计划生产",生产物料推移表!B:B,"952-242000-200")</f>
        <v>0</v>
      </c>
      <c r="AF27">
        <f>sumifs(生产物料推移表!af:af,生产物料推移表!L:L,"计划生产",生产物料推移表!B:B,"952-242000-200")</f>
        <v>0</v>
      </c>
      <c r="AG27">
        <f>sumifs(生产物料推移表!ag:ag,生产物料推移表!L:L,"计划生产",生产物料推移表!B:B,"952-242000-200")</f>
        <v>0</v>
      </c>
      <c r="AH27">
        <f>sumifs(生产物料推移表!ah:ah,生产物料推移表!L:L,"计划生产",生产物料推移表!B:B,"952-242000-200")</f>
        <v>0</v>
      </c>
      <c r="AI27">
        <f>sumifs(生产物料推移表!ai:ai,生产物料推移表!L:L,"计划生产",生产物料推移表!B:B,"952-242000-200")</f>
        <v>0</v>
      </c>
      <c r="AJ27">
        <f>sumifs(生产物料推移表!aj:aj,生产物料推移表!L:L,"计划生产",生产物料推移表!B:B,"952-242000-200")</f>
        <v>0</v>
      </c>
      <c r="AK27">
        <f>sumifs(生产物料推移表!ak:ak,生产物料推移表!L:L,"计划生产",生产物料推移表!B:B,"952-242000-200")</f>
        <v>0</v>
      </c>
      <c r="AL27">
        <f>sumifs(生产物料推移表!al:al,生产物料推移表!L:L,"计划生产",生产物料推移表!B:B,"952-242000-200")</f>
        <v>0</v>
      </c>
      <c r="AM27">
        <f>sumifs(生产物料推移表!am:am,生产物料推移表!L:L,"计划生产",生产物料推移表!B:B,"952-242000-200")</f>
        <v>0</v>
      </c>
      <c r="AN27">
        <f>sumifs(生产物料推移表!an:an,生产物料推移表!L:L,"计划生产",生产物料推移表!B:B,"952-242000-200")</f>
        <v>0</v>
      </c>
      <c r="AO27">
        <f>sumifs(生产物料推移表!ao:ao,生产物料推移表!L:L,"计划生产",生产物料推移表!B:B,"952-242000-200")</f>
        <v>0</v>
      </c>
      <c r="AP27">
        <f>sumifs(生产物料推移表!ap:ap,生产物料推移表!L:L,"计划生产",生产物料推移表!B:B,"952-242000-200")</f>
        <v>0</v>
      </c>
      <c r="AQ27">
        <f>sumifs(生产物料推移表!aq:aq,生产物料推移表!L:L,"计划生产",生产物料推移表!B:B,"952-242000-200")</f>
        <v>0</v>
      </c>
      <c r="AR27">
        <f>sumifs(生产物料推移表!ar:ar,生产物料推移表!L:L,"计划生产",生产物料推移表!B:B,"952-242000-200")</f>
        <v>0</v>
      </c>
      <c r="BY27">
        <f>sum(j27:an27)</f>
        <v>0</v>
      </c>
    </row>
    <row r="28" spans="1:77">
      <c r="A28" t="s">
        <v>14</v>
      </c>
      <c r="B28" t="s">
        <v>188</v>
      </c>
      <c r="C28" t="s">
        <v>189</v>
      </c>
      <c r="D28" t="s">
        <v>27</v>
      </c>
      <c r="E28">
        <v>1</v>
      </c>
      <c r="F28" t="s">
        <v>190</v>
      </c>
      <c r="H28" t="s">
        <v>191</v>
      </c>
      <c r="I28">
        <v>40</v>
      </c>
      <c r="K28" t="s">
        <v>20</v>
      </c>
      <c r="L28" t="s">
        <v>37</v>
      </c>
      <c r="M28">
        <f>sumifs(生产物料推移表!m:m,生产物料推移表!L:L,"计划生产",生产物料推移表!B:B,"952-234000-100")</f>
        <v>0</v>
      </c>
      <c r="N28">
        <f>sumifs(生产物料推移表!n:n,生产物料推移表!L:L,"计划生产",生产物料推移表!B:B,"952-234000-100")</f>
        <v>0</v>
      </c>
      <c r="O28">
        <f>sumifs(生产物料推移表!o:o,生产物料推移表!L:L,"计划生产",生产物料推移表!B:B,"952-234000-100")</f>
        <v>0</v>
      </c>
      <c r="P28">
        <f>sumifs(生产物料推移表!p:p,生产物料推移表!L:L,"计划生产",生产物料推移表!B:B,"952-234000-100")</f>
        <v>0</v>
      </c>
      <c r="Q28">
        <f>sumifs(生产物料推移表!q:q,生产物料推移表!L:L,"计划生产",生产物料推移表!B:B,"952-234000-100")</f>
        <v>0</v>
      </c>
      <c r="R28">
        <f>sumifs(生产物料推移表!r:r,生产物料推移表!L:L,"计划生产",生产物料推移表!B:B,"952-234000-100")</f>
        <v>0</v>
      </c>
      <c r="S28">
        <f>sumifs(生产物料推移表!s:s,生产物料推移表!L:L,"计划生产",生产物料推移表!B:B,"952-234000-100")</f>
        <v>0</v>
      </c>
      <c r="T28">
        <f>sumifs(生产物料推移表!t:t,生产物料推移表!L:L,"计划生产",生产物料推移表!B:B,"952-234000-100")</f>
        <v>0</v>
      </c>
      <c r="U28">
        <f>sumifs(生产物料推移表!u:u,生产物料推移表!L:L,"计划生产",生产物料推移表!B:B,"952-234000-100")</f>
        <v>0</v>
      </c>
      <c r="V28">
        <f>sumifs(生产物料推移表!v:v,生产物料推移表!L:L,"计划生产",生产物料推移表!B:B,"952-234000-100")</f>
        <v>0</v>
      </c>
      <c r="W28">
        <f>sumifs(生产物料推移表!w:w,生产物料推移表!L:L,"计划生产",生产物料推移表!B:B,"952-234000-100")</f>
        <v>0</v>
      </c>
      <c r="X28">
        <f>sumifs(生产物料推移表!x:x,生产物料推移表!L:L,"计划生产",生产物料推移表!B:B,"952-234000-100")</f>
        <v>0</v>
      </c>
      <c r="Y28">
        <f>sumifs(生产物料推移表!y:y,生产物料推移表!L:L,"计划生产",生产物料推移表!B:B,"952-234000-100")</f>
        <v>0</v>
      </c>
      <c r="Z28">
        <f>sumifs(生产物料推移表!z:z,生产物料推移表!L:L,"计划生产",生产物料推移表!B:B,"952-234000-100")</f>
        <v>0</v>
      </c>
      <c r="AA28">
        <f>sumifs(生产物料推移表!aa:aa,生产物料推移表!L:L,"计划生产",生产物料推移表!B:B,"952-234000-100")</f>
        <v>0</v>
      </c>
      <c r="AB28">
        <f>sumifs(生产物料推移表!ab:ab,生产物料推移表!L:L,"计划生产",生产物料推移表!B:B,"952-234000-100")</f>
        <v>0</v>
      </c>
      <c r="AC28">
        <f>sumifs(生产物料推移表!ac:ac,生产物料推移表!L:L,"计划生产",生产物料推移表!B:B,"952-234000-100")</f>
        <v>0</v>
      </c>
      <c r="AD28">
        <f>sumifs(生产物料推移表!ad:ad,生产物料推移表!L:L,"计划生产",生产物料推移表!B:B,"952-234000-100")</f>
        <v>0</v>
      </c>
      <c r="AE28">
        <f>sumifs(生产物料推移表!ae:ae,生产物料推移表!L:L,"计划生产",生产物料推移表!B:B,"952-234000-100")</f>
        <v>0</v>
      </c>
      <c r="AF28">
        <f>sumifs(生产物料推移表!af:af,生产物料推移表!L:L,"计划生产",生产物料推移表!B:B,"952-234000-100")</f>
        <v>0</v>
      </c>
      <c r="AG28">
        <f>sumifs(生产物料推移表!ag:ag,生产物料推移表!L:L,"计划生产",生产物料推移表!B:B,"952-234000-100")</f>
        <v>0</v>
      </c>
      <c r="AH28">
        <f>sumifs(生产物料推移表!ah:ah,生产物料推移表!L:L,"计划生产",生产物料推移表!B:B,"952-234000-100")</f>
        <v>0</v>
      </c>
      <c r="AI28">
        <f>sumifs(生产物料推移表!ai:ai,生产物料推移表!L:L,"计划生产",生产物料推移表!B:B,"952-234000-100")</f>
        <v>0</v>
      </c>
      <c r="AJ28">
        <f>sumifs(生产物料推移表!aj:aj,生产物料推移表!L:L,"计划生产",生产物料推移表!B:B,"952-234000-100")</f>
        <v>0</v>
      </c>
      <c r="AK28">
        <f>sumifs(生产物料推移表!ak:ak,生产物料推移表!L:L,"计划生产",生产物料推移表!B:B,"952-234000-100")</f>
        <v>0</v>
      </c>
      <c r="AL28">
        <f>sumifs(生产物料推移表!al:al,生产物料推移表!L:L,"计划生产",生产物料推移表!B:B,"952-234000-100")</f>
        <v>0</v>
      </c>
      <c r="AM28">
        <f>sumifs(生产物料推移表!am:am,生产物料推移表!L:L,"计划生产",生产物料推移表!B:B,"952-234000-100")</f>
        <v>0</v>
      </c>
      <c r="AN28">
        <f>sumifs(生产物料推移表!an:an,生产物料推移表!L:L,"计划生产",生产物料推移表!B:B,"952-234000-100")</f>
        <v>0</v>
      </c>
      <c r="AO28">
        <f>sumifs(生产物料推移表!ao:ao,生产物料推移表!L:L,"计划生产",生产物料推移表!B:B,"952-234000-100")</f>
        <v>0</v>
      </c>
      <c r="AP28">
        <f>sumifs(生产物料推移表!ap:ap,生产物料推移表!L:L,"计划生产",生产物料推移表!B:B,"952-234000-100")</f>
        <v>0</v>
      </c>
      <c r="AQ28">
        <f>sumifs(生产物料推移表!aq:aq,生产物料推移表!L:L,"计划生产",生产物料推移表!B:B,"952-234000-100")</f>
        <v>0</v>
      </c>
      <c r="AR28">
        <f>sumifs(生产物料推移表!ar:ar,生产物料推移表!L:L,"计划生产",生产物料推移表!B:B,"952-234000-100")</f>
        <v>0</v>
      </c>
      <c r="BY28">
        <f>sum(j28:an28)</f>
        <v>0</v>
      </c>
    </row>
    <row r="29" spans="1:77">
      <c r="A29" t="s">
        <v>14</v>
      </c>
      <c r="B29" t="s">
        <v>201</v>
      </c>
      <c r="C29" t="s">
        <v>202</v>
      </c>
      <c r="D29" t="s">
        <v>17</v>
      </c>
      <c r="E29">
        <v>1</v>
      </c>
      <c r="F29" t="s">
        <v>203</v>
      </c>
      <c r="H29" t="s">
        <v>204</v>
      </c>
      <c r="I29" t="s">
        <v>91</v>
      </c>
      <c r="K29" t="s">
        <v>20</v>
      </c>
      <c r="L29" t="s">
        <v>37</v>
      </c>
      <c r="M29">
        <f>sumifs(生产物料推移表!m:m,生产物料推移表!L:L,"计划生产",生产物料推移表!B:B,"952-236000-100")</f>
        <v>0</v>
      </c>
      <c r="N29">
        <f>sumifs(生产物料推移表!n:n,生产物料推移表!L:L,"计划生产",生产物料推移表!B:B,"952-236000-100")</f>
        <v>0</v>
      </c>
      <c r="O29">
        <f>sumifs(生产物料推移表!o:o,生产物料推移表!L:L,"计划生产",生产物料推移表!B:B,"952-236000-100")</f>
        <v>0</v>
      </c>
      <c r="P29">
        <f>sumifs(生产物料推移表!p:p,生产物料推移表!L:L,"计划生产",生产物料推移表!B:B,"952-236000-100")</f>
        <v>0</v>
      </c>
      <c r="Q29">
        <f>sumifs(生产物料推移表!q:q,生产物料推移表!L:L,"计划生产",生产物料推移表!B:B,"952-236000-100")</f>
        <v>0</v>
      </c>
      <c r="R29">
        <f>sumifs(生产物料推移表!r:r,生产物料推移表!L:L,"计划生产",生产物料推移表!B:B,"952-236000-100")</f>
        <v>0</v>
      </c>
      <c r="S29">
        <f>sumifs(生产物料推移表!s:s,生产物料推移表!L:L,"计划生产",生产物料推移表!B:B,"952-236000-100")</f>
        <v>0</v>
      </c>
      <c r="T29">
        <f>sumifs(生产物料推移表!t:t,生产物料推移表!L:L,"计划生产",生产物料推移表!B:B,"952-236000-100")</f>
        <v>0</v>
      </c>
      <c r="U29">
        <f>sumifs(生产物料推移表!u:u,生产物料推移表!L:L,"计划生产",生产物料推移表!B:B,"952-236000-100")</f>
        <v>0</v>
      </c>
      <c r="V29">
        <f>sumifs(生产物料推移表!v:v,生产物料推移表!L:L,"计划生产",生产物料推移表!B:B,"952-236000-100")</f>
        <v>0</v>
      </c>
      <c r="W29">
        <f>sumifs(生产物料推移表!w:w,生产物料推移表!L:L,"计划生产",生产物料推移表!B:B,"952-236000-100")</f>
        <v>0</v>
      </c>
      <c r="X29">
        <f>sumifs(生产物料推移表!x:x,生产物料推移表!L:L,"计划生产",生产物料推移表!B:B,"952-236000-100")</f>
        <v>0</v>
      </c>
      <c r="Y29">
        <f>sumifs(生产物料推移表!y:y,生产物料推移表!L:L,"计划生产",生产物料推移表!B:B,"952-236000-100")</f>
        <v>0</v>
      </c>
      <c r="Z29">
        <f>sumifs(生产物料推移表!z:z,生产物料推移表!L:L,"计划生产",生产物料推移表!B:B,"952-236000-100")</f>
        <v>0</v>
      </c>
      <c r="AA29">
        <f>sumifs(生产物料推移表!aa:aa,生产物料推移表!L:L,"计划生产",生产物料推移表!B:B,"952-236000-100")</f>
        <v>0</v>
      </c>
      <c r="AB29">
        <f>sumifs(生产物料推移表!ab:ab,生产物料推移表!L:L,"计划生产",生产物料推移表!B:B,"952-236000-100")</f>
        <v>0</v>
      </c>
      <c r="AC29">
        <f>sumifs(生产物料推移表!ac:ac,生产物料推移表!L:L,"计划生产",生产物料推移表!B:B,"952-236000-100")</f>
        <v>0</v>
      </c>
      <c r="AD29">
        <f>sumifs(生产物料推移表!ad:ad,生产物料推移表!L:L,"计划生产",生产物料推移表!B:B,"952-236000-100")</f>
        <v>0</v>
      </c>
      <c r="AE29">
        <f>sumifs(生产物料推移表!ae:ae,生产物料推移表!L:L,"计划生产",生产物料推移表!B:B,"952-236000-100")</f>
        <v>0</v>
      </c>
      <c r="AF29">
        <f>sumifs(生产物料推移表!af:af,生产物料推移表!L:L,"计划生产",生产物料推移表!B:B,"952-236000-100")</f>
        <v>0</v>
      </c>
      <c r="AG29">
        <f>sumifs(生产物料推移表!ag:ag,生产物料推移表!L:L,"计划生产",生产物料推移表!B:B,"952-236000-100")</f>
        <v>0</v>
      </c>
      <c r="AH29">
        <f>sumifs(生产物料推移表!ah:ah,生产物料推移表!L:L,"计划生产",生产物料推移表!B:B,"952-236000-100")</f>
        <v>0</v>
      </c>
      <c r="AI29">
        <f>sumifs(生产物料推移表!ai:ai,生产物料推移表!L:L,"计划生产",生产物料推移表!B:B,"952-236000-100")</f>
        <v>0</v>
      </c>
      <c r="AJ29">
        <f>sumifs(生产物料推移表!aj:aj,生产物料推移表!L:L,"计划生产",生产物料推移表!B:B,"952-236000-100")</f>
        <v>0</v>
      </c>
      <c r="AK29">
        <f>sumifs(生产物料推移表!ak:ak,生产物料推移表!L:L,"计划生产",生产物料推移表!B:B,"952-236000-100")</f>
        <v>0</v>
      </c>
      <c r="AL29">
        <f>sumifs(生产物料推移表!al:al,生产物料推移表!L:L,"计划生产",生产物料推移表!B:B,"952-236000-100")</f>
        <v>0</v>
      </c>
      <c r="AM29">
        <f>sumifs(生产物料推移表!am:am,生产物料推移表!L:L,"计划生产",生产物料推移表!B:B,"952-236000-100")</f>
        <v>0</v>
      </c>
      <c r="AN29">
        <f>sumifs(生产物料推移表!an:an,生产物料推移表!L:L,"计划生产",生产物料推移表!B:B,"952-236000-100")</f>
        <v>0</v>
      </c>
      <c r="AO29">
        <f>sumifs(生产物料推移表!ao:ao,生产物料推移表!L:L,"计划生产",生产物料推移表!B:B,"952-236000-100")</f>
        <v>0</v>
      </c>
      <c r="AP29">
        <f>sumifs(生产物料推移表!ap:ap,生产物料推移表!L:L,"计划生产",生产物料推移表!B:B,"952-236000-100")</f>
        <v>0</v>
      </c>
      <c r="AQ29">
        <f>sumifs(生产物料推移表!aq:aq,生产物料推移表!L:L,"计划生产",生产物料推移表!B:B,"952-236000-100")</f>
        <v>0</v>
      </c>
      <c r="AR29">
        <f>sumifs(生产物料推移表!ar:ar,生产物料推移表!L:L,"计划生产",生产物料推移表!B:B,"952-236000-100")</f>
        <v>0</v>
      </c>
      <c r="BY29">
        <f>sum(j29:an29)</f>
        <v>0</v>
      </c>
    </row>
    <row r="30" spans="1:77">
      <c r="A30" t="s">
        <v>14</v>
      </c>
      <c r="B30" t="s">
        <v>205</v>
      </c>
      <c r="C30" t="s">
        <v>206</v>
      </c>
      <c r="D30" t="s">
        <v>27</v>
      </c>
      <c r="E30">
        <v>1</v>
      </c>
      <c r="F30" t="s">
        <v>207</v>
      </c>
      <c r="H30" t="s">
        <v>208</v>
      </c>
      <c r="I30" t="s">
        <v>91</v>
      </c>
      <c r="K30" t="s">
        <v>20</v>
      </c>
      <c r="L30" t="s">
        <v>37</v>
      </c>
      <c r="M30">
        <f>sumifs(生产物料推移表!m:m,生产物料推移表!L:L,"计划生产",生产物料推移表!B:B,"952-237000-100")</f>
        <v>0</v>
      </c>
      <c r="N30">
        <f>sumifs(生产物料推移表!n:n,生产物料推移表!L:L,"计划生产",生产物料推移表!B:B,"952-237000-100")</f>
        <v>0</v>
      </c>
      <c r="O30">
        <f>sumifs(生产物料推移表!o:o,生产物料推移表!L:L,"计划生产",生产物料推移表!B:B,"952-237000-100")</f>
        <v>0</v>
      </c>
      <c r="P30">
        <f>sumifs(生产物料推移表!p:p,生产物料推移表!L:L,"计划生产",生产物料推移表!B:B,"952-237000-100")</f>
        <v>0</v>
      </c>
      <c r="Q30">
        <f>sumifs(生产物料推移表!q:q,生产物料推移表!L:L,"计划生产",生产物料推移表!B:B,"952-237000-100")</f>
        <v>0</v>
      </c>
      <c r="R30">
        <f>sumifs(生产物料推移表!r:r,生产物料推移表!L:L,"计划生产",生产物料推移表!B:B,"952-237000-100")</f>
        <v>0</v>
      </c>
      <c r="S30">
        <f>sumifs(生产物料推移表!s:s,生产物料推移表!L:L,"计划生产",生产物料推移表!B:B,"952-237000-100")</f>
        <v>0</v>
      </c>
      <c r="T30">
        <f>sumifs(生产物料推移表!t:t,生产物料推移表!L:L,"计划生产",生产物料推移表!B:B,"952-237000-100")</f>
        <v>0</v>
      </c>
      <c r="U30">
        <f>sumifs(生产物料推移表!u:u,生产物料推移表!L:L,"计划生产",生产物料推移表!B:B,"952-237000-100")</f>
        <v>0</v>
      </c>
      <c r="V30">
        <f>sumifs(生产物料推移表!v:v,生产物料推移表!L:L,"计划生产",生产物料推移表!B:B,"952-237000-100")</f>
        <v>0</v>
      </c>
      <c r="W30">
        <f>sumifs(生产物料推移表!w:w,生产物料推移表!L:L,"计划生产",生产物料推移表!B:B,"952-237000-100")</f>
        <v>0</v>
      </c>
      <c r="X30">
        <f>sumifs(生产物料推移表!x:x,生产物料推移表!L:L,"计划生产",生产物料推移表!B:B,"952-237000-100")</f>
        <v>0</v>
      </c>
      <c r="Y30">
        <f>sumifs(生产物料推移表!y:y,生产物料推移表!L:L,"计划生产",生产物料推移表!B:B,"952-237000-100")</f>
        <v>0</v>
      </c>
      <c r="Z30">
        <f>sumifs(生产物料推移表!z:z,生产物料推移表!L:L,"计划生产",生产物料推移表!B:B,"952-237000-100")</f>
        <v>0</v>
      </c>
      <c r="AA30">
        <f>sumifs(生产物料推移表!aa:aa,生产物料推移表!L:L,"计划生产",生产物料推移表!B:B,"952-237000-100")</f>
        <v>0</v>
      </c>
      <c r="AB30">
        <f>sumifs(生产物料推移表!ab:ab,生产物料推移表!L:L,"计划生产",生产物料推移表!B:B,"952-237000-100")</f>
        <v>0</v>
      </c>
      <c r="AC30">
        <f>sumifs(生产物料推移表!ac:ac,生产物料推移表!L:L,"计划生产",生产物料推移表!B:B,"952-237000-100")</f>
        <v>0</v>
      </c>
      <c r="AD30">
        <f>sumifs(生产物料推移表!ad:ad,生产物料推移表!L:L,"计划生产",生产物料推移表!B:B,"952-237000-100")</f>
        <v>0</v>
      </c>
      <c r="AE30">
        <f>sumifs(生产物料推移表!ae:ae,生产物料推移表!L:L,"计划生产",生产物料推移表!B:B,"952-237000-100")</f>
        <v>0</v>
      </c>
      <c r="AF30">
        <f>sumifs(生产物料推移表!af:af,生产物料推移表!L:L,"计划生产",生产物料推移表!B:B,"952-237000-100")</f>
        <v>0</v>
      </c>
      <c r="AG30">
        <f>sumifs(生产物料推移表!ag:ag,生产物料推移表!L:L,"计划生产",生产物料推移表!B:B,"952-237000-100")</f>
        <v>0</v>
      </c>
      <c r="AH30">
        <f>sumifs(生产物料推移表!ah:ah,生产物料推移表!L:L,"计划生产",生产物料推移表!B:B,"952-237000-100")</f>
        <v>0</v>
      </c>
      <c r="AI30">
        <f>sumifs(生产物料推移表!ai:ai,生产物料推移表!L:L,"计划生产",生产物料推移表!B:B,"952-237000-100")</f>
        <v>0</v>
      </c>
      <c r="AJ30">
        <f>sumifs(生产物料推移表!aj:aj,生产物料推移表!L:L,"计划生产",生产物料推移表!B:B,"952-237000-100")</f>
        <v>0</v>
      </c>
      <c r="AK30">
        <f>sumifs(生产物料推移表!ak:ak,生产物料推移表!L:L,"计划生产",生产物料推移表!B:B,"952-237000-100")</f>
        <v>0</v>
      </c>
      <c r="AL30">
        <f>sumifs(生产物料推移表!al:al,生产物料推移表!L:L,"计划生产",生产物料推移表!B:B,"952-237000-100")</f>
        <v>0</v>
      </c>
      <c r="AM30">
        <f>sumifs(生产物料推移表!am:am,生产物料推移表!L:L,"计划生产",生产物料推移表!B:B,"952-237000-100")</f>
        <v>0</v>
      </c>
      <c r="AN30">
        <f>sumifs(生产物料推移表!an:an,生产物料推移表!L:L,"计划生产",生产物料推移表!B:B,"952-237000-100")</f>
        <v>0</v>
      </c>
      <c r="AO30">
        <f>sumifs(生产物料推移表!ao:ao,生产物料推移表!L:L,"计划生产",生产物料推移表!B:B,"952-237000-100")</f>
        <v>0</v>
      </c>
      <c r="AP30">
        <f>sumifs(生产物料推移表!ap:ap,生产物料推移表!L:L,"计划生产",生产物料推移表!B:B,"952-237000-100")</f>
        <v>0</v>
      </c>
      <c r="AQ30">
        <f>sumifs(生产物料推移表!aq:aq,生产物料推移表!L:L,"计划生产",生产物料推移表!B:B,"952-237000-100")</f>
        <v>0</v>
      </c>
      <c r="AR30">
        <f>sumifs(生产物料推移表!ar:ar,生产物料推移表!L:L,"计划生产",生产物料推移表!B:B,"952-237000-100")</f>
        <v>0</v>
      </c>
      <c r="BY30">
        <f>sum(j30:an30)</f>
        <v>0</v>
      </c>
    </row>
    <row r="31" spans="1:77">
      <c r="A31" t="s">
        <v>14</v>
      </c>
      <c r="B31" t="s">
        <v>212</v>
      </c>
      <c r="C31" t="s">
        <v>213</v>
      </c>
      <c r="D31" t="s">
        <v>27</v>
      </c>
      <c r="E31">
        <v>1</v>
      </c>
      <c r="F31" t="s">
        <v>214</v>
      </c>
      <c r="H31" t="s">
        <v>215</v>
      </c>
      <c r="I31" t="s">
        <v>91</v>
      </c>
      <c r="K31" t="s">
        <v>20</v>
      </c>
      <c r="L31" t="s">
        <v>37</v>
      </c>
      <c r="M31">
        <f>sumifs(生产物料推移表!m:m,生产物料推移表!L:L,"计划生产",生产物料推移表!B:B,"952-237000-200")</f>
        <v>0</v>
      </c>
      <c r="N31">
        <f>sumifs(生产物料推移表!n:n,生产物料推移表!L:L,"计划生产",生产物料推移表!B:B,"952-237000-200")</f>
        <v>0</v>
      </c>
      <c r="O31">
        <f>sumifs(生产物料推移表!o:o,生产物料推移表!L:L,"计划生产",生产物料推移表!B:B,"952-237000-200")</f>
        <v>0</v>
      </c>
      <c r="P31">
        <f>sumifs(生产物料推移表!p:p,生产物料推移表!L:L,"计划生产",生产物料推移表!B:B,"952-237000-200")</f>
        <v>0</v>
      </c>
      <c r="Q31">
        <f>sumifs(生产物料推移表!q:q,生产物料推移表!L:L,"计划生产",生产物料推移表!B:B,"952-237000-200")</f>
        <v>0</v>
      </c>
      <c r="R31">
        <f>sumifs(生产物料推移表!r:r,生产物料推移表!L:L,"计划生产",生产物料推移表!B:B,"952-237000-200")</f>
        <v>0</v>
      </c>
      <c r="S31">
        <f>sumifs(生产物料推移表!s:s,生产物料推移表!L:L,"计划生产",生产物料推移表!B:B,"952-237000-200")</f>
        <v>0</v>
      </c>
      <c r="T31">
        <f>sumifs(生产物料推移表!t:t,生产物料推移表!L:L,"计划生产",生产物料推移表!B:B,"952-237000-200")</f>
        <v>0</v>
      </c>
      <c r="U31">
        <f>sumifs(生产物料推移表!u:u,生产物料推移表!L:L,"计划生产",生产物料推移表!B:B,"952-237000-200")</f>
        <v>0</v>
      </c>
      <c r="V31">
        <f>sumifs(生产物料推移表!v:v,生产物料推移表!L:L,"计划生产",生产物料推移表!B:B,"952-237000-200")</f>
        <v>0</v>
      </c>
      <c r="W31">
        <f>sumifs(生产物料推移表!w:w,生产物料推移表!L:L,"计划生产",生产物料推移表!B:B,"952-237000-200")</f>
        <v>0</v>
      </c>
      <c r="X31">
        <f>sumifs(生产物料推移表!x:x,生产物料推移表!L:L,"计划生产",生产物料推移表!B:B,"952-237000-200")</f>
        <v>0</v>
      </c>
      <c r="Y31">
        <f>sumifs(生产物料推移表!y:y,生产物料推移表!L:L,"计划生产",生产物料推移表!B:B,"952-237000-200")</f>
        <v>0</v>
      </c>
      <c r="Z31">
        <f>sumifs(生产物料推移表!z:z,生产物料推移表!L:L,"计划生产",生产物料推移表!B:B,"952-237000-200")</f>
        <v>0</v>
      </c>
      <c r="AA31">
        <f>sumifs(生产物料推移表!aa:aa,生产物料推移表!L:L,"计划生产",生产物料推移表!B:B,"952-237000-200")</f>
        <v>0</v>
      </c>
      <c r="AB31">
        <f>sumifs(生产物料推移表!ab:ab,生产物料推移表!L:L,"计划生产",生产物料推移表!B:B,"952-237000-200")</f>
        <v>0</v>
      </c>
      <c r="AC31">
        <f>sumifs(生产物料推移表!ac:ac,生产物料推移表!L:L,"计划生产",生产物料推移表!B:B,"952-237000-200")</f>
        <v>0</v>
      </c>
      <c r="AD31">
        <f>sumifs(生产物料推移表!ad:ad,生产物料推移表!L:L,"计划生产",生产物料推移表!B:B,"952-237000-200")</f>
        <v>0</v>
      </c>
      <c r="AE31">
        <f>sumifs(生产物料推移表!ae:ae,生产物料推移表!L:L,"计划生产",生产物料推移表!B:B,"952-237000-200")</f>
        <v>0</v>
      </c>
      <c r="AF31">
        <f>sumifs(生产物料推移表!af:af,生产物料推移表!L:L,"计划生产",生产物料推移表!B:B,"952-237000-200")</f>
        <v>0</v>
      </c>
      <c r="AG31">
        <f>sumifs(生产物料推移表!ag:ag,生产物料推移表!L:L,"计划生产",生产物料推移表!B:B,"952-237000-200")</f>
        <v>0</v>
      </c>
      <c r="AH31">
        <f>sumifs(生产物料推移表!ah:ah,生产物料推移表!L:L,"计划生产",生产物料推移表!B:B,"952-237000-200")</f>
        <v>0</v>
      </c>
      <c r="AI31">
        <f>sumifs(生产物料推移表!ai:ai,生产物料推移表!L:L,"计划生产",生产物料推移表!B:B,"952-237000-200")</f>
        <v>0</v>
      </c>
      <c r="AJ31">
        <f>sumifs(生产物料推移表!aj:aj,生产物料推移表!L:L,"计划生产",生产物料推移表!B:B,"952-237000-200")</f>
        <v>0</v>
      </c>
      <c r="AK31">
        <f>sumifs(生产物料推移表!ak:ak,生产物料推移表!L:L,"计划生产",生产物料推移表!B:B,"952-237000-200")</f>
        <v>0</v>
      </c>
      <c r="AL31">
        <f>sumifs(生产物料推移表!al:al,生产物料推移表!L:L,"计划生产",生产物料推移表!B:B,"952-237000-200")</f>
        <v>0</v>
      </c>
      <c r="AM31">
        <f>sumifs(生产物料推移表!am:am,生产物料推移表!L:L,"计划生产",生产物料推移表!B:B,"952-237000-200")</f>
        <v>0</v>
      </c>
      <c r="AN31">
        <f>sumifs(生产物料推移表!an:an,生产物料推移表!L:L,"计划生产",生产物料推移表!B:B,"952-237000-200")</f>
        <v>0</v>
      </c>
      <c r="AO31">
        <f>sumifs(生产物料推移表!ao:ao,生产物料推移表!L:L,"计划生产",生产物料推移表!B:B,"952-237000-200")</f>
        <v>0</v>
      </c>
      <c r="AP31">
        <f>sumifs(生产物料推移表!ap:ap,生产物料推移表!L:L,"计划生产",生产物料推移表!B:B,"952-237000-200")</f>
        <v>0</v>
      </c>
      <c r="AQ31">
        <f>sumifs(生产物料推移表!aq:aq,生产物料推移表!L:L,"计划生产",生产物料推移表!B:B,"952-237000-200")</f>
        <v>0</v>
      </c>
      <c r="AR31">
        <f>sumifs(生产物料推移表!ar:ar,生产物料推移表!L:L,"计划生产",生产物料推移表!B:B,"952-237000-200")</f>
        <v>0</v>
      </c>
      <c r="BY31">
        <f>sum(j31:an31)</f>
        <v>0</v>
      </c>
    </row>
    <row r="32" spans="1:77">
      <c r="A32" t="s">
        <v>14</v>
      </c>
      <c r="B32" t="s">
        <v>219</v>
      </c>
      <c r="C32" t="s">
        <v>220</v>
      </c>
      <c r="D32" t="s">
        <v>17</v>
      </c>
      <c r="E32">
        <v>1</v>
      </c>
      <c r="F32" t="s">
        <v>221</v>
      </c>
      <c r="H32" t="s">
        <v>204</v>
      </c>
      <c r="I32" t="s">
        <v>91</v>
      </c>
      <c r="K32" t="s">
        <v>20</v>
      </c>
      <c r="L32" t="s">
        <v>37</v>
      </c>
      <c r="M32">
        <f>sumifs(生产物料推移表!m:m,生产物料推移表!L:L,"计划生产",生产物料推移表!B:B,"952-236000-200")</f>
        <v>0</v>
      </c>
      <c r="N32">
        <f>sumifs(生产物料推移表!n:n,生产物料推移表!L:L,"计划生产",生产物料推移表!B:B,"952-236000-200")</f>
        <v>0</v>
      </c>
      <c r="O32">
        <f>sumifs(生产物料推移表!o:o,生产物料推移表!L:L,"计划生产",生产物料推移表!B:B,"952-236000-200")</f>
        <v>0</v>
      </c>
      <c r="P32">
        <f>sumifs(生产物料推移表!p:p,生产物料推移表!L:L,"计划生产",生产物料推移表!B:B,"952-236000-200")</f>
        <v>0</v>
      </c>
      <c r="Q32">
        <f>sumifs(生产物料推移表!q:q,生产物料推移表!L:L,"计划生产",生产物料推移表!B:B,"952-236000-200")</f>
        <v>0</v>
      </c>
      <c r="R32">
        <f>sumifs(生产物料推移表!r:r,生产物料推移表!L:L,"计划生产",生产物料推移表!B:B,"952-236000-200")</f>
        <v>0</v>
      </c>
      <c r="S32">
        <f>sumifs(生产物料推移表!s:s,生产物料推移表!L:L,"计划生产",生产物料推移表!B:B,"952-236000-200")</f>
        <v>0</v>
      </c>
      <c r="T32">
        <f>sumifs(生产物料推移表!t:t,生产物料推移表!L:L,"计划生产",生产物料推移表!B:B,"952-236000-200")</f>
        <v>0</v>
      </c>
      <c r="U32">
        <f>sumifs(生产物料推移表!u:u,生产物料推移表!L:L,"计划生产",生产物料推移表!B:B,"952-236000-200")</f>
        <v>0</v>
      </c>
      <c r="V32">
        <f>sumifs(生产物料推移表!v:v,生产物料推移表!L:L,"计划生产",生产物料推移表!B:B,"952-236000-200")</f>
        <v>0</v>
      </c>
      <c r="W32">
        <f>sumifs(生产物料推移表!w:w,生产物料推移表!L:L,"计划生产",生产物料推移表!B:B,"952-236000-200")</f>
        <v>0</v>
      </c>
      <c r="X32">
        <f>sumifs(生产物料推移表!x:x,生产物料推移表!L:L,"计划生产",生产物料推移表!B:B,"952-236000-200")</f>
        <v>0</v>
      </c>
      <c r="Y32">
        <f>sumifs(生产物料推移表!y:y,生产物料推移表!L:L,"计划生产",生产物料推移表!B:B,"952-236000-200")</f>
        <v>0</v>
      </c>
      <c r="Z32">
        <f>sumifs(生产物料推移表!z:z,生产物料推移表!L:L,"计划生产",生产物料推移表!B:B,"952-236000-200")</f>
        <v>0</v>
      </c>
      <c r="AA32">
        <f>sumifs(生产物料推移表!aa:aa,生产物料推移表!L:L,"计划生产",生产物料推移表!B:B,"952-236000-200")</f>
        <v>0</v>
      </c>
      <c r="AB32">
        <f>sumifs(生产物料推移表!ab:ab,生产物料推移表!L:L,"计划生产",生产物料推移表!B:B,"952-236000-200")</f>
        <v>0</v>
      </c>
      <c r="AC32">
        <f>sumifs(生产物料推移表!ac:ac,生产物料推移表!L:L,"计划生产",生产物料推移表!B:B,"952-236000-200")</f>
        <v>0</v>
      </c>
      <c r="AD32">
        <f>sumifs(生产物料推移表!ad:ad,生产物料推移表!L:L,"计划生产",生产物料推移表!B:B,"952-236000-200")</f>
        <v>0</v>
      </c>
      <c r="AE32">
        <f>sumifs(生产物料推移表!ae:ae,生产物料推移表!L:L,"计划生产",生产物料推移表!B:B,"952-236000-200")</f>
        <v>0</v>
      </c>
      <c r="AF32">
        <f>sumifs(生产物料推移表!af:af,生产物料推移表!L:L,"计划生产",生产物料推移表!B:B,"952-236000-200")</f>
        <v>0</v>
      </c>
      <c r="AG32">
        <f>sumifs(生产物料推移表!ag:ag,生产物料推移表!L:L,"计划生产",生产物料推移表!B:B,"952-236000-200")</f>
        <v>0</v>
      </c>
      <c r="AH32">
        <f>sumifs(生产物料推移表!ah:ah,生产物料推移表!L:L,"计划生产",生产物料推移表!B:B,"952-236000-200")</f>
        <v>0</v>
      </c>
      <c r="AI32">
        <f>sumifs(生产物料推移表!ai:ai,生产物料推移表!L:L,"计划生产",生产物料推移表!B:B,"952-236000-200")</f>
        <v>0</v>
      </c>
      <c r="AJ32">
        <f>sumifs(生产物料推移表!aj:aj,生产物料推移表!L:L,"计划生产",生产物料推移表!B:B,"952-236000-200")</f>
        <v>0</v>
      </c>
      <c r="AK32">
        <f>sumifs(生产物料推移表!ak:ak,生产物料推移表!L:L,"计划生产",生产物料推移表!B:B,"952-236000-200")</f>
        <v>0</v>
      </c>
      <c r="AL32">
        <f>sumifs(生产物料推移表!al:al,生产物料推移表!L:L,"计划生产",生产物料推移表!B:B,"952-236000-200")</f>
        <v>0</v>
      </c>
      <c r="AM32">
        <f>sumifs(生产物料推移表!am:am,生产物料推移表!L:L,"计划生产",生产物料推移表!B:B,"952-236000-200")</f>
        <v>0</v>
      </c>
      <c r="AN32">
        <f>sumifs(生产物料推移表!an:an,生产物料推移表!L:L,"计划生产",生产物料推移表!B:B,"952-236000-200")</f>
        <v>0</v>
      </c>
      <c r="AO32">
        <f>sumifs(生产物料推移表!ao:ao,生产物料推移表!L:L,"计划生产",生产物料推移表!B:B,"952-236000-200")</f>
        <v>0</v>
      </c>
      <c r="AP32">
        <f>sumifs(生产物料推移表!ap:ap,生产物料推移表!L:L,"计划生产",生产物料推移表!B:B,"952-236000-200")</f>
        <v>0</v>
      </c>
      <c r="AQ32">
        <f>sumifs(生产物料推移表!aq:aq,生产物料推移表!L:L,"计划生产",生产物料推移表!B:B,"952-236000-200")</f>
        <v>0</v>
      </c>
      <c r="AR32">
        <f>sumifs(生产物料推移表!ar:ar,生产物料推移表!L:L,"计划生产",生产物料推移表!B:B,"952-236000-200")</f>
        <v>0</v>
      </c>
      <c r="BY32">
        <f>sum(j32:an32)</f>
        <v>0</v>
      </c>
    </row>
    <row r="33" spans="1:77">
      <c r="A33" t="s">
        <v>14</v>
      </c>
      <c r="B33" t="s">
        <v>222</v>
      </c>
      <c r="C33" t="s">
        <v>223</v>
      </c>
      <c r="D33" t="s">
        <v>27</v>
      </c>
      <c r="E33">
        <v>1</v>
      </c>
      <c r="F33" t="s">
        <v>224</v>
      </c>
      <c r="H33" t="s">
        <v>208</v>
      </c>
      <c r="I33" t="s">
        <v>91</v>
      </c>
      <c r="K33" t="s">
        <v>20</v>
      </c>
      <c r="L33" t="s">
        <v>37</v>
      </c>
      <c r="M33">
        <f>sumifs(生产物料推移表!m:m,生产物料推移表!L:L,"计划生产",生产物料推移表!B:B,"952-237000-300")</f>
        <v>0</v>
      </c>
      <c r="N33">
        <f>sumifs(生产物料推移表!n:n,生产物料推移表!L:L,"计划生产",生产物料推移表!B:B,"952-237000-300")</f>
        <v>0</v>
      </c>
      <c r="O33">
        <f>sumifs(生产物料推移表!o:o,生产物料推移表!L:L,"计划生产",生产物料推移表!B:B,"952-237000-300")</f>
        <v>0</v>
      </c>
      <c r="P33">
        <f>sumifs(生产物料推移表!p:p,生产物料推移表!L:L,"计划生产",生产物料推移表!B:B,"952-237000-300")</f>
        <v>0</v>
      </c>
      <c r="Q33">
        <f>sumifs(生产物料推移表!q:q,生产物料推移表!L:L,"计划生产",生产物料推移表!B:B,"952-237000-300")</f>
        <v>0</v>
      </c>
      <c r="R33">
        <f>sumifs(生产物料推移表!r:r,生产物料推移表!L:L,"计划生产",生产物料推移表!B:B,"952-237000-300")</f>
        <v>0</v>
      </c>
      <c r="S33">
        <f>sumifs(生产物料推移表!s:s,生产物料推移表!L:L,"计划生产",生产物料推移表!B:B,"952-237000-300")</f>
        <v>0</v>
      </c>
      <c r="T33">
        <f>sumifs(生产物料推移表!t:t,生产物料推移表!L:L,"计划生产",生产物料推移表!B:B,"952-237000-300")</f>
        <v>0</v>
      </c>
      <c r="U33">
        <f>sumifs(生产物料推移表!u:u,生产物料推移表!L:L,"计划生产",生产物料推移表!B:B,"952-237000-300")</f>
        <v>0</v>
      </c>
      <c r="V33">
        <f>sumifs(生产物料推移表!v:v,生产物料推移表!L:L,"计划生产",生产物料推移表!B:B,"952-237000-300")</f>
        <v>0</v>
      </c>
      <c r="W33">
        <f>sumifs(生产物料推移表!w:w,生产物料推移表!L:L,"计划生产",生产物料推移表!B:B,"952-237000-300")</f>
        <v>0</v>
      </c>
      <c r="X33">
        <f>sumifs(生产物料推移表!x:x,生产物料推移表!L:L,"计划生产",生产物料推移表!B:B,"952-237000-300")</f>
        <v>0</v>
      </c>
      <c r="Y33">
        <f>sumifs(生产物料推移表!y:y,生产物料推移表!L:L,"计划生产",生产物料推移表!B:B,"952-237000-300")</f>
        <v>0</v>
      </c>
      <c r="Z33">
        <f>sumifs(生产物料推移表!z:z,生产物料推移表!L:L,"计划生产",生产物料推移表!B:B,"952-237000-300")</f>
        <v>0</v>
      </c>
      <c r="AA33">
        <f>sumifs(生产物料推移表!aa:aa,生产物料推移表!L:L,"计划生产",生产物料推移表!B:B,"952-237000-300")</f>
        <v>0</v>
      </c>
      <c r="AB33">
        <f>sumifs(生产物料推移表!ab:ab,生产物料推移表!L:L,"计划生产",生产物料推移表!B:B,"952-237000-300")</f>
        <v>0</v>
      </c>
      <c r="AC33">
        <f>sumifs(生产物料推移表!ac:ac,生产物料推移表!L:L,"计划生产",生产物料推移表!B:B,"952-237000-300")</f>
        <v>0</v>
      </c>
      <c r="AD33">
        <f>sumifs(生产物料推移表!ad:ad,生产物料推移表!L:L,"计划生产",生产物料推移表!B:B,"952-237000-300")</f>
        <v>0</v>
      </c>
      <c r="AE33">
        <f>sumifs(生产物料推移表!ae:ae,生产物料推移表!L:L,"计划生产",生产物料推移表!B:B,"952-237000-300")</f>
        <v>0</v>
      </c>
      <c r="AF33">
        <f>sumifs(生产物料推移表!af:af,生产物料推移表!L:L,"计划生产",生产物料推移表!B:B,"952-237000-300")</f>
        <v>0</v>
      </c>
      <c r="AG33">
        <f>sumifs(生产物料推移表!ag:ag,生产物料推移表!L:L,"计划生产",生产物料推移表!B:B,"952-237000-300")</f>
        <v>0</v>
      </c>
      <c r="AH33">
        <f>sumifs(生产物料推移表!ah:ah,生产物料推移表!L:L,"计划生产",生产物料推移表!B:B,"952-237000-300")</f>
        <v>0</v>
      </c>
      <c r="AI33">
        <f>sumifs(生产物料推移表!ai:ai,生产物料推移表!L:L,"计划生产",生产物料推移表!B:B,"952-237000-300")</f>
        <v>0</v>
      </c>
      <c r="AJ33">
        <f>sumifs(生产物料推移表!aj:aj,生产物料推移表!L:L,"计划生产",生产物料推移表!B:B,"952-237000-300")</f>
        <v>0</v>
      </c>
      <c r="AK33">
        <f>sumifs(生产物料推移表!ak:ak,生产物料推移表!L:L,"计划生产",生产物料推移表!B:B,"952-237000-300")</f>
        <v>0</v>
      </c>
      <c r="AL33">
        <f>sumifs(生产物料推移表!al:al,生产物料推移表!L:L,"计划生产",生产物料推移表!B:B,"952-237000-300")</f>
        <v>0</v>
      </c>
      <c r="AM33">
        <f>sumifs(生产物料推移表!am:am,生产物料推移表!L:L,"计划生产",生产物料推移表!B:B,"952-237000-300")</f>
        <v>0</v>
      </c>
      <c r="AN33">
        <f>sumifs(生产物料推移表!an:an,生产物料推移表!L:L,"计划生产",生产物料推移表!B:B,"952-237000-300")</f>
        <v>0</v>
      </c>
      <c r="AO33">
        <f>sumifs(生产物料推移表!ao:ao,生产物料推移表!L:L,"计划生产",生产物料推移表!B:B,"952-237000-300")</f>
        <v>0</v>
      </c>
      <c r="AP33">
        <f>sumifs(生产物料推移表!ap:ap,生产物料推移表!L:L,"计划生产",生产物料推移表!B:B,"952-237000-300")</f>
        <v>0</v>
      </c>
      <c r="AQ33">
        <f>sumifs(生产物料推移表!aq:aq,生产物料推移表!L:L,"计划生产",生产物料推移表!B:B,"952-237000-300")</f>
        <v>0</v>
      </c>
      <c r="AR33">
        <f>sumifs(生产物料推移表!ar:ar,生产物料推移表!L:L,"计划生产",生产物料推移表!B:B,"952-237000-300")</f>
        <v>0</v>
      </c>
      <c r="BY33">
        <f>sum(j33:an33)</f>
        <v>0</v>
      </c>
    </row>
    <row r="34" spans="1:77">
      <c r="A34" t="s">
        <v>14</v>
      </c>
      <c r="B34" t="s">
        <v>228</v>
      </c>
      <c r="C34" t="s">
        <v>229</v>
      </c>
      <c r="D34" t="s">
        <v>27</v>
      </c>
      <c r="E34">
        <v>1</v>
      </c>
      <c r="F34" t="s">
        <v>230</v>
      </c>
      <c r="H34" t="s">
        <v>215</v>
      </c>
      <c r="I34" t="s">
        <v>91</v>
      </c>
      <c r="K34" t="s">
        <v>20</v>
      </c>
      <c r="L34" t="s">
        <v>37</v>
      </c>
      <c r="M34">
        <f>sumifs(生产物料推移表!m:m,生产物料推移表!L:L,"计划生产",生产物料推移表!B:B,"952-237000-400")</f>
        <v>0</v>
      </c>
      <c r="N34">
        <f>sumifs(生产物料推移表!n:n,生产物料推移表!L:L,"计划生产",生产物料推移表!B:B,"952-237000-400")</f>
        <v>0</v>
      </c>
      <c r="O34">
        <f>sumifs(生产物料推移表!o:o,生产物料推移表!L:L,"计划生产",生产物料推移表!B:B,"952-237000-400")</f>
        <v>0</v>
      </c>
      <c r="P34">
        <f>sumifs(生产物料推移表!p:p,生产物料推移表!L:L,"计划生产",生产物料推移表!B:B,"952-237000-400")</f>
        <v>0</v>
      </c>
      <c r="Q34">
        <f>sumifs(生产物料推移表!q:q,生产物料推移表!L:L,"计划生产",生产物料推移表!B:B,"952-237000-400")</f>
        <v>0</v>
      </c>
      <c r="R34">
        <f>sumifs(生产物料推移表!r:r,生产物料推移表!L:L,"计划生产",生产物料推移表!B:B,"952-237000-400")</f>
        <v>0</v>
      </c>
      <c r="S34">
        <f>sumifs(生产物料推移表!s:s,生产物料推移表!L:L,"计划生产",生产物料推移表!B:B,"952-237000-400")</f>
        <v>0</v>
      </c>
      <c r="T34">
        <f>sumifs(生产物料推移表!t:t,生产物料推移表!L:L,"计划生产",生产物料推移表!B:B,"952-237000-400")</f>
        <v>0</v>
      </c>
      <c r="U34">
        <f>sumifs(生产物料推移表!u:u,生产物料推移表!L:L,"计划生产",生产物料推移表!B:B,"952-237000-400")</f>
        <v>0</v>
      </c>
      <c r="V34">
        <f>sumifs(生产物料推移表!v:v,生产物料推移表!L:L,"计划生产",生产物料推移表!B:B,"952-237000-400")</f>
        <v>0</v>
      </c>
      <c r="W34">
        <f>sumifs(生产物料推移表!w:w,生产物料推移表!L:L,"计划生产",生产物料推移表!B:B,"952-237000-400")</f>
        <v>0</v>
      </c>
      <c r="X34">
        <f>sumifs(生产物料推移表!x:x,生产物料推移表!L:L,"计划生产",生产物料推移表!B:B,"952-237000-400")</f>
        <v>0</v>
      </c>
      <c r="Y34">
        <f>sumifs(生产物料推移表!y:y,生产物料推移表!L:L,"计划生产",生产物料推移表!B:B,"952-237000-400")</f>
        <v>0</v>
      </c>
      <c r="Z34">
        <f>sumifs(生产物料推移表!z:z,生产物料推移表!L:L,"计划生产",生产物料推移表!B:B,"952-237000-400")</f>
        <v>0</v>
      </c>
      <c r="AA34">
        <f>sumifs(生产物料推移表!aa:aa,生产物料推移表!L:L,"计划生产",生产物料推移表!B:B,"952-237000-400")</f>
        <v>0</v>
      </c>
      <c r="AB34">
        <f>sumifs(生产物料推移表!ab:ab,生产物料推移表!L:L,"计划生产",生产物料推移表!B:B,"952-237000-400")</f>
        <v>0</v>
      </c>
      <c r="AC34">
        <f>sumifs(生产物料推移表!ac:ac,生产物料推移表!L:L,"计划生产",生产物料推移表!B:B,"952-237000-400")</f>
        <v>0</v>
      </c>
      <c r="AD34">
        <f>sumifs(生产物料推移表!ad:ad,生产物料推移表!L:L,"计划生产",生产物料推移表!B:B,"952-237000-400")</f>
        <v>0</v>
      </c>
      <c r="AE34">
        <f>sumifs(生产物料推移表!ae:ae,生产物料推移表!L:L,"计划生产",生产物料推移表!B:B,"952-237000-400")</f>
        <v>0</v>
      </c>
      <c r="AF34">
        <f>sumifs(生产物料推移表!af:af,生产物料推移表!L:L,"计划生产",生产物料推移表!B:B,"952-237000-400")</f>
        <v>0</v>
      </c>
      <c r="AG34">
        <f>sumifs(生产物料推移表!ag:ag,生产物料推移表!L:L,"计划生产",生产物料推移表!B:B,"952-237000-400")</f>
        <v>0</v>
      </c>
      <c r="AH34">
        <f>sumifs(生产物料推移表!ah:ah,生产物料推移表!L:L,"计划生产",生产物料推移表!B:B,"952-237000-400")</f>
        <v>0</v>
      </c>
      <c r="AI34">
        <f>sumifs(生产物料推移表!ai:ai,生产物料推移表!L:L,"计划生产",生产物料推移表!B:B,"952-237000-400")</f>
        <v>0</v>
      </c>
      <c r="AJ34">
        <f>sumifs(生产物料推移表!aj:aj,生产物料推移表!L:L,"计划生产",生产物料推移表!B:B,"952-237000-400")</f>
        <v>0</v>
      </c>
      <c r="AK34">
        <f>sumifs(生产物料推移表!ak:ak,生产物料推移表!L:L,"计划生产",生产物料推移表!B:B,"952-237000-400")</f>
        <v>0</v>
      </c>
      <c r="AL34">
        <f>sumifs(生产物料推移表!al:al,生产物料推移表!L:L,"计划生产",生产物料推移表!B:B,"952-237000-400")</f>
        <v>0</v>
      </c>
      <c r="AM34">
        <f>sumifs(生产物料推移表!am:am,生产物料推移表!L:L,"计划生产",生产物料推移表!B:B,"952-237000-400")</f>
        <v>0</v>
      </c>
      <c r="AN34">
        <f>sumifs(生产物料推移表!an:an,生产物料推移表!L:L,"计划生产",生产物料推移表!B:B,"952-237000-400")</f>
        <v>0</v>
      </c>
      <c r="AO34">
        <f>sumifs(生产物料推移表!ao:ao,生产物料推移表!L:L,"计划生产",生产物料推移表!B:B,"952-237000-400")</f>
        <v>0</v>
      </c>
      <c r="AP34">
        <f>sumifs(生产物料推移表!ap:ap,生产物料推移表!L:L,"计划生产",生产物料推移表!B:B,"952-237000-400")</f>
        <v>0</v>
      </c>
      <c r="AQ34">
        <f>sumifs(生产物料推移表!aq:aq,生产物料推移表!L:L,"计划生产",生产物料推移表!B:B,"952-237000-400")</f>
        <v>0</v>
      </c>
      <c r="AR34">
        <f>sumifs(生产物料推移表!ar:ar,生产物料推移表!L:L,"计划生产",生产物料推移表!B:B,"952-237000-400")</f>
        <v>0</v>
      </c>
      <c r="BY34">
        <f>sum(j34:an34)</f>
        <v>0</v>
      </c>
    </row>
    <row r="35" spans="1:77">
      <c r="A35" t="s">
        <v>14</v>
      </c>
      <c r="B35" t="s">
        <v>234</v>
      </c>
      <c r="C35" t="s">
        <v>235</v>
      </c>
      <c r="D35" t="s">
        <v>27</v>
      </c>
      <c r="E35">
        <v>1</v>
      </c>
      <c r="F35" t="s">
        <v>236</v>
      </c>
      <c r="H35" t="s">
        <v>237</v>
      </c>
      <c r="I35" t="s">
        <v>238</v>
      </c>
      <c r="K35" t="s">
        <v>20</v>
      </c>
      <c r="L35" t="s">
        <v>37</v>
      </c>
      <c r="M35">
        <f>sumifs(生产物料推移表!m:m,生产物料推移表!L:L,"计划生产",生产物料推移表!B:B,"952-253000-100")</f>
        <v>0</v>
      </c>
      <c r="N35">
        <f>sumifs(生产物料推移表!n:n,生产物料推移表!L:L,"计划生产",生产物料推移表!B:B,"952-253000-100")</f>
        <v>0</v>
      </c>
      <c r="O35">
        <f>sumifs(生产物料推移表!o:o,生产物料推移表!L:L,"计划生产",生产物料推移表!B:B,"952-253000-100")</f>
        <v>0</v>
      </c>
      <c r="P35">
        <f>sumifs(生产物料推移表!p:p,生产物料推移表!L:L,"计划生产",生产物料推移表!B:B,"952-253000-100")</f>
        <v>0</v>
      </c>
      <c r="Q35">
        <f>sumifs(生产物料推移表!q:q,生产物料推移表!L:L,"计划生产",生产物料推移表!B:B,"952-253000-100")</f>
        <v>0</v>
      </c>
      <c r="R35">
        <f>sumifs(生产物料推移表!r:r,生产物料推移表!L:L,"计划生产",生产物料推移表!B:B,"952-253000-100")</f>
        <v>0</v>
      </c>
      <c r="S35">
        <f>sumifs(生产物料推移表!s:s,生产物料推移表!L:L,"计划生产",生产物料推移表!B:B,"952-253000-100")</f>
        <v>0</v>
      </c>
      <c r="T35">
        <f>sumifs(生产物料推移表!t:t,生产物料推移表!L:L,"计划生产",生产物料推移表!B:B,"952-253000-100")</f>
        <v>0</v>
      </c>
      <c r="U35">
        <f>sumifs(生产物料推移表!u:u,生产物料推移表!L:L,"计划生产",生产物料推移表!B:B,"952-253000-100")</f>
        <v>0</v>
      </c>
      <c r="V35">
        <f>sumifs(生产物料推移表!v:v,生产物料推移表!L:L,"计划生产",生产物料推移表!B:B,"952-253000-100")</f>
        <v>0</v>
      </c>
      <c r="W35">
        <f>sumifs(生产物料推移表!w:w,生产物料推移表!L:L,"计划生产",生产物料推移表!B:B,"952-253000-100")</f>
        <v>0</v>
      </c>
      <c r="X35">
        <f>sumifs(生产物料推移表!x:x,生产物料推移表!L:L,"计划生产",生产物料推移表!B:B,"952-253000-100")</f>
        <v>0</v>
      </c>
      <c r="Y35">
        <f>sumifs(生产物料推移表!y:y,生产物料推移表!L:L,"计划生产",生产物料推移表!B:B,"952-253000-100")</f>
        <v>0</v>
      </c>
      <c r="Z35">
        <f>sumifs(生产物料推移表!z:z,生产物料推移表!L:L,"计划生产",生产物料推移表!B:B,"952-253000-100")</f>
        <v>0</v>
      </c>
      <c r="AA35">
        <f>sumifs(生产物料推移表!aa:aa,生产物料推移表!L:L,"计划生产",生产物料推移表!B:B,"952-253000-100")</f>
        <v>0</v>
      </c>
      <c r="AB35">
        <f>sumifs(生产物料推移表!ab:ab,生产物料推移表!L:L,"计划生产",生产物料推移表!B:B,"952-253000-100")</f>
        <v>0</v>
      </c>
      <c r="AC35">
        <f>sumifs(生产物料推移表!ac:ac,生产物料推移表!L:L,"计划生产",生产物料推移表!B:B,"952-253000-100")</f>
        <v>0</v>
      </c>
      <c r="AD35">
        <f>sumifs(生产物料推移表!ad:ad,生产物料推移表!L:L,"计划生产",生产物料推移表!B:B,"952-253000-100")</f>
        <v>0</v>
      </c>
      <c r="AE35">
        <f>sumifs(生产物料推移表!ae:ae,生产物料推移表!L:L,"计划生产",生产物料推移表!B:B,"952-253000-100")</f>
        <v>0</v>
      </c>
      <c r="AF35">
        <f>sumifs(生产物料推移表!af:af,生产物料推移表!L:L,"计划生产",生产物料推移表!B:B,"952-253000-100")</f>
        <v>0</v>
      </c>
      <c r="AG35">
        <f>sumifs(生产物料推移表!ag:ag,生产物料推移表!L:L,"计划生产",生产物料推移表!B:B,"952-253000-100")</f>
        <v>0</v>
      </c>
      <c r="AH35">
        <f>sumifs(生产物料推移表!ah:ah,生产物料推移表!L:L,"计划生产",生产物料推移表!B:B,"952-253000-100")</f>
        <v>0</v>
      </c>
      <c r="AI35">
        <f>sumifs(生产物料推移表!ai:ai,生产物料推移表!L:L,"计划生产",生产物料推移表!B:B,"952-253000-100")</f>
        <v>0</v>
      </c>
      <c r="AJ35">
        <f>sumifs(生产物料推移表!aj:aj,生产物料推移表!L:L,"计划生产",生产物料推移表!B:B,"952-253000-100")</f>
        <v>0</v>
      </c>
      <c r="AK35">
        <f>sumifs(生产物料推移表!ak:ak,生产物料推移表!L:L,"计划生产",生产物料推移表!B:B,"952-253000-100")</f>
        <v>0</v>
      </c>
      <c r="AL35">
        <f>sumifs(生产物料推移表!al:al,生产物料推移表!L:L,"计划生产",生产物料推移表!B:B,"952-253000-100")</f>
        <v>0</v>
      </c>
      <c r="AM35">
        <f>sumifs(生产物料推移表!am:am,生产物料推移表!L:L,"计划生产",生产物料推移表!B:B,"952-253000-100")</f>
        <v>0</v>
      </c>
      <c r="AN35">
        <f>sumifs(生产物料推移表!an:an,生产物料推移表!L:L,"计划生产",生产物料推移表!B:B,"952-253000-100")</f>
        <v>0</v>
      </c>
      <c r="AO35">
        <f>sumifs(生产物料推移表!ao:ao,生产物料推移表!L:L,"计划生产",生产物料推移表!B:B,"952-253000-100")</f>
        <v>0</v>
      </c>
      <c r="AP35">
        <f>sumifs(生产物料推移表!ap:ap,生产物料推移表!L:L,"计划生产",生产物料推移表!B:B,"952-253000-100")</f>
        <v>0</v>
      </c>
      <c r="AQ35">
        <f>sumifs(生产物料推移表!aq:aq,生产物料推移表!L:L,"计划生产",生产物料推移表!B:B,"952-253000-100")</f>
        <v>0</v>
      </c>
      <c r="AR35">
        <f>sumifs(生产物料推移表!ar:ar,生产物料推移表!L:L,"计划生产",生产物料推移表!B:B,"952-253000-100")</f>
        <v>0</v>
      </c>
      <c r="BY35">
        <f>sum(j35:an35)</f>
        <v>0</v>
      </c>
    </row>
    <row r="36" spans="1:77">
      <c r="A36" t="s">
        <v>14</v>
      </c>
      <c r="B36" t="s">
        <v>242</v>
      </c>
      <c r="C36" t="s">
        <v>243</v>
      </c>
      <c r="D36" t="s">
        <v>244</v>
      </c>
      <c r="E36">
        <v>1</v>
      </c>
      <c r="F36" t="s">
        <v>245</v>
      </c>
      <c r="H36" t="s">
        <v>237</v>
      </c>
      <c r="I36" t="s">
        <v>30</v>
      </c>
      <c r="K36" t="s">
        <v>20</v>
      </c>
      <c r="L36" t="s">
        <v>37</v>
      </c>
      <c r="M36">
        <f>sumifs(生产物料推移表!m:m,生产物料推移表!L:L,"计划生产",生产物料推移表!B:B,"952-000000-300")</f>
        <v>0</v>
      </c>
      <c r="N36">
        <f>sumifs(生产物料推移表!n:n,生产物料推移表!L:L,"计划生产",生产物料推移表!B:B,"952-000000-300")</f>
        <v>0</v>
      </c>
      <c r="O36">
        <f>sumifs(生产物料推移表!o:o,生产物料推移表!L:L,"计划生产",生产物料推移表!B:B,"952-000000-300")</f>
        <v>0</v>
      </c>
      <c r="P36">
        <f>sumifs(生产物料推移表!p:p,生产物料推移表!L:L,"计划生产",生产物料推移表!B:B,"952-000000-300")</f>
        <v>0</v>
      </c>
      <c r="Q36">
        <f>sumifs(生产物料推移表!q:q,生产物料推移表!L:L,"计划生产",生产物料推移表!B:B,"952-000000-300")</f>
        <v>0</v>
      </c>
      <c r="R36">
        <f>sumifs(生产物料推移表!r:r,生产物料推移表!L:L,"计划生产",生产物料推移表!B:B,"952-000000-300")</f>
        <v>0</v>
      </c>
      <c r="S36">
        <f>sumifs(生产物料推移表!s:s,生产物料推移表!L:L,"计划生产",生产物料推移表!B:B,"952-000000-300")</f>
        <v>0</v>
      </c>
      <c r="T36">
        <f>sumifs(生产物料推移表!t:t,生产物料推移表!L:L,"计划生产",生产物料推移表!B:B,"952-000000-300")</f>
        <v>0</v>
      </c>
      <c r="U36">
        <f>sumifs(生产物料推移表!u:u,生产物料推移表!L:L,"计划生产",生产物料推移表!B:B,"952-000000-300")</f>
        <v>0</v>
      </c>
      <c r="V36">
        <f>sumifs(生产物料推移表!v:v,生产物料推移表!L:L,"计划生产",生产物料推移表!B:B,"952-000000-300")</f>
        <v>0</v>
      </c>
      <c r="W36">
        <f>sumifs(生产物料推移表!w:w,生产物料推移表!L:L,"计划生产",生产物料推移表!B:B,"952-000000-300")</f>
        <v>0</v>
      </c>
      <c r="X36">
        <f>sumifs(生产物料推移表!x:x,生产物料推移表!L:L,"计划生产",生产物料推移表!B:B,"952-000000-300")</f>
        <v>0</v>
      </c>
      <c r="Y36">
        <f>sumifs(生产物料推移表!y:y,生产物料推移表!L:L,"计划生产",生产物料推移表!B:B,"952-000000-300")</f>
        <v>0</v>
      </c>
      <c r="Z36">
        <f>sumifs(生产物料推移表!z:z,生产物料推移表!L:L,"计划生产",生产物料推移表!B:B,"952-000000-300")</f>
        <v>0</v>
      </c>
      <c r="AA36">
        <f>sumifs(生产物料推移表!aa:aa,生产物料推移表!L:L,"计划生产",生产物料推移表!B:B,"952-000000-300")</f>
        <v>0</v>
      </c>
      <c r="AB36">
        <f>sumifs(生产物料推移表!ab:ab,生产物料推移表!L:L,"计划生产",生产物料推移表!B:B,"952-000000-300")</f>
        <v>0</v>
      </c>
      <c r="AC36">
        <f>sumifs(生产物料推移表!ac:ac,生产物料推移表!L:L,"计划生产",生产物料推移表!B:B,"952-000000-300")</f>
        <v>0</v>
      </c>
      <c r="AD36">
        <f>sumifs(生产物料推移表!ad:ad,生产物料推移表!L:L,"计划生产",生产物料推移表!B:B,"952-000000-300")</f>
        <v>0</v>
      </c>
      <c r="AE36">
        <f>sumifs(生产物料推移表!ae:ae,生产物料推移表!L:L,"计划生产",生产物料推移表!B:B,"952-000000-300")</f>
        <v>0</v>
      </c>
      <c r="AF36">
        <f>sumifs(生产物料推移表!af:af,生产物料推移表!L:L,"计划生产",生产物料推移表!B:B,"952-000000-300")</f>
        <v>0</v>
      </c>
      <c r="AG36">
        <f>sumifs(生产物料推移表!ag:ag,生产物料推移表!L:L,"计划生产",生产物料推移表!B:B,"952-000000-300")</f>
        <v>0</v>
      </c>
      <c r="AH36">
        <f>sumifs(生产物料推移表!ah:ah,生产物料推移表!L:L,"计划生产",生产物料推移表!B:B,"952-000000-300")</f>
        <v>0</v>
      </c>
      <c r="AI36">
        <f>sumifs(生产物料推移表!ai:ai,生产物料推移表!L:L,"计划生产",生产物料推移表!B:B,"952-000000-300")</f>
        <v>0</v>
      </c>
      <c r="AJ36">
        <f>sumifs(生产物料推移表!aj:aj,生产物料推移表!L:L,"计划生产",生产物料推移表!B:B,"952-000000-300")</f>
        <v>0</v>
      </c>
      <c r="AK36">
        <f>sumifs(生产物料推移表!ak:ak,生产物料推移表!L:L,"计划生产",生产物料推移表!B:B,"952-000000-300")</f>
        <v>0</v>
      </c>
      <c r="AL36">
        <f>sumifs(生产物料推移表!al:al,生产物料推移表!L:L,"计划生产",生产物料推移表!B:B,"952-000000-300")</f>
        <v>0</v>
      </c>
      <c r="AM36">
        <f>sumifs(生产物料推移表!am:am,生产物料推移表!L:L,"计划生产",生产物料推移表!B:B,"952-000000-300")</f>
        <v>0</v>
      </c>
      <c r="AN36">
        <f>sumifs(生产物料推移表!an:an,生产物料推移表!L:L,"计划生产",生产物料推移表!B:B,"952-000000-300")</f>
        <v>0</v>
      </c>
      <c r="AO36">
        <f>sumifs(生产物料推移表!ao:ao,生产物料推移表!L:L,"计划生产",生产物料推移表!B:B,"952-000000-300")</f>
        <v>0</v>
      </c>
      <c r="AP36">
        <f>sumifs(生产物料推移表!ap:ap,生产物料推移表!L:L,"计划生产",生产物料推移表!B:B,"952-000000-300")</f>
        <v>0</v>
      </c>
      <c r="AQ36">
        <f>sumifs(生产物料推移表!aq:aq,生产物料推移表!L:L,"计划生产",生产物料推移表!B:B,"952-000000-300")</f>
        <v>0</v>
      </c>
      <c r="AR36">
        <f>sumifs(生产物料推移表!ar:ar,生产物料推移表!L:L,"计划生产",生产物料推移表!B:B,"952-000000-300")</f>
        <v>0</v>
      </c>
      <c r="BY36">
        <f>sum(j36:an36)</f>
        <v>0</v>
      </c>
    </row>
    <row r="37" spans="1:77">
      <c r="A37" t="s">
        <v>14</v>
      </c>
      <c r="B37" t="s">
        <v>246</v>
      </c>
      <c r="C37" t="s">
        <v>247</v>
      </c>
      <c r="D37" t="s">
        <v>163</v>
      </c>
      <c r="E37">
        <v>1</v>
      </c>
      <c r="F37" t="s">
        <v>248</v>
      </c>
      <c r="H37" t="s">
        <v>249</v>
      </c>
      <c r="I37" t="s">
        <v>250</v>
      </c>
      <c r="K37" t="s">
        <v>20</v>
      </c>
      <c r="L37" t="s">
        <v>37</v>
      </c>
      <c r="M37">
        <f>sumifs(生产物料推移表!m:m,生产物料推移表!L:L,"计划生产",生产物料推移表!B:B,"952-254000-100")</f>
        <v>0</v>
      </c>
      <c r="N37">
        <f>sumifs(生产物料推移表!n:n,生产物料推移表!L:L,"计划生产",生产物料推移表!B:B,"952-254000-100")</f>
        <v>0</v>
      </c>
      <c r="O37">
        <f>sumifs(生产物料推移表!o:o,生产物料推移表!L:L,"计划生产",生产物料推移表!B:B,"952-254000-100")</f>
        <v>0</v>
      </c>
      <c r="P37">
        <f>sumifs(生产物料推移表!p:p,生产物料推移表!L:L,"计划生产",生产物料推移表!B:B,"952-254000-100")</f>
        <v>0</v>
      </c>
      <c r="Q37">
        <f>sumifs(生产物料推移表!q:q,生产物料推移表!L:L,"计划生产",生产物料推移表!B:B,"952-254000-100")</f>
        <v>0</v>
      </c>
      <c r="R37">
        <f>sumifs(生产物料推移表!r:r,生产物料推移表!L:L,"计划生产",生产物料推移表!B:B,"952-254000-100")</f>
        <v>0</v>
      </c>
      <c r="S37">
        <f>sumifs(生产物料推移表!s:s,生产物料推移表!L:L,"计划生产",生产物料推移表!B:B,"952-254000-100")</f>
        <v>0</v>
      </c>
      <c r="T37">
        <f>sumifs(生产物料推移表!t:t,生产物料推移表!L:L,"计划生产",生产物料推移表!B:B,"952-254000-100")</f>
        <v>0</v>
      </c>
      <c r="U37">
        <f>sumifs(生产物料推移表!u:u,生产物料推移表!L:L,"计划生产",生产物料推移表!B:B,"952-254000-100")</f>
        <v>0</v>
      </c>
      <c r="V37">
        <f>sumifs(生产物料推移表!v:v,生产物料推移表!L:L,"计划生产",生产物料推移表!B:B,"952-254000-100")</f>
        <v>0</v>
      </c>
      <c r="W37">
        <f>sumifs(生产物料推移表!w:w,生产物料推移表!L:L,"计划生产",生产物料推移表!B:B,"952-254000-100")</f>
        <v>0</v>
      </c>
      <c r="X37">
        <f>sumifs(生产物料推移表!x:x,生产物料推移表!L:L,"计划生产",生产物料推移表!B:B,"952-254000-100")</f>
        <v>0</v>
      </c>
      <c r="Y37">
        <f>sumifs(生产物料推移表!y:y,生产物料推移表!L:L,"计划生产",生产物料推移表!B:B,"952-254000-100")</f>
        <v>0</v>
      </c>
      <c r="Z37">
        <f>sumifs(生产物料推移表!z:z,生产物料推移表!L:L,"计划生产",生产物料推移表!B:B,"952-254000-100")</f>
        <v>0</v>
      </c>
      <c r="AA37">
        <f>sumifs(生产物料推移表!aa:aa,生产物料推移表!L:L,"计划生产",生产物料推移表!B:B,"952-254000-100")</f>
        <v>0</v>
      </c>
      <c r="AB37">
        <f>sumifs(生产物料推移表!ab:ab,生产物料推移表!L:L,"计划生产",生产物料推移表!B:B,"952-254000-100")</f>
        <v>0</v>
      </c>
      <c r="AC37">
        <f>sumifs(生产物料推移表!ac:ac,生产物料推移表!L:L,"计划生产",生产物料推移表!B:B,"952-254000-100")</f>
        <v>0</v>
      </c>
      <c r="AD37">
        <f>sumifs(生产物料推移表!ad:ad,生产物料推移表!L:L,"计划生产",生产物料推移表!B:B,"952-254000-100")</f>
        <v>0</v>
      </c>
      <c r="AE37">
        <f>sumifs(生产物料推移表!ae:ae,生产物料推移表!L:L,"计划生产",生产物料推移表!B:B,"952-254000-100")</f>
        <v>0</v>
      </c>
      <c r="AF37">
        <f>sumifs(生产物料推移表!af:af,生产物料推移表!L:L,"计划生产",生产物料推移表!B:B,"952-254000-100")</f>
        <v>0</v>
      </c>
      <c r="AG37">
        <f>sumifs(生产物料推移表!ag:ag,生产物料推移表!L:L,"计划生产",生产物料推移表!B:B,"952-254000-100")</f>
        <v>0</v>
      </c>
      <c r="AH37">
        <f>sumifs(生产物料推移表!ah:ah,生产物料推移表!L:L,"计划生产",生产物料推移表!B:B,"952-254000-100")</f>
        <v>0</v>
      </c>
      <c r="AI37">
        <f>sumifs(生产物料推移表!ai:ai,生产物料推移表!L:L,"计划生产",生产物料推移表!B:B,"952-254000-100")</f>
        <v>0</v>
      </c>
      <c r="AJ37">
        <f>sumifs(生产物料推移表!aj:aj,生产物料推移表!L:L,"计划生产",生产物料推移表!B:B,"952-254000-100")</f>
        <v>0</v>
      </c>
      <c r="AK37">
        <f>sumifs(生产物料推移表!ak:ak,生产物料推移表!L:L,"计划生产",生产物料推移表!B:B,"952-254000-100")</f>
        <v>0</v>
      </c>
      <c r="AL37">
        <f>sumifs(生产物料推移表!al:al,生产物料推移表!L:L,"计划生产",生产物料推移表!B:B,"952-254000-100")</f>
        <v>0</v>
      </c>
      <c r="AM37">
        <f>sumifs(生产物料推移表!am:am,生产物料推移表!L:L,"计划生产",生产物料推移表!B:B,"952-254000-100")</f>
        <v>0</v>
      </c>
      <c r="AN37">
        <f>sumifs(生产物料推移表!an:an,生产物料推移表!L:L,"计划生产",生产物料推移表!B:B,"952-254000-100")</f>
        <v>0</v>
      </c>
      <c r="AO37">
        <f>sumifs(生产物料推移表!ao:ao,生产物料推移表!L:L,"计划生产",生产物料推移表!B:B,"952-254000-100")</f>
        <v>0</v>
      </c>
      <c r="AP37">
        <f>sumifs(生产物料推移表!ap:ap,生产物料推移表!L:L,"计划生产",生产物料推移表!B:B,"952-254000-100")</f>
        <v>0</v>
      </c>
      <c r="AQ37">
        <f>sumifs(生产物料推移表!aq:aq,生产物料推移表!L:L,"计划生产",生产物料推移表!B:B,"952-254000-100")</f>
        <v>0</v>
      </c>
      <c r="AR37">
        <f>sumifs(生产物料推移表!ar:ar,生产物料推移表!L:L,"计划生产",生产物料推移表!B:B,"952-254000-100")</f>
        <v>0</v>
      </c>
      <c r="BY37">
        <f>sum(j37:an37)</f>
        <v>0</v>
      </c>
    </row>
    <row r="38" spans="1:77">
      <c r="A38" t="s">
        <v>14</v>
      </c>
      <c r="B38" t="s">
        <v>254</v>
      </c>
      <c r="C38" t="s">
        <v>255</v>
      </c>
      <c r="D38" t="s">
        <v>256</v>
      </c>
      <c r="E38">
        <v>1</v>
      </c>
      <c r="F38" t="s">
        <v>257</v>
      </c>
      <c r="H38" t="s">
        <v>249</v>
      </c>
      <c r="I38" t="s">
        <v>258</v>
      </c>
      <c r="K38" t="s">
        <v>20</v>
      </c>
      <c r="L38" t="s">
        <v>37</v>
      </c>
      <c r="M38">
        <f>sumifs(生产物料推移表!m:m,生产物料推移表!L:L,"计划生产",生产物料推移表!B:B,"952-000000-200")</f>
        <v>0</v>
      </c>
      <c r="N38">
        <f>sumifs(生产物料推移表!n:n,生产物料推移表!L:L,"计划生产",生产物料推移表!B:B,"952-000000-200")</f>
        <v>0</v>
      </c>
      <c r="O38">
        <f>sumifs(生产物料推移表!o:o,生产物料推移表!L:L,"计划生产",生产物料推移表!B:B,"952-000000-200")</f>
        <v>0</v>
      </c>
      <c r="P38">
        <f>sumifs(生产物料推移表!p:p,生产物料推移表!L:L,"计划生产",生产物料推移表!B:B,"952-000000-200")</f>
        <v>0</v>
      </c>
      <c r="Q38">
        <f>sumifs(生产物料推移表!q:q,生产物料推移表!L:L,"计划生产",生产物料推移表!B:B,"952-000000-200")</f>
        <v>0</v>
      </c>
      <c r="R38">
        <f>sumifs(生产物料推移表!r:r,生产物料推移表!L:L,"计划生产",生产物料推移表!B:B,"952-000000-200")</f>
        <v>0</v>
      </c>
      <c r="S38">
        <f>sumifs(生产物料推移表!s:s,生产物料推移表!L:L,"计划生产",生产物料推移表!B:B,"952-000000-200")</f>
        <v>0</v>
      </c>
      <c r="T38">
        <f>sumifs(生产物料推移表!t:t,生产物料推移表!L:L,"计划生产",生产物料推移表!B:B,"952-000000-200")</f>
        <v>0</v>
      </c>
      <c r="U38">
        <f>sumifs(生产物料推移表!u:u,生产物料推移表!L:L,"计划生产",生产物料推移表!B:B,"952-000000-200")</f>
        <v>0</v>
      </c>
      <c r="V38">
        <f>sumifs(生产物料推移表!v:v,生产物料推移表!L:L,"计划生产",生产物料推移表!B:B,"952-000000-200")</f>
        <v>0</v>
      </c>
      <c r="W38">
        <f>sumifs(生产物料推移表!w:w,生产物料推移表!L:L,"计划生产",生产物料推移表!B:B,"952-000000-200")</f>
        <v>0</v>
      </c>
      <c r="X38">
        <f>sumifs(生产物料推移表!x:x,生产物料推移表!L:L,"计划生产",生产物料推移表!B:B,"952-000000-200")</f>
        <v>0</v>
      </c>
      <c r="Y38">
        <f>sumifs(生产物料推移表!y:y,生产物料推移表!L:L,"计划生产",生产物料推移表!B:B,"952-000000-200")</f>
        <v>0</v>
      </c>
      <c r="Z38">
        <f>sumifs(生产物料推移表!z:z,生产物料推移表!L:L,"计划生产",生产物料推移表!B:B,"952-000000-200")</f>
        <v>0</v>
      </c>
      <c r="AA38">
        <f>sumifs(生产物料推移表!aa:aa,生产物料推移表!L:L,"计划生产",生产物料推移表!B:B,"952-000000-200")</f>
        <v>0</v>
      </c>
      <c r="AB38">
        <f>sumifs(生产物料推移表!ab:ab,生产物料推移表!L:L,"计划生产",生产物料推移表!B:B,"952-000000-200")</f>
        <v>0</v>
      </c>
      <c r="AC38">
        <f>sumifs(生产物料推移表!ac:ac,生产物料推移表!L:L,"计划生产",生产物料推移表!B:B,"952-000000-200")</f>
        <v>0</v>
      </c>
      <c r="AD38">
        <f>sumifs(生产物料推移表!ad:ad,生产物料推移表!L:L,"计划生产",生产物料推移表!B:B,"952-000000-200")</f>
        <v>0</v>
      </c>
      <c r="AE38">
        <f>sumifs(生产物料推移表!ae:ae,生产物料推移表!L:L,"计划生产",生产物料推移表!B:B,"952-000000-200")</f>
        <v>0</v>
      </c>
      <c r="AF38">
        <f>sumifs(生产物料推移表!af:af,生产物料推移表!L:L,"计划生产",生产物料推移表!B:B,"952-000000-200")</f>
        <v>0</v>
      </c>
      <c r="AG38">
        <f>sumifs(生产物料推移表!ag:ag,生产物料推移表!L:L,"计划生产",生产物料推移表!B:B,"952-000000-200")</f>
        <v>0</v>
      </c>
      <c r="AH38">
        <f>sumifs(生产物料推移表!ah:ah,生产物料推移表!L:L,"计划生产",生产物料推移表!B:B,"952-000000-200")</f>
        <v>0</v>
      </c>
      <c r="AI38">
        <f>sumifs(生产物料推移表!ai:ai,生产物料推移表!L:L,"计划生产",生产物料推移表!B:B,"952-000000-200")</f>
        <v>0</v>
      </c>
      <c r="AJ38">
        <f>sumifs(生产物料推移表!aj:aj,生产物料推移表!L:L,"计划生产",生产物料推移表!B:B,"952-000000-200")</f>
        <v>0</v>
      </c>
      <c r="AK38">
        <f>sumifs(生产物料推移表!ak:ak,生产物料推移表!L:L,"计划生产",生产物料推移表!B:B,"952-000000-200")</f>
        <v>0</v>
      </c>
      <c r="AL38">
        <f>sumifs(生产物料推移表!al:al,生产物料推移表!L:L,"计划生产",生产物料推移表!B:B,"952-000000-200")</f>
        <v>0</v>
      </c>
      <c r="AM38">
        <f>sumifs(生产物料推移表!am:am,生产物料推移表!L:L,"计划生产",生产物料推移表!B:B,"952-000000-200")</f>
        <v>0</v>
      </c>
      <c r="AN38">
        <f>sumifs(生产物料推移表!an:an,生产物料推移表!L:L,"计划生产",生产物料推移表!B:B,"952-000000-200")</f>
        <v>0</v>
      </c>
      <c r="AO38">
        <f>sumifs(生产物料推移表!ao:ao,生产物料推移表!L:L,"计划生产",生产物料推移表!B:B,"952-000000-200")</f>
        <v>0</v>
      </c>
      <c r="AP38">
        <f>sumifs(生产物料推移表!ap:ap,生产物料推移表!L:L,"计划生产",生产物料推移表!B:B,"952-000000-200")</f>
        <v>0</v>
      </c>
      <c r="AQ38">
        <f>sumifs(生产物料推移表!aq:aq,生产物料推移表!L:L,"计划生产",生产物料推移表!B:B,"952-000000-200")</f>
        <v>0</v>
      </c>
      <c r="AR38">
        <f>sumifs(生产物料推移表!ar:ar,生产物料推移表!L:L,"计划生产",生产物料推移表!B:B,"952-000000-200")</f>
        <v>0</v>
      </c>
      <c r="BY38">
        <f>sum(j38:an38)</f>
        <v>0</v>
      </c>
    </row>
    <row r="39" spans="1:77">
      <c r="A39" t="s">
        <v>14</v>
      </c>
      <c r="B39" t="s">
        <v>262</v>
      </c>
      <c r="C39" t="s">
        <v>263</v>
      </c>
      <c r="D39" t="s">
        <v>264</v>
      </c>
      <c r="E39">
        <v>1</v>
      </c>
      <c r="F39" t="s">
        <v>265</v>
      </c>
      <c r="H39" t="s">
        <v>266</v>
      </c>
      <c r="I39" t="s">
        <v>91</v>
      </c>
      <c r="K39" t="s">
        <v>20</v>
      </c>
      <c r="L39" t="s">
        <v>37</v>
      </c>
      <c r="M39">
        <f>sumifs(生产物料推移表!m:m,生产物料推移表!L:L,"计划生产",生产物料推移表!B:B,"212-045200-000
952-000000-100")</f>
        <v>0</v>
      </c>
      <c r="N39">
        <f>sumifs(生产物料推移表!n:n,生产物料推移表!L:L,"计划生产",生产物料推移表!B:B,"212-045200-000
952-000000-100")</f>
        <v>0</v>
      </c>
      <c r="O39">
        <f>sumifs(生产物料推移表!o:o,生产物料推移表!L:L,"计划生产",生产物料推移表!B:B,"212-045200-000
952-000000-100")</f>
        <v>0</v>
      </c>
      <c r="P39">
        <f>sumifs(生产物料推移表!p:p,生产物料推移表!L:L,"计划生产",生产物料推移表!B:B,"212-045200-000
952-000000-100")</f>
        <v>0</v>
      </c>
      <c r="Q39">
        <f>sumifs(生产物料推移表!q:q,生产物料推移表!L:L,"计划生产",生产物料推移表!B:B,"212-045200-000
952-000000-100")</f>
        <v>0</v>
      </c>
      <c r="R39">
        <f>sumifs(生产物料推移表!r:r,生产物料推移表!L:L,"计划生产",生产物料推移表!B:B,"212-045200-000
952-000000-100")</f>
        <v>0</v>
      </c>
      <c r="S39">
        <f>sumifs(生产物料推移表!s:s,生产物料推移表!L:L,"计划生产",生产物料推移表!B:B,"212-045200-000
952-000000-100")</f>
        <v>0</v>
      </c>
      <c r="T39">
        <f>sumifs(生产物料推移表!t:t,生产物料推移表!L:L,"计划生产",生产物料推移表!B:B,"212-045200-000
952-000000-100")</f>
        <v>0</v>
      </c>
      <c r="U39">
        <f>sumifs(生产物料推移表!u:u,生产物料推移表!L:L,"计划生产",生产物料推移表!B:B,"212-045200-000
952-000000-100")</f>
        <v>0</v>
      </c>
      <c r="V39">
        <f>sumifs(生产物料推移表!v:v,生产物料推移表!L:L,"计划生产",生产物料推移表!B:B,"212-045200-000
952-000000-100")</f>
        <v>0</v>
      </c>
      <c r="W39">
        <f>sumifs(生产物料推移表!w:w,生产物料推移表!L:L,"计划生产",生产物料推移表!B:B,"212-045200-000
952-000000-100")</f>
        <v>0</v>
      </c>
      <c r="X39">
        <f>sumifs(生产物料推移表!x:x,生产物料推移表!L:L,"计划生产",生产物料推移表!B:B,"212-045200-000
952-000000-100")</f>
        <v>0</v>
      </c>
      <c r="Y39">
        <f>sumifs(生产物料推移表!y:y,生产物料推移表!L:L,"计划生产",生产物料推移表!B:B,"212-045200-000
952-000000-100")</f>
        <v>0</v>
      </c>
      <c r="Z39">
        <f>sumifs(生产物料推移表!z:z,生产物料推移表!L:L,"计划生产",生产物料推移表!B:B,"212-045200-000
952-000000-100")</f>
        <v>0</v>
      </c>
      <c r="AA39">
        <f>sumifs(生产物料推移表!aa:aa,生产物料推移表!L:L,"计划生产",生产物料推移表!B:B,"212-045200-000
952-000000-100")</f>
        <v>0</v>
      </c>
      <c r="AB39">
        <f>sumifs(生产物料推移表!ab:ab,生产物料推移表!L:L,"计划生产",生产物料推移表!B:B,"212-045200-000
952-000000-100")</f>
        <v>0</v>
      </c>
      <c r="AC39">
        <f>sumifs(生产物料推移表!ac:ac,生产物料推移表!L:L,"计划生产",生产物料推移表!B:B,"212-045200-000
952-000000-100")</f>
        <v>0</v>
      </c>
      <c r="AD39">
        <f>sumifs(生产物料推移表!ad:ad,生产物料推移表!L:L,"计划生产",生产物料推移表!B:B,"212-045200-000
952-000000-100")</f>
        <v>0</v>
      </c>
      <c r="AE39">
        <f>sumifs(生产物料推移表!ae:ae,生产物料推移表!L:L,"计划生产",生产物料推移表!B:B,"212-045200-000
952-000000-100")</f>
        <v>0</v>
      </c>
      <c r="AF39">
        <f>sumifs(生产物料推移表!af:af,生产物料推移表!L:L,"计划生产",生产物料推移表!B:B,"212-045200-000
952-000000-100")</f>
        <v>0</v>
      </c>
      <c r="AG39">
        <f>sumifs(生产物料推移表!ag:ag,生产物料推移表!L:L,"计划生产",生产物料推移表!B:B,"212-045200-000
952-000000-100")</f>
        <v>0</v>
      </c>
      <c r="AH39">
        <f>sumifs(生产物料推移表!ah:ah,生产物料推移表!L:L,"计划生产",生产物料推移表!B:B,"212-045200-000
952-000000-100")</f>
        <v>0</v>
      </c>
      <c r="AI39">
        <f>sumifs(生产物料推移表!ai:ai,生产物料推移表!L:L,"计划生产",生产物料推移表!B:B,"212-045200-000
952-000000-100")</f>
        <v>0</v>
      </c>
      <c r="AJ39">
        <f>sumifs(生产物料推移表!aj:aj,生产物料推移表!L:L,"计划生产",生产物料推移表!B:B,"212-045200-000
952-000000-100")</f>
        <v>0</v>
      </c>
      <c r="AK39">
        <f>sumifs(生产物料推移表!ak:ak,生产物料推移表!L:L,"计划生产",生产物料推移表!B:B,"212-045200-000
952-000000-100")</f>
        <v>0</v>
      </c>
      <c r="AL39">
        <f>sumifs(生产物料推移表!al:al,生产物料推移表!L:L,"计划生产",生产物料推移表!B:B,"212-045200-000
952-000000-100")</f>
        <v>0</v>
      </c>
      <c r="AM39">
        <f>sumifs(生产物料推移表!am:am,生产物料推移表!L:L,"计划生产",生产物料推移表!B:B,"212-045200-000
952-000000-100")</f>
        <v>0</v>
      </c>
      <c r="AN39">
        <f>sumifs(生产物料推移表!an:an,生产物料推移表!L:L,"计划生产",生产物料推移表!B:B,"212-045200-000
952-000000-100")</f>
        <v>0</v>
      </c>
      <c r="AO39">
        <f>sumifs(生产物料推移表!ao:ao,生产物料推移表!L:L,"计划生产",生产物料推移表!B:B,"212-045200-000
952-000000-100")</f>
        <v>0</v>
      </c>
      <c r="AP39">
        <f>sumifs(生产物料推移表!ap:ap,生产物料推移表!L:L,"计划生产",生产物料推移表!B:B,"212-045200-000
952-000000-100")</f>
        <v>0</v>
      </c>
      <c r="AQ39">
        <f>sumifs(生产物料推移表!aq:aq,生产物料推移表!L:L,"计划生产",生产物料推移表!B:B,"212-045200-000
952-000000-100")</f>
        <v>0</v>
      </c>
      <c r="AR39">
        <f>sumifs(生产物料推移表!ar:ar,生产物料推移表!L:L,"计划生产",生产物料推移表!B:B,"212-045200-000
952-000000-100")</f>
        <v>0</v>
      </c>
      <c r="BY39">
        <f>sum(j39:an39)</f>
        <v>0</v>
      </c>
    </row>
    <row r="40" spans="1:77">
      <c r="A40" t="s">
        <v>14</v>
      </c>
      <c r="B40" t="s">
        <v>267</v>
      </c>
      <c r="C40" t="s">
        <v>268</v>
      </c>
      <c r="D40" t="s">
        <v>27</v>
      </c>
      <c r="E40">
        <v>1</v>
      </c>
      <c r="F40" t="s">
        <v>269</v>
      </c>
      <c r="H40" t="s">
        <v>72</v>
      </c>
      <c r="I40" t="s">
        <v>270</v>
      </c>
      <c r="K40" t="s">
        <v>20</v>
      </c>
      <c r="L40" t="s">
        <v>37</v>
      </c>
      <c r="M40">
        <f>sumifs(生产物料推移表!m:m,生产物料推移表!L:L,"计划生产",生产物料推移表!B:B,"952-255000-100")</f>
        <v>0</v>
      </c>
      <c r="N40">
        <f>sumifs(生产物料推移表!n:n,生产物料推移表!L:L,"计划生产",生产物料推移表!B:B,"952-255000-100")</f>
        <v>0</v>
      </c>
      <c r="O40">
        <f>sumifs(生产物料推移表!o:o,生产物料推移表!L:L,"计划生产",生产物料推移表!B:B,"952-255000-100")</f>
        <v>0</v>
      </c>
      <c r="P40">
        <f>sumifs(生产物料推移表!p:p,生产物料推移表!L:L,"计划生产",生产物料推移表!B:B,"952-255000-100")</f>
        <v>0</v>
      </c>
      <c r="Q40">
        <f>sumifs(生产物料推移表!q:q,生产物料推移表!L:L,"计划生产",生产物料推移表!B:B,"952-255000-100")</f>
        <v>0</v>
      </c>
      <c r="R40">
        <f>sumifs(生产物料推移表!r:r,生产物料推移表!L:L,"计划生产",生产物料推移表!B:B,"952-255000-100")</f>
        <v>0</v>
      </c>
      <c r="S40">
        <f>sumifs(生产物料推移表!s:s,生产物料推移表!L:L,"计划生产",生产物料推移表!B:B,"952-255000-100")</f>
        <v>0</v>
      </c>
      <c r="T40">
        <f>sumifs(生产物料推移表!t:t,生产物料推移表!L:L,"计划生产",生产物料推移表!B:B,"952-255000-100")</f>
        <v>0</v>
      </c>
      <c r="U40">
        <f>sumifs(生产物料推移表!u:u,生产物料推移表!L:L,"计划生产",生产物料推移表!B:B,"952-255000-100")</f>
        <v>0</v>
      </c>
      <c r="V40">
        <f>sumifs(生产物料推移表!v:v,生产物料推移表!L:L,"计划生产",生产物料推移表!B:B,"952-255000-100")</f>
        <v>0</v>
      </c>
      <c r="W40">
        <f>sumifs(生产物料推移表!w:w,生产物料推移表!L:L,"计划生产",生产物料推移表!B:B,"952-255000-100")</f>
        <v>0</v>
      </c>
      <c r="X40">
        <f>sumifs(生产物料推移表!x:x,生产物料推移表!L:L,"计划生产",生产物料推移表!B:B,"952-255000-100")</f>
        <v>0</v>
      </c>
      <c r="Y40">
        <f>sumifs(生产物料推移表!y:y,生产物料推移表!L:L,"计划生产",生产物料推移表!B:B,"952-255000-100")</f>
        <v>0</v>
      </c>
      <c r="Z40">
        <f>sumifs(生产物料推移表!z:z,生产物料推移表!L:L,"计划生产",生产物料推移表!B:B,"952-255000-100")</f>
        <v>0</v>
      </c>
      <c r="AA40">
        <f>sumifs(生产物料推移表!aa:aa,生产物料推移表!L:L,"计划生产",生产物料推移表!B:B,"952-255000-100")</f>
        <v>0</v>
      </c>
      <c r="AB40">
        <f>sumifs(生产物料推移表!ab:ab,生产物料推移表!L:L,"计划生产",生产物料推移表!B:B,"952-255000-100")</f>
        <v>0</v>
      </c>
      <c r="AC40">
        <f>sumifs(生产物料推移表!ac:ac,生产物料推移表!L:L,"计划生产",生产物料推移表!B:B,"952-255000-100")</f>
        <v>0</v>
      </c>
      <c r="AD40">
        <f>sumifs(生产物料推移表!ad:ad,生产物料推移表!L:L,"计划生产",生产物料推移表!B:B,"952-255000-100")</f>
        <v>0</v>
      </c>
      <c r="AE40">
        <f>sumifs(生产物料推移表!ae:ae,生产物料推移表!L:L,"计划生产",生产物料推移表!B:B,"952-255000-100")</f>
        <v>0</v>
      </c>
      <c r="AF40">
        <f>sumifs(生产物料推移表!af:af,生产物料推移表!L:L,"计划生产",生产物料推移表!B:B,"952-255000-100")</f>
        <v>0</v>
      </c>
      <c r="AG40">
        <f>sumifs(生产物料推移表!ag:ag,生产物料推移表!L:L,"计划生产",生产物料推移表!B:B,"952-255000-100")</f>
        <v>0</v>
      </c>
      <c r="AH40">
        <f>sumifs(生产物料推移表!ah:ah,生产物料推移表!L:L,"计划生产",生产物料推移表!B:B,"952-255000-100")</f>
        <v>0</v>
      </c>
      <c r="AI40">
        <f>sumifs(生产物料推移表!ai:ai,生产物料推移表!L:L,"计划生产",生产物料推移表!B:B,"952-255000-100")</f>
        <v>0</v>
      </c>
      <c r="AJ40">
        <f>sumifs(生产物料推移表!aj:aj,生产物料推移表!L:L,"计划生产",生产物料推移表!B:B,"952-255000-100")</f>
        <v>0</v>
      </c>
      <c r="AK40">
        <f>sumifs(生产物料推移表!ak:ak,生产物料推移表!L:L,"计划生产",生产物料推移表!B:B,"952-255000-100")</f>
        <v>0</v>
      </c>
      <c r="AL40">
        <f>sumifs(生产物料推移表!al:al,生产物料推移表!L:L,"计划生产",生产物料推移表!B:B,"952-255000-100")</f>
        <v>0</v>
      </c>
      <c r="AM40">
        <f>sumifs(生产物料推移表!am:am,生产物料推移表!L:L,"计划生产",生产物料推移表!B:B,"952-255000-100")</f>
        <v>0</v>
      </c>
      <c r="AN40">
        <f>sumifs(生产物料推移表!an:an,生产物料推移表!L:L,"计划生产",生产物料推移表!B:B,"952-255000-100")</f>
        <v>0</v>
      </c>
      <c r="AO40">
        <f>sumifs(生产物料推移表!ao:ao,生产物料推移表!L:L,"计划生产",生产物料推移表!B:B,"952-255000-100")</f>
        <v>0</v>
      </c>
      <c r="AP40">
        <f>sumifs(生产物料推移表!ap:ap,生产物料推移表!L:L,"计划生产",生产物料推移表!B:B,"952-255000-100")</f>
        <v>0</v>
      </c>
      <c r="AQ40">
        <f>sumifs(生产物料推移表!aq:aq,生产物料推移表!L:L,"计划生产",生产物料推移表!B:B,"952-255000-100")</f>
        <v>0</v>
      </c>
      <c r="AR40">
        <f>sumifs(生产物料推移表!ar:ar,生产物料推移表!L:L,"计划生产",生产物料推移表!B:B,"952-255000-100")</f>
        <v>0</v>
      </c>
      <c r="BY40">
        <f>sum(j40:an40)</f>
        <v>0</v>
      </c>
    </row>
    <row r="41" spans="1:77">
      <c r="A41" t="s">
        <v>14</v>
      </c>
      <c r="B41" t="s">
        <v>274</v>
      </c>
      <c r="C41" t="s">
        <v>89</v>
      </c>
      <c r="D41" t="s">
        <v>275</v>
      </c>
      <c r="E41">
        <v>1</v>
      </c>
      <c r="F41" t="s">
        <v>276</v>
      </c>
      <c r="H41" t="s">
        <v>72</v>
      </c>
      <c r="I41" t="s">
        <v>91</v>
      </c>
      <c r="K41" t="s">
        <v>20</v>
      </c>
      <c r="L41" t="s">
        <v>37</v>
      </c>
      <c r="M41">
        <f>sumifs(生产物料推移表!m:m,生产物料推移表!L:L,"计划生产",生产物料推移表!B:B,"952-257000-100")</f>
        <v>0</v>
      </c>
      <c r="N41">
        <f>sumifs(生产物料推移表!n:n,生产物料推移表!L:L,"计划生产",生产物料推移表!B:B,"952-257000-100")</f>
        <v>0</v>
      </c>
      <c r="O41">
        <f>sumifs(生产物料推移表!o:o,生产物料推移表!L:L,"计划生产",生产物料推移表!B:B,"952-257000-100")</f>
        <v>0</v>
      </c>
      <c r="P41">
        <f>sumifs(生产物料推移表!p:p,生产物料推移表!L:L,"计划生产",生产物料推移表!B:B,"952-257000-100")</f>
        <v>0</v>
      </c>
      <c r="Q41">
        <f>sumifs(生产物料推移表!q:q,生产物料推移表!L:L,"计划生产",生产物料推移表!B:B,"952-257000-100")</f>
        <v>0</v>
      </c>
      <c r="R41">
        <f>sumifs(生产物料推移表!r:r,生产物料推移表!L:L,"计划生产",生产物料推移表!B:B,"952-257000-100")</f>
        <v>0</v>
      </c>
      <c r="S41">
        <f>sumifs(生产物料推移表!s:s,生产物料推移表!L:L,"计划生产",生产物料推移表!B:B,"952-257000-100")</f>
        <v>0</v>
      </c>
      <c r="T41">
        <f>sumifs(生产物料推移表!t:t,生产物料推移表!L:L,"计划生产",生产物料推移表!B:B,"952-257000-100")</f>
        <v>0</v>
      </c>
      <c r="U41">
        <f>sumifs(生产物料推移表!u:u,生产物料推移表!L:L,"计划生产",生产物料推移表!B:B,"952-257000-100")</f>
        <v>0</v>
      </c>
      <c r="V41">
        <f>sumifs(生产物料推移表!v:v,生产物料推移表!L:L,"计划生产",生产物料推移表!B:B,"952-257000-100")</f>
        <v>0</v>
      </c>
      <c r="W41">
        <f>sumifs(生产物料推移表!w:w,生产物料推移表!L:L,"计划生产",生产物料推移表!B:B,"952-257000-100")</f>
        <v>0</v>
      </c>
      <c r="X41">
        <f>sumifs(生产物料推移表!x:x,生产物料推移表!L:L,"计划生产",生产物料推移表!B:B,"952-257000-100")</f>
        <v>0</v>
      </c>
      <c r="Y41">
        <f>sumifs(生产物料推移表!y:y,生产物料推移表!L:L,"计划生产",生产物料推移表!B:B,"952-257000-100")</f>
        <v>0</v>
      </c>
      <c r="Z41">
        <f>sumifs(生产物料推移表!z:z,生产物料推移表!L:L,"计划生产",生产物料推移表!B:B,"952-257000-100")</f>
        <v>0</v>
      </c>
      <c r="AA41">
        <f>sumifs(生产物料推移表!aa:aa,生产物料推移表!L:L,"计划生产",生产物料推移表!B:B,"952-257000-100")</f>
        <v>0</v>
      </c>
      <c r="AB41">
        <f>sumifs(生产物料推移表!ab:ab,生产物料推移表!L:L,"计划生产",生产物料推移表!B:B,"952-257000-100")</f>
        <v>0</v>
      </c>
      <c r="AC41">
        <f>sumifs(生产物料推移表!ac:ac,生产物料推移表!L:L,"计划生产",生产物料推移表!B:B,"952-257000-100")</f>
        <v>0</v>
      </c>
      <c r="AD41">
        <f>sumifs(生产物料推移表!ad:ad,生产物料推移表!L:L,"计划生产",生产物料推移表!B:B,"952-257000-100")</f>
        <v>0</v>
      </c>
      <c r="AE41">
        <f>sumifs(生产物料推移表!ae:ae,生产物料推移表!L:L,"计划生产",生产物料推移表!B:B,"952-257000-100")</f>
        <v>0</v>
      </c>
      <c r="AF41">
        <f>sumifs(生产物料推移表!af:af,生产物料推移表!L:L,"计划生产",生产物料推移表!B:B,"952-257000-100")</f>
        <v>0</v>
      </c>
      <c r="AG41">
        <f>sumifs(生产物料推移表!ag:ag,生产物料推移表!L:L,"计划生产",生产物料推移表!B:B,"952-257000-100")</f>
        <v>0</v>
      </c>
      <c r="AH41">
        <f>sumifs(生产物料推移表!ah:ah,生产物料推移表!L:L,"计划生产",生产物料推移表!B:B,"952-257000-100")</f>
        <v>0</v>
      </c>
      <c r="AI41">
        <f>sumifs(生产物料推移表!ai:ai,生产物料推移表!L:L,"计划生产",生产物料推移表!B:B,"952-257000-100")</f>
        <v>0</v>
      </c>
      <c r="AJ41">
        <f>sumifs(生产物料推移表!aj:aj,生产物料推移表!L:L,"计划生产",生产物料推移表!B:B,"952-257000-100")</f>
        <v>0</v>
      </c>
      <c r="AK41">
        <f>sumifs(生产物料推移表!ak:ak,生产物料推移表!L:L,"计划生产",生产物料推移表!B:B,"952-257000-100")</f>
        <v>0</v>
      </c>
      <c r="AL41">
        <f>sumifs(生产物料推移表!al:al,生产物料推移表!L:L,"计划生产",生产物料推移表!B:B,"952-257000-100")</f>
        <v>0</v>
      </c>
      <c r="AM41">
        <f>sumifs(生产物料推移表!am:am,生产物料推移表!L:L,"计划生产",生产物料推移表!B:B,"952-257000-100")</f>
        <v>0</v>
      </c>
      <c r="AN41">
        <f>sumifs(生产物料推移表!an:an,生产物料推移表!L:L,"计划生产",生产物料推移表!B:B,"952-257000-100")</f>
        <v>0</v>
      </c>
      <c r="AO41">
        <f>sumifs(生产物料推移表!ao:ao,生产物料推移表!L:L,"计划生产",生产物料推移表!B:B,"952-257000-100")</f>
        <v>0</v>
      </c>
      <c r="AP41">
        <f>sumifs(生产物料推移表!ap:ap,生产物料推移表!L:L,"计划生产",生产物料推移表!B:B,"952-257000-100")</f>
        <v>0</v>
      </c>
      <c r="AQ41">
        <f>sumifs(生产物料推移表!aq:aq,生产物料推移表!L:L,"计划生产",生产物料推移表!B:B,"952-257000-100")</f>
        <v>0</v>
      </c>
      <c r="AR41">
        <f>sumifs(生产物料推移表!ar:ar,生产物料推移表!L:L,"计划生产",生产物料推移表!B:B,"952-257000-100")</f>
        <v>0</v>
      </c>
      <c r="BY41">
        <f>sum(j41:an41)</f>
        <v>0</v>
      </c>
    </row>
    <row r="42" spans="1:77">
      <c r="A42" t="s">
        <v>14</v>
      </c>
      <c r="B42" t="s">
        <v>279</v>
      </c>
      <c r="C42" t="s">
        <v>96</v>
      </c>
      <c r="D42" t="s">
        <v>275</v>
      </c>
      <c r="E42">
        <v>1</v>
      </c>
      <c r="F42" t="s">
        <v>280</v>
      </c>
      <c r="H42" t="s">
        <v>72</v>
      </c>
      <c r="I42" t="s">
        <v>91</v>
      </c>
      <c r="K42" t="s">
        <v>20</v>
      </c>
      <c r="L42" t="s">
        <v>37</v>
      </c>
      <c r="M42">
        <f>sumifs(生产物料推移表!m:m,生产物料推移表!L:L,"计划生产",生产物料推移表!B:B,"952-258000-100")</f>
        <v>0</v>
      </c>
      <c r="N42">
        <f>sumifs(生产物料推移表!n:n,生产物料推移表!L:L,"计划生产",生产物料推移表!B:B,"952-258000-100")</f>
        <v>0</v>
      </c>
      <c r="O42">
        <f>sumifs(生产物料推移表!o:o,生产物料推移表!L:L,"计划生产",生产物料推移表!B:B,"952-258000-100")</f>
        <v>0</v>
      </c>
      <c r="P42">
        <f>sumifs(生产物料推移表!p:p,生产物料推移表!L:L,"计划生产",生产物料推移表!B:B,"952-258000-100")</f>
        <v>0</v>
      </c>
      <c r="Q42">
        <f>sumifs(生产物料推移表!q:q,生产物料推移表!L:L,"计划生产",生产物料推移表!B:B,"952-258000-100")</f>
        <v>0</v>
      </c>
      <c r="R42">
        <f>sumifs(生产物料推移表!r:r,生产物料推移表!L:L,"计划生产",生产物料推移表!B:B,"952-258000-100")</f>
        <v>0</v>
      </c>
      <c r="S42">
        <f>sumifs(生产物料推移表!s:s,生产物料推移表!L:L,"计划生产",生产物料推移表!B:B,"952-258000-100")</f>
        <v>0</v>
      </c>
      <c r="T42">
        <f>sumifs(生产物料推移表!t:t,生产物料推移表!L:L,"计划生产",生产物料推移表!B:B,"952-258000-100")</f>
        <v>0</v>
      </c>
      <c r="U42">
        <f>sumifs(生产物料推移表!u:u,生产物料推移表!L:L,"计划生产",生产物料推移表!B:B,"952-258000-100")</f>
        <v>0</v>
      </c>
      <c r="V42">
        <f>sumifs(生产物料推移表!v:v,生产物料推移表!L:L,"计划生产",生产物料推移表!B:B,"952-258000-100")</f>
        <v>0</v>
      </c>
      <c r="W42">
        <f>sumifs(生产物料推移表!w:w,生产物料推移表!L:L,"计划生产",生产物料推移表!B:B,"952-258000-100")</f>
        <v>0</v>
      </c>
      <c r="X42">
        <f>sumifs(生产物料推移表!x:x,生产物料推移表!L:L,"计划生产",生产物料推移表!B:B,"952-258000-100")</f>
        <v>0</v>
      </c>
      <c r="Y42">
        <f>sumifs(生产物料推移表!y:y,生产物料推移表!L:L,"计划生产",生产物料推移表!B:B,"952-258000-100")</f>
        <v>0</v>
      </c>
      <c r="Z42">
        <f>sumifs(生产物料推移表!z:z,生产物料推移表!L:L,"计划生产",生产物料推移表!B:B,"952-258000-100")</f>
        <v>0</v>
      </c>
      <c r="AA42">
        <f>sumifs(生产物料推移表!aa:aa,生产物料推移表!L:L,"计划生产",生产物料推移表!B:B,"952-258000-100")</f>
        <v>0</v>
      </c>
      <c r="AB42">
        <f>sumifs(生产物料推移表!ab:ab,生产物料推移表!L:L,"计划生产",生产物料推移表!B:B,"952-258000-100")</f>
        <v>0</v>
      </c>
      <c r="AC42">
        <f>sumifs(生产物料推移表!ac:ac,生产物料推移表!L:L,"计划生产",生产物料推移表!B:B,"952-258000-100")</f>
        <v>0</v>
      </c>
      <c r="AD42">
        <f>sumifs(生产物料推移表!ad:ad,生产物料推移表!L:L,"计划生产",生产物料推移表!B:B,"952-258000-100")</f>
        <v>0</v>
      </c>
      <c r="AE42">
        <f>sumifs(生产物料推移表!ae:ae,生产物料推移表!L:L,"计划生产",生产物料推移表!B:B,"952-258000-100")</f>
        <v>0</v>
      </c>
      <c r="AF42">
        <f>sumifs(生产物料推移表!af:af,生产物料推移表!L:L,"计划生产",生产物料推移表!B:B,"952-258000-100")</f>
        <v>0</v>
      </c>
      <c r="AG42">
        <f>sumifs(生产物料推移表!ag:ag,生产物料推移表!L:L,"计划生产",生产物料推移表!B:B,"952-258000-100")</f>
        <v>0</v>
      </c>
      <c r="AH42">
        <f>sumifs(生产物料推移表!ah:ah,生产物料推移表!L:L,"计划生产",生产物料推移表!B:B,"952-258000-100")</f>
        <v>0</v>
      </c>
      <c r="AI42">
        <f>sumifs(生产物料推移表!ai:ai,生产物料推移表!L:L,"计划生产",生产物料推移表!B:B,"952-258000-100")</f>
        <v>0</v>
      </c>
      <c r="AJ42">
        <f>sumifs(生产物料推移表!aj:aj,生产物料推移表!L:L,"计划生产",生产物料推移表!B:B,"952-258000-100")</f>
        <v>0</v>
      </c>
      <c r="AK42">
        <f>sumifs(生产物料推移表!ak:ak,生产物料推移表!L:L,"计划生产",生产物料推移表!B:B,"952-258000-100")</f>
        <v>0</v>
      </c>
      <c r="AL42">
        <f>sumifs(生产物料推移表!al:al,生产物料推移表!L:L,"计划生产",生产物料推移表!B:B,"952-258000-100")</f>
        <v>0</v>
      </c>
      <c r="AM42">
        <f>sumifs(生产物料推移表!am:am,生产物料推移表!L:L,"计划生产",生产物料推移表!B:B,"952-258000-100")</f>
        <v>0</v>
      </c>
      <c r="AN42">
        <f>sumifs(生产物料推移表!an:an,生产物料推移表!L:L,"计划生产",生产物料推移表!B:B,"952-258000-100")</f>
        <v>0</v>
      </c>
      <c r="AO42">
        <f>sumifs(生产物料推移表!ao:ao,生产物料推移表!L:L,"计划生产",生产物料推移表!B:B,"952-258000-100")</f>
        <v>0</v>
      </c>
      <c r="AP42">
        <f>sumifs(生产物料推移表!ap:ap,生产物料推移表!L:L,"计划生产",生产物料推移表!B:B,"952-258000-100")</f>
        <v>0</v>
      </c>
      <c r="AQ42">
        <f>sumifs(生产物料推移表!aq:aq,生产物料推移表!L:L,"计划生产",生产物料推移表!B:B,"952-258000-100")</f>
        <v>0</v>
      </c>
      <c r="AR42">
        <f>sumifs(生产物料推移表!ar:ar,生产物料推移表!L:L,"计划生产",生产物料推移表!B:B,"952-258000-100")</f>
        <v>0</v>
      </c>
      <c r="BY42">
        <f>sum(j42:an42)</f>
        <v>0</v>
      </c>
    </row>
    <row r="43" spans="1:77">
      <c r="A43" t="s">
        <v>14</v>
      </c>
      <c r="B43" t="s">
        <v>283</v>
      </c>
      <c r="C43" t="s">
        <v>268</v>
      </c>
      <c r="D43" t="s">
        <v>27</v>
      </c>
      <c r="E43">
        <v>1</v>
      </c>
      <c r="F43" t="s">
        <v>284</v>
      </c>
      <c r="H43" t="s">
        <v>72</v>
      </c>
      <c r="I43" t="s">
        <v>285</v>
      </c>
      <c r="K43" t="s">
        <v>20</v>
      </c>
      <c r="L43" t="s">
        <v>37</v>
      </c>
      <c r="M43">
        <f>sumifs(生产物料推移表!m:m,生产物料推移表!L:L,"计划生产",生产物料推移表!B:B,"952-259000-100")</f>
        <v>0</v>
      </c>
      <c r="N43">
        <f>sumifs(生产物料推移表!n:n,生产物料推移表!L:L,"计划生产",生产物料推移表!B:B,"952-259000-100")</f>
        <v>0</v>
      </c>
      <c r="O43">
        <f>sumifs(生产物料推移表!o:o,生产物料推移表!L:L,"计划生产",生产物料推移表!B:B,"952-259000-100")</f>
        <v>0</v>
      </c>
      <c r="P43">
        <f>sumifs(生产物料推移表!p:p,生产物料推移表!L:L,"计划生产",生产物料推移表!B:B,"952-259000-100")</f>
        <v>0</v>
      </c>
      <c r="Q43">
        <f>sumifs(生产物料推移表!q:q,生产物料推移表!L:L,"计划生产",生产物料推移表!B:B,"952-259000-100")</f>
        <v>0</v>
      </c>
      <c r="R43">
        <f>sumifs(生产物料推移表!r:r,生产物料推移表!L:L,"计划生产",生产物料推移表!B:B,"952-259000-100")</f>
        <v>0</v>
      </c>
      <c r="S43">
        <f>sumifs(生产物料推移表!s:s,生产物料推移表!L:L,"计划生产",生产物料推移表!B:B,"952-259000-100")</f>
        <v>0</v>
      </c>
      <c r="T43">
        <f>sumifs(生产物料推移表!t:t,生产物料推移表!L:L,"计划生产",生产物料推移表!B:B,"952-259000-100")</f>
        <v>0</v>
      </c>
      <c r="U43">
        <f>sumifs(生产物料推移表!u:u,生产物料推移表!L:L,"计划生产",生产物料推移表!B:B,"952-259000-100")</f>
        <v>0</v>
      </c>
      <c r="V43">
        <f>sumifs(生产物料推移表!v:v,生产物料推移表!L:L,"计划生产",生产物料推移表!B:B,"952-259000-100")</f>
        <v>0</v>
      </c>
      <c r="W43">
        <f>sumifs(生产物料推移表!w:w,生产物料推移表!L:L,"计划生产",生产物料推移表!B:B,"952-259000-100")</f>
        <v>0</v>
      </c>
      <c r="X43">
        <f>sumifs(生产物料推移表!x:x,生产物料推移表!L:L,"计划生产",生产物料推移表!B:B,"952-259000-100")</f>
        <v>0</v>
      </c>
      <c r="Y43">
        <f>sumifs(生产物料推移表!y:y,生产物料推移表!L:L,"计划生产",生产物料推移表!B:B,"952-259000-100")</f>
        <v>0</v>
      </c>
      <c r="Z43">
        <f>sumifs(生产物料推移表!z:z,生产物料推移表!L:L,"计划生产",生产物料推移表!B:B,"952-259000-100")</f>
        <v>0</v>
      </c>
      <c r="AA43">
        <f>sumifs(生产物料推移表!aa:aa,生产物料推移表!L:L,"计划生产",生产物料推移表!B:B,"952-259000-100")</f>
        <v>0</v>
      </c>
      <c r="AB43">
        <f>sumifs(生产物料推移表!ab:ab,生产物料推移表!L:L,"计划生产",生产物料推移表!B:B,"952-259000-100")</f>
        <v>0</v>
      </c>
      <c r="AC43">
        <f>sumifs(生产物料推移表!ac:ac,生产物料推移表!L:L,"计划生产",生产物料推移表!B:B,"952-259000-100")</f>
        <v>0</v>
      </c>
      <c r="AD43">
        <f>sumifs(生产物料推移表!ad:ad,生产物料推移表!L:L,"计划生产",生产物料推移表!B:B,"952-259000-100")</f>
        <v>0</v>
      </c>
      <c r="AE43">
        <f>sumifs(生产物料推移表!ae:ae,生产物料推移表!L:L,"计划生产",生产物料推移表!B:B,"952-259000-100")</f>
        <v>0</v>
      </c>
      <c r="AF43">
        <f>sumifs(生产物料推移表!af:af,生产物料推移表!L:L,"计划生产",生产物料推移表!B:B,"952-259000-100")</f>
        <v>0</v>
      </c>
      <c r="AG43">
        <f>sumifs(生产物料推移表!ag:ag,生产物料推移表!L:L,"计划生产",生产物料推移表!B:B,"952-259000-100")</f>
        <v>0</v>
      </c>
      <c r="AH43">
        <f>sumifs(生产物料推移表!ah:ah,生产物料推移表!L:L,"计划生产",生产物料推移表!B:B,"952-259000-100")</f>
        <v>0</v>
      </c>
      <c r="AI43">
        <f>sumifs(生产物料推移表!ai:ai,生产物料推移表!L:L,"计划生产",生产物料推移表!B:B,"952-259000-100")</f>
        <v>0</v>
      </c>
      <c r="AJ43">
        <f>sumifs(生产物料推移表!aj:aj,生产物料推移表!L:L,"计划生产",生产物料推移表!B:B,"952-259000-100")</f>
        <v>0</v>
      </c>
      <c r="AK43">
        <f>sumifs(生产物料推移表!ak:ak,生产物料推移表!L:L,"计划生产",生产物料推移表!B:B,"952-259000-100")</f>
        <v>0</v>
      </c>
      <c r="AL43">
        <f>sumifs(生产物料推移表!al:al,生产物料推移表!L:L,"计划生产",生产物料推移表!B:B,"952-259000-100")</f>
        <v>0</v>
      </c>
      <c r="AM43">
        <f>sumifs(生产物料推移表!am:am,生产物料推移表!L:L,"计划生产",生产物料推移表!B:B,"952-259000-100")</f>
        <v>0</v>
      </c>
      <c r="AN43">
        <f>sumifs(生产物料推移表!an:an,生产物料推移表!L:L,"计划生产",生产物料推移表!B:B,"952-259000-100")</f>
        <v>0</v>
      </c>
      <c r="AO43">
        <f>sumifs(生产物料推移表!ao:ao,生产物料推移表!L:L,"计划生产",生产物料推移表!B:B,"952-259000-100")</f>
        <v>0</v>
      </c>
      <c r="AP43">
        <f>sumifs(生产物料推移表!ap:ap,生产物料推移表!L:L,"计划生产",生产物料推移表!B:B,"952-259000-100")</f>
        <v>0</v>
      </c>
      <c r="AQ43">
        <f>sumifs(生产物料推移表!aq:aq,生产物料推移表!L:L,"计划生产",生产物料推移表!B:B,"952-259000-100")</f>
        <v>0</v>
      </c>
      <c r="AR43">
        <f>sumifs(生产物料推移表!ar:ar,生产物料推移表!L:L,"计划生产",生产物料推移表!B:B,"952-259000-100")</f>
        <v>0</v>
      </c>
      <c r="BY43">
        <f>sum(j43:an43)</f>
        <v>0</v>
      </c>
    </row>
    <row r="44" spans="1:77">
      <c r="A44" t="s">
        <v>14</v>
      </c>
      <c r="B44" t="s">
        <v>288</v>
      </c>
      <c r="C44" t="s">
        <v>289</v>
      </c>
      <c r="D44" t="s">
        <v>275</v>
      </c>
      <c r="E44">
        <v>1</v>
      </c>
      <c r="F44" t="s">
        <v>290</v>
      </c>
      <c r="H44" t="s">
        <v>237</v>
      </c>
      <c r="I44" t="s">
        <v>250</v>
      </c>
      <c r="K44" t="s">
        <v>20</v>
      </c>
      <c r="L44" t="s">
        <v>37</v>
      </c>
      <c r="M44">
        <f>sumifs(生产物料推移表!m:m,生产物料推移表!L:L,"计划生产",生产物料推移表!B:B,"952-338000-100")</f>
        <v>0</v>
      </c>
      <c r="N44">
        <f>sumifs(生产物料推移表!n:n,生产物料推移表!L:L,"计划生产",生产物料推移表!B:B,"952-338000-100")</f>
        <v>0</v>
      </c>
      <c r="O44">
        <f>sumifs(生产物料推移表!o:o,生产物料推移表!L:L,"计划生产",生产物料推移表!B:B,"952-338000-100")</f>
        <v>0</v>
      </c>
      <c r="P44">
        <f>sumifs(生产物料推移表!p:p,生产物料推移表!L:L,"计划生产",生产物料推移表!B:B,"952-338000-100")</f>
        <v>0</v>
      </c>
      <c r="Q44">
        <f>sumifs(生产物料推移表!q:q,生产物料推移表!L:L,"计划生产",生产物料推移表!B:B,"952-338000-100")</f>
        <v>0</v>
      </c>
      <c r="R44">
        <f>sumifs(生产物料推移表!r:r,生产物料推移表!L:L,"计划生产",生产物料推移表!B:B,"952-338000-100")</f>
        <v>0</v>
      </c>
      <c r="S44">
        <f>sumifs(生产物料推移表!s:s,生产物料推移表!L:L,"计划生产",生产物料推移表!B:B,"952-338000-100")</f>
        <v>0</v>
      </c>
      <c r="T44">
        <f>sumifs(生产物料推移表!t:t,生产物料推移表!L:L,"计划生产",生产物料推移表!B:B,"952-338000-100")</f>
        <v>0</v>
      </c>
      <c r="U44">
        <f>sumifs(生产物料推移表!u:u,生产物料推移表!L:L,"计划生产",生产物料推移表!B:B,"952-338000-100")</f>
        <v>0</v>
      </c>
      <c r="V44">
        <f>sumifs(生产物料推移表!v:v,生产物料推移表!L:L,"计划生产",生产物料推移表!B:B,"952-338000-100")</f>
        <v>0</v>
      </c>
      <c r="W44">
        <f>sumifs(生产物料推移表!w:w,生产物料推移表!L:L,"计划生产",生产物料推移表!B:B,"952-338000-100")</f>
        <v>0</v>
      </c>
      <c r="X44">
        <f>sumifs(生产物料推移表!x:x,生产物料推移表!L:L,"计划生产",生产物料推移表!B:B,"952-338000-100")</f>
        <v>0</v>
      </c>
      <c r="Y44">
        <f>sumifs(生产物料推移表!y:y,生产物料推移表!L:L,"计划生产",生产物料推移表!B:B,"952-338000-100")</f>
        <v>0</v>
      </c>
      <c r="Z44">
        <f>sumifs(生产物料推移表!z:z,生产物料推移表!L:L,"计划生产",生产物料推移表!B:B,"952-338000-100")</f>
        <v>0</v>
      </c>
      <c r="AA44">
        <f>sumifs(生产物料推移表!aa:aa,生产物料推移表!L:L,"计划生产",生产物料推移表!B:B,"952-338000-100")</f>
        <v>0</v>
      </c>
      <c r="AB44">
        <f>sumifs(生产物料推移表!ab:ab,生产物料推移表!L:L,"计划生产",生产物料推移表!B:B,"952-338000-100")</f>
        <v>0</v>
      </c>
      <c r="AC44">
        <f>sumifs(生产物料推移表!ac:ac,生产物料推移表!L:L,"计划生产",生产物料推移表!B:B,"952-338000-100")</f>
        <v>0</v>
      </c>
      <c r="AD44">
        <f>sumifs(生产物料推移表!ad:ad,生产物料推移表!L:L,"计划生产",生产物料推移表!B:B,"952-338000-100")</f>
        <v>0</v>
      </c>
      <c r="AE44">
        <f>sumifs(生产物料推移表!ae:ae,生产物料推移表!L:L,"计划生产",生产物料推移表!B:B,"952-338000-100")</f>
        <v>0</v>
      </c>
      <c r="AF44">
        <f>sumifs(生产物料推移表!af:af,生产物料推移表!L:L,"计划生产",生产物料推移表!B:B,"952-338000-100")</f>
        <v>0</v>
      </c>
      <c r="AG44">
        <f>sumifs(生产物料推移表!ag:ag,生产物料推移表!L:L,"计划生产",生产物料推移表!B:B,"952-338000-100")</f>
        <v>0</v>
      </c>
      <c r="AH44">
        <f>sumifs(生产物料推移表!ah:ah,生产物料推移表!L:L,"计划生产",生产物料推移表!B:B,"952-338000-100")</f>
        <v>0</v>
      </c>
      <c r="AI44">
        <f>sumifs(生产物料推移表!ai:ai,生产物料推移表!L:L,"计划生产",生产物料推移表!B:B,"952-338000-100")</f>
        <v>0</v>
      </c>
      <c r="AJ44">
        <f>sumifs(生产物料推移表!aj:aj,生产物料推移表!L:L,"计划生产",生产物料推移表!B:B,"952-338000-100")</f>
        <v>0</v>
      </c>
      <c r="AK44">
        <f>sumifs(生产物料推移表!ak:ak,生产物料推移表!L:L,"计划生产",生产物料推移表!B:B,"952-338000-100")</f>
        <v>0</v>
      </c>
      <c r="AL44">
        <f>sumifs(生产物料推移表!al:al,生产物料推移表!L:L,"计划生产",生产物料推移表!B:B,"952-338000-100")</f>
        <v>0</v>
      </c>
      <c r="AM44">
        <f>sumifs(生产物料推移表!am:am,生产物料推移表!L:L,"计划生产",生产物料推移表!B:B,"952-338000-100")</f>
        <v>0</v>
      </c>
      <c r="AN44">
        <f>sumifs(生产物料推移表!an:an,生产物料推移表!L:L,"计划生产",生产物料推移表!B:B,"952-338000-100")</f>
        <v>0</v>
      </c>
      <c r="AO44">
        <f>sumifs(生产物料推移表!ao:ao,生产物料推移表!L:L,"计划生产",生产物料推移表!B:B,"952-338000-100")</f>
        <v>0</v>
      </c>
      <c r="AP44">
        <f>sumifs(生产物料推移表!ap:ap,生产物料推移表!L:L,"计划生产",生产物料推移表!B:B,"952-338000-100")</f>
        <v>0</v>
      </c>
      <c r="AQ44">
        <f>sumifs(生产物料推移表!aq:aq,生产物料推移表!L:L,"计划生产",生产物料推移表!B:B,"952-338000-100")</f>
        <v>0</v>
      </c>
      <c r="AR44">
        <f>sumifs(生产物料推移表!ar:ar,生产物料推移表!L:L,"计划生产",生产物料推移表!B:B,"952-338000-100")</f>
        <v>0</v>
      </c>
      <c r="BY44">
        <f>sum(j44:an44)</f>
        <v>0</v>
      </c>
    </row>
    <row r="45" spans="1:77">
      <c r="A45" t="s">
        <v>14</v>
      </c>
      <c r="B45" t="s">
        <v>294</v>
      </c>
      <c r="C45" t="s">
        <v>295</v>
      </c>
      <c r="D45" t="s">
        <v>296</v>
      </c>
      <c r="E45">
        <v>1</v>
      </c>
      <c r="F45" t="s">
        <v>297</v>
      </c>
      <c r="K45" t="s">
        <v>20</v>
      </c>
      <c r="L45" t="s">
        <v>37</v>
      </c>
      <c r="M45">
        <f>sumifs(生产物料推移表!m:m,生产物料推移表!L:L,"计划生产",生产物料推移表!B:B,"952-078000-100")</f>
        <v>0</v>
      </c>
      <c r="N45">
        <f>sumifs(生产物料推移表!n:n,生产物料推移表!L:L,"计划生产",生产物料推移表!B:B,"952-078000-100")</f>
        <v>0</v>
      </c>
      <c r="O45">
        <f>sumifs(生产物料推移表!o:o,生产物料推移表!L:L,"计划生产",生产物料推移表!B:B,"952-078000-100")</f>
        <v>0</v>
      </c>
      <c r="P45">
        <f>sumifs(生产物料推移表!p:p,生产物料推移表!L:L,"计划生产",生产物料推移表!B:B,"952-078000-100")</f>
        <v>0</v>
      </c>
      <c r="Q45">
        <f>sumifs(生产物料推移表!q:q,生产物料推移表!L:L,"计划生产",生产物料推移表!B:B,"952-078000-100")</f>
        <v>0</v>
      </c>
      <c r="R45">
        <f>sumifs(生产物料推移表!r:r,生产物料推移表!L:L,"计划生产",生产物料推移表!B:B,"952-078000-100")</f>
        <v>0</v>
      </c>
      <c r="S45">
        <f>sumifs(生产物料推移表!s:s,生产物料推移表!L:L,"计划生产",生产物料推移表!B:B,"952-078000-100")</f>
        <v>0</v>
      </c>
      <c r="T45">
        <f>sumifs(生产物料推移表!t:t,生产物料推移表!L:L,"计划生产",生产物料推移表!B:B,"952-078000-100")</f>
        <v>0</v>
      </c>
      <c r="U45">
        <f>sumifs(生产物料推移表!u:u,生产物料推移表!L:L,"计划生产",生产物料推移表!B:B,"952-078000-100")</f>
        <v>0</v>
      </c>
      <c r="V45">
        <f>sumifs(生产物料推移表!v:v,生产物料推移表!L:L,"计划生产",生产物料推移表!B:B,"952-078000-100")</f>
        <v>0</v>
      </c>
      <c r="W45">
        <f>sumifs(生产物料推移表!w:w,生产物料推移表!L:L,"计划生产",生产物料推移表!B:B,"952-078000-100")</f>
        <v>0</v>
      </c>
      <c r="X45">
        <f>sumifs(生产物料推移表!x:x,生产物料推移表!L:L,"计划生产",生产物料推移表!B:B,"952-078000-100")</f>
        <v>0</v>
      </c>
      <c r="Y45">
        <f>sumifs(生产物料推移表!y:y,生产物料推移表!L:L,"计划生产",生产物料推移表!B:B,"952-078000-100")</f>
        <v>0</v>
      </c>
      <c r="Z45">
        <f>sumifs(生产物料推移表!z:z,生产物料推移表!L:L,"计划生产",生产物料推移表!B:B,"952-078000-100")</f>
        <v>0</v>
      </c>
      <c r="AA45">
        <f>sumifs(生产物料推移表!aa:aa,生产物料推移表!L:L,"计划生产",生产物料推移表!B:B,"952-078000-100")</f>
        <v>0</v>
      </c>
      <c r="AB45">
        <f>sumifs(生产物料推移表!ab:ab,生产物料推移表!L:L,"计划生产",生产物料推移表!B:B,"952-078000-100")</f>
        <v>0</v>
      </c>
      <c r="AC45">
        <f>sumifs(生产物料推移表!ac:ac,生产物料推移表!L:L,"计划生产",生产物料推移表!B:B,"952-078000-100")</f>
        <v>0</v>
      </c>
      <c r="AD45">
        <f>sumifs(生产物料推移表!ad:ad,生产物料推移表!L:L,"计划生产",生产物料推移表!B:B,"952-078000-100")</f>
        <v>0</v>
      </c>
      <c r="AE45">
        <f>sumifs(生产物料推移表!ae:ae,生产物料推移表!L:L,"计划生产",生产物料推移表!B:B,"952-078000-100")</f>
        <v>0</v>
      </c>
      <c r="AF45">
        <f>sumifs(生产物料推移表!af:af,生产物料推移表!L:L,"计划生产",生产物料推移表!B:B,"952-078000-100")</f>
        <v>0</v>
      </c>
      <c r="AG45">
        <f>sumifs(生产物料推移表!ag:ag,生产物料推移表!L:L,"计划生产",生产物料推移表!B:B,"952-078000-100")</f>
        <v>0</v>
      </c>
      <c r="AH45">
        <f>sumifs(生产物料推移表!ah:ah,生产物料推移表!L:L,"计划生产",生产物料推移表!B:B,"952-078000-100")</f>
        <v>0</v>
      </c>
      <c r="AI45">
        <f>sumifs(生产物料推移表!ai:ai,生产物料推移表!L:L,"计划生产",生产物料推移表!B:B,"952-078000-100")</f>
        <v>0</v>
      </c>
      <c r="AJ45">
        <f>sumifs(生产物料推移表!aj:aj,生产物料推移表!L:L,"计划生产",生产物料推移表!B:B,"952-078000-100")</f>
        <v>0</v>
      </c>
      <c r="AK45">
        <f>sumifs(生产物料推移表!ak:ak,生产物料推移表!L:L,"计划生产",生产物料推移表!B:B,"952-078000-100")</f>
        <v>0</v>
      </c>
      <c r="AL45">
        <f>sumifs(生产物料推移表!al:al,生产物料推移表!L:L,"计划生产",生产物料推移表!B:B,"952-078000-100")</f>
        <v>0</v>
      </c>
      <c r="AM45">
        <f>sumifs(生产物料推移表!am:am,生产物料推移表!L:L,"计划生产",生产物料推移表!B:B,"952-078000-100")</f>
        <v>0</v>
      </c>
      <c r="AN45">
        <f>sumifs(生产物料推移表!an:an,生产物料推移表!L:L,"计划生产",生产物料推移表!B:B,"952-078000-100")</f>
        <v>0</v>
      </c>
      <c r="AO45">
        <f>sumifs(生产物料推移表!ao:ao,生产物料推移表!L:L,"计划生产",生产物料推移表!B:B,"952-078000-100")</f>
        <v>0</v>
      </c>
      <c r="AP45">
        <f>sumifs(生产物料推移表!ap:ap,生产物料推移表!L:L,"计划生产",生产物料推移表!B:B,"952-078000-100")</f>
        <v>0</v>
      </c>
      <c r="AQ45">
        <f>sumifs(生产物料推移表!aq:aq,生产物料推移表!L:L,"计划生产",生产物料推移表!B:B,"952-078000-100")</f>
        <v>0</v>
      </c>
      <c r="AR45">
        <f>sumifs(生产物料推移表!ar:ar,生产物料推移表!L:L,"计划生产",生产物料推移表!B:B,"952-078000-100")</f>
        <v>0</v>
      </c>
      <c r="BY45">
        <f>sum(j45:an45)</f>
        <v>0</v>
      </c>
    </row>
    <row r="46" spans="1:77">
      <c r="A46" t="s">
        <v>14</v>
      </c>
      <c r="B46" t="s">
        <v>301</v>
      </c>
      <c r="C46" t="s">
        <v>302</v>
      </c>
      <c r="D46" t="s">
        <v>17</v>
      </c>
      <c r="E46">
        <v>1</v>
      </c>
      <c r="F46" t="s">
        <v>303</v>
      </c>
      <c r="K46" t="s">
        <v>20</v>
      </c>
      <c r="L46" t="s">
        <v>37</v>
      </c>
      <c r="M46">
        <f>sumifs(生产物料推移表!m:m,生产物料推移表!L:L,"计划生产",生产物料推移表!B:B,"952-055000-100")</f>
        <v>0</v>
      </c>
      <c r="N46">
        <f>sumifs(生产物料推移表!n:n,生产物料推移表!L:L,"计划生产",生产物料推移表!B:B,"952-055000-100")</f>
        <v>0</v>
      </c>
      <c r="O46">
        <f>sumifs(生产物料推移表!o:o,生产物料推移表!L:L,"计划生产",生产物料推移表!B:B,"952-055000-100")</f>
        <v>0</v>
      </c>
      <c r="P46">
        <f>sumifs(生产物料推移表!p:p,生产物料推移表!L:L,"计划生产",生产物料推移表!B:B,"952-055000-100")</f>
        <v>0</v>
      </c>
      <c r="Q46">
        <f>sumifs(生产物料推移表!q:q,生产物料推移表!L:L,"计划生产",生产物料推移表!B:B,"952-055000-100")</f>
        <v>0</v>
      </c>
      <c r="R46">
        <f>sumifs(生产物料推移表!r:r,生产物料推移表!L:L,"计划生产",生产物料推移表!B:B,"952-055000-100")</f>
        <v>0</v>
      </c>
      <c r="S46">
        <f>sumifs(生产物料推移表!s:s,生产物料推移表!L:L,"计划生产",生产物料推移表!B:B,"952-055000-100")</f>
        <v>0</v>
      </c>
      <c r="T46">
        <f>sumifs(生产物料推移表!t:t,生产物料推移表!L:L,"计划生产",生产物料推移表!B:B,"952-055000-100")</f>
        <v>0</v>
      </c>
      <c r="U46">
        <f>sumifs(生产物料推移表!u:u,生产物料推移表!L:L,"计划生产",生产物料推移表!B:B,"952-055000-100")</f>
        <v>0</v>
      </c>
      <c r="V46">
        <f>sumifs(生产物料推移表!v:v,生产物料推移表!L:L,"计划生产",生产物料推移表!B:B,"952-055000-100")</f>
        <v>0</v>
      </c>
      <c r="W46">
        <f>sumifs(生产物料推移表!w:w,生产物料推移表!L:L,"计划生产",生产物料推移表!B:B,"952-055000-100")</f>
        <v>0</v>
      </c>
      <c r="X46">
        <f>sumifs(生产物料推移表!x:x,生产物料推移表!L:L,"计划生产",生产物料推移表!B:B,"952-055000-100")</f>
        <v>0</v>
      </c>
      <c r="Y46">
        <f>sumifs(生产物料推移表!y:y,生产物料推移表!L:L,"计划生产",生产物料推移表!B:B,"952-055000-100")</f>
        <v>0</v>
      </c>
      <c r="Z46">
        <f>sumifs(生产物料推移表!z:z,生产物料推移表!L:L,"计划生产",生产物料推移表!B:B,"952-055000-100")</f>
        <v>0</v>
      </c>
      <c r="AA46">
        <f>sumifs(生产物料推移表!aa:aa,生产物料推移表!L:L,"计划生产",生产物料推移表!B:B,"952-055000-100")</f>
        <v>0</v>
      </c>
      <c r="AB46">
        <f>sumifs(生产物料推移表!ab:ab,生产物料推移表!L:L,"计划生产",生产物料推移表!B:B,"952-055000-100")</f>
        <v>0</v>
      </c>
      <c r="AC46">
        <f>sumifs(生产物料推移表!ac:ac,生产物料推移表!L:L,"计划生产",生产物料推移表!B:B,"952-055000-100")</f>
        <v>0</v>
      </c>
      <c r="AD46">
        <f>sumifs(生产物料推移表!ad:ad,生产物料推移表!L:L,"计划生产",生产物料推移表!B:B,"952-055000-100")</f>
        <v>0</v>
      </c>
      <c r="AE46">
        <f>sumifs(生产物料推移表!ae:ae,生产物料推移表!L:L,"计划生产",生产物料推移表!B:B,"952-055000-100")</f>
        <v>0</v>
      </c>
      <c r="AF46">
        <f>sumifs(生产物料推移表!af:af,生产物料推移表!L:L,"计划生产",生产物料推移表!B:B,"952-055000-100")</f>
        <v>0</v>
      </c>
      <c r="AG46">
        <f>sumifs(生产物料推移表!ag:ag,生产物料推移表!L:L,"计划生产",生产物料推移表!B:B,"952-055000-100")</f>
        <v>0</v>
      </c>
      <c r="AH46">
        <f>sumifs(生产物料推移表!ah:ah,生产物料推移表!L:L,"计划生产",生产物料推移表!B:B,"952-055000-100")</f>
        <v>0</v>
      </c>
      <c r="AI46">
        <f>sumifs(生产物料推移表!ai:ai,生产物料推移表!L:L,"计划生产",生产物料推移表!B:B,"952-055000-100")</f>
        <v>0</v>
      </c>
      <c r="AJ46">
        <f>sumifs(生产物料推移表!aj:aj,生产物料推移表!L:L,"计划生产",生产物料推移表!B:B,"952-055000-100")</f>
        <v>0</v>
      </c>
      <c r="AK46">
        <f>sumifs(生产物料推移表!ak:ak,生产物料推移表!L:L,"计划生产",生产物料推移表!B:B,"952-055000-100")</f>
        <v>0</v>
      </c>
      <c r="AL46">
        <f>sumifs(生产物料推移表!al:al,生产物料推移表!L:L,"计划生产",生产物料推移表!B:B,"952-055000-100")</f>
        <v>0</v>
      </c>
      <c r="AM46">
        <f>sumifs(生产物料推移表!am:am,生产物料推移表!L:L,"计划生产",生产物料推移表!B:B,"952-055000-100")</f>
        <v>0</v>
      </c>
      <c r="AN46">
        <f>sumifs(生产物料推移表!an:an,生产物料推移表!L:L,"计划生产",生产物料推移表!B:B,"952-055000-100")</f>
        <v>0</v>
      </c>
      <c r="AO46">
        <f>sumifs(生产物料推移表!ao:ao,生产物料推移表!L:L,"计划生产",生产物料推移表!B:B,"952-055000-100")</f>
        <v>0</v>
      </c>
      <c r="AP46">
        <f>sumifs(生产物料推移表!ap:ap,生产物料推移表!L:L,"计划生产",生产物料推移表!B:B,"952-055000-100")</f>
        <v>0</v>
      </c>
      <c r="AQ46">
        <f>sumifs(生产物料推移表!aq:aq,生产物料推移表!L:L,"计划生产",生产物料推移表!B:B,"952-055000-100")</f>
        <v>0</v>
      </c>
      <c r="AR46">
        <f>sumifs(生产物料推移表!ar:ar,生产物料推移表!L:L,"计划生产",生产物料推移表!B:B,"952-055000-100")</f>
        <v>0</v>
      </c>
      <c r="BY46">
        <f>sum(j46:an46)</f>
        <v>0</v>
      </c>
    </row>
    <row r="47" spans="1:77">
      <c r="A47" t="s">
        <v>14</v>
      </c>
      <c r="B47" t="s">
        <v>32</v>
      </c>
      <c r="C47" t="s">
        <v>33</v>
      </c>
      <c r="D47" t="s">
        <v>304</v>
      </c>
      <c r="E47">
        <v>1</v>
      </c>
      <c r="F47" t="s">
        <v>34</v>
      </c>
      <c r="K47" t="s">
        <v>305</v>
      </c>
      <c r="L47" t="s">
        <v>37</v>
      </c>
      <c r="M47">
        <f>sumifs(生产物料推移表!m:m,生产物料推移表!L:L,"计划生产",生产物料推移表!B:B,"852-229000-100")</f>
        <v>0</v>
      </c>
      <c r="N47">
        <f>sumifs(生产物料推移表!n:n,生产物料推移表!L:L,"计划生产",生产物料推移表!B:B,"852-229000-100")</f>
        <v>0</v>
      </c>
      <c r="O47">
        <f>sumifs(生产物料推移表!o:o,生产物料推移表!L:L,"计划生产",生产物料推移表!B:B,"852-229000-100")</f>
        <v>0</v>
      </c>
      <c r="P47">
        <f>sumifs(生产物料推移表!p:p,生产物料推移表!L:L,"计划生产",生产物料推移表!B:B,"852-229000-100")</f>
        <v>0</v>
      </c>
      <c r="Q47">
        <f>sumifs(生产物料推移表!q:q,生产物料推移表!L:L,"计划生产",生产物料推移表!B:B,"852-229000-100")</f>
        <v>0</v>
      </c>
      <c r="R47">
        <f>sumifs(生产物料推移表!r:r,生产物料推移表!L:L,"计划生产",生产物料推移表!B:B,"852-229000-100")</f>
        <v>0</v>
      </c>
      <c r="S47">
        <f>sumifs(生产物料推移表!s:s,生产物料推移表!L:L,"计划生产",生产物料推移表!B:B,"852-229000-100")</f>
        <v>0</v>
      </c>
      <c r="T47">
        <f>sumifs(生产物料推移表!t:t,生产物料推移表!L:L,"计划生产",生产物料推移表!B:B,"852-229000-100")</f>
        <v>0</v>
      </c>
      <c r="U47">
        <f>sumifs(生产物料推移表!u:u,生产物料推移表!L:L,"计划生产",生产物料推移表!B:B,"852-229000-100")</f>
        <v>0</v>
      </c>
      <c r="V47">
        <f>sumifs(生产物料推移表!v:v,生产物料推移表!L:L,"计划生产",生产物料推移表!B:B,"852-229000-100")</f>
        <v>0</v>
      </c>
      <c r="W47">
        <f>sumifs(生产物料推移表!w:w,生产物料推移表!L:L,"计划生产",生产物料推移表!B:B,"852-229000-100")</f>
        <v>0</v>
      </c>
      <c r="X47">
        <f>sumifs(生产物料推移表!x:x,生产物料推移表!L:L,"计划生产",生产物料推移表!B:B,"852-229000-100")</f>
        <v>0</v>
      </c>
      <c r="Y47">
        <f>sumifs(生产物料推移表!y:y,生产物料推移表!L:L,"计划生产",生产物料推移表!B:B,"852-229000-100")</f>
        <v>0</v>
      </c>
      <c r="Z47">
        <f>sumifs(生产物料推移表!z:z,生产物料推移表!L:L,"计划生产",生产物料推移表!B:B,"852-229000-100")</f>
        <v>0</v>
      </c>
      <c r="AA47">
        <f>sumifs(生产物料推移表!aa:aa,生产物料推移表!L:L,"计划生产",生产物料推移表!B:B,"852-229000-100")</f>
        <v>0</v>
      </c>
      <c r="AB47">
        <f>sumifs(生产物料推移表!ab:ab,生产物料推移表!L:L,"计划生产",生产物料推移表!B:B,"852-229000-100")</f>
        <v>0</v>
      </c>
      <c r="AC47">
        <f>sumifs(生产物料推移表!ac:ac,生产物料推移表!L:L,"计划生产",生产物料推移表!B:B,"852-229000-100")</f>
        <v>0</v>
      </c>
      <c r="AD47">
        <f>sumifs(生产物料推移表!ad:ad,生产物料推移表!L:L,"计划生产",生产物料推移表!B:B,"852-229000-100")</f>
        <v>0</v>
      </c>
      <c r="AE47">
        <f>sumifs(生产物料推移表!ae:ae,生产物料推移表!L:L,"计划生产",生产物料推移表!B:B,"852-229000-100")</f>
        <v>0</v>
      </c>
      <c r="AF47">
        <f>sumifs(生产物料推移表!af:af,生产物料推移表!L:L,"计划生产",生产物料推移表!B:B,"852-229000-100")</f>
        <v>0</v>
      </c>
      <c r="AG47">
        <f>sumifs(生产物料推移表!ag:ag,生产物料推移表!L:L,"计划生产",生产物料推移表!B:B,"852-229000-100")</f>
        <v>0</v>
      </c>
      <c r="AH47">
        <f>sumifs(生产物料推移表!ah:ah,生产物料推移表!L:L,"计划生产",生产物料推移表!B:B,"852-229000-100")</f>
        <v>0</v>
      </c>
      <c r="AI47">
        <f>sumifs(生产物料推移表!ai:ai,生产物料推移表!L:L,"计划生产",生产物料推移表!B:B,"852-229000-100")</f>
        <v>0</v>
      </c>
      <c r="AJ47">
        <f>sumifs(生产物料推移表!aj:aj,生产物料推移表!L:L,"计划生产",生产物料推移表!B:B,"852-229000-100")</f>
        <v>0</v>
      </c>
      <c r="AK47">
        <f>sumifs(生产物料推移表!ak:ak,生产物料推移表!L:L,"计划生产",生产物料推移表!B:B,"852-229000-100")</f>
        <v>0</v>
      </c>
      <c r="AL47">
        <f>sumifs(生产物料推移表!al:al,生产物料推移表!L:L,"计划生产",生产物料推移表!B:B,"852-229000-100")</f>
        <v>0</v>
      </c>
      <c r="AM47">
        <f>sumifs(生产物料推移表!am:am,生产物料推移表!L:L,"计划生产",生产物料推移表!B:B,"852-229000-100")</f>
        <v>0</v>
      </c>
      <c r="AN47">
        <f>sumifs(生产物料推移表!an:an,生产物料推移表!L:L,"计划生产",生产物料推移表!B:B,"852-229000-100")</f>
        <v>0</v>
      </c>
      <c r="AO47">
        <f>sumifs(生产物料推移表!ao:ao,生产物料推移表!L:L,"计划生产",生产物料推移表!B:B,"852-229000-100")</f>
        <v>0</v>
      </c>
      <c r="AP47">
        <f>sumifs(生产物料推移表!ap:ap,生产物料推移表!L:L,"计划生产",生产物料推移表!B:B,"852-229000-100")</f>
        <v>0</v>
      </c>
      <c r="AQ47">
        <f>sumifs(生产物料推移表!aq:aq,生产物料推移表!L:L,"计划生产",生产物料推移表!B:B,"852-229000-100")</f>
        <v>0</v>
      </c>
      <c r="AR47">
        <f>sumifs(生产物料推移表!ar:ar,生产物料推移表!L:L,"计划生产",生产物料推移表!B:B,"852-229000-100")</f>
        <v>0</v>
      </c>
      <c r="BY47">
        <f>sum(j47:an47)</f>
        <v>0</v>
      </c>
    </row>
    <row r="48" spans="1:77">
      <c r="A48" t="s">
        <v>14</v>
      </c>
      <c r="B48" t="s">
        <v>41</v>
      </c>
      <c r="C48" t="s">
        <v>42</v>
      </c>
      <c r="D48" t="s">
        <v>304</v>
      </c>
      <c r="E48">
        <v>1</v>
      </c>
      <c r="F48" t="s">
        <v>43</v>
      </c>
      <c r="K48" t="s">
        <v>305</v>
      </c>
      <c r="L48" t="s">
        <v>37</v>
      </c>
      <c r="M48">
        <f>sumifs(生产物料推移表!m:m,生产物料推移表!L:L,"计划生产",生产物料推移表!B:B,"852-229000-200")</f>
        <v>0</v>
      </c>
      <c r="N48">
        <f>sumifs(生产物料推移表!n:n,生产物料推移表!L:L,"计划生产",生产物料推移表!B:B,"852-229000-200")</f>
        <v>0</v>
      </c>
      <c r="O48">
        <f>sumifs(生产物料推移表!o:o,生产物料推移表!L:L,"计划生产",生产物料推移表!B:B,"852-229000-200")</f>
        <v>0</v>
      </c>
      <c r="P48">
        <f>sumifs(生产物料推移表!p:p,生产物料推移表!L:L,"计划生产",生产物料推移表!B:B,"852-229000-200")</f>
        <v>0</v>
      </c>
      <c r="Q48">
        <f>sumifs(生产物料推移表!q:q,生产物料推移表!L:L,"计划生产",生产物料推移表!B:B,"852-229000-200")</f>
        <v>0</v>
      </c>
      <c r="R48">
        <f>sumifs(生产物料推移表!r:r,生产物料推移表!L:L,"计划生产",生产物料推移表!B:B,"852-229000-200")</f>
        <v>0</v>
      </c>
      <c r="S48">
        <f>sumifs(生产物料推移表!s:s,生产物料推移表!L:L,"计划生产",生产物料推移表!B:B,"852-229000-200")</f>
        <v>0</v>
      </c>
      <c r="T48">
        <f>sumifs(生产物料推移表!t:t,生产物料推移表!L:L,"计划生产",生产物料推移表!B:B,"852-229000-200")</f>
        <v>0</v>
      </c>
      <c r="U48">
        <f>sumifs(生产物料推移表!u:u,生产物料推移表!L:L,"计划生产",生产物料推移表!B:B,"852-229000-200")</f>
        <v>0</v>
      </c>
      <c r="V48">
        <f>sumifs(生产物料推移表!v:v,生产物料推移表!L:L,"计划生产",生产物料推移表!B:B,"852-229000-200")</f>
        <v>0</v>
      </c>
      <c r="W48">
        <f>sumifs(生产物料推移表!w:w,生产物料推移表!L:L,"计划生产",生产物料推移表!B:B,"852-229000-200")</f>
        <v>0</v>
      </c>
      <c r="X48">
        <f>sumifs(生产物料推移表!x:x,生产物料推移表!L:L,"计划生产",生产物料推移表!B:B,"852-229000-200")</f>
        <v>0</v>
      </c>
      <c r="Y48">
        <f>sumifs(生产物料推移表!y:y,生产物料推移表!L:L,"计划生产",生产物料推移表!B:B,"852-229000-200")</f>
        <v>0</v>
      </c>
      <c r="Z48">
        <f>sumifs(生产物料推移表!z:z,生产物料推移表!L:L,"计划生产",生产物料推移表!B:B,"852-229000-200")</f>
        <v>0</v>
      </c>
      <c r="AA48">
        <f>sumifs(生产物料推移表!aa:aa,生产物料推移表!L:L,"计划生产",生产物料推移表!B:B,"852-229000-200")</f>
        <v>0</v>
      </c>
      <c r="AB48">
        <f>sumifs(生产物料推移表!ab:ab,生产物料推移表!L:L,"计划生产",生产物料推移表!B:B,"852-229000-200")</f>
        <v>0</v>
      </c>
      <c r="AC48">
        <f>sumifs(生产物料推移表!ac:ac,生产物料推移表!L:L,"计划生产",生产物料推移表!B:B,"852-229000-200")</f>
        <v>0</v>
      </c>
      <c r="AD48">
        <f>sumifs(生产物料推移表!ad:ad,生产物料推移表!L:L,"计划生产",生产物料推移表!B:B,"852-229000-200")</f>
        <v>0</v>
      </c>
      <c r="AE48">
        <f>sumifs(生产物料推移表!ae:ae,生产物料推移表!L:L,"计划生产",生产物料推移表!B:B,"852-229000-200")</f>
        <v>0</v>
      </c>
      <c r="AF48">
        <f>sumifs(生产物料推移表!af:af,生产物料推移表!L:L,"计划生产",生产物料推移表!B:B,"852-229000-200")</f>
        <v>0</v>
      </c>
      <c r="AG48">
        <f>sumifs(生产物料推移表!ag:ag,生产物料推移表!L:L,"计划生产",生产物料推移表!B:B,"852-229000-200")</f>
        <v>0</v>
      </c>
      <c r="AH48">
        <f>sumifs(生产物料推移表!ah:ah,生产物料推移表!L:L,"计划生产",生产物料推移表!B:B,"852-229000-200")</f>
        <v>0</v>
      </c>
      <c r="AI48">
        <f>sumifs(生产物料推移表!ai:ai,生产物料推移表!L:L,"计划生产",生产物料推移表!B:B,"852-229000-200")</f>
        <v>0</v>
      </c>
      <c r="AJ48">
        <f>sumifs(生产物料推移表!aj:aj,生产物料推移表!L:L,"计划生产",生产物料推移表!B:B,"852-229000-200")</f>
        <v>0</v>
      </c>
      <c r="AK48">
        <f>sumifs(生产物料推移表!ak:ak,生产物料推移表!L:L,"计划生产",生产物料推移表!B:B,"852-229000-200")</f>
        <v>0</v>
      </c>
      <c r="AL48">
        <f>sumifs(生产物料推移表!al:al,生产物料推移表!L:L,"计划生产",生产物料推移表!B:B,"852-229000-200")</f>
        <v>0</v>
      </c>
      <c r="AM48">
        <f>sumifs(生产物料推移表!am:am,生产物料推移表!L:L,"计划生产",生产物料推移表!B:B,"852-229000-200")</f>
        <v>0</v>
      </c>
      <c r="AN48">
        <f>sumifs(生产物料推移表!an:an,生产物料推移表!L:L,"计划生产",生产物料推移表!B:B,"852-229000-200")</f>
        <v>0</v>
      </c>
      <c r="AO48">
        <f>sumifs(生产物料推移表!ao:ao,生产物料推移表!L:L,"计划生产",生产物料推移表!B:B,"852-229000-200")</f>
        <v>0</v>
      </c>
      <c r="AP48">
        <f>sumifs(生产物料推移表!ap:ap,生产物料推移表!L:L,"计划生产",生产物料推移表!B:B,"852-229000-200")</f>
        <v>0</v>
      </c>
      <c r="AQ48">
        <f>sumifs(生产物料推移表!aq:aq,生产物料推移表!L:L,"计划生产",生产物料推移表!B:B,"852-229000-200")</f>
        <v>0</v>
      </c>
      <c r="AR48">
        <f>sumifs(生产物料推移表!ar:ar,生产物料推移表!L:L,"计划生产",生产物料推移表!B:B,"852-229000-200")</f>
        <v>0</v>
      </c>
      <c r="BY48">
        <f>sum(j48:an48)</f>
        <v>0</v>
      </c>
    </row>
    <row r="49" spans="1:77">
      <c r="A49" t="s">
        <v>14</v>
      </c>
      <c r="B49" t="s">
        <v>50</v>
      </c>
      <c r="C49" t="s">
        <v>51</v>
      </c>
      <c r="D49" t="s">
        <v>27</v>
      </c>
      <c r="E49">
        <v>1</v>
      </c>
      <c r="F49" t="s">
        <v>52</v>
      </c>
      <c r="K49" t="s">
        <v>305</v>
      </c>
      <c r="L49" t="s">
        <v>37</v>
      </c>
      <c r="M49">
        <f>sumifs(生产物料推移表!m:m,生产物料推移表!L:L,"计划生产",生产物料推移表!B:B,"852-230000-100")</f>
        <v>0</v>
      </c>
      <c r="N49">
        <f>sumifs(生产物料推移表!n:n,生产物料推移表!L:L,"计划生产",生产物料推移表!B:B,"852-230000-100")</f>
        <v>0</v>
      </c>
      <c r="O49">
        <f>sumifs(生产物料推移表!o:o,生产物料推移表!L:L,"计划生产",生产物料推移表!B:B,"852-230000-100")</f>
        <v>0</v>
      </c>
      <c r="P49">
        <f>sumifs(生产物料推移表!p:p,生产物料推移表!L:L,"计划生产",生产物料推移表!B:B,"852-230000-100")</f>
        <v>0</v>
      </c>
      <c r="Q49">
        <f>sumifs(生产物料推移表!q:q,生产物料推移表!L:L,"计划生产",生产物料推移表!B:B,"852-230000-100")</f>
        <v>0</v>
      </c>
      <c r="R49">
        <f>sumifs(生产物料推移表!r:r,生产物料推移表!L:L,"计划生产",生产物料推移表!B:B,"852-230000-100")</f>
        <v>0</v>
      </c>
      <c r="S49">
        <f>sumifs(生产物料推移表!s:s,生产物料推移表!L:L,"计划生产",生产物料推移表!B:B,"852-230000-100")</f>
        <v>0</v>
      </c>
      <c r="T49">
        <f>sumifs(生产物料推移表!t:t,生产物料推移表!L:L,"计划生产",生产物料推移表!B:B,"852-230000-100")</f>
        <v>0</v>
      </c>
      <c r="U49">
        <f>sumifs(生产物料推移表!u:u,生产物料推移表!L:L,"计划生产",生产物料推移表!B:B,"852-230000-100")</f>
        <v>0</v>
      </c>
      <c r="V49">
        <f>sumifs(生产物料推移表!v:v,生产物料推移表!L:L,"计划生产",生产物料推移表!B:B,"852-230000-100")</f>
        <v>0</v>
      </c>
      <c r="W49">
        <f>sumifs(生产物料推移表!w:w,生产物料推移表!L:L,"计划生产",生产物料推移表!B:B,"852-230000-100")</f>
        <v>0</v>
      </c>
      <c r="X49">
        <f>sumifs(生产物料推移表!x:x,生产物料推移表!L:L,"计划生产",生产物料推移表!B:B,"852-230000-100")</f>
        <v>0</v>
      </c>
      <c r="Y49">
        <f>sumifs(生产物料推移表!y:y,生产物料推移表!L:L,"计划生产",生产物料推移表!B:B,"852-230000-100")</f>
        <v>0</v>
      </c>
      <c r="Z49">
        <f>sumifs(生产物料推移表!z:z,生产物料推移表!L:L,"计划生产",生产物料推移表!B:B,"852-230000-100")</f>
        <v>0</v>
      </c>
      <c r="AA49">
        <f>sumifs(生产物料推移表!aa:aa,生产物料推移表!L:L,"计划生产",生产物料推移表!B:B,"852-230000-100")</f>
        <v>0</v>
      </c>
      <c r="AB49">
        <f>sumifs(生产物料推移表!ab:ab,生产物料推移表!L:L,"计划生产",生产物料推移表!B:B,"852-230000-100")</f>
        <v>0</v>
      </c>
      <c r="AC49">
        <f>sumifs(生产物料推移表!ac:ac,生产物料推移表!L:L,"计划生产",生产物料推移表!B:B,"852-230000-100")</f>
        <v>0</v>
      </c>
      <c r="AD49">
        <f>sumifs(生产物料推移表!ad:ad,生产物料推移表!L:L,"计划生产",生产物料推移表!B:B,"852-230000-100")</f>
        <v>0</v>
      </c>
      <c r="AE49">
        <f>sumifs(生产物料推移表!ae:ae,生产物料推移表!L:L,"计划生产",生产物料推移表!B:B,"852-230000-100")</f>
        <v>0</v>
      </c>
      <c r="AF49">
        <f>sumifs(生产物料推移表!af:af,生产物料推移表!L:L,"计划生产",生产物料推移表!B:B,"852-230000-100")</f>
        <v>0</v>
      </c>
      <c r="AG49">
        <f>sumifs(生产物料推移表!ag:ag,生产物料推移表!L:L,"计划生产",生产物料推移表!B:B,"852-230000-100")</f>
        <v>0</v>
      </c>
      <c r="AH49">
        <f>sumifs(生产物料推移表!ah:ah,生产物料推移表!L:L,"计划生产",生产物料推移表!B:B,"852-230000-100")</f>
        <v>0</v>
      </c>
      <c r="AI49">
        <f>sumifs(生产物料推移表!ai:ai,生产物料推移表!L:L,"计划生产",生产物料推移表!B:B,"852-230000-100")</f>
        <v>0</v>
      </c>
      <c r="AJ49">
        <f>sumifs(生产物料推移表!aj:aj,生产物料推移表!L:L,"计划生产",生产物料推移表!B:B,"852-230000-100")</f>
        <v>0</v>
      </c>
      <c r="AK49">
        <f>sumifs(生产物料推移表!ak:ak,生产物料推移表!L:L,"计划生产",生产物料推移表!B:B,"852-230000-100")</f>
        <v>0</v>
      </c>
      <c r="AL49">
        <f>sumifs(生产物料推移表!al:al,生产物料推移表!L:L,"计划生产",生产物料推移表!B:B,"852-230000-100")</f>
        <v>0</v>
      </c>
      <c r="AM49">
        <f>sumifs(生产物料推移表!am:am,生产物料推移表!L:L,"计划生产",生产物料推移表!B:B,"852-230000-100")</f>
        <v>0</v>
      </c>
      <c r="AN49">
        <f>sumifs(生产物料推移表!an:an,生产物料推移表!L:L,"计划生产",生产物料推移表!B:B,"852-230000-100")</f>
        <v>0</v>
      </c>
      <c r="AO49">
        <f>sumifs(生产物料推移表!ao:ao,生产物料推移表!L:L,"计划生产",生产物料推移表!B:B,"852-230000-100")</f>
        <v>0</v>
      </c>
      <c r="AP49">
        <f>sumifs(生产物料推移表!ap:ap,生产物料推移表!L:L,"计划生产",生产物料推移表!B:B,"852-230000-100")</f>
        <v>0</v>
      </c>
      <c r="AQ49">
        <f>sumifs(生产物料推移表!aq:aq,生产物料推移表!L:L,"计划生产",生产物料推移表!B:B,"852-230000-100")</f>
        <v>0</v>
      </c>
      <c r="AR49">
        <f>sumifs(生产物料推移表!ar:ar,生产物料推移表!L:L,"计划生产",生产物料推移表!B:B,"852-230000-100")</f>
        <v>0</v>
      </c>
      <c r="BY49">
        <f>sum(j49:an49)</f>
        <v>0</v>
      </c>
    </row>
    <row r="50" spans="1:77">
      <c r="A50" t="s">
        <v>14</v>
      </c>
      <c r="B50" t="s">
        <v>53</v>
      </c>
      <c r="C50" t="s">
        <v>54</v>
      </c>
      <c r="D50" t="s">
        <v>17</v>
      </c>
      <c r="E50">
        <v>1</v>
      </c>
      <c r="F50" t="s">
        <v>55</v>
      </c>
      <c r="K50" t="s">
        <v>305</v>
      </c>
      <c r="L50" t="s">
        <v>37</v>
      </c>
      <c r="M50">
        <f>sumifs(生产物料推移表!m:m,生产物料推移表!L:L,"计划生产",生产物料推移表!B:B,"852-231000-110")</f>
        <v>0</v>
      </c>
      <c r="N50">
        <f>sumifs(生产物料推移表!n:n,生产物料推移表!L:L,"计划生产",生产物料推移表!B:B,"852-231000-110")</f>
        <v>0</v>
      </c>
      <c r="O50">
        <f>sumifs(生产物料推移表!o:o,生产物料推移表!L:L,"计划生产",生产物料推移表!B:B,"852-231000-110")</f>
        <v>0</v>
      </c>
      <c r="P50">
        <f>sumifs(生产物料推移表!p:p,生产物料推移表!L:L,"计划生产",生产物料推移表!B:B,"852-231000-110")</f>
        <v>0</v>
      </c>
      <c r="Q50">
        <f>sumifs(生产物料推移表!q:q,生产物料推移表!L:L,"计划生产",生产物料推移表!B:B,"852-231000-110")</f>
        <v>0</v>
      </c>
      <c r="R50">
        <f>sumifs(生产物料推移表!r:r,生产物料推移表!L:L,"计划生产",生产物料推移表!B:B,"852-231000-110")</f>
        <v>0</v>
      </c>
      <c r="S50">
        <f>sumifs(生产物料推移表!s:s,生产物料推移表!L:L,"计划生产",生产物料推移表!B:B,"852-231000-110")</f>
        <v>0</v>
      </c>
      <c r="T50">
        <f>sumifs(生产物料推移表!t:t,生产物料推移表!L:L,"计划生产",生产物料推移表!B:B,"852-231000-110")</f>
        <v>0</v>
      </c>
      <c r="U50">
        <f>sumifs(生产物料推移表!u:u,生产物料推移表!L:L,"计划生产",生产物料推移表!B:B,"852-231000-110")</f>
        <v>0</v>
      </c>
      <c r="V50">
        <f>sumifs(生产物料推移表!v:v,生产物料推移表!L:L,"计划生产",生产物料推移表!B:B,"852-231000-110")</f>
        <v>0</v>
      </c>
      <c r="W50">
        <f>sumifs(生产物料推移表!w:w,生产物料推移表!L:L,"计划生产",生产物料推移表!B:B,"852-231000-110")</f>
        <v>0</v>
      </c>
      <c r="X50">
        <f>sumifs(生产物料推移表!x:x,生产物料推移表!L:L,"计划生产",生产物料推移表!B:B,"852-231000-110")</f>
        <v>0</v>
      </c>
      <c r="Y50">
        <f>sumifs(生产物料推移表!y:y,生产物料推移表!L:L,"计划生产",生产物料推移表!B:B,"852-231000-110")</f>
        <v>0</v>
      </c>
      <c r="Z50">
        <f>sumifs(生产物料推移表!z:z,生产物料推移表!L:L,"计划生产",生产物料推移表!B:B,"852-231000-110")</f>
        <v>0</v>
      </c>
      <c r="AA50">
        <f>sumifs(生产物料推移表!aa:aa,生产物料推移表!L:L,"计划生产",生产物料推移表!B:B,"852-231000-110")</f>
        <v>0</v>
      </c>
      <c r="AB50">
        <f>sumifs(生产物料推移表!ab:ab,生产物料推移表!L:L,"计划生产",生产物料推移表!B:B,"852-231000-110")</f>
        <v>0</v>
      </c>
      <c r="AC50">
        <f>sumifs(生产物料推移表!ac:ac,生产物料推移表!L:L,"计划生产",生产物料推移表!B:B,"852-231000-110")</f>
        <v>0</v>
      </c>
      <c r="AD50">
        <f>sumifs(生产物料推移表!ad:ad,生产物料推移表!L:L,"计划生产",生产物料推移表!B:B,"852-231000-110")</f>
        <v>0</v>
      </c>
      <c r="AE50">
        <f>sumifs(生产物料推移表!ae:ae,生产物料推移表!L:L,"计划生产",生产物料推移表!B:B,"852-231000-110")</f>
        <v>0</v>
      </c>
      <c r="AF50">
        <f>sumifs(生产物料推移表!af:af,生产物料推移表!L:L,"计划生产",生产物料推移表!B:B,"852-231000-110")</f>
        <v>0</v>
      </c>
      <c r="AG50">
        <f>sumifs(生产物料推移表!ag:ag,生产物料推移表!L:L,"计划生产",生产物料推移表!B:B,"852-231000-110")</f>
        <v>0</v>
      </c>
      <c r="AH50">
        <f>sumifs(生产物料推移表!ah:ah,生产物料推移表!L:L,"计划生产",生产物料推移表!B:B,"852-231000-110")</f>
        <v>0</v>
      </c>
      <c r="AI50">
        <f>sumifs(生产物料推移表!ai:ai,生产物料推移表!L:L,"计划生产",生产物料推移表!B:B,"852-231000-110")</f>
        <v>0</v>
      </c>
      <c r="AJ50">
        <f>sumifs(生产物料推移表!aj:aj,生产物料推移表!L:L,"计划生产",生产物料推移表!B:B,"852-231000-110")</f>
        <v>0</v>
      </c>
      <c r="AK50">
        <f>sumifs(生产物料推移表!ak:ak,生产物料推移表!L:L,"计划生产",生产物料推移表!B:B,"852-231000-110")</f>
        <v>0</v>
      </c>
      <c r="AL50">
        <f>sumifs(生产物料推移表!al:al,生产物料推移表!L:L,"计划生产",生产物料推移表!B:B,"852-231000-110")</f>
        <v>0</v>
      </c>
      <c r="AM50">
        <f>sumifs(生产物料推移表!am:am,生产物料推移表!L:L,"计划生产",生产物料推移表!B:B,"852-231000-110")</f>
        <v>0</v>
      </c>
      <c r="AN50">
        <f>sumifs(生产物料推移表!an:an,生产物料推移表!L:L,"计划生产",生产物料推移表!B:B,"852-231000-110")</f>
        <v>0</v>
      </c>
      <c r="AO50">
        <f>sumifs(生产物料推移表!ao:ao,生产物料推移表!L:L,"计划生产",生产物料推移表!B:B,"852-231000-110")</f>
        <v>0</v>
      </c>
      <c r="AP50">
        <f>sumifs(生产物料推移表!ap:ap,生产物料推移表!L:L,"计划生产",生产物料推移表!B:B,"852-231000-110")</f>
        <v>0</v>
      </c>
      <c r="AQ50">
        <f>sumifs(生产物料推移表!aq:aq,生产物料推移表!L:L,"计划生产",生产物料推移表!B:B,"852-231000-110")</f>
        <v>0</v>
      </c>
      <c r="AR50">
        <f>sumifs(生产物料推移表!ar:ar,生产物料推移表!L:L,"计划生产",生产物料推移表!B:B,"852-231000-110")</f>
        <v>0</v>
      </c>
      <c r="BY50">
        <f>sum(j50:an50)</f>
        <v>0</v>
      </c>
    </row>
    <row r="51" spans="1:77">
      <c r="A51" t="s">
        <v>14</v>
      </c>
      <c r="B51" t="s">
        <v>56</v>
      </c>
      <c r="C51" t="s">
        <v>57</v>
      </c>
      <c r="D51" t="s">
        <v>304</v>
      </c>
      <c r="E51" t="s">
        <v>36</v>
      </c>
      <c r="F51" t="s">
        <v>58</v>
      </c>
      <c r="K51" t="s">
        <v>305</v>
      </c>
      <c r="L51" t="s">
        <v>37</v>
      </c>
      <c r="M51">
        <f>sumifs(生产物料推移表!m:m,生产物料推移表!L:L,"计划生产",生产物料推移表!B:B,"852-231000-100")</f>
        <v>0</v>
      </c>
      <c r="N51">
        <f>sumifs(生产物料推移表!n:n,生产物料推移表!L:L,"计划生产",生产物料推移表!B:B,"852-231000-100")</f>
        <v>0</v>
      </c>
      <c r="O51">
        <f>sumifs(生产物料推移表!o:o,生产物料推移表!L:L,"计划生产",生产物料推移表!B:B,"852-231000-100")</f>
        <v>0</v>
      </c>
      <c r="P51">
        <f>sumifs(生产物料推移表!p:p,生产物料推移表!L:L,"计划生产",生产物料推移表!B:B,"852-231000-100")</f>
        <v>0</v>
      </c>
      <c r="Q51">
        <f>sumifs(生产物料推移表!q:q,生产物料推移表!L:L,"计划生产",生产物料推移表!B:B,"852-231000-100")</f>
        <v>0</v>
      </c>
      <c r="R51">
        <f>sumifs(生产物料推移表!r:r,生产物料推移表!L:L,"计划生产",生产物料推移表!B:B,"852-231000-100")</f>
        <v>0</v>
      </c>
      <c r="S51">
        <f>sumifs(生产物料推移表!s:s,生产物料推移表!L:L,"计划生产",生产物料推移表!B:B,"852-231000-100")</f>
        <v>0</v>
      </c>
      <c r="T51">
        <f>sumifs(生产物料推移表!t:t,生产物料推移表!L:L,"计划生产",生产物料推移表!B:B,"852-231000-100")</f>
        <v>0</v>
      </c>
      <c r="U51">
        <f>sumifs(生产物料推移表!u:u,生产物料推移表!L:L,"计划生产",生产物料推移表!B:B,"852-231000-100")</f>
        <v>0</v>
      </c>
      <c r="V51">
        <f>sumifs(生产物料推移表!v:v,生产物料推移表!L:L,"计划生产",生产物料推移表!B:B,"852-231000-100")</f>
        <v>0</v>
      </c>
      <c r="W51">
        <f>sumifs(生产物料推移表!w:w,生产物料推移表!L:L,"计划生产",生产物料推移表!B:B,"852-231000-100")</f>
        <v>0</v>
      </c>
      <c r="X51">
        <f>sumifs(生产物料推移表!x:x,生产物料推移表!L:L,"计划生产",生产物料推移表!B:B,"852-231000-100")</f>
        <v>0</v>
      </c>
      <c r="Y51">
        <f>sumifs(生产物料推移表!y:y,生产物料推移表!L:L,"计划生产",生产物料推移表!B:B,"852-231000-100")</f>
        <v>0</v>
      </c>
      <c r="Z51">
        <f>sumifs(生产物料推移表!z:z,生产物料推移表!L:L,"计划生产",生产物料推移表!B:B,"852-231000-100")</f>
        <v>0</v>
      </c>
      <c r="AA51">
        <f>sumifs(生产物料推移表!aa:aa,生产物料推移表!L:L,"计划生产",生产物料推移表!B:B,"852-231000-100")</f>
        <v>0</v>
      </c>
      <c r="AB51">
        <f>sumifs(生产物料推移表!ab:ab,生产物料推移表!L:L,"计划生产",生产物料推移表!B:B,"852-231000-100")</f>
        <v>0</v>
      </c>
      <c r="AC51">
        <f>sumifs(生产物料推移表!ac:ac,生产物料推移表!L:L,"计划生产",生产物料推移表!B:B,"852-231000-100")</f>
        <v>0</v>
      </c>
      <c r="AD51">
        <f>sumifs(生产物料推移表!ad:ad,生产物料推移表!L:L,"计划生产",生产物料推移表!B:B,"852-231000-100")</f>
        <v>0</v>
      </c>
      <c r="AE51">
        <f>sumifs(生产物料推移表!ae:ae,生产物料推移表!L:L,"计划生产",生产物料推移表!B:B,"852-231000-100")</f>
        <v>0</v>
      </c>
      <c r="AF51">
        <f>sumifs(生产物料推移表!af:af,生产物料推移表!L:L,"计划生产",生产物料推移表!B:B,"852-231000-100")</f>
        <v>0</v>
      </c>
      <c r="AG51">
        <f>sumifs(生产物料推移表!ag:ag,生产物料推移表!L:L,"计划生产",生产物料推移表!B:B,"852-231000-100")</f>
        <v>0</v>
      </c>
      <c r="AH51">
        <f>sumifs(生产物料推移表!ah:ah,生产物料推移表!L:L,"计划生产",生产物料推移表!B:B,"852-231000-100")</f>
        <v>0</v>
      </c>
      <c r="AI51">
        <f>sumifs(生产物料推移表!ai:ai,生产物料推移表!L:L,"计划生产",生产物料推移表!B:B,"852-231000-100")</f>
        <v>0</v>
      </c>
      <c r="AJ51">
        <f>sumifs(生产物料推移表!aj:aj,生产物料推移表!L:L,"计划生产",生产物料推移表!B:B,"852-231000-100")</f>
        <v>0</v>
      </c>
      <c r="AK51">
        <f>sumifs(生产物料推移表!ak:ak,生产物料推移表!L:L,"计划生产",生产物料推移表!B:B,"852-231000-100")</f>
        <v>0</v>
      </c>
      <c r="AL51">
        <f>sumifs(生产物料推移表!al:al,生产物料推移表!L:L,"计划生产",生产物料推移表!B:B,"852-231000-100")</f>
        <v>0</v>
      </c>
      <c r="AM51">
        <f>sumifs(生产物料推移表!am:am,生产物料推移表!L:L,"计划生产",生产物料推移表!B:B,"852-231000-100")</f>
        <v>0</v>
      </c>
      <c r="AN51">
        <f>sumifs(生产物料推移表!an:an,生产物料推移表!L:L,"计划生产",生产物料推移表!B:B,"852-231000-100")</f>
        <v>0</v>
      </c>
      <c r="AO51">
        <f>sumifs(生产物料推移表!ao:ao,生产物料推移表!L:L,"计划生产",生产物料推移表!B:B,"852-231000-100")</f>
        <v>0</v>
      </c>
      <c r="AP51">
        <f>sumifs(生产物料推移表!ap:ap,生产物料推移表!L:L,"计划生产",生产物料推移表!B:B,"852-231000-100")</f>
        <v>0</v>
      </c>
      <c r="AQ51">
        <f>sumifs(生产物料推移表!aq:aq,生产物料推移表!L:L,"计划生产",生产物料推移表!B:B,"852-231000-100")</f>
        <v>0</v>
      </c>
      <c r="AR51">
        <f>sumifs(生产物料推移表!ar:ar,生产物料推移表!L:L,"计划生产",生产物料推移表!B:B,"852-231000-100")</f>
        <v>0</v>
      </c>
      <c r="BY51">
        <f>sum(j51:an51)</f>
        <v>0</v>
      </c>
    </row>
    <row r="52" spans="1:77">
      <c r="A52" t="s">
        <v>14</v>
      </c>
      <c r="B52" t="s">
        <v>62</v>
      </c>
      <c r="C52" t="s">
        <v>63</v>
      </c>
      <c r="D52" t="s">
        <v>304</v>
      </c>
      <c r="E52">
        <v>1</v>
      </c>
      <c r="F52" t="s">
        <v>64</v>
      </c>
      <c r="K52" t="s">
        <v>305</v>
      </c>
      <c r="L52" t="s">
        <v>37</v>
      </c>
      <c r="M52">
        <f>sumifs(生产物料推移表!m:m,生产物料推移表!L:L,"计划生产",生产物料推移表!B:B,"852-232000-100")</f>
        <v>0</v>
      </c>
      <c r="N52">
        <f>sumifs(生产物料推移表!n:n,生产物料推移表!L:L,"计划生产",生产物料推移表!B:B,"852-232000-100")</f>
        <v>0</v>
      </c>
      <c r="O52">
        <f>sumifs(生产物料推移表!o:o,生产物料推移表!L:L,"计划生产",生产物料推移表!B:B,"852-232000-100")</f>
        <v>0</v>
      </c>
      <c r="P52">
        <f>sumifs(生产物料推移表!p:p,生产物料推移表!L:L,"计划生产",生产物料推移表!B:B,"852-232000-100")</f>
        <v>0</v>
      </c>
      <c r="Q52">
        <f>sumifs(生产物料推移表!q:q,生产物料推移表!L:L,"计划生产",生产物料推移表!B:B,"852-232000-100")</f>
        <v>0</v>
      </c>
      <c r="R52">
        <f>sumifs(生产物料推移表!r:r,生产物料推移表!L:L,"计划生产",生产物料推移表!B:B,"852-232000-100")</f>
        <v>0</v>
      </c>
      <c r="S52">
        <f>sumifs(生产物料推移表!s:s,生产物料推移表!L:L,"计划生产",生产物料推移表!B:B,"852-232000-100")</f>
        <v>0</v>
      </c>
      <c r="T52">
        <f>sumifs(生产物料推移表!t:t,生产物料推移表!L:L,"计划生产",生产物料推移表!B:B,"852-232000-100")</f>
        <v>0</v>
      </c>
      <c r="U52">
        <f>sumifs(生产物料推移表!u:u,生产物料推移表!L:L,"计划生产",生产物料推移表!B:B,"852-232000-100")</f>
        <v>0</v>
      </c>
      <c r="V52">
        <f>sumifs(生产物料推移表!v:v,生产物料推移表!L:L,"计划生产",生产物料推移表!B:B,"852-232000-100")</f>
        <v>0</v>
      </c>
      <c r="W52">
        <f>sumifs(生产物料推移表!w:w,生产物料推移表!L:L,"计划生产",生产物料推移表!B:B,"852-232000-100")</f>
        <v>0</v>
      </c>
      <c r="X52">
        <f>sumifs(生产物料推移表!x:x,生产物料推移表!L:L,"计划生产",生产物料推移表!B:B,"852-232000-100")</f>
        <v>0</v>
      </c>
      <c r="Y52">
        <f>sumifs(生产物料推移表!y:y,生产物料推移表!L:L,"计划生产",生产物料推移表!B:B,"852-232000-100")</f>
        <v>0</v>
      </c>
      <c r="Z52">
        <f>sumifs(生产物料推移表!z:z,生产物料推移表!L:L,"计划生产",生产物料推移表!B:B,"852-232000-100")</f>
        <v>0</v>
      </c>
      <c r="AA52">
        <f>sumifs(生产物料推移表!aa:aa,生产物料推移表!L:L,"计划生产",生产物料推移表!B:B,"852-232000-100")</f>
        <v>0</v>
      </c>
      <c r="AB52">
        <f>sumifs(生产物料推移表!ab:ab,生产物料推移表!L:L,"计划生产",生产物料推移表!B:B,"852-232000-100")</f>
        <v>0</v>
      </c>
      <c r="AC52">
        <f>sumifs(生产物料推移表!ac:ac,生产物料推移表!L:L,"计划生产",生产物料推移表!B:B,"852-232000-100")</f>
        <v>0</v>
      </c>
      <c r="AD52">
        <f>sumifs(生产物料推移表!ad:ad,生产物料推移表!L:L,"计划生产",生产物料推移表!B:B,"852-232000-100")</f>
        <v>0</v>
      </c>
      <c r="AE52">
        <f>sumifs(生产物料推移表!ae:ae,生产物料推移表!L:L,"计划生产",生产物料推移表!B:B,"852-232000-100")</f>
        <v>0</v>
      </c>
      <c r="AF52">
        <f>sumifs(生产物料推移表!af:af,生产物料推移表!L:L,"计划生产",生产物料推移表!B:B,"852-232000-100")</f>
        <v>0</v>
      </c>
      <c r="AG52">
        <f>sumifs(生产物料推移表!ag:ag,生产物料推移表!L:L,"计划生产",生产物料推移表!B:B,"852-232000-100")</f>
        <v>0</v>
      </c>
      <c r="AH52">
        <f>sumifs(生产物料推移表!ah:ah,生产物料推移表!L:L,"计划生产",生产物料推移表!B:B,"852-232000-100")</f>
        <v>0</v>
      </c>
      <c r="AI52">
        <f>sumifs(生产物料推移表!ai:ai,生产物料推移表!L:L,"计划生产",生产物料推移表!B:B,"852-232000-100")</f>
        <v>0</v>
      </c>
      <c r="AJ52">
        <f>sumifs(生产物料推移表!aj:aj,生产物料推移表!L:L,"计划生产",生产物料推移表!B:B,"852-232000-100")</f>
        <v>0</v>
      </c>
      <c r="AK52">
        <f>sumifs(生产物料推移表!ak:ak,生产物料推移表!L:L,"计划生产",生产物料推移表!B:B,"852-232000-100")</f>
        <v>0</v>
      </c>
      <c r="AL52">
        <f>sumifs(生产物料推移表!al:al,生产物料推移表!L:L,"计划生产",生产物料推移表!B:B,"852-232000-100")</f>
        <v>0</v>
      </c>
      <c r="AM52">
        <f>sumifs(生产物料推移表!am:am,生产物料推移表!L:L,"计划生产",生产物料推移表!B:B,"852-232000-100")</f>
        <v>0</v>
      </c>
      <c r="AN52">
        <f>sumifs(生产物料推移表!an:an,生产物料推移表!L:L,"计划生产",生产物料推移表!B:B,"852-232000-100")</f>
        <v>0</v>
      </c>
      <c r="AO52">
        <f>sumifs(生产物料推移表!ao:ao,生产物料推移表!L:L,"计划生产",生产物料推移表!B:B,"852-232000-100")</f>
        <v>0</v>
      </c>
      <c r="AP52">
        <f>sumifs(生产物料推移表!ap:ap,生产物料推移表!L:L,"计划生产",生产物料推移表!B:B,"852-232000-100")</f>
        <v>0</v>
      </c>
      <c r="AQ52">
        <f>sumifs(生产物料推移表!aq:aq,生产物料推移表!L:L,"计划生产",生产物料推移表!B:B,"852-232000-100")</f>
        <v>0</v>
      </c>
      <c r="AR52">
        <f>sumifs(生产物料推移表!ar:ar,生产物料推移表!L:L,"计划生产",生产物料推移表!B:B,"852-232000-100")</f>
        <v>0</v>
      </c>
      <c r="BY52">
        <f>sum(j52:an52)</f>
        <v>0</v>
      </c>
    </row>
    <row r="53" spans="1:77">
      <c r="A53" t="s">
        <v>14</v>
      </c>
      <c r="B53" t="s">
        <v>65</v>
      </c>
      <c r="C53" t="s">
        <v>66</v>
      </c>
      <c r="D53" t="s">
        <v>256</v>
      </c>
      <c r="E53">
        <v>1</v>
      </c>
      <c r="F53" t="s">
        <v>68</v>
      </c>
      <c r="K53" t="s">
        <v>305</v>
      </c>
      <c r="L53" t="s">
        <v>37</v>
      </c>
      <c r="M53">
        <f>sumifs(生产物料推移表!m:m,生产物料推移表!L:L,"计划生产",生产物料推移表!B:B,"852-233000-100")</f>
        <v>0</v>
      </c>
      <c r="N53">
        <f>sumifs(生产物料推移表!n:n,生产物料推移表!L:L,"计划生产",生产物料推移表!B:B,"852-233000-100")</f>
        <v>0</v>
      </c>
      <c r="O53">
        <f>sumifs(生产物料推移表!o:o,生产物料推移表!L:L,"计划生产",生产物料推移表!B:B,"852-233000-100")</f>
        <v>0</v>
      </c>
      <c r="P53">
        <f>sumifs(生产物料推移表!p:p,生产物料推移表!L:L,"计划生产",生产物料推移表!B:B,"852-233000-100")</f>
        <v>0</v>
      </c>
      <c r="Q53">
        <f>sumifs(生产物料推移表!q:q,生产物料推移表!L:L,"计划生产",生产物料推移表!B:B,"852-233000-100")</f>
        <v>0</v>
      </c>
      <c r="R53">
        <f>sumifs(生产物料推移表!r:r,生产物料推移表!L:L,"计划生产",生产物料推移表!B:B,"852-233000-100")</f>
        <v>0</v>
      </c>
      <c r="S53">
        <f>sumifs(生产物料推移表!s:s,生产物料推移表!L:L,"计划生产",生产物料推移表!B:B,"852-233000-100")</f>
        <v>0</v>
      </c>
      <c r="T53">
        <f>sumifs(生产物料推移表!t:t,生产物料推移表!L:L,"计划生产",生产物料推移表!B:B,"852-233000-100")</f>
        <v>0</v>
      </c>
      <c r="U53">
        <f>sumifs(生产物料推移表!u:u,生产物料推移表!L:L,"计划生产",生产物料推移表!B:B,"852-233000-100")</f>
        <v>0</v>
      </c>
      <c r="V53">
        <f>sumifs(生产物料推移表!v:v,生产物料推移表!L:L,"计划生产",生产物料推移表!B:B,"852-233000-100")</f>
        <v>0</v>
      </c>
      <c r="W53">
        <f>sumifs(生产物料推移表!w:w,生产物料推移表!L:L,"计划生产",生产物料推移表!B:B,"852-233000-100")</f>
        <v>0</v>
      </c>
      <c r="X53">
        <f>sumifs(生产物料推移表!x:x,生产物料推移表!L:L,"计划生产",生产物料推移表!B:B,"852-233000-100")</f>
        <v>0</v>
      </c>
      <c r="Y53">
        <f>sumifs(生产物料推移表!y:y,生产物料推移表!L:L,"计划生产",生产物料推移表!B:B,"852-233000-100")</f>
        <v>0</v>
      </c>
      <c r="Z53">
        <f>sumifs(生产物料推移表!z:z,生产物料推移表!L:L,"计划生产",生产物料推移表!B:B,"852-233000-100")</f>
        <v>0</v>
      </c>
      <c r="AA53">
        <f>sumifs(生产物料推移表!aa:aa,生产物料推移表!L:L,"计划生产",生产物料推移表!B:B,"852-233000-100")</f>
        <v>0</v>
      </c>
      <c r="AB53">
        <f>sumifs(生产物料推移表!ab:ab,生产物料推移表!L:L,"计划生产",生产物料推移表!B:B,"852-233000-100")</f>
        <v>0</v>
      </c>
      <c r="AC53">
        <f>sumifs(生产物料推移表!ac:ac,生产物料推移表!L:L,"计划生产",生产物料推移表!B:B,"852-233000-100")</f>
        <v>0</v>
      </c>
      <c r="AD53">
        <f>sumifs(生产物料推移表!ad:ad,生产物料推移表!L:L,"计划生产",生产物料推移表!B:B,"852-233000-100")</f>
        <v>0</v>
      </c>
      <c r="AE53">
        <f>sumifs(生产物料推移表!ae:ae,生产物料推移表!L:L,"计划生产",生产物料推移表!B:B,"852-233000-100")</f>
        <v>0</v>
      </c>
      <c r="AF53">
        <f>sumifs(生产物料推移表!af:af,生产物料推移表!L:L,"计划生产",生产物料推移表!B:B,"852-233000-100")</f>
        <v>0</v>
      </c>
      <c r="AG53">
        <f>sumifs(生产物料推移表!ag:ag,生产物料推移表!L:L,"计划生产",生产物料推移表!B:B,"852-233000-100")</f>
        <v>0</v>
      </c>
      <c r="AH53">
        <f>sumifs(生产物料推移表!ah:ah,生产物料推移表!L:L,"计划生产",生产物料推移表!B:B,"852-233000-100")</f>
        <v>0</v>
      </c>
      <c r="AI53">
        <f>sumifs(生产物料推移表!ai:ai,生产物料推移表!L:L,"计划生产",生产物料推移表!B:B,"852-233000-100")</f>
        <v>0</v>
      </c>
      <c r="AJ53">
        <f>sumifs(生产物料推移表!aj:aj,生产物料推移表!L:L,"计划生产",生产物料推移表!B:B,"852-233000-100")</f>
        <v>0</v>
      </c>
      <c r="AK53">
        <f>sumifs(生产物料推移表!ak:ak,生产物料推移表!L:L,"计划生产",生产物料推移表!B:B,"852-233000-100")</f>
        <v>0</v>
      </c>
      <c r="AL53">
        <f>sumifs(生产物料推移表!al:al,生产物料推移表!L:L,"计划生产",生产物料推移表!B:B,"852-233000-100")</f>
        <v>0</v>
      </c>
      <c r="AM53">
        <f>sumifs(生产物料推移表!am:am,生产物料推移表!L:L,"计划生产",生产物料推移表!B:B,"852-233000-100")</f>
        <v>0</v>
      </c>
      <c r="AN53">
        <f>sumifs(生产物料推移表!an:an,生产物料推移表!L:L,"计划生产",生产物料推移表!B:B,"852-233000-100")</f>
        <v>0</v>
      </c>
      <c r="AO53">
        <f>sumifs(生产物料推移表!ao:ao,生产物料推移表!L:L,"计划生产",生产物料推移表!B:B,"852-233000-100")</f>
        <v>0</v>
      </c>
      <c r="AP53">
        <f>sumifs(生产物料推移表!ap:ap,生产物料推移表!L:L,"计划生产",生产物料推移表!B:B,"852-233000-100")</f>
        <v>0</v>
      </c>
      <c r="AQ53">
        <f>sumifs(生产物料推移表!aq:aq,生产物料推移表!L:L,"计划生产",生产物料推移表!B:B,"852-233000-100")</f>
        <v>0</v>
      </c>
      <c r="AR53">
        <f>sumifs(生产物料推移表!ar:ar,生产物料推移表!L:L,"计划生产",生产物料推移表!B:B,"852-233000-100")</f>
        <v>0</v>
      </c>
      <c r="BY53">
        <f>sum(j53:an53)</f>
        <v>0</v>
      </c>
    </row>
    <row r="54" spans="1:77">
      <c r="A54" t="s">
        <v>14</v>
      </c>
      <c r="B54" t="s">
        <v>73</v>
      </c>
      <c r="C54" t="s">
        <v>74</v>
      </c>
      <c r="D54" t="s">
        <v>17</v>
      </c>
      <c r="E54">
        <v>1</v>
      </c>
      <c r="F54" t="s">
        <v>75</v>
      </c>
      <c r="K54" t="s">
        <v>305</v>
      </c>
      <c r="L54" t="s">
        <v>37</v>
      </c>
      <c r="M54">
        <f>sumifs(生产物料推移表!m:m,生产物料推移表!L:L,"计划生产",生产物料推移表!B:B,"852-238000-100")</f>
        <v>0</v>
      </c>
      <c r="N54">
        <f>sumifs(生产物料推移表!n:n,生产物料推移表!L:L,"计划生产",生产物料推移表!B:B,"852-238000-100")</f>
        <v>0</v>
      </c>
      <c r="O54">
        <f>sumifs(生产物料推移表!o:o,生产物料推移表!L:L,"计划生产",生产物料推移表!B:B,"852-238000-100")</f>
        <v>0</v>
      </c>
      <c r="P54">
        <f>sumifs(生产物料推移表!p:p,生产物料推移表!L:L,"计划生产",生产物料推移表!B:B,"852-238000-100")</f>
        <v>0</v>
      </c>
      <c r="Q54">
        <f>sumifs(生产物料推移表!q:q,生产物料推移表!L:L,"计划生产",生产物料推移表!B:B,"852-238000-100")</f>
        <v>0</v>
      </c>
      <c r="R54">
        <f>sumifs(生产物料推移表!r:r,生产物料推移表!L:L,"计划生产",生产物料推移表!B:B,"852-238000-100")</f>
        <v>0</v>
      </c>
      <c r="S54">
        <f>sumifs(生产物料推移表!s:s,生产物料推移表!L:L,"计划生产",生产物料推移表!B:B,"852-238000-100")</f>
        <v>0</v>
      </c>
      <c r="T54">
        <f>sumifs(生产物料推移表!t:t,生产物料推移表!L:L,"计划生产",生产物料推移表!B:B,"852-238000-100")</f>
        <v>0</v>
      </c>
      <c r="U54">
        <f>sumifs(生产物料推移表!u:u,生产物料推移表!L:L,"计划生产",生产物料推移表!B:B,"852-238000-100")</f>
        <v>0</v>
      </c>
      <c r="V54">
        <f>sumifs(生产物料推移表!v:v,生产物料推移表!L:L,"计划生产",生产物料推移表!B:B,"852-238000-100")</f>
        <v>0</v>
      </c>
      <c r="W54">
        <f>sumifs(生产物料推移表!w:w,生产物料推移表!L:L,"计划生产",生产物料推移表!B:B,"852-238000-100")</f>
        <v>0</v>
      </c>
      <c r="X54">
        <f>sumifs(生产物料推移表!x:x,生产物料推移表!L:L,"计划生产",生产物料推移表!B:B,"852-238000-100")</f>
        <v>0</v>
      </c>
      <c r="Y54">
        <f>sumifs(生产物料推移表!y:y,生产物料推移表!L:L,"计划生产",生产物料推移表!B:B,"852-238000-100")</f>
        <v>0</v>
      </c>
      <c r="Z54">
        <f>sumifs(生产物料推移表!z:z,生产物料推移表!L:L,"计划生产",生产物料推移表!B:B,"852-238000-100")</f>
        <v>0</v>
      </c>
      <c r="AA54">
        <f>sumifs(生产物料推移表!aa:aa,生产物料推移表!L:L,"计划生产",生产物料推移表!B:B,"852-238000-100")</f>
        <v>0</v>
      </c>
      <c r="AB54">
        <f>sumifs(生产物料推移表!ab:ab,生产物料推移表!L:L,"计划生产",生产物料推移表!B:B,"852-238000-100")</f>
        <v>0</v>
      </c>
      <c r="AC54">
        <f>sumifs(生产物料推移表!ac:ac,生产物料推移表!L:L,"计划生产",生产物料推移表!B:B,"852-238000-100")</f>
        <v>0</v>
      </c>
      <c r="AD54">
        <f>sumifs(生产物料推移表!ad:ad,生产物料推移表!L:L,"计划生产",生产物料推移表!B:B,"852-238000-100")</f>
        <v>0</v>
      </c>
      <c r="AE54">
        <f>sumifs(生产物料推移表!ae:ae,生产物料推移表!L:L,"计划生产",生产物料推移表!B:B,"852-238000-100")</f>
        <v>0</v>
      </c>
      <c r="AF54">
        <f>sumifs(生产物料推移表!af:af,生产物料推移表!L:L,"计划生产",生产物料推移表!B:B,"852-238000-100")</f>
        <v>0</v>
      </c>
      <c r="AG54">
        <f>sumifs(生产物料推移表!ag:ag,生产物料推移表!L:L,"计划生产",生产物料推移表!B:B,"852-238000-100")</f>
        <v>0</v>
      </c>
      <c r="AH54">
        <f>sumifs(生产物料推移表!ah:ah,生产物料推移表!L:L,"计划生产",生产物料推移表!B:B,"852-238000-100")</f>
        <v>0</v>
      </c>
      <c r="AI54">
        <f>sumifs(生产物料推移表!ai:ai,生产物料推移表!L:L,"计划生产",生产物料推移表!B:B,"852-238000-100")</f>
        <v>0</v>
      </c>
      <c r="AJ54">
        <f>sumifs(生产物料推移表!aj:aj,生产物料推移表!L:L,"计划生产",生产物料推移表!B:B,"852-238000-100")</f>
        <v>0</v>
      </c>
      <c r="AK54">
        <f>sumifs(生产物料推移表!ak:ak,生产物料推移表!L:L,"计划生产",生产物料推移表!B:B,"852-238000-100")</f>
        <v>0</v>
      </c>
      <c r="AL54">
        <f>sumifs(生产物料推移表!al:al,生产物料推移表!L:L,"计划生产",生产物料推移表!B:B,"852-238000-100")</f>
        <v>0</v>
      </c>
      <c r="AM54">
        <f>sumifs(生产物料推移表!am:am,生产物料推移表!L:L,"计划生产",生产物料推移表!B:B,"852-238000-100")</f>
        <v>0</v>
      </c>
      <c r="AN54">
        <f>sumifs(生产物料推移表!an:an,生产物料推移表!L:L,"计划生产",生产物料推移表!B:B,"852-238000-100")</f>
        <v>0</v>
      </c>
      <c r="AO54">
        <f>sumifs(生产物料推移表!ao:ao,生产物料推移表!L:L,"计划生产",生产物料推移表!B:B,"852-238000-100")</f>
        <v>0</v>
      </c>
      <c r="AP54">
        <f>sumifs(生产物料推移表!ap:ap,生产物料推移表!L:L,"计划生产",生产物料推移表!B:B,"852-238000-100")</f>
        <v>0</v>
      </c>
      <c r="AQ54">
        <f>sumifs(生产物料推移表!aq:aq,生产物料推移表!L:L,"计划生产",生产物料推移表!B:B,"852-238000-100")</f>
        <v>0</v>
      </c>
      <c r="AR54">
        <f>sumifs(生产物料推移表!ar:ar,生产物料推移表!L:L,"计划生产",生产物料推移表!B:B,"852-238000-100")</f>
        <v>0</v>
      </c>
      <c r="BY54">
        <f>sum(j54:an54)</f>
        <v>0</v>
      </c>
    </row>
    <row r="55" spans="1:77">
      <c r="A55" t="s">
        <v>14</v>
      </c>
      <c r="B55" t="s">
        <v>76</v>
      </c>
      <c r="C55" t="s">
        <v>77</v>
      </c>
      <c r="D55" t="s">
        <v>256</v>
      </c>
      <c r="E55">
        <v>1</v>
      </c>
      <c r="F55" t="s">
        <v>78</v>
      </c>
      <c r="K55" t="s">
        <v>305</v>
      </c>
      <c r="L55" t="s">
        <v>37</v>
      </c>
      <c r="M55">
        <f>sumifs(生产物料推移表!m:m,生产物料推移表!L:L,"计划生产",生产物料推移表!B:B,"852-240000-100")</f>
        <v>0</v>
      </c>
      <c r="N55">
        <f>sumifs(生产物料推移表!n:n,生产物料推移表!L:L,"计划生产",生产物料推移表!B:B,"852-240000-100")</f>
        <v>0</v>
      </c>
      <c r="O55">
        <f>sumifs(生产物料推移表!o:o,生产物料推移表!L:L,"计划生产",生产物料推移表!B:B,"852-240000-100")</f>
        <v>0</v>
      </c>
      <c r="P55">
        <f>sumifs(生产物料推移表!p:p,生产物料推移表!L:L,"计划生产",生产物料推移表!B:B,"852-240000-100")</f>
        <v>0</v>
      </c>
      <c r="Q55">
        <f>sumifs(生产物料推移表!q:q,生产物料推移表!L:L,"计划生产",生产物料推移表!B:B,"852-240000-100")</f>
        <v>0</v>
      </c>
      <c r="R55">
        <f>sumifs(生产物料推移表!r:r,生产物料推移表!L:L,"计划生产",生产物料推移表!B:B,"852-240000-100")</f>
        <v>0</v>
      </c>
      <c r="S55">
        <f>sumifs(生产物料推移表!s:s,生产物料推移表!L:L,"计划生产",生产物料推移表!B:B,"852-240000-100")</f>
        <v>0</v>
      </c>
      <c r="T55">
        <f>sumifs(生产物料推移表!t:t,生产物料推移表!L:L,"计划生产",生产物料推移表!B:B,"852-240000-100")</f>
        <v>0</v>
      </c>
      <c r="U55">
        <f>sumifs(生产物料推移表!u:u,生产物料推移表!L:L,"计划生产",生产物料推移表!B:B,"852-240000-100")</f>
        <v>0</v>
      </c>
      <c r="V55">
        <f>sumifs(生产物料推移表!v:v,生产物料推移表!L:L,"计划生产",生产物料推移表!B:B,"852-240000-100")</f>
        <v>0</v>
      </c>
      <c r="W55">
        <f>sumifs(生产物料推移表!w:w,生产物料推移表!L:L,"计划生产",生产物料推移表!B:B,"852-240000-100")</f>
        <v>0</v>
      </c>
      <c r="X55">
        <f>sumifs(生产物料推移表!x:x,生产物料推移表!L:L,"计划生产",生产物料推移表!B:B,"852-240000-100")</f>
        <v>0</v>
      </c>
      <c r="Y55">
        <f>sumifs(生产物料推移表!y:y,生产物料推移表!L:L,"计划生产",生产物料推移表!B:B,"852-240000-100")</f>
        <v>0</v>
      </c>
      <c r="Z55">
        <f>sumifs(生产物料推移表!z:z,生产物料推移表!L:L,"计划生产",生产物料推移表!B:B,"852-240000-100")</f>
        <v>0</v>
      </c>
      <c r="AA55">
        <f>sumifs(生产物料推移表!aa:aa,生产物料推移表!L:L,"计划生产",生产物料推移表!B:B,"852-240000-100")</f>
        <v>0</v>
      </c>
      <c r="AB55">
        <f>sumifs(生产物料推移表!ab:ab,生产物料推移表!L:L,"计划生产",生产物料推移表!B:B,"852-240000-100")</f>
        <v>0</v>
      </c>
      <c r="AC55">
        <f>sumifs(生产物料推移表!ac:ac,生产物料推移表!L:L,"计划生产",生产物料推移表!B:B,"852-240000-100")</f>
        <v>0</v>
      </c>
      <c r="AD55">
        <f>sumifs(生产物料推移表!ad:ad,生产物料推移表!L:L,"计划生产",生产物料推移表!B:B,"852-240000-100")</f>
        <v>0</v>
      </c>
      <c r="AE55">
        <f>sumifs(生产物料推移表!ae:ae,生产物料推移表!L:L,"计划生产",生产物料推移表!B:B,"852-240000-100")</f>
        <v>0</v>
      </c>
      <c r="AF55">
        <f>sumifs(生产物料推移表!af:af,生产物料推移表!L:L,"计划生产",生产物料推移表!B:B,"852-240000-100")</f>
        <v>0</v>
      </c>
      <c r="AG55">
        <f>sumifs(生产物料推移表!ag:ag,生产物料推移表!L:L,"计划生产",生产物料推移表!B:B,"852-240000-100")</f>
        <v>0</v>
      </c>
      <c r="AH55">
        <f>sumifs(生产物料推移表!ah:ah,生产物料推移表!L:L,"计划生产",生产物料推移表!B:B,"852-240000-100")</f>
        <v>0</v>
      </c>
      <c r="AI55">
        <f>sumifs(生产物料推移表!ai:ai,生产物料推移表!L:L,"计划生产",生产物料推移表!B:B,"852-240000-100")</f>
        <v>0</v>
      </c>
      <c r="AJ55">
        <f>sumifs(生产物料推移表!aj:aj,生产物料推移表!L:L,"计划生产",生产物料推移表!B:B,"852-240000-100")</f>
        <v>0</v>
      </c>
      <c r="AK55">
        <f>sumifs(生产物料推移表!ak:ak,生产物料推移表!L:L,"计划生产",生产物料推移表!B:B,"852-240000-100")</f>
        <v>0</v>
      </c>
      <c r="AL55">
        <f>sumifs(生产物料推移表!al:al,生产物料推移表!L:L,"计划生产",生产物料推移表!B:B,"852-240000-100")</f>
        <v>0</v>
      </c>
      <c r="AM55">
        <f>sumifs(生产物料推移表!am:am,生产物料推移表!L:L,"计划生产",生产物料推移表!B:B,"852-240000-100")</f>
        <v>0</v>
      </c>
      <c r="AN55">
        <f>sumifs(生产物料推移表!an:an,生产物料推移表!L:L,"计划生产",生产物料推移表!B:B,"852-240000-100")</f>
        <v>0</v>
      </c>
      <c r="AO55">
        <f>sumifs(生产物料推移表!ao:ao,生产物料推移表!L:L,"计划生产",生产物料推移表!B:B,"852-240000-100")</f>
        <v>0</v>
      </c>
      <c r="AP55">
        <f>sumifs(生产物料推移表!ap:ap,生产物料推移表!L:L,"计划生产",生产物料推移表!B:B,"852-240000-100")</f>
        <v>0</v>
      </c>
      <c r="AQ55">
        <f>sumifs(生产物料推移表!aq:aq,生产物料推移表!L:L,"计划生产",生产物料推移表!B:B,"852-240000-100")</f>
        <v>0</v>
      </c>
      <c r="AR55">
        <f>sumifs(生产物料推移表!ar:ar,生产物料推移表!L:L,"计划生产",生产物料推移表!B:B,"852-240000-100")</f>
        <v>0</v>
      </c>
      <c r="BY55">
        <f>sum(j55:an55)</f>
        <v>0</v>
      </c>
    </row>
    <row r="56" spans="1:77">
      <c r="A56" t="s">
        <v>14</v>
      </c>
      <c r="B56" t="s">
        <v>82</v>
      </c>
      <c r="C56" t="s">
        <v>83</v>
      </c>
      <c r="D56" t="s">
        <v>17</v>
      </c>
      <c r="E56">
        <v>1</v>
      </c>
      <c r="F56" t="s">
        <v>84</v>
      </c>
      <c r="K56" t="s">
        <v>305</v>
      </c>
      <c r="L56" t="s">
        <v>37</v>
      </c>
      <c r="M56">
        <f>sumifs(生产物料推移表!m:m,生产物料推移表!L:L,"计划生产",生产物料推移表!B:B,"852-238000-200")</f>
        <v>0</v>
      </c>
      <c r="N56">
        <f>sumifs(生产物料推移表!n:n,生产物料推移表!L:L,"计划生产",生产物料推移表!B:B,"852-238000-200")</f>
        <v>0</v>
      </c>
      <c r="O56">
        <f>sumifs(生产物料推移表!o:o,生产物料推移表!L:L,"计划生产",生产物料推移表!B:B,"852-238000-200")</f>
        <v>0</v>
      </c>
      <c r="P56">
        <f>sumifs(生产物料推移表!p:p,生产物料推移表!L:L,"计划生产",生产物料推移表!B:B,"852-238000-200")</f>
        <v>0</v>
      </c>
      <c r="Q56">
        <f>sumifs(生产物料推移表!q:q,生产物料推移表!L:L,"计划生产",生产物料推移表!B:B,"852-238000-200")</f>
        <v>0</v>
      </c>
      <c r="R56">
        <f>sumifs(生产物料推移表!r:r,生产物料推移表!L:L,"计划生产",生产物料推移表!B:B,"852-238000-200")</f>
        <v>0</v>
      </c>
      <c r="S56">
        <f>sumifs(生产物料推移表!s:s,生产物料推移表!L:L,"计划生产",生产物料推移表!B:B,"852-238000-200")</f>
        <v>0</v>
      </c>
      <c r="T56">
        <f>sumifs(生产物料推移表!t:t,生产物料推移表!L:L,"计划生产",生产物料推移表!B:B,"852-238000-200")</f>
        <v>0</v>
      </c>
      <c r="U56">
        <f>sumifs(生产物料推移表!u:u,生产物料推移表!L:L,"计划生产",生产物料推移表!B:B,"852-238000-200")</f>
        <v>0</v>
      </c>
      <c r="V56">
        <f>sumifs(生产物料推移表!v:v,生产物料推移表!L:L,"计划生产",生产物料推移表!B:B,"852-238000-200")</f>
        <v>0</v>
      </c>
      <c r="W56">
        <f>sumifs(生产物料推移表!w:w,生产物料推移表!L:L,"计划生产",生产物料推移表!B:B,"852-238000-200")</f>
        <v>0</v>
      </c>
      <c r="X56">
        <f>sumifs(生产物料推移表!x:x,生产物料推移表!L:L,"计划生产",生产物料推移表!B:B,"852-238000-200")</f>
        <v>0</v>
      </c>
      <c r="Y56">
        <f>sumifs(生产物料推移表!y:y,生产物料推移表!L:L,"计划生产",生产物料推移表!B:B,"852-238000-200")</f>
        <v>0</v>
      </c>
      <c r="Z56">
        <f>sumifs(生产物料推移表!z:z,生产物料推移表!L:L,"计划生产",生产物料推移表!B:B,"852-238000-200")</f>
        <v>0</v>
      </c>
      <c r="AA56">
        <f>sumifs(生产物料推移表!aa:aa,生产物料推移表!L:L,"计划生产",生产物料推移表!B:B,"852-238000-200")</f>
        <v>0</v>
      </c>
      <c r="AB56">
        <f>sumifs(生产物料推移表!ab:ab,生产物料推移表!L:L,"计划生产",生产物料推移表!B:B,"852-238000-200")</f>
        <v>0</v>
      </c>
      <c r="AC56">
        <f>sumifs(生产物料推移表!ac:ac,生产物料推移表!L:L,"计划生产",生产物料推移表!B:B,"852-238000-200")</f>
        <v>0</v>
      </c>
      <c r="AD56">
        <f>sumifs(生产物料推移表!ad:ad,生产物料推移表!L:L,"计划生产",生产物料推移表!B:B,"852-238000-200")</f>
        <v>0</v>
      </c>
      <c r="AE56">
        <f>sumifs(生产物料推移表!ae:ae,生产物料推移表!L:L,"计划生产",生产物料推移表!B:B,"852-238000-200")</f>
        <v>0</v>
      </c>
      <c r="AF56">
        <f>sumifs(生产物料推移表!af:af,生产物料推移表!L:L,"计划生产",生产物料推移表!B:B,"852-238000-200")</f>
        <v>0</v>
      </c>
      <c r="AG56">
        <f>sumifs(生产物料推移表!ag:ag,生产物料推移表!L:L,"计划生产",生产物料推移表!B:B,"852-238000-200")</f>
        <v>0</v>
      </c>
      <c r="AH56">
        <f>sumifs(生产物料推移表!ah:ah,生产物料推移表!L:L,"计划生产",生产物料推移表!B:B,"852-238000-200")</f>
        <v>0</v>
      </c>
      <c r="AI56">
        <f>sumifs(生产物料推移表!ai:ai,生产物料推移表!L:L,"计划生产",生产物料推移表!B:B,"852-238000-200")</f>
        <v>0</v>
      </c>
      <c r="AJ56">
        <f>sumifs(生产物料推移表!aj:aj,生产物料推移表!L:L,"计划生产",生产物料推移表!B:B,"852-238000-200")</f>
        <v>0</v>
      </c>
      <c r="AK56">
        <f>sumifs(生产物料推移表!ak:ak,生产物料推移表!L:L,"计划生产",生产物料推移表!B:B,"852-238000-200")</f>
        <v>0</v>
      </c>
      <c r="AL56">
        <f>sumifs(生产物料推移表!al:al,生产物料推移表!L:L,"计划生产",生产物料推移表!B:B,"852-238000-200")</f>
        <v>0</v>
      </c>
      <c r="AM56">
        <f>sumifs(生产物料推移表!am:am,生产物料推移表!L:L,"计划生产",生产物料推移表!B:B,"852-238000-200")</f>
        <v>0</v>
      </c>
      <c r="AN56">
        <f>sumifs(生产物料推移表!an:an,生产物料推移表!L:L,"计划生产",生产物料推移表!B:B,"852-238000-200")</f>
        <v>0</v>
      </c>
      <c r="AO56">
        <f>sumifs(生产物料推移表!ao:ao,生产物料推移表!L:L,"计划生产",生产物料推移表!B:B,"852-238000-200")</f>
        <v>0</v>
      </c>
      <c r="AP56">
        <f>sumifs(生产物料推移表!ap:ap,生产物料推移表!L:L,"计划生产",生产物料推移表!B:B,"852-238000-200")</f>
        <v>0</v>
      </c>
      <c r="AQ56">
        <f>sumifs(生产物料推移表!aq:aq,生产物料推移表!L:L,"计划生产",生产物料推移表!B:B,"852-238000-200")</f>
        <v>0</v>
      </c>
      <c r="AR56">
        <f>sumifs(生产物料推移表!ar:ar,生产物料推移表!L:L,"计划生产",生产物料推移表!B:B,"852-238000-200")</f>
        <v>0</v>
      </c>
      <c r="BY56">
        <f>sum(j56:an56)</f>
        <v>0</v>
      </c>
    </row>
    <row r="57" spans="1:77">
      <c r="A57" t="s">
        <v>14</v>
      </c>
      <c r="B57" t="s">
        <v>85</v>
      </c>
      <c r="C57" t="s">
        <v>86</v>
      </c>
      <c r="D57" t="s">
        <v>256</v>
      </c>
      <c r="E57">
        <v>1</v>
      </c>
      <c r="F57" t="s">
        <v>87</v>
      </c>
      <c r="K57" t="s">
        <v>305</v>
      </c>
      <c r="L57" t="s">
        <v>37</v>
      </c>
      <c r="M57">
        <f>sumifs(生产物料推移表!m:m,生产物料推移表!L:L,"计划生产",生产物料推移表!B:B,"852-240000-200")</f>
        <v>0</v>
      </c>
      <c r="N57">
        <f>sumifs(生产物料推移表!n:n,生产物料推移表!L:L,"计划生产",生产物料推移表!B:B,"852-240000-200")</f>
        <v>0</v>
      </c>
      <c r="O57">
        <f>sumifs(生产物料推移表!o:o,生产物料推移表!L:L,"计划生产",生产物料推移表!B:B,"852-240000-200")</f>
        <v>0</v>
      </c>
      <c r="P57">
        <f>sumifs(生产物料推移表!p:p,生产物料推移表!L:L,"计划生产",生产物料推移表!B:B,"852-240000-200")</f>
        <v>0</v>
      </c>
      <c r="Q57">
        <f>sumifs(生产物料推移表!q:q,生产物料推移表!L:L,"计划生产",生产物料推移表!B:B,"852-240000-200")</f>
        <v>0</v>
      </c>
      <c r="R57">
        <f>sumifs(生产物料推移表!r:r,生产物料推移表!L:L,"计划生产",生产物料推移表!B:B,"852-240000-200")</f>
        <v>0</v>
      </c>
      <c r="S57">
        <f>sumifs(生产物料推移表!s:s,生产物料推移表!L:L,"计划生产",生产物料推移表!B:B,"852-240000-200")</f>
        <v>0</v>
      </c>
      <c r="T57">
        <f>sumifs(生产物料推移表!t:t,生产物料推移表!L:L,"计划生产",生产物料推移表!B:B,"852-240000-200")</f>
        <v>0</v>
      </c>
      <c r="U57">
        <f>sumifs(生产物料推移表!u:u,生产物料推移表!L:L,"计划生产",生产物料推移表!B:B,"852-240000-200")</f>
        <v>0</v>
      </c>
      <c r="V57">
        <f>sumifs(生产物料推移表!v:v,生产物料推移表!L:L,"计划生产",生产物料推移表!B:B,"852-240000-200")</f>
        <v>0</v>
      </c>
      <c r="W57">
        <f>sumifs(生产物料推移表!w:w,生产物料推移表!L:L,"计划生产",生产物料推移表!B:B,"852-240000-200")</f>
        <v>0</v>
      </c>
      <c r="X57">
        <f>sumifs(生产物料推移表!x:x,生产物料推移表!L:L,"计划生产",生产物料推移表!B:B,"852-240000-200")</f>
        <v>0</v>
      </c>
      <c r="Y57">
        <f>sumifs(生产物料推移表!y:y,生产物料推移表!L:L,"计划生产",生产物料推移表!B:B,"852-240000-200")</f>
        <v>0</v>
      </c>
      <c r="Z57">
        <f>sumifs(生产物料推移表!z:z,生产物料推移表!L:L,"计划生产",生产物料推移表!B:B,"852-240000-200")</f>
        <v>0</v>
      </c>
      <c r="AA57">
        <f>sumifs(生产物料推移表!aa:aa,生产物料推移表!L:L,"计划生产",生产物料推移表!B:B,"852-240000-200")</f>
        <v>0</v>
      </c>
      <c r="AB57">
        <f>sumifs(生产物料推移表!ab:ab,生产物料推移表!L:L,"计划生产",生产物料推移表!B:B,"852-240000-200")</f>
        <v>0</v>
      </c>
      <c r="AC57">
        <f>sumifs(生产物料推移表!ac:ac,生产物料推移表!L:L,"计划生产",生产物料推移表!B:B,"852-240000-200")</f>
        <v>0</v>
      </c>
      <c r="AD57">
        <f>sumifs(生产物料推移表!ad:ad,生产物料推移表!L:L,"计划生产",生产物料推移表!B:B,"852-240000-200")</f>
        <v>0</v>
      </c>
      <c r="AE57">
        <f>sumifs(生产物料推移表!ae:ae,生产物料推移表!L:L,"计划生产",生产物料推移表!B:B,"852-240000-200")</f>
        <v>0</v>
      </c>
      <c r="AF57">
        <f>sumifs(生产物料推移表!af:af,生产物料推移表!L:L,"计划生产",生产物料推移表!B:B,"852-240000-200")</f>
        <v>0</v>
      </c>
      <c r="AG57">
        <f>sumifs(生产物料推移表!ag:ag,生产物料推移表!L:L,"计划生产",生产物料推移表!B:B,"852-240000-200")</f>
        <v>0</v>
      </c>
      <c r="AH57">
        <f>sumifs(生产物料推移表!ah:ah,生产物料推移表!L:L,"计划生产",生产物料推移表!B:B,"852-240000-200")</f>
        <v>0</v>
      </c>
      <c r="AI57">
        <f>sumifs(生产物料推移表!ai:ai,生产物料推移表!L:L,"计划生产",生产物料推移表!B:B,"852-240000-200")</f>
        <v>0</v>
      </c>
      <c r="AJ57">
        <f>sumifs(生产物料推移表!aj:aj,生产物料推移表!L:L,"计划生产",生产物料推移表!B:B,"852-240000-200")</f>
        <v>0</v>
      </c>
      <c r="AK57">
        <f>sumifs(生产物料推移表!ak:ak,生产物料推移表!L:L,"计划生产",生产物料推移表!B:B,"852-240000-200")</f>
        <v>0</v>
      </c>
      <c r="AL57">
        <f>sumifs(生产物料推移表!al:al,生产物料推移表!L:L,"计划生产",生产物料推移表!B:B,"852-240000-200")</f>
        <v>0</v>
      </c>
      <c r="AM57">
        <f>sumifs(生产物料推移表!am:am,生产物料推移表!L:L,"计划生产",生产物料推移表!B:B,"852-240000-200")</f>
        <v>0</v>
      </c>
      <c r="AN57">
        <f>sumifs(生产物料推移表!an:an,生产物料推移表!L:L,"计划生产",生产物料推移表!B:B,"852-240000-200")</f>
        <v>0</v>
      </c>
      <c r="AO57">
        <f>sumifs(生产物料推移表!ao:ao,生产物料推移表!L:L,"计划生产",生产物料推移表!B:B,"852-240000-200")</f>
        <v>0</v>
      </c>
      <c r="AP57">
        <f>sumifs(生产物料推移表!ap:ap,生产物料推移表!L:L,"计划生产",生产物料推移表!B:B,"852-240000-200")</f>
        <v>0</v>
      </c>
      <c r="AQ57">
        <f>sumifs(生产物料推移表!aq:aq,生产物料推移表!L:L,"计划生产",生产物料推移表!B:B,"852-240000-200")</f>
        <v>0</v>
      </c>
      <c r="AR57">
        <f>sumifs(生产物料推移表!ar:ar,生产物料推移表!L:L,"计划生产",生产物料推移表!B:B,"852-240000-200")</f>
        <v>0</v>
      </c>
      <c r="BY57">
        <f>sum(j57:an57)</f>
        <v>0</v>
      </c>
    </row>
    <row r="58" spans="1:77">
      <c r="A58" t="s">
        <v>14</v>
      </c>
      <c r="B58" t="s">
        <v>92</v>
      </c>
      <c r="C58" t="s">
        <v>93</v>
      </c>
      <c r="D58" t="s">
        <v>256</v>
      </c>
      <c r="E58">
        <v>1</v>
      </c>
      <c r="F58" t="s">
        <v>94</v>
      </c>
      <c r="K58" t="s">
        <v>305</v>
      </c>
      <c r="L58" t="s">
        <v>37</v>
      </c>
      <c r="M58">
        <f>sumifs(生产物料推移表!m:m,生产物料推移表!L:L,"计划生产",生产物料推移表!B:B,"852-239000-100")</f>
        <v>0</v>
      </c>
      <c r="N58">
        <f>sumifs(生产物料推移表!n:n,生产物料推移表!L:L,"计划生产",生产物料推移表!B:B,"852-239000-100")</f>
        <v>0</v>
      </c>
      <c r="O58">
        <f>sumifs(生产物料推移表!o:o,生产物料推移表!L:L,"计划生产",生产物料推移表!B:B,"852-239000-100")</f>
        <v>0</v>
      </c>
      <c r="P58">
        <f>sumifs(生产物料推移表!p:p,生产物料推移表!L:L,"计划生产",生产物料推移表!B:B,"852-239000-100")</f>
        <v>0</v>
      </c>
      <c r="Q58">
        <f>sumifs(生产物料推移表!q:q,生产物料推移表!L:L,"计划生产",生产物料推移表!B:B,"852-239000-100")</f>
        <v>0</v>
      </c>
      <c r="R58">
        <f>sumifs(生产物料推移表!r:r,生产物料推移表!L:L,"计划生产",生产物料推移表!B:B,"852-239000-100")</f>
        <v>0</v>
      </c>
      <c r="S58">
        <f>sumifs(生产物料推移表!s:s,生产物料推移表!L:L,"计划生产",生产物料推移表!B:B,"852-239000-100")</f>
        <v>0</v>
      </c>
      <c r="T58">
        <f>sumifs(生产物料推移表!t:t,生产物料推移表!L:L,"计划生产",生产物料推移表!B:B,"852-239000-100")</f>
        <v>0</v>
      </c>
      <c r="U58">
        <f>sumifs(生产物料推移表!u:u,生产物料推移表!L:L,"计划生产",生产物料推移表!B:B,"852-239000-100")</f>
        <v>0</v>
      </c>
      <c r="V58">
        <f>sumifs(生产物料推移表!v:v,生产物料推移表!L:L,"计划生产",生产物料推移表!B:B,"852-239000-100")</f>
        <v>0</v>
      </c>
      <c r="W58">
        <f>sumifs(生产物料推移表!w:w,生产物料推移表!L:L,"计划生产",生产物料推移表!B:B,"852-239000-100")</f>
        <v>0</v>
      </c>
      <c r="X58">
        <f>sumifs(生产物料推移表!x:x,生产物料推移表!L:L,"计划生产",生产物料推移表!B:B,"852-239000-100")</f>
        <v>0</v>
      </c>
      <c r="Y58">
        <f>sumifs(生产物料推移表!y:y,生产物料推移表!L:L,"计划生产",生产物料推移表!B:B,"852-239000-100")</f>
        <v>0</v>
      </c>
      <c r="Z58">
        <f>sumifs(生产物料推移表!z:z,生产物料推移表!L:L,"计划生产",生产物料推移表!B:B,"852-239000-100")</f>
        <v>0</v>
      </c>
      <c r="AA58">
        <f>sumifs(生产物料推移表!aa:aa,生产物料推移表!L:L,"计划生产",生产物料推移表!B:B,"852-239000-100")</f>
        <v>0</v>
      </c>
      <c r="AB58">
        <f>sumifs(生产物料推移表!ab:ab,生产物料推移表!L:L,"计划生产",生产物料推移表!B:B,"852-239000-100")</f>
        <v>0</v>
      </c>
      <c r="AC58">
        <f>sumifs(生产物料推移表!ac:ac,生产物料推移表!L:L,"计划生产",生产物料推移表!B:B,"852-239000-100")</f>
        <v>0</v>
      </c>
      <c r="AD58">
        <f>sumifs(生产物料推移表!ad:ad,生产物料推移表!L:L,"计划生产",生产物料推移表!B:B,"852-239000-100")</f>
        <v>0</v>
      </c>
      <c r="AE58">
        <f>sumifs(生产物料推移表!ae:ae,生产物料推移表!L:L,"计划生产",生产物料推移表!B:B,"852-239000-100")</f>
        <v>0</v>
      </c>
      <c r="AF58">
        <f>sumifs(生产物料推移表!af:af,生产物料推移表!L:L,"计划生产",生产物料推移表!B:B,"852-239000-100")</f>
        <v>0</v>
      </c>
      <c r="AG58">
        <f>sumifs(生产物料推移表!ag:ag,生产物料推移表!L:L,"计划生产",生产物料推移表!B:B,"852-239000-100")</f>
        <v>0</v>
      </c>
      <c r="AH58">
        <f>sumifs(生产物料推移表!ah:ah,生产物料推移表!L:L,"计划生产",生产物料推移表!B:B,"852-239000-100")</f>
        <v>0</v>
      </c>
      <c r="AI58">
        <f>sumifs(生产物料推移表!ai:ai,生产物料推移表!L:L,"计划生产",生产物料推移表!B:B,"852-239000-100")</f>
        <v>0</v>
      </c>
      <c r="AJ58">
        <f>sumifs(生产物料推移表!aj:aj,生产物料推移表!L:L,"计划生产",生产物料推移表!B:B,"852-239000-100")</f>
        <v>0</v>
      </c>
      <c r="AK58">
        <f>sumifs(生产物料推移表!ak:ak,生产物料推移表!L:L,"计划生产",生产物料推移表!B:B,"852-239000-100")</f>
        <v>0</v>
      </c>
      <c r="AL58">
        <f>sumifs(生产物料推移表!al:al,生产物料推移表!L:L,"计划生产",生产物料推移表!B:B,"852-239000-100")</f>
        <v>0</v>
      </c>
      <c r="AM58">
        <f>sumifs(生产物料推移表!am:am,生产物料推移表!L:L,"计划生产",生产物料推移表!B:B,"852-239000-100")</f>
        <v>0</v>
      </c>
      <c r="AN58">
        <f>sumifs(生产物料推移表!an:an,生产物料推移表!L:L,"计划生产",生产物料推移表!B:B,"852-239000-100")</f>
        <v>0</v>
      </c>
      <c r="AO58">
        <f>sumifs(生产物料推移表!ao:ao,生产物料推移表!L:L,"计划生产",生产物料推移表!B:B,"852-239000-100")</f>
        <v>0</v>
      </c>
      <c r="AP58">
        <f>sumifs(生产物料推移表!ap:ap,生产物料推移表!L:L,"计划生产",生产物料推移表!B:B,"852-239000-100")</f>
        <v>0</v>
      </c>
      <c r="AQ58">
        <f>sumifs(生产物料推移表!aq:aq,生产物料推移表!L:L,"计划生产",生产物料推移表!B:B,"852-239000-100")</f>
        <v>0</v>
      </c>
      <c r="AR58">
        <f>sumifs(生产物料推移表!ar:ar,生产物料推移表!L:L,"计划生产",生产物料推移表!B:B,"852-239000-100")</f>
        <v>0</v>
      </c>
      <c r="BY58">
        <f>sum(j58:an58)</f>
        <v>0</v>
      </c>
    </row>
    <row r="59" spans="1:77">
      <c r="A59" t="s">
        <v>14</v>
      </c>
      <c r="B59" t="s">
        <v>98</v>
      </c>
      <c r="C59" t="s">
        <v>99</v>
      </c>
      <c r="D59" t="s">
        <v>256</v>
      </c>
      <c r="E59">
        <v>1</v>
      </c>
      <c r="F59" t="s">
        <v>100</v>
      </c>
      <c r="K59" t="s">
        <v>305</v>
      </c>
      <c r="L59" t="s">
        <v>37</v>
      </c>
      <c r="M59">
        <f>sumifs(生产物料推移表!m:m,生产物料推移表!L:L,"计划生产",生产物料推移表!B:B,"852-239000-200")</f>
        <v>0</v>
      </c>
      <c r="N59">
        <f>sumifs(生产物料推移表!n:n,生产物料推移表!L:L,"计划生产",生产物料推移表!B:B,"852-239000-200")</f>
        <v>0</v>
      </c>
      <c r="O59">
        <f>sumifs(生产物料推移表!o:o,生产物料推移表!L:L,"计划生产",生产物料推移表!B:B,"852-239000-200")</f>
        <v>0</v>
      </c>
      <c r="P59">
        <f>sumifs(生产物料推移表!p:p,生产物料推移表!L:L,"计划生产",生产物料推移表!B:B,"852-239000-200")</f>
        <v>0</v>
      </c>
      <c r="Q59">
        <f>sumifs(生产物料推移表!q:q,生产物料推移表!L:L,"计划生产",生产物料推移表!B:B,"852-239000-200")</f>
        <v>0</v>
      </c>
      <c r="R59">
        <f>sumifs(生产物料推移表!r:r,生产物料推移表!L:L,"计划生产",生产物料推移表!B:B,"852-239000-200")</f>
        <v>0</v>
      </c>
      <c r="S59">
        <f>sumifs(生产物料推移表!s:s,生产物料推移表!L:L,"计划生产",生产物料推移表!B:B,"852-239000-200")</f>
        <v>0</v>
      </c>
      <c r="T59">
        <f>sumifs(生产物料推移表!t:t,生产物料推移表!L:L,"计划生产",生产物料推移表!B:B,"852-239000-200")</f>
        <v>0</v>
      </c>
      <c r="U59">
        <f>sumifs(生产物料推移表!u:u,生产物料推移表!L:L,"计划生产",生产物料推移表!B:B,"852-239000-200")</f>
        <v>0</v>
      </c>
      <c r="V59">
        <f>sumifs(生产物料推移表!v:v,生产物料推移表!L:L,"计划生产",生产物料推移表!B:B,"852-239000-200")</f>
        <v>0</v>
      </c>
      <c r="W59">
        <f>sumifs(生产物料推移表!w:w,生产物料推移表!L:L,"计划生产",生产物料推移表!B:B,"852-239000-200")</f>
        <v>0</v>
      </c>
      <c r="X59">
        <f>sumifs(生产物料推移表!x:x,生产物料推移表!L:L,"计划生产",生产物料推移表!B:B,"852-239000-200")</f>
        <v>0</v>
      </c>
      <c r="Y59">
        <f>sumifs(生产物料推移表!y:y,生产物料推移表!L:L,"计划生产",生产物料推移表!B:B,"852-239000-200")</f>
        <v>0</v>
      </c>
      <c r="Z59">
        <f>sumifs(生产物料推移表!z:z,生产物料推移表!L:L,"计划生产",生产物料推移表!B:B,"852-239000-200")</f>
        <v>0</v>
      </c>
      <c r="AA59">
        <f>sumifs(生产物料推移表!aa:aa,生产物料推移表!L:L,"计划生产",生产物料推移表!B:B,"852-239000-200")</f>
        <v>0</v>
      </c>
      <c r="AB59">
        <f>sumifs(生产物料推移表!ab:ab,生产物料推移表!L:L,"计划生产",生产物料推移表!B:B,"852-239000-200")</f>
        <v>0</v>
      </c>
      <c r="AC59">
        <f>sumifs(生产物料推移表!ac:ac,生产物料推移表!L:L,"计划生产",生产物料推移表!B:B,"852-239000-200")</f>
        <v>0</v>
      </c>
      <c r="AD59">
        <f>sumifs(生产物料推移表!ad:ad,生产物料推移表!L:L,"计划生产",生产物料推移表!B:B,"852-239000-200")</f>
        <v>0</v>
      </c>
      <c r="AE59">
        <f>sumifs(生产物料推移表!ae:ae,生产物料推移表!L:L,"计划生产",生产物料推移表!B:B,"852-239000-200")</f>
        <v>0</v>
      </c>
      <c r="AF59">
        <f>sumifs(生产物料推移表!af:af,生产物料推移表!L:L,"计划生产",生产物料推移表!B:B,"852-239000-200")</f>
        <v>0</v>
      </c>
      <c r="AG59">
        <f>sumifs(生产物料推移表!ag:ag,生产物料推移表!L:L,"计划生产",生产物料推移表!B:B,"852-239000-200")</f>
        <v>0</v>
      </c>
      <c r="AH59">
        <f>sumifs(生产物料推移表!ah:ah,生产物料推移表!L:L,"计划生产",生产物料推移表!B:B,"852-239000-200")</f>
        <v>0</v>
      </c>
      <c r="AI59">
        <f>sumifs(生产物料推移表!ai:ai,生产物料推移表!L:L,"计划生产",生产物料推移表!B:B,"852-239000-200")</f>
        <v>0</v>
      </c>
      <c r="AJ59">
        <f>sumifs(生产物料推移表!aj:aj,生产物料推移表!L:L,"计划生产",生产物料推移表!B:B,"852-239000-200")</f>
        <v>0</v>
      </c>
      <c r="AK59">
        <f>sumifs(生产物料推移表!ak:ak,生产物料推移表!L:L,"计划生产",生产物料推移表!B:B,"852-239000-200")</f>
        <v>0</v>
      </c>
      <c r="AL59">
        <f>sumifs(生产物料推移表!al:al,生产物料推移表!L:L,"计划生产",生产物料推移表!B:B,"852-239000-200")</f>
        <v>0</v>
      </c>
      <c r="AM59">
        <f>sumifs(生产物料推移表!am:am,生产物料推移表!L:L,"计划生产",生产物料推移表!B:B,"852-239000-200")</f>
        <v>0</v>
      </c>
      <c r="AN59">
        <f>sumifs(生产物料推移表!an:an,生产物料推移表!L:L,"计划生产",生产物料推移表!B:B,"852-239000-200")</f>
        <v>0</v>
      </c>
      <c r="AO59">
        <f>sumifs(生产物料推移表!ao:ao,生产物料推移表!L:L,"计划生产",生产物料推移表!B:B,"852-239000-200")</f>
        <v>0</v>
      </c>
      <c r="AP59">
        <f>sumifs(生产物料推移表!ap:ap,生产物料推移表!L:L,"计划生产",生产物料推移表!B:B,"852-239000-200")</f>
        <v>0</v>
      </c>
      <c r="AQ59">
        <f>sumifs(生产物料推移表!aq:aq,生产物料推移表!L:L,"计划生产",生产物料推移表!B:B,"852-239000-200")</f>
        <v>0</v>
      </c>
      <c r="AR59">
        <f>sumifs(生产物料推移表!ar:ar,生产物料推移表!L:L,"计划生产",生产物料推移表!B:B,"852-239000-200")</f>
        <v>0</v>
      </c>
      <c r="BY59">
        <f>sum(j59:an59)</f>
        <v>0</v>
      </c>
    </row>
    <row r="60" spans="1:77">
      <c r="A60" t="s">
        <v>14</v>
      </c>
      <c r="B60" t="s">
        <v>105</v>
      </c>
      <c r="C60" t="s">
        <v>106</v>
      </c>
      <c r="D60" t="s">
        <v>304</v>
      </c>
      <c r="E60">
        <v>1</v>
      </c>
      <c r="F60" t="s">
        <v>107</v>
      </c>
      <c r="K60" t="s">
        <v>305</v>
      </c>
      <c r="L60" t="s">
        <v>37</v>
      </c>
      <c r="M60">
        <f>sumifs(生产物料推移表!m:m,生产物料推移表!L:L,"计划生产",生产物料推移表!B:B,"852-244000-100")</f>
        <v>0</v>
      </c>
      <c r="N60">
        <f>sumifs(生产物料推移表!n:n,生产物料推移表!L:L,"计划生产",生产物料推移表!B:B,"852-244000-100")</f>
        <v>0</v>
      </c>
      <c r="O60">
        <f>sumifs(生产物料推移表!o:o,生产物料推移表!L:L,"计划生产",生产物料推移表!B:B,"852-244000-100")</f>
        <v>0</v>
      </c>
      <c r="P60">
        <f>sumifs(生产物料推移表!p:p,生产物料推移表!L:L,"计划生产",生产物料推移表!B:B,"852-244000-100")</f>
        <v>0</v>
      </c>
      <c r="Q60">
        <f>sumifs(生产物料推移表!q:q,生产物料推移表!L:L,"计划生产",生产物料推移表!B:B,"852-244000-100")</f>
        <v>0</v>
      </c>
      <c r="R60">
        <f>sumifs(生产物料推移表!r:r,生产物料推移表!L:L,"计划生产",生产物料推移表!B:B,"852-244000-100")</f>
        <v>0</v>
      </c>
      <c r="S60">
        <f>sumifs(生产物料推移表!s:s,生产物料推移表!L:L,"计划生产",生产物料推移表!B:B,"852-244000-100")</f>
        <v>0</v>
      </c>
      <c r="T60">
        <f>sumifs(生产物料推移表!t:t,生产物料推移表!L:L,"计划生产",生产物料推移表!B:B,"852-244000-100")</f>
        <v>0</v>
      </c>
      <c r="U60">
        <f>sumifs(生产物料推移表!u:u,生产物料推移表!L:L,"计划生产",生产物料推移表!B:B,"852-244000-100")</f>
        <v>0</v>
      </c>
      <c r="V60">
        <f>sumifs(生产物料推移表!v:v,生产物料推移表!L:L,"计划生产",生产物料推移表!B:B,"852-244000-100")</f>
        <v>0</v>
      </c>
      <c r="W60">
        <f>sumifs(生产物料推移表!w:w,生产物料推移表!L:L,"计划生产",生产物料推移表!B:B,"852-244000-100")</f>
        <v>0</v>
      </c>
      <c r="X60">
        <f>sumifs(生产物料推移表!x:x,生产物料推移表!L:L,"计划生产",生产物料推移表!B:B,"852-244000-100")</f>
        <v>0</v>
      </c>
      <c r="Y60">
        <f>sumifs(生产物料推移表!y:y,生产物料推移表!L:L,"计划生产",生产物料推移表!B:B,"852-244000-100")</f>
        <v>0</v>
      </c>
      <c r="Z60">
        <f>sumifs(生产物料推移表!z:z,生产物料推移表!L:L,"计划生产",生产物料推移表!B:B,"852-244000-100")</f>
        <v>0</v>
      </c>
      <c r="AA60">
        <f>sumifs(生产物料推移表!aa:aa,生产物料推移表!L:L,"计划生产",生产物料推移表!B:B,"852-244000-100")</f>
        <v>0</v>
      </c>
      <c r="AB60">
        <f>sumifs(生产物料推移表!ab:ab,生产物料推移表!L:L,"计划生产",生产物料推移表!B:B,"852-244000-100")</f>
        <v>0</v>
      </c>
      <c r="AC60">
        <f>sumifs(生产物料推移表!ac:ac,生产物料推移表!L:L,"计划生产",生产物料推移表!B:B,"852-244000-100")</f>
        <v>0</v>
      </c>
      <c r="AD60">
        <f>sumifs(生产物料推移表!ad:ad,生产物料推移表!L:L,"计划生产",生产物料推移表!B:B,"852-244000-100")</f>
        <v>0</v>
      </c>
      <c r="AE60">
        <f>sumifs(生产物料推移表!ae:ae,生产物料推移表!L:L,"计划生产",生产物料推移表!B:B,"852-244000-100")</f>
        <v>0</v>
      </c>
      <c r="AF60">
        <f>sumifs(生产物料推移表!af:af,生产物料推移表!L:L,"计划生产",生产物料推移表!B:B,"852-244000-100")</f>
        <v>0</v>
      </c>
      <c r="AG60">
        <f>sumifs(生产物料推移表!ag:ag,生产物料推移表!L:L,"计划生产",生产物料推移表!B:B,"852-244000-100")</f>
        <v>0</v>
      </c>
      <c r="AH60">
        <f>sumifs(生产物料推移表!ah:ah,生产物料推移表!L:L,"计划生产",生产物料推移表!B:B,"852-244000-100")</f>
        <v>0</v>
      </c>
      <c r="AI60">
        <f>sumifs(生产物料推移表!ai:ai,生产物料推移表!L:L,"计划生产",生产物料推移表!B:B,"852-244000-100")</f>
        <v>0</v>
      </c>
      <c r="AJ60">
        <f>sumifs(生产物料推移表!aj:aj,生产物料推移表!L:L,"计划生产",生产物料推移表!B:B,"852-244000-100")</f>
        <v>0</v>
      </c>
      <c r="AK60">
        <f>sumifs(生产物料推移表!ak:ak,生产物料推移表!L:L,"计划生产",生产物料推移表!B:B,"852-244000-100")</f>
        <v>0</v>
      </c>
      <c r="AL60">
        <f>sumifs(生产物料推移表!al:al,生产物料推移表!L:L,"计划生产",生产物料推移表!B:B,"852-244000-100")</f>
        <v>0</v>
      </c>
      <c r="AM60">
        <f>sumifs(生产物料推移表!am:am,生产物料推移表!L:L,"计划生产",生产物料推移表!B:B,"852-244000-100")</f>
        <v>0</v>
      </c>
      <c r="AN60">
        <f>sumifs(生产物料推移表!an:an,生产物料推移表!L:L,"计划生产",生产物料推移表!B:B,"852-244000-100")</f>
        <v>0</v>
      </c>
      <c r="AO60">
        <f>sumifs(生产物料推移表!ao:ao,生产物料推移表!L:L,"计划生产",生产物料推移表!B:B,"852-244000-100")</f>
        <v>0</v>
      </c>
      <c r="AP60">
        <f>sumifs(生产物料推移表!ap:ap,生产物料推移表!L:L,"计划生产",生产物料推移表!B:B,"852-244000-100")</f>
        <v>0</v>
      </c>
      <c r="AQ60">
        <f>sumifs(生产物料推移表!aq:aq,生产物料推移表!L:L,"计划生产",生产物料推移表!B:B,"852-244000-100")</f>
        <v>0</v>
      </c>
      <c r="AR60">
        <f>sumifs(生产物料推移表!ar:ar,生产物料推移表!L:L,"计划生产",生产物料推移表!B:B,"852-244000-100")</f>
        <v>0</v>
      </c>
      <c r="BY60">
        <f>sum(j60:an60)</f>
        <v>0</v>
      </c>
    </row>
    <row r="61" spans="1:77">
      <c r="A61" t="s">
        <v>14</v>
      </c>
      <c r="B61" t="s">
        <v>120</v>
      </c>
      <c r="C61" t="s">
        <v>121</v>
      </c>
      <c r="D61" t="s">
        <v>256</v>
      </c>
      <c r="E61">
        <v>1</v>
      </c>
      <c r="F61" t="s">
        <v>122</v>
      </c>
      <c r="K61" t="s">
        <v>305</v>
      </c>
      <c r="L61" t="s">
        <v>37</v>
      </c>
      <c r="M61">
        <f>sumifs(生产物料推移表!m:m,生产物料推移表!L:L,"计划生产",生产物料推移表!B:B,"852-246000-100")</f>
        <v>0</v>
      </c>
      <c r="N61">
        <f>sumifs(生产物料推移表!n:n,生产物料推移表!L:L,"计划生产",生产物料推移表!B:B,"852-246000-100")</f>
        <v>0</v>
      </c>
      <c r="O61">
        <f>sumifs(生产物料推移表!o:o,生产物料推移表!L:L,"计划生产",生产物料推移表!B:B,"852-246000-100")</f>
        <v>0</v>
      </c>
      <c r="P61">
        <f>sumifs(生产物料推移表!p:p,生产物料推移表!L:L,"计划生产",生产物料推移表!B:B,"852-246000-100")</f>
        <v>0</v>
      </c>
      <c r="Q61">
        <f>sumifs(生产物料推移表!q:q,生产物料推移表!L:L,"计划生产",生产物料推移表!B:B,"852-246000-100")</f>
        <v>0</v>
      </c>
      <c r="R61">
        <f>sumifs(生产物料推移表!r:r,生产物料推移表!L:L,"计划生产",生产物料推移表!B:B,"852-246000-100")</f>
        <v>0</v>
      </c>
      <c r="S61">
        <f>sumifs(生产物料推移表!s:s,生产物料推移表!L:L,"计划生产",生产物料推移表!B:B,"852-246000-100")</f>
        <v>0</v>
      </c>
      <c r="T61">
        <f>sumifs(生产物料推移表!t:t,生产物料推移表!L:L,"计划生产",生产物料推移表!B:B,"852-246000-100")</f>
        <v>0</v>
      </c>
      <c r="U61">
        <f>sumifs(生产物料推移表!u:u,生产物料推移表!L:L,"计划生产",生产物料推移表!B:B,"852-246000-100")</f>
        <v>0</v>
      </c>
      <c r="V61">
        <f>sumifs(生产物料推移表!v:v,生产物料推移表!L:L,"计划生产",生产物料推移表!B:B,"852-246000-100")</f>
        <v>0</v>
      </c>
      <c r="W61">
        <f>sumifs(生产物料推移表!w:w,生产物料推移表!L:L,"计划生产",生产物料推移表!B:B,"852-246000-100")</f>
        <v>0</v>
      </c>
      <c r="X61">
        <f>sumifs(生产物料推移表!x:x,生产物料推移表!L:L,"计划生产",生产物料推移表!B:B,"852-246000-100")</f>
        <v>0</v>
      </c>
      <c r="Y61">
        <f>sumifs(生产物料推移表!y:y,生产物料推移表!L:L,"计划生产",生产物料推移表!B:B,"852-246000-100")</f>
        <v>0</v>
      </c>
      <c r="Z61">
        <f>sumifs(生产物料推移表!z:z,生产物料推移表!L:L,"计划生产",生产物料推移表!B:B,"852-246000-100")</f>
        <v>0</v>
      </c>
      <c r="AA61">
        <f>sumifs(生产物料推移表!aa:aa,生产物料推移表!L:L,"计划生产",生产物料推移表!B:B,"852-246000-100")</f>
        <v>0</v>
      </c>
      <c r="AB61">
        <f>sumifs(生产物料推移表!ab:ab,生产物料推移表!L:L,"计划生产",生产物料推移表!B:B,"852-246000-100")</f>
        <v>0</v>
      </c>
      <c r="AC61">
        <f>sumifs(生产物料推移表!ac:ac,生产物料推移表!L:L,"计划生产",生产物料推移表!B:B,"852-246000-100")</f>
        <v>0</v>
      </c>
      <c r="AD61">
        <f>sumifs(生产物料推移表!ad:ad,生产物料推移表!L:L,"计划生产",生产物料推移表!B:B,"852-246000-100")</f>
        <v>0</v>
      </c>
      <c r="AE61">
        <f>sumifs(生产物料推移表!ae:ae,生产物料推移表!L:L,"计划生产",生产物料推移表!B:B,"852-246000-100")</f>
        <v>0</v>
      </c>
      <c r="AF61">
        <f>sumifs(生产物料推移表!af:af,生产物料推移表!L:L,"计划生产",生产物料推移表!B:B,"852-246000-100")</f>
        <v>0</v>
      </c>
      <c r="AG61">
        <f>sumifs(生产物料推移表!ag:ag,生产物料推移表!L:L,"计划生产",生产物料推移表!B:B,"852-246000-100")</f>
        <v>0</v>
      </c>
      <c r="AH61">
        <f>sumifs(生产物料推移表!ah:ah,生产物料推移表!L:L,"计划生产",生产物料推移表!B:B,"852-246000-100")</f>
        <v>0</v>
      </c>
      <c r="AI61">
        <f>sumifs(生产物料推移表!ai:ai,生产物料推移表!L:L,"计划生产",生产物料推移表!B:B,"852-246000-100")</f>
        <v>0</v>
      </c>
      <c r="AJ61">
        <f>sumifs(生产物料推移表!aj:aj,生产物料推移表!L:L,"计划生产",生产物料推移表!B:B,"852-246000-100")</f>
        <v>0</v>
      </c>
      <c r="AK61">
        <f>sumifs(生产物料推移表!ak:ak,生产物料推移表!L:L,"计划生产",生产物料推移表!B:B,"852-246000-100")</f>
        <v>0</v>
      </c>
      <c r="AL61">
        <f>sumifs(生产物料推移表!al:al,生产物料推移表!L:L,"计划生产",生产物料推移表!B:B,"852-246000-100")</f>
        <v>0</v>
      </c>
      <c r="AM61">
        <f>sumifs(生产物料推移表!am:am,生产物料推移表!L:L,"计划生产",生产物料推移表!B:B,"852-246000-100")</f>
        <v>0</v>
      </c>
      <c r="AN61">
        <f>sumifs(生产物料推移表!an:an,生产物料推移表!L:L,"计划生产",生产物料推移表!B:B,"852-246000-100")</f>
        <v>0</v>
      </c>
      <c r="AO61">
        <f>sumifs(生产物料推移表!ao:ao,生产物料推移表!L:L,"计划生产",生产物料推移表!B:B,"852-246000-100")</f>
        <v>0</v>
      </c>
      <c r="AP61">
        <f>sumifs(生产物料推移表!ap:ap,生产物料推移表!L:L,"计划生产",生产物料推移表!B:B,"852-246000-100")</f>
        <v>0</v>
      </c>
      <c r="AQ61">
        <f>sumifs(生产物料推移表!aq:aq,生产物料推移表!L:L,"计划生产",生产物料推移表!B:B,"852-246000-100")</f>
        <v>0</v>
      </c>
      <c r="AR61">
        <f>sumifs(生产物料推移表!ar:ar,生产物料推移表!L:L,"计划生产",生产物料推移表!B:B,"852-246000-100")</f>
        <v>0</v>
      </c>
      <c r="BY61">
        <f>sum(j61:an61)</f>
        <v>0</v>
      </c>
    </row>
    <row r="62" spans="1:77">
      <c r="A62" t="s">
        <v>14</v>
      </c>
      <c r="B62" t="s">
        <v>127</v>
      </c>
      <c r="C62" t="s">
        <v>128</v>
      </c>
      <c r="D62" t="s">
        <v>256</v>
      </c>
      <c r="E62">
        <v>1</v>
      </c>
      <c r="F62" t="s">
        <v>129</v>
      </c>
      <c r="K62" t="s">
        <v>305</v>
      </c>
      <c r="L62" t="s">
        <v>37</v>
      </c>
      <c r="M62">
        <f>sumifs(生产物料推移表!m:m,生产物料推移表!L:L,"计划生产",生产物料推移表!B:B,"852-246000-200")</f>
        <v>0</v>
      </c>
      <c r="N62">
        <f>sumifs(生产物料推移表!n:n,生产物料推移表!L:L,"计划生产",生产物料推移表!B:B,"852-246000-200")</f>
        <v>0</v>
      </c>
      <c r="O62">
        <f>sumifs(生产物料推移表!o:o,生产物料推移表!L:L,"计划生产",生产物料推移表!B:B,"852-246000-200")</f>
        <v>0</v>
      </c>
      <c r="P62">
        <f>sumifs(生产物料推移表!p:p,生产物料推移表!L:L,"计划生产",生产物料推移表!B:B,"852-246000-200")</f>
        <v>0</v>
      </c>
      <c r="Q62">
        <f>sumifs(生产物料推移表!q:q,生产物料推移表!L:L,"计划生产",生产物料推移表!B:B,"852-246000-200")</f>
        <v>0</v>
      </c>
      <c r="R62">
        <f>sumifs(生产物料推移表!r:r,生产物料推移表!L:L,"计划生产",生产物料推移表!B:B,"852-246000-200")</f>
        <v>0</v>
      </c>
      <c r="S62">
        <f>sumifs(生产物料推移表!s:s,生产物料推移表!L:L,"计划生产",生产物料推移表!B:B,"852-246000-200")</f>
        <v>0</v>
      </c>
      <c r="T62">
        <f>sumifs(生产物料推移表!t:t,生产物料推移表!L:L,"计划生产",生产物料推移表!B:B,"852-246000-200")</f>
        <v>0</v>
      </c>
      <c r="U62">
        <f>sumifs(生产物料推移表!u:u,生产物料推移表!L:L,"计划生产",生产物料推移表!B:B,"852-246000-200")</f>
        <v>0</v>
      </c>
      <c r="V62">
        <f>sumifs(生产物料推移表!v:v,生产物料推移表!L:L,"计划生产",生产物料推移表!B:B,"852-246000-200")</f>
        <v>0</v>
      </c>
      <c r="W62">
        <f>sumifs(生产物料推移表!w:w,生产物料推移表!L:L,"计划生产",生产物料推移表!B:B,"852-246000-200")</f>
        <v>0</v>
      </c>
      <c r="X62">
        <f>sumifs(生产物料推移表!x:x,生产物料推移表!L:L,"计划生产",生产物料推移表!B:B,"852-246000-200")</f>
        <v>0</v>
      </c>
      <c r="Y62">
        <f>sumifs(生产物料推移表!y:y,生产物料推移表!L:L,"计划生产",生产物料推移表!B:B,"852-246000-200")</f>
        <v>0</v>
      </c>
      <c r="Z62">
        <f>sumifs(生产物料推移表!z:z,生产物料推移表!L:L,"计划生产",生产物料推移表!B:B,"852-246000-200")</f>
        <v>0</v>
      </c>
      <c r="AA62">
        <f>sumifs(生产物料推移表!aa:aa,生产物料推移表!L:L,"计划生产",生产物料推移表!B:B,"852-246000-200")</f>
        <v>0</v>
      </c>
      <c r="AB62">
        <f>sumifs(生产物料推移表!ab:ab,生产物料推移表!L:L,"计划生产",生产物料推移表!B:B,"852-246000-200")</f>
        <v>0</v>
      </c>
      <c r="AC62">
        <f>sumifs(生产物料推移表!ac:ac,生产物料推移表!L:L,"计划生产",生产物料推移表!B:B,"852-246000-200")</f>
        <v>0</v>
      </c>
      <c r="AD62">
        <f>sumifs(生产物料推移表!ad:ad,生产物料推移表!L:L,"计划生产",生产物料推移表!B:B,"852-246000-200")</f>
        <v>0</v>
      </c>
      <c r="AE62">
        <f>sumifs(生产物料推移表!ae:ae,生产物料推移表!L:L,"计划生产",生产物料推移表!B:B,"852-246000-200")</f>
        <v>0</v>
      </c>
      <c r="AF62">
        <f>sumifs(生产物料推移表!af:af,生产物料推移表!L:L,"计划生产",生产物料推移表!B:B,"852-246000-200")</f>
        <v>0</v>
      </c>
      <c r="AG62">
        <f>sumifs(生产物料推移表!ag:ag,生产物料推移表!L:L,"计划生产",生产物料推移表!B:B,"852-246000-200")</f>
        <v>0</v>
      </c>
      <c r="AH62">
        <f>sumifs(生产物料推移表!ah:ah,生产物料推移表!L:L,"计划生产",生产物料推移表!B:B,"852-246000-200")</f>
        <v>0</v>
      </c>
      <c r="AI62">
        <f>sumifs(生产物料推移表!ai:ai,生产物料推移表!L:L,"计划生产",生产物料推移表!B:B,"852-246000-200")</f>
        <v>0</v>
      </c>
      <c r="AJ62">
        <f>sumifs(生产物料推移表!aj:aj,生产物料推移表!L:L,"计划生产",生产物料推移表!B:B,"852-246000-200")</f>
        <v>0</v>
      </c>
      <c r="AK62">
        <f>sumifs(生产物料推移表!ak:ak,生产物料推移表!L:L,"计划生产",生产物料推移表!B:B,"852-246000-200")</f>
        <v>0</v>
      </c>
      <c r="AL62">
        <f>sumifs(生产物料推移表!al:al,生产物料推移表!L:L,"计划生产",生产物料推移表!B:B,"852-246000-200")</f>
        <v>0</v>
      </c>
      <c r="AM62">
        <f>sumifs(生产物料推移表!am:am,生产物料推移表!L:L,"计划生产",生产物料推移表!B:B,"852-246000-200")</f>
        <v>0</v>
      </c>
      <c r="AN62">
        <f>sumifs(生产物料推移表!an:an,生产物料推移表!L:L,"计划生产",生产物料推移表!B:B,"852-246000-200")</f>
        <v>0</v>
      </c>
      <c r="AO62">
        <f>sumifs(生产物料推移表!ao:ao,生产物料推移表!L:L,"计划生产",生产物料推移表!B:B,"852-246000-200")</f>
        <v>0</v>
      </c>
      <c r="AP62">
        <f>sumifs(生产物料推移表!ap:ap,生产物料推移表!L:L,"计划生产",生产物料推移表!B:B,"852-246000-200")</f>
        <v>0</v>
      </c>
      <c r="AQ62">
        <f>sumifs(生产物料推移表!aq:aq,生产物料推移表!L:L,"计划生产",生产物料推移表!B:B,"852-246000-200")</f>
        <v>0</v>
      </c>
      <c r="AR62">
        <f>sumifs(生产物料推移表!ar:ar,生产物料推移表!L:L,"计划生产",生产物料推移表!B:B,"852-246000-200")</f>
        <v>0</v>
      </c>
      <c r="BY62">
        <f>sum(j62:an62)</f>
        <v>0</v>
      </c>
    </row>
    <row r="63" spans="1:77">
      <c r="A63" t="s">
        <v>14</v>
      </c>
      <c r="B63" t="s">
        <v>134</v>
      </c>
      <c r="C63" t="s">
        <v>135</v>
      </c>
      <c r="D63" t="s">
        <v>256</v>
      </c>
      <c r="E63">
        <v>1</v>
      </c>
      <c r="F63" t="s">
        <v>136</v>
      </c>
      <c r="K63" t="s">
        <v>305</v>
      </c>
      <c r="L63" t="s">
        <v>37</v>
      </c>
      <c r="M63">
        <f>sumifs(生产物料推移表!m:m,生产物料推移表!L:L,"计划生产",生产物料推移表!B:B,"852-247000-100")</f>
        <v>0</v>
      </c>
      <c r="N63">
        <f>sumifs(生产物料推移表!n:n,生产物料推移表!L:L,"计划生产",生产物料推移表!B:B,"852-247000-100")</f>
        <v>0</v>
      </c>
      <c r="O63">
        <f>sumifs(生产物料推移表!o:o,生产物料推移表!L:L,"计划生产",生产物料推移表!B:B,"852-247000-100")</f>
        <v>0</v>
      </c>
      <c r="P63">
        <f>sumifs(生产物料推移表!p:p,生产物料推移表!L:L,"计划生产",生产物料推移表!B:B,"852-247000-100")</f>
        <v>0</v>
      </c>
      <c r="Q63">
        <f>sumifs(生产物料推移表!q:q,生产物料推移表!L:L,"计划生产",生产物料推移表!B:B,"852-247000-100")</f>
        <v>0</v>
      </c>
      <c r="R63">
        <f>sumifs(生产物料推移表!r:r,生产物料推移表!L:L,"计划生产",生产物料推移表!B:B,"852-247000-100")</f>
        <v>0</v>
      </c>
      <c r="S63">
        <f>sumifs(生产物料推移表!s:s,生产物料推移表!L:L,"计划生产",生产物料推移表!B:B,"852-247000-100")</f>
        <v>0</v>
      </c>
      <c r="T63">
        <f>sumifs(生产物料推移表!t:t,生产物料推移表!L:L,"计划生产",生产物料推移表!B:B,"852-247000-100")</f>
        <v>0</v>
      </c>
      <c r="U63">
        <f>sumifs(生产物料推移表!u:u,生产物料推移表!L:L,"计划生产",生产物料推移表!B:B,"852-247000-100")</f>
        <v>0</v>
      </c>
      <c r="V63">
        <f>sumifs(生产物料推移表!v:v,生产物料推移表!L:L,"计划生产",生产物料推移表!B:B,"852-247000-100")</f>
        <v>0</v>
      </c>
      <c r="W63">
        <f>sumifs(生产物料推移表!w:w,生产物料推移表!L:L,"计划生产",生产物料推移表!B:B,"852-247000-100")</f>
        <v>0</v>
      </c>
      <c r="X63">
        <f>sumifs(生产物料推移表!x:x,生产物料推移表!L:L,"计划生产",生产物料推移表!B:B,"852-247000-100")</f>
        <v>0</v>
      </c>
      <c r="Y63">
        <f>sumifs(生产物料推移表!y:y,生产物料推移表!L:L,"计划生产",生产物料推移表!B:B,"852-247000-100")</f>
        <v>0</v>
      </c>
      <c r="Z63">
        <f>sumifs(生产物料推移表!z:z,生产物料推移表!L:L,"计划生产",生产物料推移表!B:B,"852-247000-100")</f>
        <v>0</v>
      </c>
      <c r="AA63">
        <f>sumifs(生产物料推移表!aa:aa,生产物料推移表!L:L,"计划生产",生产物料推移表!B:B,"852-247000-100")</f>
        <v>0</v>
      </c>
      <c r="AB63">
        <f>sumifs(生产物料推移表!ab:ab,生产物料推移表!L:L,"计划生产",生产物料推移表!B:B,"852-247000-100")</f>
        <v>0</v>
      </c>
      <c r="AC63">
        <f>sumifs(生产物料推移表!ac:ac,生产物料推移表!L:L,"计划生产",生产物料推移表!B:B,"852-247000-100")</f>
        <v>0</v>
      </c>
      <c r="AD63">
        <f>sumifs(生产物料推移表!ad:ad,生产物料推移表!L:L,"计划生产",生产物料推移表!B:B,"852-247000-100")</f>
        <v>0</v>
      </c>
      <c r="AE63">
        <f>sumifs(生产物料推移表!ae:ae,生产物料推移表!L:L,"计划生产",生产物料推移表!B:B,"852-247000-100")</f>
        <v>0</v>
      </c>
      <c r="AF63">
        <f>sumifs(生产物料推移表!af:af,生产物料推移表!L:L,"计划生产",生产物料推移表!B:B,"852-247000-100")</f>
        <v>0</v>
      </c>
      <c r="AG63">
        <f>sumifs(生产物料推移表!ag:ag,生产物料推移表!L:L,"计划生产",生产物料推移表!B:B,"852-247000-100")</f>
        <v>0</v>
      </c>
      <c r="AH63">
        <f>sumifs(生产物料推移表!ah:ah,生产物料推移表!L:L,"计划生产",生产物料推移表!B:B,"852-247000-100")</f>
        <v>0</v>
      </c>
      <c r="AI63">
        <f>sumifs(生产物料推移表!ai:ai,生产物料推移表!L:L,"计划生产",生产物料推移表!B:B,"852-247000-100")</f>
        <v>0</v>
      </c>
      <c r="AJ63">
        <f>sumifs(生产物料推移表!aj:aj,生产物料推移表!L:L,"计划生产",生产物料推移表!B:B,"852-247000-100")</f>
        <v>0</v>
      </c>
      <c r="AK63">
        <f>sumifs(生产物料推移表!ak:ak,生产物料推移表!L:L,"计划生产",生产物料推移表!B:B,"852-247000-100")</f>
        <v>0</v>
      </c>
      <c r="AL63">
        <f>sumifs(生产物料推移表!al:al,生产物料推移表!L:L,"计划生产",生产物料推移表!B:B,"852-247000-100")</f>
        <v>0</v>
      </c>
      <c r="AM63">
        <f>sumifs(生产物料推移表!am:am,生产物料推移表!L:L,"计划生产",生产物料推移表!B:B,"852-247000-100")</f>
        <v>0</v>
      </c>
      <c r="AN63">
        <f>sumifs(生产物料推移表!an:an,生产物料推移表!L:L,"计划生产",生产物料推移表!B:B,"852-247000-100")</f>
        <v>0</v>
      </c>
      <c r="AO63">
        <f>sumifs(生产物料推移表!ao:ao,生产物料推移表!L:L,"计划生产",生产物料推移表!B:B,"852-247000-100")</f>
        <v>0</v>
      </c>
      <c r="AP63">
        <f>sumifs(生产物料推移表!ap:ap,生产物料推移表!L:L,"计划生产",生产物料推移表!B:B,"852-247000-100")</f>
        <v>0</v>
      </c>
      <c r="AQ63">
        <f>sumifs(生产物料推移表!aq:aq,生产物料推移表!L:L,"计划生产",生产物料推移表!B:B,"852-247000-100")</f>
        <v>0</v>
      </c>
      <c r="AR63">
        <f>sumifs(生产物料推移表!ar:ar,生产物料推移表!L:L,"计划生产",生产物料推移表!B:B,"852-247000-100")</f>
        <v>0</v>
      </c>
      <c r="BY63">
        <f>sum(j63:an63)</f>
        <v>0</v>
      </c>
    </row>
    <row r="64" spans="1:77">
      <c r="A64" t="s">
        <v>14</v>
      </c>
      <c r="B64" t="s">
        <v>140</v>
      </c>
      <c r="C64" t="s">
        <v>141</v>
      </c>
      <c r="D64" t="s">
        <v>256</v>
      </c>
      <c r="E64">
        <v>1</v>
      </c>
      <c r="F64" t="s">
        <v>142</v>
      </c>
      <c r="K64" t="s">
        <v>305</v>
      </c>
      <c r="L64" t="s">
        <v>37</v>
      </c>
      <c r="M64">
        <f>sumifs(生产物料推移表!m:m,生产物料推移表!L:L,"计划生产",生产物料推移表!B:B,"852-247000-200")</f>
        <v>0</v>
      </c>
      <c r="N64">
        <f>sumifs(生产物料推移表!n:n,生产物料推移表!L:L,"计划生产",生产物料推移表!B:B,"852-247000-200")</f>
        <v>0</v>
      </c>
      <c r="O64">
        <f>sumifs(生产物料推移表!o:o,生产物料推移表!L:L,"计划生产",生产物料推移表!B:B,"852-247000-200")</f>
        <v>0</v>
      </c>
      <c r="P64">
        <f>sumifs(生产物料推移表!p:p,生产物料推移表!L:L,"计划生产",生产物料推移表!B:B,"852-247000-200")</f>
        <v>0</v>
      </c>
      <c r="Q64">
        <f>sumifs(生产物料推移表!q:q,生产物料推移表!L:L,"计划生产",生产物料推移表!B:B,"852-247000-200")</f>
        <v>0</v>
      </c>
      <c r="R64">
        <f>sumifs(生产物料推移表!r:r,生产物料推移表!L:L,"计划生产",生产物料推移表!B:B,"852-247000-200")</f>
        <v>0</v>
      </c>
      <c r="S64">
        <f>sumifs(生产物料推移表!s:s,生产物料推移表!L:L,"计划生产",生产物料推移表!B:B,"852-247000-200")</f>
        <v>0</v>
      </c>
      <c r="T64">
        <f>sumifs(生产物料推移表!t:t,生产物料推移表!L:L,"计划生产",生产物料推移表!B:B,"852-247000-200")</f>
        <v>0</v>
      </c>
      <c r="U64">
        <f>sumifs(生产物料推移表!u:u,生产物料推移表!L:L,"计划生产",生产物料推移表!B:B,"852-247000-200")</f>
        <v>0</v>
      </c>
      <c r="V64">
        <f>sumifs(生产物料推移表!v:v,生产物料推移表!L:L,"计划生产",生产物料推移表!B:B,"852-247000-200")</f>
        <v>0</v>
      </c>
      <c r="W64">
        <f>sumifs(生产物料推移表!w:w,生产物料推移表!L:L,"计划生产",生产物料推移表!B:B,"852-247000-200")</f>
        <v>0</v>
      </c>
      <c r="X64">
        <f>sumifs(生产物料推移表!x:x,生产物料推移表!L:L,"计划生产",生产物料推移表!B:B,"852-247000-200")</f>
        <v>0</v>
      </c>
      <c r="Y64">
        <f>sumifs(生产物料推移表!y:y,生产物料推移表!L:L,"计划生产",生产物料推移表!B:B,"852-247000-200")</f>
        <v>0</v>
      </c>
      <c r="Z64">
        <f>sumifs(生产物料推移表!z:z,生产物料推移表!L:L,"计划生产",生产物料推移表!B:B,"852-247000-200")</f>
        <v>0</v>
      </c>
      <c r="AA64">
        <f>sumifs(生产物料推移表!aa:aa,生产物料推移表!L:L,"计划生产",生产物料推移表!B:B,"852-247000-200")</f>
        <v>0</v>
      </c>
      <c r="AB64">
        <f>sumifs(生产物料推移表!ab:ab,生产物料推移表!L:L,"计划生产",生产物料推移表!B:B,"852-247000-200")</f>
        <v>0</v>
      </c>
      <c r="AC64">
        <f>sumifs(生产物料推移表!ac:ac,生产物料推移表!L:L,"计划生产",生产物料推移表!B:B,"852-247000-200")</f>
        <v>0</v>
      </c>
      <c r="AD64">
        <f>sumifs(生产物料推移表!ad:ad,生产物料推移表!L:L,"计划生产",生产物料推移表!B:B,"852-247000-200")</f>
        <v>0</v>
      </c>
      <c r="AE64">
        <f>sumifs(生产物料推移表!ae:ae,生产物料推移表!L:L,"计划生产",生产物料推移表!B:B,"852-247000-200")</f>
        <v>0</v>
      </c>
      <c r="AF64">
        <f>sumifs(生产物料推移表!af:af,生产物料推移表!L:L,"计划生产",生产物料推移表!B:B,"852-247000-200")</f>
        <v>0</v>
      </c>
      <c r="AG64">
        <f>sumifs(生产物料推移表!ag:ag,生产物料推移表!L:L,"计划生产",生产物料推移表!B:B,"852-247000-200")</f>
        <v>0</v>
      </c>
      <c r="AH64">
        <f>sumifs(生产物料推移表!ah:ah,生产物料推移表!L:L,"计划生产",生产物料推移表!B:B,"852-247000-200")</f>
        <v>0</v>
      </c>
      <c r="AI64">
        <f>sumifs(生产物料推移表!ai:ai,生产物料推移表!L:L,"计划生产",生产物料推移表!B:B,"852-247000-200")</f>
        <v>0</v>
      </c>
      <c r="AJ64">
        <f>sumifs(生产物料推移表!aj:aj,生产物料推移表!L:L,"计划生产",生产物料推移表!B:B,"852-247000-200")</f>
        <v>0</v>
      </c>
      <c r="AK64">
        <f>sumifs(生产物料推移表!ak:ak,生产物料推移表!L:L,"计划生产",生产物料推移表!B:B,"852-247000-200")</f>
        <v>0</v>
      </c>
      <c r="AL64">
        <f>sumifs(生产物料推移表!al:al,生产物料推移表!L:L,"计划生产",生产物料推移表!B:B,"852-247000-200")</f>
        <v>0</v>
      </c>
      <c r="AM64">
        <f>sumifs(生产物料推移表!am:am,生产物料推移表!L:L,"计划生产",生产物料推移表!B:B,"852-247000-200")</f>
        <v>0</v>
      </c>
      <c r="AN64">
        <f>sumifs(生产物料推移表!an:an,生产物料推移表!L:L,"计划生产",生产物料推移表!B:B,"852-247000-200")</f>
        <v>0</v>
      </c>
      <c r="AO64">
        <f>sumifs(生产物料推移表!ao:ao,生产物料推移表!L:L,"计划生产",生产物料推移表!B:B,"852-247000-200")</f>
        <v>0</v>
      </c>
      <c r="AP64">
        <f>sumifs(生产物料推移表!ap:ap,生产物料推移表!L:L,"计划生产",生产物料推移表!B:B,"852-247000-200")</f>
        <v>0</v>
      </c>
      <c r="AQ64">
        <f>sumifs(生产物料推移表!aq:aq,生产物料推移表!L:L,"计划生产",生产物料推移表!B:B,"852-247000-200")</f>
        <v>0</v>
      </c>
      <c r="AR64">
        <f>sumifs(生产物料推移表!ar:ar,生产物料推移表!L:L,"计划生产",生产物料推移表!B:B,"852-247000-200")</f>
        <v>0</v>
      </c>
      <c r="BY64">
        <f>sum(j64:an64)</f>
        <v>0</v>
      </c>
    </row>
    <row r="65" spans="1:77">
      <c r="A65" t="s">
        <v>14</v>
      </c>
      <c r="B65" t="s">
        <v>147</v>
      </c>
      <c r="C65" t="s">
        <v>148</v>
      </c>
      <c r="D65" t="s">
        <v>256</v>
      </c>
      <c r="E65">
        <v>1</v>
      </c>
      <c r="F65" t="s">
        <v>149</v>
      </c>
      <c r="K65" t="s">
        <v>305</v>
      </c>
      <c r="L65" t="s">
        <v>37</v>
      </c>
      <c r="M65">
        <f>sumifs(生产物料推移表!m:m,生产物料推移表!L:L,"计划生产",生产物料推移表!B:B,"852-248000-100")</f>
        <v>0</v>
      </c>
      <c r="N65">
        <f>sumifs(生产物料推移表!n:n,生产物料推移表!L:L,"计划生产",生产物料推移表!B:B,"852-248000-100")</f>
        <v>0</v>
      </c>
      <c r="O65">
        <f>sumifs(生产物料推移表!o:o,生产物料推移表!L:L,"计划生产",生产物料推移表!B:B,"852-248000-100")</f>
        <v>0</v>
      </c>
      <c r="P65">
        <f>sumifs(生产物料推移表!p:p,生产物料推移表!L:L,"计划生产",生产物料推移表!B:B,"852-248000-100")</f>
        <v>0</v>
      </c>
      <c r="Q65">
        <f>sumifs(生产物料推移表!q:q,生产物料推移表!L:L,"计划生产",生产物料推移表!B:B,"852-248000-100")</f>
        <v>0</v>
      </c>
      <c r="R65">
        <f>sumifs(生产物料推移表!r:r,生产物料推移表!L:L,"计划生产",生产物料推移表!B:B,"852-248000-100")</f>
        <v>0</v>
      </c>
      <c r="S65">
        <f>sumifs(生产物料推移表!s:s,生产物料推移表!L:L,"计划生产",生产物料推移表!B:B,"852-248000-100")</f>
        <v>0</v>
      </c>
      <c r="T65">
        <f>sumifs(生产物料推移表!t:t,生产物料推移表!L:L,"计划生产",生产物料推移表!B:B,"852-248000-100")</f>
        <v>0</v>
      </c>
      <c r="U65">
        <f>sumifs(生产物料推移表!u:u,生产物料推移表!L:L,"计划生产",生产物料推移表!B:B,"852-248000-100")</f>
        <v>0</v>
      </c>
      <c r="V65">
        <f>sumifs(生产物料推移表!v:v,生产物料推移表!L:L,"计划生产",生产物料推移表!B:B,"852-248000-100")</f>
        <v>0</v>
      </c>
      <c r="W65">
        <f>sumifs(生产物料推移表!w:w,生产物料推移表!L:L,"计划生产",生产物料推移表!B:B,"852-248000-100")</f>
        <v>0</v>
      </c>
      <c r="X65">
        <f>sumifs(生产物料推移表!x:x,生产物料推移表!L:L,"计划生产",生产物料推移表!B:B,"852-248000-100")</f>
        <v>0</v>
      </c>
      <c r="Y65">
        <f>sumifs(生产物料推移表!y:y,生产物料推移表!L:L,"计划生产",生产物料推移表!B:B,"852-248000-100")</f>
        <v>0</v>
      </c>
      <c r="Z65">
        <f>sumifs(生产物料推移表!z:z,生产物料推移表!L:L,"计划生产",生产物料推移表!B:B,"852-248000-100")</f>
        <v>0</v>
      </c>
      <c r="AA65">
        <f>sumifs(生产物料推移表!aa:aa,生产物料推移表!L:L,"计划生产",生产物料推移表!B:B,"852-248000-100")</f>
        <v>0</v>
      </c>
      <c r="AB65">
        <f>sumifs(生产物料推移表!ab:ab,生产物料推移表!L:L,"计划生产",生产物料推移表!B:B,"852-248000-100")</f>
        <v>0</v>
      </c>
      <c r="AC65">
        <f>sumifs(生产物料推移表!ac:ac,生产物料推移表!L:L,"计划生产",生产物料推移表!B:B,"852-248000-100")</f>
        <v>0</v>
      </c>
      <c r="AD65">
        <f>sumifs(生产物料推移表!ad:ad,生产物料推移表!L:L,"计划生产",生产物料推移表!B:B,"852-248000-100")</f>
        <v>0</v>
      </c>
      <c r="AE65">
        <f>sumifs(生产物料推移表!ae:ae,生产物料推移表!L:L,"计划生产",生产物料推移表!B:B,"852-248000-100")</f>
        <v>0</v>
      </c>
      <c r="AF65">
        <f>sumifs(生产物料推移表!af:af,生产物料推移表!L:L,"计划生产",生产物料推移表!B:B,"852-248000-100")</f>
        <v>0</v>
      </c>
      <c r="AG65">
        <f>sumifs(生产物料推移表!ag:ag,生产物料推移表!L:L,"计划生产",生产物料推移表!B:B,"852-248000-100")</f>
        <v>0</v>
      </c>
      <c r="AH65">
        <f>sumifs(生产物料推移表!ah:ah,生产物料推移表!L:L,"计划生产",生产物料推移表!B:B,"852-248000-100")</f>
        <v>0</v>
      </c>
      <c r="AI65">
        <f>sumifs(生产物料推移表!ai:ai,生产物料推移表!L:L,"计划生产",生产物料推移表!B:B,"852-248000-100")</f>
        <v>0</v>
      </c>
      <c r="AJ65">
        <f>sumifs(生产物料推移表!aj:aj,生产物料推移表!L:L,"计划生产",生产物料推移表!B:B,"852-248000-100")</f>
        <v>0</v>
      </c>
      <c r="AK65">
        <f>sumifs(生产物料推移表!ak:ak,生产物料推移表!L:L,"计划生产",生产物料推移表!B:B,"852-248000-100")</f>
        <v>0</v>
      </c>
      <c r="AL65">
        <f>sumifs(生产物料推移表!al:al,生产物料推移表!L:L,"计划生产",生产物料推移表!B:B,"852-248000-100")</f>
        <v>0</v>
      </c>
      <c r="AM65">
        <f>sumifs(生产物料推移表!am:am,生产物料推移表!L:L,"计划生产",生产物料推移表!B:B,"852-248000-100")</f>
        <v>0</v>
      </c>
      <c r="AN65">
        <f>sumifs(生产物料推移表!an:an,生产物料推移表!L:L,"计划生产",生产物料推移表!B:B,"852-248000-100")</f>
        <v>0</v>
      </c>
      <c r="AO65">
        <f>sumifs(生产物料推移表!ao:ao,生产物料推移表!L:L,"计划生产",生产物料推移表!B:B,"852-248000-100")</f>
        <v>0</v>
      </c>
      <c r="AP65">
        <f>sumifs(生产物料推移表!ap:ap,生产物料推移表!L:L,"计划生产",生产物料推移表!B:B,"852-248000-100")</f>
        <v>0</v>
      </c>
      <c r="AQ65">
        <f>sumifs(生产物料推移表!aq:aq,生产物料推移表!L:L,"计划生产",生产物料推移表!B:B,"852-248000-100")</f>
        <v>0</v>
      </c>
      <c r="AR65">
        <f>sumifs(生产物料推移表!ar:ar,生产物料推移表!L:L,"计划生产",生产物料推移表!B:B,"852-248000-100")</f>
        <v>0</v>
      </c>
      <c r="BY65">
        <f>sum(j65:an65)</f>
        <v>0</v>
      </c>
    </row>
    <row r="66" spans="1:77">
      <c r="A66" t="s">
        <v>14</v>
      </c>
      <c r="B66" t="s">
        <v>154</v>
      </c>
      <c r="C66" t="s">
        <v>155</v>
      </c>
      <c r="D66" t="s">
        <v>256</v>
      </c>
      <c r="E66">
        <v>1</v>
      </c>
      <c r="F66" t="s">
        <v>156</v>
      </c>
      <c r="K66" t="s">
        <v>305</v>
      </c>
      <c r="L66" t="s">
        <v>37</v>
      </c>
      <c r="M66">
        <f>sumifs(生产物料推移表!m:m,生产物料推移表!L:L,"计划生产",生产物料推移表!B:B,"852-248000-200")</f>
        <v>0</v>
      </c>
      <c r="N66">
        <f>sumifs(生产物料推移表!n:n,生产物料推移表!L:L,"计划生产",生产物料推移表!B:B,"852-248000-200")</f>
        <v>0</v>
      </c>
      <c r="O66">
        <f>sumifs(生产物料推移表!o:o,生产物料推移表!L:L,"计划生产",生产物料推移表!B:B,"852-248000-200")</f>
        <v>0</v>
      </c>
      <c r="P66">
        <f>sumifs(生产物料推移表!p:p,生产物料推移表!L:L,"计划生产",生产物料推移表!B:B,"852-248000-200")</f>
        <v>0</v>
      </c>
      <c r="Q66">
        <f>sumifs(生产物料推移表!q:q,生产物料推移表!L:L,"计划生产",生产物料推移表!B:B,"852-248000-200")</f>
        <v>0</v>
      </c>
      <c r="R66">
        <f>sumifs(生产物料推移表!r:r,生产物料推移表!L:L,"计划生产",生产物料推移表!B:B,"852-248000-200")</f>
        <v>0</v>
      </c>
      <c r="S66">
        <f>sumifs(生产物料推移表!s:s,生产物料推移表!L:L,"计划生产",生产物料推移表!B:B,"852-248000-200")</f>
        <v>0</v>
      </c>
      <c r="T66">
        <f>sumifs(生产物料推移表!t:t,生产物料推移表!L:L,"计划生产",生产物料推移表!B:B,"852-248000-200")</f>
        <v>0</v>
      </c>
      <c r="U66">
        <f>sumifs(生产物料推移表!u:u,生产物料推移表!L:L,"计划生产",生产物料推移表!B:B,"852-248000-200")</f>
        <v>0</v>
      </c>
      <c r="V66">
        <f>sumifs(生产物料推移表!v:v,生产物料推移表!L:L,"计划生产",生产物料推移表!B:B,"852-248000-200")</f>
        <v>0</v>
      </c>
      <c r="W66">
        <f>sumifs(生产物料推移表!w:w,生产物料推移表!L:L,"计划生产",生产物料推移表!B:B,"852-248000-200")</f>
        <v>0</v>
      </c>
      <c r="X66">
        <f>sumifs(生产物料推移表!x:x,生产物料推移表!L:L,"计划生产",生产物料推移表!B:B,"852-248000-200")</f>
        <v>0</v>
      </c>
      <c r="Y66">
        <f>sumifs(生产物料推移表!y:y,生产物料推移表!L:L,"计划生产",生产物料推移表!B:B,"852-248000-200")</f>
        <v>0</v>
      </c>
      <c r="Z66">
        <f>sumifs(生产物料推移表!z:z,生产物料推移表!L:L,"计划生产",生产物料推移表!B:B,"852-248000-200")</f>
        <v>0</v>
      </c>
      <c r="AA66">
        <f>sumifs(生产物料推移表!aa:aa,生产物料推移表!L:L,"计划生产",生产物料推移表!B:B,"852-248000-200")</f>
        <v>0</v>
      </c>
      <c r="AB66">
        <f>sumifs(生产物料推移表!ab:ab,生产物料推移表!L:L,"计划生产",生产物料推移表!B:B,"852-248000-200")</f>
        <v>0</v>
      </c>
      <c r="AC66">
        <f>sumifs(生产物料推移表!ac:ac,生产物料推移表!L:L,"计划生产",生产物料推移表!B:B,"852-248000-200")</f>
        <v>0</v>
      </c>
      <c r="AD66">
        <f>sumifs(生产物料推移表!ad:ad,生产物料推移表!L:L,"计划生产",生产物料推移表!B:B,"852-248000-200")</f>
        <v>0</v>
      </c>
      <c r="AE66">
        <f>sumifs(生产物料推移表!ae:ae,生产物料推移表!L:L,"计划生产",生产物料推移表!B:B,"852-248000-200")</f>
        <v>0</v>
      </c>
      <c r="AF66">
        <f>sumifs(生产物料推移表!af:af,生产物料推移表!L:L,"计划生产",生产物料推移表!B:B,"852-248000-200")</f>
        <v>0</v>
      </c>
      <c r="AG66">
        <f>sumifs(生产物料推移表!ag:ag,生产物料推移表!L:L,"计划生产",生产物料推移表!B:B,"852-248000-200")</f>
        <v>0</v>
      </c>
      <c r="AH66">
        <f>sumifs(生产物料推移表!ah:ah,生产物料推移表!L:L,"计划生产",生产物料推移表!B:B,"852-248000-200")</f>
        <v>0</v>
      </c>
      <c r="AI66">
        <f>sumifs(生产物料推移表!ai:ai,生产物料推移表!L:L,"计划生产",生产物料推移表!B:B,"852-248000-200")</f>
        <v>0</v>
      </c>
      <c r="AJ66">
        <f>sumifs(生产物料推移表!aj:aj,生产物料推移表!L:L,"计划生产",生产物料推移表!B:B,"852-248000-200")</f>
        <v>0</v>
      </c>
      <c r="AK66">
        <f>sumifs(生产物料推移表!ak:ak,生产物料推移表!L:L,"计划生产",生产物料推移表!B:B,"852-248000-200")</f>
        <v>0</v>
      </c>
      <c r="AL66">
        <f>sumifs(生产物料推移表!al:al,生产物料推移表!L:L,"计划生产",生产物料推移表!B:B,"852-248000-200")</f>
        <v>0</v>
      </c>
      <c r="AM66">
        <f>sumifs(生产物料推移表!am:am,生产物料推移表!L:L,"计划生产",生产物料推移表!B:B,"852-248000-200")</f>
        <v>0</v>
      </c>
      <c r="AN66">
        <f>sumifs(生产物料推移表!an:an,生产物料推移表!L:L,"计划生产",生产物料推移表!B:B,"852-248000-200")</f>
        <v>0</v>
      </c>
      <c r="AO66">
        <f>sumifs(生产物料推移表!ao:ao,生产物料推移表!L:L,"计划生产",生产物料推移表!B:B,"852-248000-200")</f>
        <v>0</v>
      </c>
      <c r="AP66">
        <f>sumifs(生产物料推移表!ap:ap,生产物料推移表!L:L,"计划生产",生产物料推移表!B:B,"852-248000-200")</f>
        <v>0</v>
      </c>
      <c r="AQ66">
        <f>sumifs(生产物料推移表!aq:aq,生产物料推移表!L:L,"计划生产",生产物料推移表!B:B,"852-248000-200")</f>
        <v>0</v>
      </c>
      <c r="AR66">
        <f>sumifs(生产物料推移表!ar:ar,生产物料推移表!L:L,"计划生产",生产物料推移表!B:B,"852-248000-200")</f>
        <v>0</v>
      </c>
      <c r="BY66">
        <f>sum(j66:an66)</f>
        <v>0</v>
      </c>
    </row>
    <row r="67" spans="1:77">
      <c r="A67" t="s">
        <v>14</v>
      </c>
      <c r="B67" t="s">
        <v>167</v>
      </c>
      <c r="C67" t="s">
        <v>168</v>
      </c>
      <c r="D67" t="s">
        <v>256</v>
      </c>
      <c r="E67">
        <v>1</v>
      </c>
      <c r="F67" t="s">
        <v>169</v>
      </c>
      <c r="K67" t="s">
        <v>305</v>
      </c>
      <c r="L67" t="s">
        <v>37</v>
      </c>
      <c r="M67">
        <f>sumifs(生产物料推移表!m:m,生产物料推移表!L:L,"计划生产",生产物料推移表!B:B,"852-241000-100")</f>
        <v>0</v>
      </c>
      <c r="N67">
        <f>sumifs(生产物料推移表!n:n,生产物料推移表!L:L,"计划生产",生产物料推移表!B:B,"852-241000-100")</f>
        <v>0</v>
      </c>
      <c r="O67">
        <f>sumifs(生产物料推移表!o:o,生产物料推移表!L:L,"计划生产",生产物料推移表!B:B,"852-241000-100")</f>
        <v>0</v>
      </c>
      <c r="P67">
        <f>sumifs(生产物料推移表!p:p,生产物料推移表!L:L,"计划生产",生产物料推移表!B:B,"852-241000-100")</f>
        <v>0</v>
      </c>
      <c r="Q67">
        <f>sumifs(生产物料推移表!q:q,生产物料推移表!L:L,"计划生产",生产物料推移表!B:B,"852-241000-100")</f>
        <v>0</v>
      </c>
      <c r="R67">
        <f>sumifs(生产物料推移表!r:r,生产物料推移表!L:L,"计划生产",生产物料推移表!B:B,"852-241000-100")</f>
        <v>0</v>
      </c>
      <c r="S67">
        <f>sumifs(生产物料推移表!s:s,生产物料推移表!L:L,"计划生产",生产物料推移表!B:B,"852-241000-100")</f>
        <v>0</v>
      </c>
      <c r="T67">
        <f>sumifs(生产物料推移表!t:t,生产物料推移表!L:L,"计划生产",生产物料推移表!B:B,"852-241000-100")</f>
        <v>0</v>
      </c>
      <c r="U67">
        <f>sumifs(生产物料推移表!u:u,生产物料推移表!L:L,"计划生产",生产物料推移表!B:B,"852-241000-100")</f>
        <v>0</v>
      </c>
      <c r="V67">
        <f>sumifs(生产物料推移表!v:v,生产物料推移表!L:L,"计划生产",生产物料推移表!B:B,"852-241000-100")</f>
        <v>0</v>
      </c>
      <c r="W67">
        <f>sumifs(生产物料推移表!w:w,生产物料推移表!L:L,"计划生产",生产物料推移表!B:B,"852-241000-100")</f>
        <v>0</v>
      </c>
      <c r="X67">
        <f>sumifs(生产物料推移表!x:x,生产物料推移表!L:L,"计划生产",生产物料推移表!B:B,"852-241000-100")</f>
        <v>0</v>
      </c>
      <c r="Y67">
        <f>sumifs(生产物料推移表!y:y,生产物料推移表!L:L,"计划生产",生产物料推移表!B:B,"852-241000-100")</f>
        <v>0</v>
      </c>
      <c r="Z67">
        <f>sumifs(生产物料推移表!z:z,生产物料推移表!L:L,"计划生产",生产物料推移表!B:B,"852-241000-100")</f>
        <v>0</v>
      </c>
      <c r="AA67">
        <f>sumifs(生产物料推移表!aa:aa,生产物料推移表!L:L,"计划生产",生产物料推移表!B:B,"852-241000-100")</f>
        <v>0</v>
      </c>
      <c r="AB67">
        <f>sumifs(生产物料推移表!ab:ab,生产物料推移表!L:L,"计划生产",生产物料推移表!B:B,"852-241000-100")</f>
        <v>0</v>
      </c>
      <c r="AC67">
        <f>sumifs(生产物料推移表!ac:ac,生产物料推移表!L:L,"计划生产",生产物料推移表!B:B,"852-241000-100")</f>
        <v>0</v>
      </c>
      <c r="AD67">
        <f>sumifs(生产物料推移表!ad:ad,生产物料推移表!L:L,"计划生产",生产物料推移表!B:B,"852-241000-100")</f>
        <v>0</v>
      </c>
      <c r="AE67">
        <f>sumifs(生产物料推移表!ae:ae,生产物料推移表!L:L,"计划生产",生产物料推移表!B:B,"852-241000-100")</f>
        <v>0</v>
      </c>
      <c r="AF67">
        <f>sumifs(生产物料推移表!af:af,生产物料推移表!L:L,"计划生产",生产物料推移表!B:B,"852-241000-100")</f>
        <v>0</v>
      </c>
      <c r="AG67">
        <f>sumifs(生产物料推移表!ag:ag,生产物料推移表!L:L,"计划生产",生产物料推移表!B:B,"852-241000-100")</f>
        <v>0</v>
      </c>
      <c r="AH67">
        <f>sumifs(生产物料推移表!ah:ah,生产物料推移表!L:L,"计划生产",生产物料推移表!B:B,"852-241000-100")</f>
        <v>0</v>
      </c>
      <c r="AI67">
        <f>sumifs(生产物料推移表!ai:ai,生产物料推移表!L:L,"计划生产",生产物料推移表!B:B,"852-241000-100")</f>
        <v>0</v>
      </c>
      <c r="AJ67">
        <f>sumifs(生产物料推移表!aj:aj,生产物料推移表!L:L,"计划生产",生产物料推移表!B:B,"852-241000-100")</f>
        <v>0</v>
      </c>
      <c r="AK67">
        <f>sumifs(生产物料推移表!ak:ak,生产物料推移表!L:L,"计划生产",生产物料推移表!B:B,"852-241000-100")</f>
        <v>0</v>
      </c>
      <c r="AL67">
        <f>sumifs(生产物料推移表!al:al,生产物料推移表!L:L,"计划生产",生产物料推移表!B:B,"852-241000-100")</f>
        <v>0</v>
      </c>
      <c r="AM67">
        <f>sumifs(生产物料推移表!am:am,生产物料推移表!L:L,"计划生产",生产物料推移表!B:B,"852-241000-100")</f>
        <v>0</v>
      </c>
      <c r="AN67">
        <f>sumifs(生产物料推移表!an:an,生产物料推移表!L:L,"计划生产",生产物料推移表!B:B,"852-241000-100")</f>
        <v>0</v>
      </c>
      <c r="AO67">
        <f>sumifs(生产物料推移表!ao:ao,生产物料推移表!L:L,"计划生产",生产物料推移表!B:B,"852-241000-100")</f>
        <v>0</v>
      </c>
      <c r="AP67">
        <f>sumifs(生产物料推移表!ap:ap,生产物料推移表!L:L,"计划生产",生产物料推移表!B:B,"852-241000-100")</f>
        <v>0</v>
      </c>
      <c r="AQ67">
        <f>sumifs(生产物料推移表!aq:aq,生产物料推移表!L:L,"计划生产",生产物料推移表!B:B,"852-241000-100")</f>
        <v>0</v>
      </c>
      <c r="AR67">
        <f>sumifs(生产物料推移表!ar:ar,生产物料推移表!L:L,"计划生产",生产物料推移表!B:B,"852-241000-100")</f>
        <v>0</v>
      </c>
      <c r="BY67">
        <f>sum(j67:an67)</f>
        <v>0</v>
      </c>
    </row>
    <row r="68" spans="1:77">
      <c r="A68" t="s">
        <v>14</v>
      </c>
      <c r="B68" t="s">
        <v>173</v>
      </c>
      <c r="C68" t="s">
        <v>174</v>
      </c>
      <c r="D68" t="s">
        <v>256</v>
      </c>
      <c r="E68">
        <v>1</v>
      </c>
      <c r="F68" t="s">
        <v>175</v>
      </c>
      <c r="K68" t="s">
        <v>305</v>
      </c>
      <c r="L68" t="s">
        <v>37</v>
      </c>
      <c r="M68">
        <f>sumifs(生产物料推移表!m:m,生产物料推移表!L:L,"计划生产",生产物料推移表!B:B,"852-241000-200")</f>
        <v>0</v>
      </c>
      <c r="N68">
        <f>sumifs(生产物料推移表!n:n,生产物料推移表!L:L,"计划生产",生产物料推移表!B:B,"852-241000-200")</f>
        <v>0</v>
      </c>
      <c r="O68">
        <f>sumifs(生产物料推移表!o:o,生产物料推移表!L:L,"计划生产",生产物料推移表!B:B,"852-241000-200")</f>
        <v>0</v>
      </c>
      <c r="P68">
        <f>sumifs(生产物料推移表!p:p,生产物料推移表!L:L,"计划生产",生产物料推移表!B:B,"852-241000-200")</f>
        <v>0</v>
      </c>
      <c r="Q68">
        <f>sumifs(生产物料推移表!q:q,生产物料推移表!L:L,"计划生产",生产物料推移表!B:B,"852-241000-200")</f>
        <v>0</v>
      </c>
      <c r="R68">
        <f>sumifs(生产物料推移表!r:r,生产物料推移表!L:L,"计划生产",生产物料推移表!B:B,"852-241000-200")</f>
        <v>0</v>
      </c>
      <c r="S68">
        <f>sumifs(生产物料推移表!s:s,生产物料推移表!L:L,"计划生产",生产物料推移表!B:B,"852-241000-200")</f>
        <v>0</v>
      </c>
      <c r="T68">
        <f>sumifs(生产物料推移表!t:t,生产物料推移表!L:L,"计划生产",生产物料推移表!B:B,"852-241000-200")</f>
        <v>0</v>
      </c>
      <c r="U68">
        <f>sumifs(生产物料推移表!u:u,生产物料推移表!L:L,"计划生产",生产物料推移表!B:B,"852-241000-200")</f>
        <v>0</v>
      </c>
      <c r="V68">
        <f>sumifs(生产物料推移表!v:v,生产物料推移表!L:L,"计划生产",生产物料推移表!B:B,"852-241000-200")</f>
        <v>0</v>
      </c>
      <c r="W68">
        <f>sumifs(生产物料推移表!w:w,生产物料推移表!L:L,"计划生产",生产物料推移表!B:B,"852-241000-200")</f>
        <v>0</v>
      </c>
      <c r="X68">
        <f>sumifs(生产物料推移表!x:x,生产物料推移表!L:L,"计划生产",生产物料推移表!B:B,"852-241000-200")</f>
        <v>0</v>
      </c>
      <c r="Y68">
        <f>sumifs(生产物料推移表!y:y,生产物料推移表!L:L,"计划生产",生产物料推移表!B:B,"852-241000-200")</f>
        <v>0</v>
      </c>
      <c r="Z68">
        <f>sumifs(生产物料推移表!z:z,生产物料推移表!L:L,"计划生产",生产物料推移表!B:B,"852-241000-200")</f>
        <v>0</v>
      </c>
      <c r="AA68">
        <f>sumifs(生产物料推移表!aa:aa,生产物料推移表!L:L,"计划生产",生产物料推移表!B:B,"852-241000-200")</f>
        <v>0</v>
      </c>
      <c r="AB68">
        <f>sumifs(生产物料推移表!ab:ab,生产物料推移表!L:L,"计划生产",生产物料推移表!B:B,"852-241000-200")</f>
        <v>0</v>
      </c>
      <c r="AC68">
        <f>sumifs(生产物料推移表!ac:ac,生产物料推移表!L:L,"计划生产",生产物料推移表!B:B,"852-241000-200")</f>
        <v>0</v>
      </c>
      <c r="AD68">
        <f>sumifs(生产物料推移表!ad:ad,生产物料推移表!L:L,"计划生产",生产物料推移表!B:B,"852-241000-200")</f>
        <v>0</v>
      </c>
      <c r="AE68">
        <f>sumifs(生产物料推移表!ae:ae,生产物料推移表!L:L,"计划生产",生产物料推移表!B:B,"852-241000-200")</f>
        <v>0</v>
      </c>
      <c r="AF68">
        <f>sumifs(生产物料推移表!af:af,生产物料推移表!L:L,"计划生产",生产物料推移表!B:B,"852-241000-200")</f>
        <v>0</v>
      </c>
      <c r="AG68">
        <f>sumifs(生产物料推移表!ag:ag,生产物料推移表!L:L,"计划生产",生产物料推移表!B:B,"852-241000-200")</f>
        <v>0</v>
      </c>
      <c r="AH68">
        <f>sumifs(生产物料推移表!ah:ah,生产物料推移表!L:L,"计划生产",生产物料推移表!B:B,"852-241000-200")</f>
        <v>0</v>
      </c>
      <c r="AI68">
        <f>sumifs(生产物料推移表!ai:ai,生产物料推移表!L:L,"计划生产",生产物料推移表!B:B,"852-241000-200")</f>
        <v>0</v>
      </c>
      <c r="AJ68">
        <f>sumifs(生产物料推移表!aj:aj,生产物料推移表!L:L,"计划生产",生产物料推移表!B:B,"852-241000-200")</f>
        <v>0</v>
      </c>
      <c r="AK68">
        <f>sumifs(生产物料推移表!ak:ak,生产物料推移表!L:L,"计划生产",生产物料推移表!B:B,"852-241000-200")</f>
        <v>0</v>
      </c>
      <c r="AL68">
        <f>sumifs(生产物料推移表!al:al,生产物料推移表!L:L,"计划生产",生产物料推移表!B:B,"852-241000-200")</f>
        <v>0</v>
      </c>
      <c r="AM68">
        <f>sumifs(生产物料推移表!am:am,生产物料推移表!L:L,"计划生产",生产物料推移表!B:B,"852-241000-200")</f>
        <v>0</v>
      </c>
      <c r="AN68">
        <f>sumifs(生产物料推移表!an:an,生产物料推移表!L:L,"计划生产",生产物料推移表!B:B,"852-241000-200")</f>
        <v>0</v>
      </c>
      <c r="AO68">
        <f>sumifs(生产物料推移表!ao:ao,生产物料推移表!L:L,"计划生产",生产物料推移表!B:B,"852-241000-200")</f>
        <v>0</v>
      </c>
      <c r="AP68">
        <f>sumifs(生产物料推移表!ap:ap,生产物料推移表!L:L,"计划生产",生产物料推移表!B:B,"852-241000-200")</f>
        <v>0</v>
      </c>
      <c r="AQ68">
        <f>sumifs(生产物料推移表!aq:aq,生产物料推移表!L:L,"计划生产",生产物料推移表!B:B,"852-241000-200")</f>
        <v>0</v>
      </c>
      <c r="AR68">
        <f>sumifs(生产物料推移表!ar:ar,生产物料推移表!L:L,"计划生产",生产物料推移表!B:B,"852-241000-200")</f>
        <v>0</v>
      </c>
      <c r="BY68">
        <f>sum(j68:an68)</f>
        <v>0</v>
      </c>
    </row>
    <row r="69" spans="1:77">
      <c r="A69" t="s">
        <v>14</v>
      </c>
      <c r="B69" t="s">
        <v>179</v>
      </c>
      <c r="C69" t="s">
        <v>180</v>
      </c>
      <c r="D69" t="s">
        <v>256</v>
      </c>
      <c r="E69">
        <v>1</v>
      </c>
      <c r="F69" t="s">
        <v>181</v>
      </c>
      <c r="K69" t="s">
        <v>305</v>
      </c>
      <c r="L69" t="s">
        <v>37</v>
      </c>
      <c r="M69">
        <f>sumifs(生产物料推移表!m:m,生产物料推移表!L:L,"计划生产",生产物料推移表!B:B,"852-242000-100")</f>
        <v>0</v>
      </c>
      <c r="N69">
        <f>sumifs(生产物料推移表!n:n,生产物料推移表!L:L,"计划生产",生产物料推移表!B:B,"852-242000-100")</f>
        <v>0</v>
      </c>
      <c r="O69">
        <f>sumifs(生产物料推移表!o:o,生产物料推移表!L:L,"计划生产",生产物料推移表!B:B,"852-242000-100")</f>
        <v>0</v>
      </c>
      <c r="P69">
        <f>sumifs(生产物料推移表!p:p,生产物料推移表!L:L,"计划生产",生产物料推移表!B:B,"852-242000-100")</f>
        <v>0</v>
      </c>
      <c r="Q69">
        <f>sumifs(生产物料推移表!q:q,生产物料推移表!L:L,"计划生产",生产物料推移表!B:B,"852-242000-100")</f>
        <v>0</v>
      </c>
      <c r="R69">
        <f>sumifs(生产物料推移表!r:r,生产物料推移表!L:L,"计划生产",生产物料推移表!B:B,"852-242000-100")</f>
        <v>0</v>
      </c>
      <c r="S69">
        <f>sumifs(生产物料推移表!s:s,生产物料推移表!L:L,"计划生产",生产物料推移表!B:B,"852-242000-100")</f>
        <v>0</v>
      </c>
      <c r="T69">
        <f>sumifs(生产物料推移表!t:t,生产物料推移表!L:L,"计划生产",生产物料推移表!B:B,"852-242000-100")</f>
        <v>0</v>
      </c>
      <c r="U69">
        <f>sumifs(生产物料推移表!u:u,生产物料推移表!L:L,"计划生产",生产物料推移表!B:B,"852-242000-100")</f>
        <v>0</v>
      </c>
      <c r="V69">
        <f>sumifs(生产物料推移表!v:v,生产物料推移表!L:L,"计划生产",生产物料推移表!B:B,"852-242000-100")</f>
        <v>0</v>
      </c>
      <c r="W69">
        <f>sumifs(生产物料推移表!w:w,生产物料推移表!L:L,"计划生产",生产物料推移表!B:B,"852-242000-100")</f>
        <v>0</v>
      </c>
      <c r="X69">
        <f>sumifs(生产物料推移表!x:x,生产物料推移表!L:L,"计划生产",生产物料推移表!B:B,"852-242000-100")</f>
        <v>0</v>
      </c>
      <c r="Y69">
        <f>sumifs(生产物料推移表!y:y,生产物料推移表!L:L,"计划生产",生产物料推移表!B:B,"852-242000-100")</f>
        <v>0</v>
      </c>
      <c r="Z69">
        <f>sumifs(生产物料推移表!z:z,生产物料推移表!L:L,"计划生产",生产物料推移表!B:B,"852-242000-100")</f>
        <v>0</v>
      </c>
      <c r="AA69">
        <f>sumifs(生产物料推移表!aa:aa,生产物料推移表!L:L,"计划生产",生产物料推移表!B:B,"852-242000-100")</f>
        <v>0</v>
      </c>
      <c r="AB69">
        <f>sumifs(生产物料推移表!ab:ab,生产物料推移表!L:L,"计划生产",生产物料推移表!B:B,"852-242000-100")</f>
        <v>0</v>
      </c>
      <c r="AC69">
        <f>sumifs(生产物料推移表!ac:ac,生产物料推移表!L:L,"计划生产",生产物料推移表!B:B,"852-242000-100")</f>
        <v>0</v>
      </c>
      <c r="AD69">
        <f>sumifs(生产物料推移表!ad:ad,生产物料推移表!L:L,"计划生产",生产物料推移表!B:B,"852-242000-100")</f>
        <v>0</v>
      </c>
      <c r="AE69">
        <f>sumifs(生产物料推移表!ae:ae,生产物料推移表!L:L,"计划生产",生产物料推移表!B:B,"852-242000-100")</f>
        <v>0</v>
      </c>
      <c r="AF69">
        <f>sumifs(生产物料推移表!af:af,生产物料推移表!L:L,"计划生产",生产物料推移表!B:B,"852-242000-100")</f>
        <v>0</v>
      </c>
      <c r="AG69">
        <f>sumifs(生产物料推移表!ag:ag,生产物料推移表!L:L,"计划生产",生产物料推移表!B:B,"852-242000-100")</f>
        <v>0</v>
      </c>
      <c r="AH69">
        <f>sumifs(生产物料推移表!ah:ah,生产物料推移表!L:L,"计划生产",生产物料推移表!B:B,"852-242000-100")</f>
        <v>0</v>
      </c>
      <c r="AI69">
        <f>sumifs(生产物料推移表!ai:ai,生产物料推移表!L:L,"计划生产",生产物料推移表!B:B,"852-242000-100")</f>
        <v>0</v>
      </c>
      <c r="AJ69">
        <f>sumifs(生产物料推移表!aj:aj,生产物料推移表!L:L,"计划生产",生产物料推移表!B:B,"852-242000-100")</f>
        <v>0</v>
      </c>
      <c r="AK69">
        <f>sumifs(生产物料推移表!ak:ak,生产物料推移表!L:L,"计划生产",生产物料推移表!B:B,"852-242000-100")</f>
        <v>0</v>
      </c>
      <c r="AL69">
        <f>sumifs(生产物料推移表!al:al,生产物料推移表!L:L,"计划生产",生产物料推移表!B:B,"852-242000-100")</f>
        <v>0</v>
      </c>
      <c r="AM69">
        <f>sumifs(生产物料推移表!am:am,生产物料推移表!L:L,"计划生产",生产物料推移表!B:B,"852-242000-100")</f>
        <v>0</v>
      </c>
      <c r="AN69">
        <f>sumifs(生产物料推移表!an:an,生产物料推移表!L:L,"计划生产",生产物料推移表!B:B,"852-242000-100")</f>
        <v>0</v>
      </c>
      <c r="AO69">
        <f>sumifs(生产物料推移表!ao:ao,生产物料推移表!L:L,"计划生产",生产物料推移表!B:B,"852-242000-100")</f>
        <v>0</v>
      </c>
      <c r="AP69">
        <f>sumifs(生产物料推移表!ap:ap,生产物料推移表!L:L,"计划生产",生产物料推移表!B:B,"852-242000-100")</f>
        <v>0</v>
      </c>
      <c r="AQ69">
        <f>sumifs(生产物料推移表!aq:aq,生产物料推移表!L:L,"计划生产",生产物料推移表!B:B,"852-242000-100")</f>
        <v>0</v>
      </c>
      <c r="AR69">
        <f>sumifs(生产物料推移表!ar:ar,生产物料推移表!L:L,"计划生产",生产物料推移表!B:B,"852-242000-100")</f>
        <v>0</v>
      </c>
      <c r="BY69">
        <f>sum(j69:an69)</f>
        <v>0</v>
      </c>
    </row>
    <row r="70" spans="1:77">
      <c r="A70" t="s">
        <v>14</v>
      </c>
      <c r="B70" t="s">
        <v>185</v>
      </c>
      <c r="C70" t="s">
        <v>186</v>
      </c>
      <c r="D70" t="s">
        <v>256</v>
      </c>
      <c r="E70">
        <v>1</v>
      </c>
      <c r="F70" t="s">
        <v>187</v>
      </c>
      <c r="K70" t="s">
        <v>305</v>
      </c>
      <c r="L70" t="s">
        <v>37</v>
      </c>
      <c r="M70">
        <f>sumifs(生产物料推移表!m:m,生产物料推移表!L:L,"计划生产",生产物料推移表!B:B,"852-242000-200")</f>
        <v>0</v>
      </c>
      <c r="N70">
        <f>sumifs(生产物料推移表!n:n,生产物料推移表!L:L,"计划生产",生产物料推移表!B:B,"852-242000-200")</f>
        <v>0</v>
      </c>
      <c r="O70">
        <f>sumifs(生产物料推移表!o:o,生产物料推移表!L:L,"计划生产",生产物料推移表!B:B,"852-242000-200")</f>
        <v>0</v>
      </c>
      <c r="P70">
        <f>sumifs(生产物料推移表!p:p,生产物料推移表!L:L,"计划生产",生产物料推移表!B:B,"852-242000-200")</f>
        <v>0</v>
      </c>
      <c r="Q70">
        <f>sumifs(生产物料推移表!q:q,生产物料推移表!L:L,"计划生产",生产物料推移表!B:B,"852-242000-200")</f>
        <v>0</v>
      </c>
      <c r="R70">
        <f>sumifs(生产物料推移表!r:r,生产物料推移表!L:L,"计划生产",生产物料推移表!B:B,"852-242000-200")</f>
        <v>0</v>
      </c>
      <c r="S70">
        <f>sumifs(生产物料推移表!s:s,生产物料推移表!L:L,"计划生产",生产物料推移表!B:B,"852-242000-200")</f>
        <v>0</v>
      </c>
      <c r="T70">
        <f>sumifs(生产物料推移表!t:t,生产物料推移表!L:L,"计划生产",生产物料推移表!B:B,"852-242000-200")</f>
        <v>0</v>
      </c>
      <c r="U70">
        <f>sumifs(生产物料推移表!u:u,生产物料推移表!L:L,"计划生产",生产物料推移表!B:B,"852-242000-200")</f>
        <v>0</v>
      </c>
      <c r="V70">
        <f>sumifs(生产物料推移表!v:v,生产物料推移表!L:L,"计划生产",生产物料推移表!B:B,"852-242000-200")</f>
        <v>0</v>
      </c>
      <c r="W70">
        <f>sumifs(生产物料推移表!w:w,生产物料推移表!L:L,"计划生产",生产物料推移表!B:B,"852-242000-200")</f>
        <v>0</v>
      </c>
      <c r="X70">
        <f>sumifs(生产物料推移表!x:x,生产物料推移表!L:L,"计划生产",生产物料推移表!B:B,"852-242000-200")</f>
        <v>0</v>
      </c>
      <c r="Y70">
        <f>sumifs(生产物料推移表!y:y,生产物料推移表!L:L,"计划生产",生产物料推移表!B:B,"852-242000-200")</f>
        <v>0</v>
      </c>
      <c r="Z70">
        <f>sumifs(生产物料推移表!z:z,生产物料推移表!L:L,"计划生产",生产物料推移表!B:B,"852-242000-200")</f>
        <v>0</v>
      </c>
      <c r="AA70">
        <f>sumifs(生产物料推移表!aa:aa,生产物料推移表!L:L,"计划生产",生产物料推移表!B:B,"852-242000-200")</f>
        <v>0</v>
      </c>
      <c r="AB70">
        <f>sumifs(生产物料推移表!ab:ab,生产物料推移表!L:L,"计划生产",生产物料推移表!B:B,"852-242000-200")</f>
        <v>0</v>
      </c>
      <c r="AC70">
        <f>sumifs(生产物料推移表!ac:ac,生产物料推移表!L:L,"计划生产",生产物料推移表!B:B,"852-242000-200")</f>
        <v>0</v>
      </c>
      <c r="AD70">
        <f>sumifs(生产物料推移表!ad:ad,生产物料推移表!L:L,"计划生产",生产物料推移表!B:B,"852-242000-200")</f>
        <v>0</v>
      </c>
      <c r="AE70">
        <f>sumifs(生产物料推移表!ae:ae,生产物料推移表!L:L,"计划生产",生产物料推移表!B:B,"852-242000-200")</f>
        <v>0</v>
      </c>
      <c r="AF70">
        <f>sumifs(生产物料推移表!af:af,生产物料推移表!L:L,"计划生产",生产物料推移表!B:B,"852-242000-200")</f>
        <v>0</v>
      </c>
      <c r="AG70">
        <f>sumifs(生产物料推移表!ag:ag,生产物料推移表!L:L,"计划生产",生产物料推移表!B:B,"852-242000-200")</f>
        <v>0</v>
      </c>
      <c r="AH70">
        <f>sumifs(生产物料推移表!ah:ah,生产物料推移表!L:L,"计划生产",生产物料推移表!B:B,"852-242000-200")</f>
        <v>0</v>
      </c>
      <c r="AI70">
        <f>sumifs(生产物料推移表!ai:ai,生产物料推移表!L:L,"计划生产",生产物料推移表!B:B,"852-242000-200")</f>
        <v>0</v>
      </c>
      <c r="AJ70">
        <f>sumifs(生产物料推移表!aj:aj,生产物料推移表!L:L,"计划生产",生产物料推移表!B:B,"852-242000-200")</f>
        <v>0</v>
      </c>
      <c r="AK70">
        <f>sumifs(生产物料推移表!ak:ak,生产物料推移表!L:L,"计划生产",生产物料推移表!B:B,"852-242000-200")</f>
        <v>0</v>
      </c>
      <c r="AL70">
        <f>sumifs(生产物料推移表!al:al,生产物料推移表!L:L,"计划生产",生产物料推移表!B:B,"852-242000-200")</f>
        <v>0</v>
      </c>
      <c r="AM70">
        <f>sumifs(生产物料推移表!am:am,生产物料推移表!L:L,"计划生产",生产物料推移表!B:B,"852-242000-200")</f>
        <v>0</v>
      </c>
      <c r="AN70">
        <f>sumifs(生产物料推移表!an:an,生产物料推移表!L:L,"计划生产",生产物料推移表!B:B,"852-242000-200")</f>
        <v>0</v>
      </c>
      <c r="AO70">
        <f>sumifs(生产物料推移表!ao:ao,生产物料推移表!L:L,"计划生产",生产物料推移表!B:B,"852-242000-200")</f>
        <v>0</v>
      </c>
      <c r="AP70">
        <f>sumifs(生产物料推移表!ap:ap,生产物料推移表!L:L,"计划生产",生产物料推移表!B:B,"852-242000-200")</f>
        <v>0</v>
      </c>
      <c r="AQ70">
        <f>sumifs(生产物料推移表!aq:aq,生产物料推移表!L:L,"计划生产",生产物料推移表!B:B,"852-242000-200")</f>
        <v>0</v>
      </c>
      <c r="AR70">
        <f>sumifs(生产物料推移表!ar:ar,生产物料推移表!L:L,"计划生产",生产物料推移表!B:B,"852-242000-200")</f>
        <v>0</v>
      </c>
      <c r="BY70">
        <f>sum(j70:an70)</f>
        <v>0</v>
      </c>
    </row>
    <row r="71" spans="1:77">
      <c r="A71" t="s">
        <v>14</v>
      </c>
      <c r="B71" t="s">
        <v>192</v>
      </c>
      <c r="C71" t="s">
        <v>193</v>
      </c>
      <c r="D71" t="s">
        <v>17</v>
      </c>
      <c r="E71">
        <v>1</v>
      </c>
      <c r="F71" t="s">
        <v>194</v>
      </c>
      <c r="K71" t="s">
        <v>305</v>
      </c>
      <c r="L71" t="s">
        <v>37</v>
      </c>
      <c r="M71">
        <f>sumifs(生产物料推移表!m:m,生产物料推移表!L:L,"计划生产",生产物料推移表!B:B,"852-234000-100")</f>
        <v>0</v>
      </c>
      <c r="N71">
        <f>sumifs(生产物料推移表!n:n,生产物料推移表!L:L,"计划生产",生产物料推移表!B:B,"852-234000-100")</f>
        <v>0</v>
      </c>
      <c r="O71">
        <f>sumifs(生产物料推移表!o:o,生产物料推移表!L:L,"计划生产",生产物料推移表!B:B,"852-234000-100")</f>
        <v>0</v>
      </c>
      <c r="P71">
        <f>sumifs(生产物料推移表!p:p,生产物料推移表!L:L,"计划生产",生产物料推移表!B:B,"852-234000-100")</f>
        <v>0</v>
      </c>
      <c r="Q71">
        <f>sumifs(生产物料推移表!q:q,生产物料推移表!L:L,"计划生产",生产物料推移表!B:B,"852-234000-100")</f>
        <v>0</v>
      </c>
      <c r="R71">
        <f>sumifs(生产物料推移表!r:r,生产物料推移表!L:L,"计划生产",生产物料推移表!B:B,"852-234000-100")</f>
        <v>0</v>
      </c>
      <c r="S71">
        <f>sumifs(生产物料推移表!s:s,生产物料推移表!L:L,"计划生产",生产物料推移表!B:B,"852-234000-100")</f>
        <v>0</v>
      </c>
      <c r="T71">
        <f>sumifs(生产物料推移表!t:t,生产物料推移表!L:L,"计划生产",生产物料推移表!B:B,"852-234000-100")</f>
        <v>0</v>
      </c>
      <c r="U71">
        <f>sumifs(生产物料推移表!u:u,生产物料推移表!L:L,"计划生产",生产物料推移表!B:B,"852-234000-100")</f>
        <v>0</v>
      </c>
      <c r="V71">
        <f>sumifs(生产物料推移表!v:v,生产物料推移表!L:L,"计划生产",生产物料推移表!B:B,"852-234000-100")</f>
        <v>0</v>
      </c>
      <c r="W71">
        <f>sumifs(生产物料推移表!w:w,生产物料推移表!L:L,"计划生产",生产物料推移表!B:B,"852-234000-100")</f>
        <v>0</v>
      </c>
      <c r="X71">
        <f>sumifs(生产物料推移表!x:x,生产物料推移表!L:L,"计划生产",生产物料推移表!B:B,"852-234000-100")</f>
        <v>0</v>
      </c>
      <c r="Y71">
        <f>sumifs(生产物料推移表!y:y,生产物料推移表!L:L,"计划生产",生产物料推移表!B:B,"852-234000-100")</f>
        <v>0</v>
      </c>
      <c r="Z71">
        <f>sumifs(生产物料推移表!z:z,生产物料推移表!L:L,"计划生产",生产物料推移表!B:B,"852-234000-100")</f>
        <v>0</v>
      </c>
      <c r="AA71">
        <f>sumifs(生产物料推移表!aa:aa,生产物料推移表!L:L,"计划生产",生产物料推移表!B:B,"852-234000-100")</f>
        <v>0</v>
      </c>
      <c r="AB71">
        <f>sumifs(生产物料推移表!ab:ab,生产物料推移表!L:L,"计划生产",生产物料推移表!B:B,"852-234000-100")</f>
        <v>0</v>
      </c>
      <c r="AC71">
        <f>sumifs(生产物料推移表!ac:ac,生产物料推移表!L:L,"计划生产",生产物料推移表!B:B,"852-234000-100")</f>
        <v>0</v>
      </c>
      <c r="AD71">
        <f>sumifs(生产物料推移表!ad:ad,生产物料推移表!L:L,"计划生产",生产物料推移表!B:B,"852-234000-100")</f>
        <v>0</v>
      </c>
      <c r="AE71">
        <f>sumifs(生产物料推移表!ae:ae,生产物料推移表!L:L,"计划生产",生产物料推移表!B:B,"852-234000-100")</f>
        <v>0</v>
      </c>
      <c r="AF71">
        <f>sumifs(生产物料推移表!af:af,生产物料推移表!L:L,"计划生产",生产物料推移表!B:B,"852-234000-100")</f>
        <v>0</v>
      </c>
      <c r="AG71">
        <f>sumifs(生产物料推移表!ag:ag,生产物料推移表!L:L,"计划生产",生产物料推移表!B:B,"852-234000-100")</f>
        <v>0</v>
      </c>
      <c r="AH71">
        <f>sumifs(生产物料推移表!ah:ah,生产物料推移表!L:L,"计划生产",生产物料推移表!B:B,"852-234000-100")</f>
        <v>0</v>
      </c>
      <c r="AI71">
        <f>sumifs(生产物料推移表!ai:ai,生产物料推移表!L:L,"计划生产",生产物料推移表!B:B,"852-234000-100")</f>
        <v>0</v>
      </c>
      <c r="AJ71">
        <f>sumifs(生产物料推移表!aj:aj,生产物料推移表!L:L,"计划生产",生产物料推移表!B:B,"852-234000-100")</f>
        <v>0</v>
      </c>
      <c r="AK71">
        <f>sumifs(生产物料推移表!ak:ak,生产物料推移表!L:L,"计划生产",生产物料推移表!B:B,"852-234000-100")</f>
        <v>0</v>
      </c>
      <c r="AL71">
        <f>sumifs(生产物料推移表!al:al,生产物料推移表!L:L,"计划生产",生产物料推移表!B:B,"852-234000-100")</f>
        <v>0</v>
      </c>
      <c r="AM71">
        <f>sumifs(生产物料推移表!am:am,生产物料推移表!L:L,"计划生产",生产物料推移表!B:B,"852-234000-100")</f>
        <v>0</v>
      </c>
      <c r="AN71">
        <f>sumifs(生产物料推移表!an:an,生产物料推移表!L:L,"计划生产",生产物料推移表!B:B,"852-234000-100")</f>
        <v>0</v>
      </c>
      <c r="AO71">
        <f>sumifs(生产物料推移表!ao:ao,生产物料推移表!L:L,"计划生产",生产物料推移表!B:B,"852-234000-100")</f>
        <v>0</v>
      </c>
      <c r="AP71">
        <f>sumifs(生产物料推移表!ap:ap,生产物料推移表!L:L,"计划生产",生产物料推移表!B:B,"852-234000-100")</f>
        <v>0</v>
      </c>
      <c r="AQ71">
        <f>sumifs(生产物料推移表!aq:aq,生产物料推移表!L:L,"计划生产",生产物料推移表!B:B,"852-234000-100")</f>
        <v>0</v>
      </c>
      <c r="AR71">
        <f>sumifs(生产物料推移表!ar:ar,生产物料推移表!L:L,"计划生产",生产物料推移表!B:B,"852-234000-100")</f>
        <v>0</v>
      </c>
      <c r="BY71">
        <f>sum(j71:an71)</f>
        <v>0</v>
      </c>
    </row>
    <row r="72" spans="1:77">
      <c r="A72" t="s">
        <v>14</v>
      </c>
      <c r="B72" t="s">
        <v>195</v>
      </c>
      <c r="C72" t="s">
        <v>196</v>
      </c>
      <c r="D72" t="s">
        <v>17</v>
      </c>
      <c r="E72">
        <v>1</v>
      </c>
      <c r="F72" t="s">
        <v>197</v>
      </c>
      <c r="K72" t="s">
        <v>305</v>
      </c>
      <c r="L72" t="s">
        <v>37</v>
      </c>
      <c r="M72">
        <f>sumifs(生产物料推移表!m:m,生产物料推移表!L:L,"计划生产",生产物料推移表!B:B,"852-235000-100")</f>
        <v>0</v>
      </c>
      <c r="N72">
        <f>sumifs(生产物料推移表!n:n,生产物料推移表!L:L,"计划生产",生产物料推移表!B:B,"852-235000-100")</f>
        <v>0</v>
      </c>
      <c r="O72">
        <f>sumifs(生产物料推移表!o:o,生产物料推移表!L:L,"计划生产",生产物料推移表!B:B,"852-235000-100")</f>
        <v>0</v>
      </c>
      <c r="P72">
        <f>sumifs(生产物料推移表!p:p,生产物料推移表!L:L,"计划生产",生产物料推移表!B:B,"852-235000-100")</f>
        <v>0</v>
      </c>
      <c r="Q72">
        <f>sumifs(生产物料推移表!q:q,生产物料推移表!L:L,"计划生产",生产物料推移表!B:B,"852-235000-100")</f>
        <v>0</v>
      </c>
      <c r="R72">
        <f>sumifs(生产物料推移表!r:r,生产物料推移表!L:L,"计划生产",生产物料推移表!B:B,"852-235000-100")</f>
        <v>0</v>
      </c>
      <c r="S72">
        <f>sumifs(生产物料推移表!s:s,生产物料推移表!L:L,"计划生产",生产物料推移表!B:B,"852-235000-100")</f>
        <v>0</v>
      </c>
      <c r="T72">
        <f>sumifs(生产物料推移表!t:t,生产物料推移表!L:L,"计划生产",生产物料推移表!B:B,"852-235000-100")</f>
        <v>0</v>
      </c>
      <c r="U72">
        <f>sumifs(生产物料推移表!u:u,生产物料推移表!L:L,"计划生产",生产物料推移表!B:B,"852-235000-100")</f>
        <v>0</v>
      </c>
      <c r="V72">
        <f>sumifs(生产物料推移表!v:v,生产物料推移表!L:L,"计划生产",生产物料推移表!B:B,"852-235000-100")</f>
        <v>0</v>
      </c>
      <c r="W72">
        <f>sumifs(生产物料推移表!w:w,生产物料推移表!L:L,"计划生产",生产物料推移表!B:B,"852-235000-100")</f>
        <v>0</v>
      </c>
      <c r="X72">
        <f>sumifs(生产物料推移表!x:x,生产物料推移表!L:L,"计划生产",生产物料推移表!B:B,"852-235000-100")</f>
        <v>0</v>
      </c>
      <c r="Y72">
        <f>sumifs(生产物料推移表!y:y,生产物料推移表!L:L,"计划生产",生产物料推移表!B:B,"852-235000-100")</f>
        <v>0</v>
      </c>
      <c r="Z72">
        <f>sumifs(生产物料推移表!z:z,生产物料推移表!L:L,"计划生产",生产物料推移表!B:B,"852-235000-100")</f>
        <v>0</v>
      </c>
      <c r="AA72">
        <f>sumifs(生产物料推移表!aa:aa,生产物料推移表!L:L,"计划生产",生产物料推移表!B:B,"852-235000-100")</f>
        <v>0</v>
      </c>
      <c r="AB72">
        <f>sumifs(生产物料推移表!ab:ab,生产物料推移表!L:L,"计划生产",生产物料推移表!B:B,"852-235000-100")</f>
        <v>0</v>
      </c>
      <c r="AC72">
        <f>sumifs(生产物料推移表!ac:ac,生产物料推移表!L:L,"计划生产",生产物料推移表!B:B,"852-235000-100")</f>
        <v>0</v>
      </c>
      <c r="AD72">
        <f>sumifs(生产物料推移表!ad:ad,生产物料推移表!L:L,"计划生产",生产物料推移表!B:B,"852-235000-100")</f>
        <v>0</v>
      </c>
      <c r="AE72">
        <f>sumifs(生产物料推移表!ae:ae,生产物料推移表!L:L,"计划生产",生产物料推移表!B:B,"852-235000-100")</f>
        <v>0</v>
      </c>
      <c r="AF72">
        <f>sumifs(生产物料推移表!af:af,生产物料推移表!L:L,"计划生产",生产物料推移表!B:B,"852-235000-100")</f>
        <v>0</v>
      </c>
      <c r="AG72">
        <f>sumifs(生产物料推移表!ag:ag,生产物料推移表!L:L,"计划生产",生产物料推移表!B:B,"852-235000-100")</f>
        <v>0</v>
      </c>
      <c r="AH72">
        <f>sumifs(生产物料推移表!ah:ah,生产物料推移表!L:L,"计划生产",生产物料推移表!B:B,"852-235000-100")</f>
        <v>0</v>
      </c>
      <c r="AI72">
        <f>sumifs(生产物料推移表!ai:ai,生产物料推移表!L:L,"计划生产",生产物料推移表!B:B,"852-235000-100")</f>
        <v>0</v>
      </c>
      <c r="AJ72">
        <f>sumifs(生产物料推移表!aj:aj,生产物料推移表!L:L,"计划生产",生产物料推移表!B:B,"852-235000-100")</f>
        <v>0</v>
      </c>
      <c r="AK72">
        <f>sumifs(生产物料推移表!ak:ak,生产物料推移表!L:L,"计划生产",生产物料推移表!B:B,"852-235000-100")</f>
        <v>0</v>
      </c>
      <c r="AL72">
        <f>sumifs(生产物料推移表!al:al,生产物料推移表!L:L,"计划生产",生产物料推移表!B:B,"852-235000-100")</f>
        <v>0</v>
      </c>
      <c r="AM72">
        <f>sumifs(生产物料推移表!am:am,生产物料推移表!L:L,"计划生产",生产物料推移表!B:B,"852-235000-100")</f>
        <v>0</v>
      </c>
      <c r="AN72">
        <f>sumifs(生产物料推移表!an:an,生产物料推移表!L:L,"计划生产",生产物料推移表!B:B,"852-235000-100")</f>
        <v>0</v>
      </c>
      <c r="AO72">
        <f>sumifs(生产物料推移表!ao:ao,生产物料推移表!L:L,"计划生产",生产物料推移表!B:B,"852-235000-100")</f>
        <v>0</v>
      </c>
      <c r="AP72">
        <f>sumifs(生产物料推移表!ap:ap,生产物料推移表!L:L,"计划生产",生产物料推移表!B:B,"852-235000-100")</f>
        <v>0</v>
      </c>
      <c r="AQ72">
        <f>sumifs(生产物料推移表!aq:aq,生产物料推移表!L:L,"计划生产",生产物料推移表!B:B,"852-235000-100")</f>
        <v>0</v>
      </c>
      <c r="AR72">
        <f>sumifs(生产物料推移表!ar:ar,生产物料推移表!L:L,"计划生产",生产物料推移表!B:B,"852-235000-100")</f>
        <v>0</v>
      </c>
      <c r="BY72">
        <f>sum(j72:an72)</f>
        <v>0</v>
      </c>
    </row>
    <row r="73" spans="1:77">
      <c r="A73" t="s">
        <v>14</v>
      </c>
      <c r="B73" t="s">
        <v>198</v>
      </c>
      <c r="C73" t="s">
        <v>199</v>
      </c>
      <c r="D73" t="s">
        <v>17</v>
      </c>
      <c r="E73">
        <v>1</v>
      </c>
      <c r="F73" t="s">
        <v>200</v>
      </c>
      <c r="K73" t="s">
        <v>305</v>
      </c>
      <c r="L73" t="s">
        <v>37</v>
      </c>
      <c r="M73">
        <f>sumifs(生产物料推移表!m:m,生产物料推移表!L:L,"计划生产",生产物料推移表!B:B,"852-252000-100")</f>
        <v>0</v>
      </c>
      <c r="N73">
        <f>sumifs(生产物料推移表!n:n,生产物料推移表!L:L,"计划生产",生产物料推移表!B:B,"852-252000-100")</f>
        <v>0</v>
      </c>
      <c r="O73">
        <f>sumifs(生产物料推移表!o:o,生产物料推移表!L:L,"计划生产",生产物料推移表!B:B,"852-252000-100")</f>
        <v>0</v>
      </c>
      <c r="P73">
        <f>sumifs(生产物料推移表!p:p,生产物料推移表!L:L,"计划生产",生产物料推移表!B:B,"852-252000-100")</f>
        <v>0</v>
      </c>
      <c r="Q73">
        <f>sumifs(生产物料推移表!q:q,生产物料推移表!L:L,"计划生产",生产物料推移表!B:B,"852-252000-100")</f>
        <v>0</v>
      </c>
      <c r="R73">
        <f>sumifs(生产物料推移表!r:r,生产物料推移表!L:L,"计划生产",生产物料推移表!B:B,"852-252000-100")</f>
        <v>0</v>
      </c>
      <c r="S73">
        <f>sumifs(生产物料推移表!s:s,生产物料推移表!L:L,"计划生产",生产物料推移表!B:B,"852-252000-100")</f>
        <v>0</v>
      </c>
      <c r="T73">
        <f>sumifs(生产物料推移表!t:t,生产物料推移表!L:L,"计划生产",生产物料推移表!B:B,"852-252000-100")</f>
        <v>0</v>
      </c>
      <c r="U73">
        <f>sumifs(生产物料推移表!u:u,生产物料推移表!L:L,"计划生产",生产物料推移表!B:B,"852-252000-100")</f>
        <v>0</v>
      </c>
      <c r="V73">
        <f>sumifs(生产物料推移表!v:v,生产物料推移表!L:L,"计划生产",生产物料推移表!B:B,"852-252000-100")</f>
        <v>0</v>
      </c>
      <c r="W73">
        <f>sumifs(生产物料推移表!w:w,生产物料推移表!L:L,"计划生产",生产物料推移表!B:B,"852-252000-100")</f>
        <v>0</v>
      </c>
      <c r="X73">
        <f>sumifs(生产物料推移表!x:x,生产物料推移表!L:L,"计划生产",生产物料推移表!B:B,"852-252000-100")</f>
        <v>0</v>
      </c>
      <c r="Y73">
        <f>sumifs(生产物料推移表!y:y,生产物料推移表!L:L,"计划生产",生产物料推移表!B:B,"852-252000-100")</f>
        <v>0</v>
      </c>
      <c r="Z73">
        <f>sumifs(生产物料推移表!z:z,生产物料推移表!L:L,"计划生产",生产物料推移表!B:B,"852-252000-100")</f>
        <v>0</v>
      </c>
      <c r="AA73">
        <f>sumifs(生产物料推移表!aa:aa,生产物料推移表!L:L,"计划生产",生产物料推移表!B:B,"852-252000-100")</f>
        <v>0</v>
      </c>
      <c r="AB73">
        <f>sumifs(生产物料推移表!ab:ab,生产物料推移表!L:L,"计划生产",生产物料推移表!B:B,"852-252000-100")</f>
        <v>0</v>
      </c>
      <c r="AC73">
        <f>sumifs(生产物料推移表!ac:ac,生产物料推移表!L:L,"计划生产",生产物料推移表!B:B,"852-252000-100")</f>
        <v>0</v>
      </c>
      <c r="AD73">
        <f>sumifs(生产物料推移表!ad:ad,生产物料推移表!L:L,"计划生产",生产物料推移表!B:B,"852-252000-100")</f>
        <v>0</v>
      </c>
      <c r="AE73">
        <f>sumifs(生产物料推移表!ae:ae,生产物料推移表!L:L,"计划生产",生产物料推移表!B:B,"852-252000-100")</f>
        <v>0</v>
      </c>
      <c r="AF73">
        <f>sumifs(生产物料推移表!af:af,生产物料推移表!L:L,"计划生产",生产物料推移表!B:B,"852-252000-100")</f>
        <v>0</v>
      </c>
      <c r="AG73">
        <f>sumifs(生产物料推移表!ag:ag,生产物料推移表!L:L,"计划生产",生产物料推移表!B:B,"852-252000-100")</f>
        <v>0</v>
      </c>
      <c r="AH73">
        <f>sumifs(生产物料推移表!ah:ah,生产物料推移表!L:L,"计划生产",生产物料推移表!B:B,"852-252000-100")</f>
        <v>0</v>
      </c>
      <c r="AI73">
        <f>sumifs(生产物料推移表!ai:ai,生产物料推移表!L:L,"计划生产",生产物料推移表!B:B,"852-252000-100")</f>
        <v>0</v>
      </c>
      <c r="AJ73">
        <f>sumifs(生产物料推移表!aj:aj,生产物料推移表!L:L,"计划生产",生产物料推移表!B:B,"852-252000-100")</f>
        <v>0</v>
      </c>
      <c r="AK73">
        <f>sumifs(生产物料推移表!ak:ak,生产物料推移表!L:L,"计划生产",生产物料推移表!B:B,"852-252000-100")</f>
        <v>0</v>
      </c>
      <c r="AL73">
        <f>sumifs(生产物料推移表!al:al,生产物料推移表!L:L,"计划生产",生产物料推移表!B:B,"852-252000-100")</f>
        <v>0</v>
      </c>
      <c r="AM73">
        <f>sumifs(生产物料推移表!am:am,生产物料推移表!L:L,"计划生产",生产物料推移表!B:B,"852-252000-100")</f>
        <v>0</v>
      </c>
      <c r="AN73">
        <f>sumifs(生产物料推移表!an:an,生产物料推移表!L:L,"计划生产",生产物料推移表!B:B,"852-252000-100")</f>
        <v>0</v>
      </c>
      <c r="AO73">
        <f>sumifs(生产物料推移表!ao:ao,生产物料推移表!L:L,"计划生产",生产物料推移表!B:B,"852-252000-100")</f>
        <v>0</v>
      </c>
      <c r="AP73">
        <f>sumifs(生产物料推移表!ap:ap,生产物料推移表!L:L,"计划生产",生产物料推移表!B:B,"852-252000-100")</f>
        <v>0</v>
      </c>
      <c r="AQ73">
        <f>sumifs(生产物料推移表!aq:aq,生产物料推移表!L:L,"计划生产",生产物料推移表!B:B,"852-252000-100")</f>
        <v>0</v>
      </c>
      <c r="AR73">
        <f>sumifs(生产物料推移表!ar:ar,生产物料推移表!L:L,"计划生产",生产物料推移表!B:B,"852-252000-100")</f>
        <v>0</v>
      </c>
      <c r="BY73">
        <f>sum(j73:an73)</f>
        <v>0</v>
      </c>
    </row>
    <row r="74" spans="1:77">
      <c r="A74" t="s">
        <v>14</v>
      </c>
      <c r="B74" t="s">
        <v>209</v>
      </c>
      <c r="C74" t="s">
        <v>210</v>
      </c>
      <c r="D74" t="s">
        <v>256</v>
      </c>
      <c r="E74">
        <v>1</v>
      </c>
      <c r="F74" t="s">
        <v>211</v>
      </c>
      <c r="K74" t="s">
        <v>305</v>
      </c>
      <c r="L74" t="s">
        <v>37</v>
      </c>
      <c r="M74">
        <f>sumifs(生产物料推移表!m:m,生产物料推移表!L:L,"计划生产",生产物料推移表!B:B,"852-237000-100")</f>
        <v>0</v>
      </c>
      <c r="N74">
        <f>sumifs(生产物料推移表!n:n,生产物料推移表!L:L,"计划生产",生产物料推移表!B:B,"852-237000-100")</f>
        <v>0</v>
      </c>
      <c r="O74">
        <f>sumifs(生产物料推移表!o:o,生产物料推移表!L:L,"计划生产",生产物料推移表!B:B,"852-237000-100")</f>
        <v>0</v>
      </c>
      <c r="P74">
        <f>sumifs(生产物料推移表!p:p,生产物料推移表!L:L,"计划生产",生产物料推移表!B:B,"852-237000-100")</f>
        <v>0</v>
      </c>
      <c r="Q74">
        <f>sumifs(生产物料推移表!q:q,生产物料推移表!L:L,"计划生产",生产物料推移表!B:B,"852-237000-100")</f>
        <v>0</v>
      </c>
      <c r="R74">
        <f>sumifs(生产物料推移表!r:r,生产物料推移表!L:L,"计划生产",生产物料推移表!B:B,"852-237000-100")</f>
        <v>0</v>
      </c>
      <c r="S74">
        <f>sumifs(生产物料推移表!s:s,生产物料推移表!L:L,"计划生产",生产物料推移表!B:B,"852-237000-100")</f>
        <v>0</v>
      </c>
      <c r="T74">
        <f>sumifs(生产物料推移表!t:t,生产物料推移表!L:L,"计划生产",生产物料推移表!B:B,"852-237000-100")</f>
        <v>0</v>
      </c>
      <c r="U74">
        <f>sumifs(生产物料推移表!u:u,生产物料推移表!L:L,"计划生产",生产物料推移表!B:B,"852-237000-100")</f>
        <v>0</v>
      </c>
      <c r="V74">
        <f>sumifs(生产物料推移表!v:v,生产物料推移表!L:L,"计划生产",生产物料推移表!B:B,"852-237000-100")</f>
        <v>0</v>
      </c>
      <c r="W74">
        <f>sumifs(生产物料推移表!w:w,生产物料推移表!L:L,"计划生产",生产物料推移表!B:B,"852-237000-100")</f>
        <v>0</v>
      </c>
      <c r="X74">
        <f>sumifs(生产物料推移表!x:x,生产物料推移表!L:L,"计划生产",生产物料推移表!B:B,"852-237000-100")</f>
        <v>0</v>
      </c>
      <c r="Y74">
        <f>sumifs(生产物料推移表!y:y,生产物料推移表!L:L,"计划生产",生产物料推移表!B:B,"852-237000-100")</f>
        <v>0</v>
      </c>
      <c r="Z74">
        <f>sumifs(生产物料推移表!z:z,生产物料推移表!L:L,"计划生产",生产物料推移表!B:B,"852-237000-100")</f>
        <v>0</v>
      </c>
      <c r="AA74">
        <f>sumifs(生产物料推移表!aa:aa,生产物料推移表!L:L,"计划生产",生产物料推移表!B:B,"852-237000-100")</f>
        <v>0</v>
      </c>
      <c r="AB74">
        <f>sumifs(生产物料推移表!ab:ab,生产物料推移表!L:L,"计划生产",生产物料推移表!B:B,"852-237000-100")</f>
        <v>0</v>
      </c>
      <c r="AC74">
        <f>sumifs(生产物料推移表!ac:ac,生产物料推移表!L:L,"计划生产",生产物料推移表!B:B,"852-237000-100")</f>
        <v>0</v>
      </c>
      <c r="AD74">
        <f>sumifs(生产物料推移表!ad:ad,生产物料推移表!L:L,"计划生产",生产物料推移表!B:B,"852-237000-100")</f>
        <v>0</v>
      </c>
      <c r="AE74">
        <f>sumifs(生产物料推移表!ae:ae,生产物料推移表!L:L,"计划生产",生产物料推移表!B:B,"852-237000-100")</f>
        <v>0</v>
      </c>
      <c r="AF74">
        <f>sumifs(生产物料推移表!af:af,生产物料推移表!L:L,"计划生产",生产物料推移表!B:B,"852-237000-100")</f>
        <v>0</v>
      </c>
      <c r="AG74">
        <f>sumifs(生产物料推移表!ag:ag,生产物料推移表!L:L,"计划生产",生产物料推移表!B:B,"852-237000-100")</f>
        <v>0</v>
      </c>
      <c r="AH74">
        <f>sumifs(生产物料推移表!ah:ah,生产物料推移表!L:L,"计划生产",生产物料推移表!B:B,"852-237000-100")</f>
        <v>0</v>
      </c>
      <c r="AI74">
        <f>sumifs(生产物料推移表!ai:ai,生产物料推移表!L:L,"计划生产",生产物料推移表!B:B,"852-237000-100")</f>
        <v>0</v>
      </c>
      <c r="AJ74">
        <f>sumifs(生产物料推移表!aj:aj,生产物料推移表!L:L,"计划生产",生产物料推移表!B:B,"852-237000-100")</f>
        <v>0</v>
      </c>
      <c r="AK74">
        <f>sumifs(生产物料推移表!ak:ak,生产物料推移表!L:L,"计划生产",生产物料推移表!B:B,"852-237000-100")</f>
        <v>0</v>
      </c>
      <c r="AL74">
        <f>sumifs(生产物料推移表!al:al,生产物料推移表!L:L,"计划生产",生产物料推移表!B:B,"852-237000-100")</f>
        <v>0</v>
      </c>
      <c r="AM74">
        <f>sumifs(生产物料推移表!am:am,生产物料推移表!L:L,"计划生产",生产物料推移表!B:B,"852-237000-100")</f>
        <v>0</v>
      </c>
      <c r="AN74">
        <f>sumifs(生产物料推移表!an:an,生产物料推移表!L:L,"计划生产",生产物料推移表!B:B,"852-237000-100")</f>
        <v>0</v>
      </c>
      <c r="AO74">
        <f>sumifs(生产物料推移表!ao:ao,生产物料推移表!L:L,"计划生产",生产物料推移表!B:B,"852-237000-100")</f>
        <v>0</v>
      </c>
      <c r="AP74">
        <f>sumifs(生产物料推移表!ap:ap,生产物料推移表!L:L,"计划生产",生产物料推移表!B:B,"852-237000-100")</f>
        <v>0</v>
      </c>
      <c r="AQ74">
        <f>sumifs(生产物料推移表!aq:aq,生产物料推移表!L:L,"计划生产",生产物料推移表!B:B,"852-237000-100")</f>
        <v>0</v>
      </c>
      <c r="AR74">
        <f>sumifs(生产物料推移表!ar:ar,生产物料推移表!L:L,"计划生产",生产物料推移表!B:B,"852-237000-100")</f>
        <v>0</v>
      </c>
      <c r="BY74">
        <f>sum(j74:an74)</f>
        <v>0</v>
      </c>
    </row>
    <row r="75" spans="1:77">
      <c r="A75" t="s">
        <v>14</v>
      </c>
      <c r="B75" t="s">
        <v>216</v>
      </c>
      <c r="C75" t="s">
        <v>217</v>
      </c>
      <c r="D75" t="s">
        <v>256</v>
      </c>
      <c r="E75">
        <v>1</v>
      </c>
      <c r="F75" t="s">
        <v>218</v>
      </c>
      <c r="K75" t="s">
        <v>305</v>
      </c>
      <c r="L75" t="s">
        <v>37</v>
      </c>
      <c r="M75">
        <f>sumifs(生产物料推移表!m:m,生产物料推移表!L:L,"计划生产",生产物料推移表!B:B,"852-237000-200")</f>
        <v>0</v>
      </c>
      <c r="N75">
        <f>sumifs(生产物料推移表!n:n,生产物料推移表!L:L,"计划生产",生产物料推移表!B:B,"852-237000-200")</f>
        <v>0</v>
      </c>
      <c r="O75">
        <f>sumifs(生产物料推移表!o:o,生产物料推移表!L:L,"计划生产",生产物料推移表!B:B,"852-237000-200")</f>
        <v>0</v>
      </c>
      <c r="P75">
        <f>sumifs(生产物料推移表!p:p,生产物料推移表!L:L,"计划生产",生产物料推移表!B:B,"852-237000-200")</f>
        <v>0</v>
      </c>
      <c r="Q75">
        <f>sumifs(生产物料推移表!q:q,生产物料推移表!L:L,"计划生产",生产物料推移表!B:B,"852-237000-200")</f>
        <v>0</v>
      </c>
      <c r="R75">
        <f>sumifs(生产物料推移表!r:r,生产物料推移表!L:L,"计划生产",生产物料推移表!B:B,"852-237000-200")</f>
        <v>0</v>
      </c>
      <c r="S75">
        <f>sumifs(生产物料推移表!s:s,生产物料推移表!L:L,"计划生产",生产物料推移表!B:B,"852-237000-200")</f>
        <v>0</v>
      </c>
      <c r="T75">
        <f>sumifs(生产物料推移表!t:t,生产物料推移表!L:L,"计划生产",生产物料推移表!B:B,"852-237000-200")</f>
        <v>0</v>
      </c>
      <c r="U75">
        <f>sumifs(生产物料推移表!u:u,生产物料推移表!L:L,"计划生产",生产物料推移表!B:B,"852-237000-200")</f>
        <v>0</v>
      </c>
      <c r="V75">
        <f>sumifs(生产物料推移表!v:v,生产物料推移表!L:L,"计划生产",生产物料推移表!B:B,"852-237000-200")</f>
        <v>0</v>
      </c>
      <c r="W75">
        <f>sumifs(生产物料推移表!w:w,生产物料推移表!L:L,"计划生产",生产物料推移表!B:B,"852-237000-200")</f>
        <v>0</v>
      </c>
      <c r="X75">
        <f>sumifs(生产物料推移表!x:x,生产物料推移表!L:L,"计划生产",生产物料推移表!B:B,"852-237000-200")</f>
        <v>0</v>
      </c>
      <c r="Y75">
        <f>sumifs(生产物料推移表!y:y,生产物料推移表!L:L,"计划生产",生产物料推移表!B:B,"852-237000-200")</f>
        <v>0</v>
      </c>
      <c r="Z75">
        <f>sumifs(生产物料推移表!z:z,生产物料推移表!L:L,"计划生产",生产物料推移表!B:B,"852-237000-200")</f>
        <v>0</v>
      </c>
      <c r="AA75">
        <f>sumifs(生产物料推移表!aa:aa,生产物料推移表!L:L,"计划生产",生产物料推移表!B:B,"852-237000-200")</f>
        <v>0</v>
      </c>
      <c r="AB75">
        <f>sumifs(生产物料推移表!ab:ab,生产物料推移表!L:L,"计划生产",生产物料推移表!B:B,"852-237000-200")</f>
        <v>0</v>
      </c>
      <c r="AC75">
        <f>sumifs(生产物料推移表!ac:ac,生产物料推移表!L:L,"计划生产",生产物料推移表!B:B,"852-237000-200")</f>
        <v>0</v>
      </c>
      <c r="AD75">
        <f>sumifs(生产物料推移表!ad:ad,生产物料推移表!L:L,"计划生产",生产物料推移表!B:B,"852-237000-200")</f>
        <v>0</v>
      </c>
      <c r="AE75">
        <f>sumifs(生产物料推移表!ae:ae,生产物料推移表!L:L,"计划生产",生产物料推移表!B:B,"852-237000-200")</f>
        <v>0</v>
      </c>
      <c r="AF75">
        <f>sumifs(生产物料推移表!af:af,生产物料推移表!L:L,"计划生产",生产物料推移表!B:B,"852-237000-200")</f>
        <v>0</v>
      </c>
      <c r="AG75">
        <f>sumifs(生产物料推移表!ag:ag,生产物料推移表!L:L,"计划生产",生产物料推移表!B:B,"852-237000-200")</f>
        <v>0</v>
      </c>
      <c r="AH75">
        <f>sumifs(生产物料推移表!ah:ah,生产物料推移表!L:L,"计划生产",生产物料推移表!B:B,"852-237000-200")</f>
        <v>0</v>
      </c>
      <c r="AI75">
        <f>sumifs(生产物料推移表!ai:ai,生产物料推移表!L:L,"计划生产",生产物料推移表!B:B,"852-237000-200")</f>
        <v>0</v>
      </c>
      <c r="AJ75">
        <f>sumifs(生产物料推移表!aj:aj,生产物料推移表!L:L,"计划生产",生产物料推移表!B:B,"852-237000-200")</f>
        <v>0</v>
      </c>
      <c r="AK75">
        <f>sumifs(生产物料推移表!ak:ak,生产物料推移表!L:L,"计划生产",生产物料推移表!B:B,"852-237000-200")</f>
        <v>0</v>
      </c>
      <c r="AL75">
        <f>sumifs(生产物料推移表!al:al,生产物料推移表!L:L,"计划生产",生产物料推移表!B:B,"852-237000-200")</f>
        <v>0</v>
      </c>
      <c r="AM75">
        <f>sumifs(生产物料推移表!am:am,生产物料推移表!L:L,"计划生产",生产物料推移表!B:B,"852-237000-200")</f>
        <v>0</v>
      </c>
      <c r="AN75">
        <f>sumifs(生产物料推移表!an:an,生产物料推移表!L:L,"计划生产",生产物料推移表!B:B,"852-237000-200")</f>
        <v>0</v>
      </c>
      <c r="AO75">
        <f>sumifs(生产物料推移表!ao:ao,生产物料推移表!L:L,"计划生产",生产物料推移表!B:B,"852-237000-200")</f>
        <v>0</v>
      </c>
      <c r="AP75">
        <f>sumifs(生产物料推移表!ap:ap,生产物料推移表!L:L,"计划生产",生产物料推移表!B:B,"852-237000-200")</f>
        <v>0</v>
      </c>
      <c r="AQ75">
        <f>sumifs(生产物料推移表!aq:aq,生产物料推移表!L:L,"计划生产",生产物料推移表!B:B,"852-237000-200")</f>
        <v>0</v>
      </c>
      <c r="AR75">
        <f>sumifs(生产物料推移表!ar:ar,生产物料推移表!L:L,"计划生产",生产物料推移表!B:B,"852-237000-200")</f>
        <v>0</v>
      </c>
      <c r="BY75">
        <f>sum(j75:an75)</f>
        <v>0</v>
      </c>
    </row>
    <row r="76" spans="1:77">
      <c r="A76" t="s">
        <v>14</v>
      </c>
      <c r="B76" t="s">
        <v>225</v>
      </c>
      <c r="C76" t="s">
        <v>226</v>
      </c>
      <c r="D76" t="s">
        <v>256</v>
      </c>
      <c r="E76">
        <v>1</v>
      </c>
      <c r="F76" t="s">
        <v>227</v>
      </c>
      <c r="K76" t="s">
        <v>305</v>
      </c>
      <c r="L76" t="s">
        <v>37</v>
      </c>
      <c r="M76">
        <f>sumifs(生产物料推移表!m:m,生产物料推移表!L:L,"计划生产",生产物料推移表!B:B,"852-237000-300")</f>
        <v>0</v>
      </c>
      <c r="N76">
        <f>sumifs(生产物料推移表!n:n,生产物料推移表!L:L,"计划生产",生产物料推移表!B:B,"852-237000-300")</f>
        <v>0</v>
      </c>
      <c r="O76">
        <f>sumifs(生产物料推移表!o:o,生产物料推移表!L:L,"计划生产",生产物料推移表!B:B,"852-237000-300")</f>
        <v>0</v>
      </c>
      <c r="P76">
        <f>sumifs(生产物料推移表!p:p,生产物料推移表!L:L,"计划生产",生产物料推移表!B:B,"852-237000-300")</f>
        <v>0</v>
      </c>
      <c r="Q76">
        <f>sumifs(生产物料推移表!q:q,生产物料推移表!L:L,"计划生产",生产物料推移表!B:B,"852-237000-300")</f>
        <v>0</v>
      </c>
      <c r="R76">
        <f>sumifs(生产物料推移表!r:r,生产物料推移表!L:L,"计划生产",生产物料推移表!B:B,"852-237000-300")</f>
        <v>0</v>
      </c>
      <c r="S76">
        <f>sumifs(生产物料推移表!s:s,生产物料推移表!L:L,"计划生产",生产物料推移表!B:B,"852-237000-300")</f>
        <v>0</v>
      </c>
      <c r="T76">
        <f>sumifs(生产物料推移表!t:t,生产物料推移表!L:L,"计划生产",生产物料推移表!B:B,"852-237000-300")</f>
        <v>0</v>
      </c>
      <c r="U76">
        <f>sumifs(生产物料推移表!u:u,生产物料推移表!L:L,"计划生产",生产物料推移表!B:B,"852-237000-300")</f>
        <v>0</v>
      </c>
      <c r="V76">
        <f>sumifs(生产物料推移表!v:v,生产物料推移表!L:L,"计划生产",生产物料推移表!B:B,"852-237000-300")</f>
        <v>0</v>
      </c>
      <c r="W76">
        <f>sumifs(生产物料推移表!w:w,生产物料推移表!L:L,"计划生产",生产物料推移表!B:B,"852-237000-300")</f>
        <v>0</v>
      </c>
      <c r="X76">
        <f>sumifs(生产物料推移表!x:x,生产物料推移表!L:L,"计划生产",生产物料推移表!B:B,"852-237000-300")</f>
        <v>0</v>
      </c>
      <c r="Y76">
        <f>sumifs(生产物料推移表!y:y,生产物料推移表!L:L,"计划生产",生产物料推移表!B:B,"852-237000-300")</f>
        <v>0</v>
      </c>
      <c r="Z76">
        <f>sumifs(生产物料推移表!z:z,生产物料推移表!L:L,"计划生产",生产物料推移表!B:B,"852-237000-300")</f>
        <v>0</v>
      </c>
      <c r="AA76">
        <f>sumifs(生产物料推移表!aa:aa,生产物料推移表!L:L,"计划生产",生产物料推移表!B:B,"852-237000-300")</f>
        <v>0</v>
      </c>
      <c r="AB76">
        <f>sumifs(生产物料推移表!ab:ab,生产物料推移表!L:L,"计划生产",生产物料推移表!B:B,"852-237000-300")</f>
        <v>0</v>
      </c>
      <c r="AC76">
        <f>sumifs(生产物料推移表!ac:ac,生产物料推移表!L:L,"计划生产",生产物料推移表!B:B,"852-237000-300")</f>
        <v>0</v>
      </c>
      <c r="AD76">
        <f>sumifs(生产物料推移表!ad:ad,生产物料推移表!L:L,"计划生产",生产物料推移表!B:B,"852-237000-300")</f>
        <v>0</v>
      </c>
      <c r="AE76">
        <f>sumifs(生产物料推移表!ae:ae,生产物料推移表!L:L,"计划生产",生产物料推移表!B:B,"852-237000-300")</f>
        <v>0</v>
      </c>
      <c r="AF76">
        <f>sumifs(生产物料推移表!af:af,生产物料推移表!L:L,"计划生产",生产物料推移表!B:B,"852-237000-300")</f>
        <v>0</v>
      </c>
      <c r="AG76">
        <f>sumifs(生产物料推移表!ag:ag,生产物料推移表!L:L,"计划生产",生产物料推移表!B:B,"852-237000-300")</f>
        <v>0</v>
      </c>
      <c r="AH76">
        <f>sumifs(生产物料推移表!ah:ah,生产物料推移表!L:L,"计划生产",生产物料推移表!B:B,"852-237000-300")</f>
        <v>0</v>
      </c>
      <c r="AI76">
        <f>sumifs(生产物料推移表!ai:ai,生产物料推移表!L:L,"计划生产",生产物料推移表!B:B,"852-237000-300")</f>
        <v>0</v>
      </c>
      <c r="AJ76">
        <f>sumifs(生产物料推移表!aj:aj,生产物料推移表!L:L,"计划生产",生产物料推移表!B:B,"852-237000-300")</f>
        <v>0</v>
      </c>
      <c r="AK76">
        <f>sumifs(生产物料推移表!ak:ak,生产物料推移表!L:L,"计划生产",生产物料推移表!B:B,"852-237000-300")</f>
        <v>0</v>
      </c>
      <c r="AL76">
        <f>sumifs(生产物料推移表!al:al,生产物料推移表!L:L,"计划生产",生产物料推移表!B:B,"852-237000-300")</f>
        <v>0</v>
      </c>
      <c r="AM76">
        <f>sumifs(生产物料推移表!am:am,生产物料推移表!L:L,"计划生产",生产物料推移表!B:B,"852-237000-300")</f>
        <v>0</v>
      </c>
      <c r="AN76">
        <f>sumifs(生产物料推移表!an:an,生产物料推移表!L:L,"计划生产",生产物料推移表!B:B,"852-237000-300")</f>
        <v>0</v>
      </c>
      <c r="AO76">
        <f>sumifs(生产物料推移表!ao:ao,生产物料推移表!L:L,"计划生产",生产物料推移表!B:B,"852-237000-300")</f>
        <v>0</v>
      </c>
      <c r="AP76">
        <f>sumifs(生产物料推移表!ap:ap,生产物料推移表!L:L,"计划生产",生产物料推移表!B:B,"852-237000-300")</f>
        <v>0</v>
      </c>
      <c r="AQ76">
        <f>sumifs(生产物料推移表!aq:aq,生产物料推移表!L:L,"计划生产",生产物料推移表!B:B,"852-237000-300")</f>
        <v>0</v>
      </c>
      <c r="AR76">
        <f>sumifs(生产物料推移表!ar:ar,生产物料推移表!L:L,"计划生产",生产物料推移表!B:B,"852-237000-300")</f>
        <v>0</v>
      </c>
      <c r="BY76">
        <f>sum(j76:an76)</f>
        <v>0</v>
      </c>
    </row>
    <row r="77" spans="1:77">
      <c r="A77" t="s">
        <v>14</v>
      </c>
      <c r="B77" t="s">
        <v>231</v>
      </c>
      <c r="C77" t="s">
        <v>232</v>
      </c>
      <c r="D77" t="s">
        <v>256</v>
      </c>
      <c r="E77">
        <v>1</v>
      </c>
      <c r="F77" t="s">
        <v>233</v>
      </c>
      <c r="K77" t="s">
        <v>305</v>
      </c>
      <c r="L77" t="s">
        <v>37</v>
      </c>
      <c r="M77">
        <f>sumifs(生产物料推移表!m:m,生产物料推移表!L:L,"计划生产",生产物料推移表!B:B,"852-237000-400")</f>
        <v>0</v>
      </c>
      <c r="N77">
        <f>sumifs(生产物料推移表!n:n,生产物料推移表!L:L,"计划生产",生产物料推移表!B:B,"852-237000-400")</f>
        <v>0</v>
      </c>
      <c r="O77">
        <f>sumifs(生产物料推移表!o:o,生产物料推移表!L:L,"计划生产",生产物料推移表!B:B,"852-237000-400")</f>
        <v>0</v>
      </c>
      <c r="P77">
        <f>sumifs(生产物料推移表!p:p,生产物料推移表!L:L,"计划生产",生产物料推移表!B:B,"852-237000-400")</f>
        <v>0</v>
      </c>
      <c r="Q77">
        <f>sumifs(生产物料推移表!q:q,生产物料推移表!L:L,"计划生产",生产物料推移表!B:B,"852-237000-400")</f>
        <v>0</v>
      </c>
      <c r="R77">
        <f>sumifs(生产物料推移表!r:r,生产物料推移表!L:L,"计划生产",生产物料推移表!B:B,"852-237000-400")</f>
        <v>0</v>
      </c>
      <c r="S77">
        <f>sumifs(生产物料推移表!s:s,生产物料推移表!L:L,"计划生产",生产物料推移表!B:B,"852-237000-400")</f>
        <v>0</v>
      </c>
      <c r="T77">
        <f>sumifs(生产物料推移表!t:t,生产物料推移表!L:L,"计划生产",生产物料推移表!B:B,"852-237000-400")</f>
        <v>0</v>
      </c>
      <c r="U77">
        <f>sumifs(生产物料推移表!u:u,生产物料推移表!L:L,"计划生产",生产物料推移表!B:B,"852-237000-400")</f>
        <v>0</v>
      </c>
      <c r="V77">
        <f>sumifs(生产物料推移表!v:v,生产物料推移表!L:L,"计划生产",生产物料推移表!B:B,"852-237000-400")</f>
        <v>0</v>
      </c>
      <c r="W77">
        <f>sumifs(生产物料推移表!w:w,生产物料推移表!L:L,"计划生产",生产物料推移表!B:B,"852-237000-400")</f>
        <v>0</v>
      </c>
      <c r="X77">
        <f>sumifs(生产物料推移表!x:x,生产物料推移表!L:L,"计划生产",生产物料推移表!B:B,"852-237000-400")</f>
        <v>0</v>
      </c>
      <c r="Y77">
        <f>sumifs(生产物料推移表!y:y,生产物料推移表!L:L,"计划生产",生产物料推移表!B:B,"852-237000-400")</f>
        <v>0</v>
      </c>
      <c r="Z77">
        <f>sumifs(生产物料推移表!z:z,生产物料推移表!L:L,"计划生产",生产物料推移表!B:B,"852-237000-400")</f>
        <v>0</v>
      </c>
      <c r="AA77">
        <f>sumifs(生产物料推移表!aa:aa,生产物料推移表!L:L,"计划生产",生产物料推移表!B:B,"852-237000-400")</f>
        <v>0</v>
      </c>
      <c r="AB77">
        <f>sumifs(生产物料推移表!ab:ab,生产物料推移表!L:L,"计划生产",生产物料推移表!B:B,"852-237000-400")</f>
        <v>0</v>
      </c>
      <c r="AC77">
        <f>sumifs(生产物料推移表!ac:ac,生产物料推移表!L:L,"计划生产",生产物料推移表!B:B,"852-237000-400")</f>
        <v>0</v>
      </c>
      <c r="AD77">
        <f>sumifs(生产物料推移表!ad:ad,生产物料推移表!L:L,"计划生产",生产物料推移表!B:B,"852-237000-400")</f>
        <v>0</v>
      </c>
      <c r="AE77">
        <f>sumifs(生产物料推移表!ae:ae,生产物料推移表!L:L,"计划生产",生产物料推移表!B:B,"852-237000-400")</f>
        <v>0</v>
      </c>
      <c r="AF77">
        <f>sumifs(生产物料推移表!af:af,生产物料推移表!L:L,"计划生产",生产物料推移表!B:B,"852-237000-400")</f>
        <v>0</v>
      </c>
      <c r="AG77">
        <f>sumifs(生产物料推移表!ag:ag,生产物料推移表!L:L,"计划生产",生产物料推移表!B:B,"852-237000-400")</f>
        <v>0</v>
      </c>
      <c r="AH77">
        <f>sumifs(生产物料推移表!ah:ah,生产物料推移表!L:L,"计划生产",生产物料推移表!B:B,"852-237000-400")</f>
        <v>0</v>
      </c>
      <c r="AI77">
        <f>sumifs(生产物料推移表!ai:ai,生产物料推移表!L:L,"计划生产",生产物料推移表!B:B,"852-237000-400")</f>
        <v>0</v>
      </c>
      <c r="AJ77">
        <f>sumifs(生产物料推移表!aj:aj,生产物料推移表!L:L,"计划生产",生产物料推移表!B:B,"852-237000-400")</f>
        <v>0</v>
      </c>
      <c r="AK77">
        <f>sumifs(生产物料推移表!ak:ak,生产物料推移表!L:L,"计划生产",生产物料推移表!B:B,"852-237000-400")</f>
        <v>0</v>
      </c>
      <c r="AL77">
        <f>sumifs(生产物料推移表!al:al,生产物料推移表!L:L,"计划生产",生产物料推移表!B:B,"852-237000-400")</f>
        <v>0</v>
      </c>
      <c r="AM77">
        <f>sumifs(生产物料推移表!am:am,生产物料推移表!L:L,"计划生产",生产物料推移表!B:B,"852-237000-400")</f>
        <v>0</v>
      </c>
      <c r="AN77">
        <f>sumifs(生产物料推移表!an:an,生产物料推移表!L:L,"计划生产",生产物料推移表!B:B,"852-237000-400")</f>
        <v>0</v>
      </c>
      <c r="AO77">
        <f>sumifs(生产物料推移表!ao:ao,生产物料推移表!L:L,"计划生产",生产物料推移表!B:B,"852-237000-400")</f>
        <v>0</v>
      </c>
      <c r="AP77">
        <f>sumifs(生产物料推移表!ap:ap,生产物料推移表!L:L,"计划生产",生产物料推移表!B:B,"852-237000-400")</f>
        <v>0</v>
      </c>
      <c r="AQ77">
        <f>sumifs(生产物料推移表!aq:aq,生产物料推移表!L:L,"计划生产",生产物料推移表!B:B,"852-237000-400")</f>
        <v>0</v>
      </c>
      <c r="AR77">
        <f>sumifs(生产物料推移表!ar:ar,生产物料推移表!L:L,"计划生产",生产物料推移表!B:B,"852-237000-400")</f>
        <v>0</v>
      </c>
      <c r="BY77">
        <f>sum(j77:an77)</f>
        <v>0</v>
      </c>
    </row>
    <row r="78" spans="1:77">
      <c r="A78" t="s">
        <v>14</v>
      </c>
      <c r="B78" t="s">
        <v>239</v>
      </c>
      <c r="C78" t="s">
        <v>240</v>
      </c>
      <c r="D78" t="s">
        <v>304</v>
      </c>
      <c r="E78">
        <v>1</v>
      </c>
      <c r="F78" t="s">
        <v>241</v>
      </c>
      <c r="K78" t="s">
        <v>305</v>
      </c>
      <c r="L78" t="s">
        <v>37</v>
      </c>
      <c r="M78">
        <f>sumifs(生产物料推移表!m:m,生产物料推移表!L:L,"计划生产",生产物料推移表!B:B,"852-253000-100")</f>
        <v>0</v>
      </c>
      <c r="N78">
        <f>sumifs(生产物料推移表!n:n,生产物料推移表!L:L,"计划生产",生产物料推移表!B:B,"852-253000-100")</f>
        <v>0</v>
      </c>
      <c r="O78">
        <f>sumifs(生产物料推移表!o:o,生产物料推移表!L:L,"计划生产",生产物料推移表!B:B,"852-253000-100")</f>
        <v>0</v>
      </c>
      <c r="P78">
        <f>sumifs(生产物料推移表!p:p,生产物料推移表!L:L,"计划生产",生产物料推移表!B:B,"852-253000-100")</f>
        <v>0</v>
      </c>
      <c r="Q78">
        <f>sumifs(生产物料推移表!q:q,生产物料推移表!L:L,"计划生产",生产物料推移表!B:B,"852-253000-100")</f>
        <v>0</v>
      </c>
      <c r="R78">
        <f>sumifs(生产物料推移表!r:r,生产物料推移表!L:L,"计划生产",生产物料推移表!B:B,"852-253000-100")</f>
        <v>0</v>
      </c>
      <c r="S78">
        <f>sumifs(生产物料推移表!s:s,生产物料推移表!L:L,"计划生产",生产物料推移表!B:B,"852-253000-100")</f>
        <v>0</v>
      </c>
      <c r="T78">
        <f>sumifs(生产物料推移表!t:t,生产物料推移表!L:L,"计划生产",生产物料推移表!B:B,"852-253000-100")</f>
        <v>0</v>
      </c>
      <c r="U78">
        <f>sumifs(生产物料推移表!u:u,生产物料推移表!L:L,"计划生产",生产物料推移表!B:B,"852-253000-100")</f>
        <v>0</v>
      </c>
      <c r="V78">
        <f>sumifs(生产物料推移表!v:v,生产物料推移表!L:L,"计划生产",生产物料推移表!B:B,"852-253000-100")</f>
        <v>0</v>
      </c>
      <c r="W78">
        <f>sumifs(生产物料推移表!w:w,生产物料推移表!L:L,"计划生产",生产物料推移表!B:B,"852-253000-100")</f>
        <v>0</v>
      </c>
      <c r="X78">
        <f>sumifs(生产物料推移表!x:x,生产物料推移表!L:L,"计划生产",生产物料推移表!B:B,"852-253000-100")</f>
        <v>0</v>
      </c>
      <c r="Y78">
        <f>sumifs(生产物料推移表!y:y,生产物料推移表!L:L,"计划生产",生产物料推移表!B:B,"852-253000-100")</f>
        <v>0</v>
      </c>
      <c r="Z78">
        <f>sumifs(生产物料推移表!z:z,生产物料推移表!L:L,"计划生产",生产物料推移表!B:B,"852-253000-100")</f>
        <v>0</v>
      </c>
      <c r="AA78">
        <f>sumifs(生产物料推移表!aa:aa,生产物料推移表!L:L,"计划生产",生产物料推移表!B:B,"852-253000-100")</f>
        <v>0</v>
      </c>
      <c r="AB78">
        <f>sumifs(生产物料推移表!ab:ab,生产物料推移表!L:L,"计划生产",生产物料推移表!B:B,"852-253000-100")</f>
        <v>0</v>
      </c>
      <c r="AC78">
        <f>sumifs(生产物料推移表!ac:ac,生产物料推移表!L:L,"计划生产",生产物料推移表!B:B,"852-253000-100")</f>
        <v>0</v>
      </c>
      <c r="AD78">
        <f>sumifs(生产物料推移表!ad:ad,生产物料推移表!L:L,"计划生产",生产物料推移表!B:B,"852-253000-100")</f>
        <v>0</v>
      </c>
      <c r="AE78">
        <f>sumifs(生产物料推移表!ae:ae,生产物料推移表!L:L,"计划生产",生产物料推移表!B:B,"852-253000-100")</f>
        <v>0</v>
      </c>
      <c r="AF78">
        <f>sumifs(生产物料推移表!af:af,生产物料推移表!L:L,"计划生产",生产物料推移表!B:B,"852-253000-100")</f>
        <v>0</v>
      </c>
      <c r="AG78">
        <f>sumifs(生产物料推移表!ag:ag,生产物料推移表!L:L,"计划生产",生产物料推移表!B:B,"852-253000-100")</f>
        <v>0</v>
      </c>
      <c r="AH78">
        <f>sumifs(生产物料推移表!ah:ah,生产物料推移表!L:L,"计划生产",生产物料推移表!B:B,"852-253000-100")</f>
        <v>0</v>
      </c>
      <c r="AI78">
        <f>sumifs(生产物料推移表!ai:ai,生产物料推移表!L:L,"计划生产",生产物料推移表!B:B,"852-253000-100")</f>
        <v>0</v>
      </c>
      <c r="AJ78">
        <f>sumifs(生产物料推移表!aj:aj,生产物料推移表!L:L,"计划生产",生产物料推移表!B:B,"852-253000-100")</f>
        <v>0</v>
      </c>
      <c r="AK78">
        <f>sumifs(生产物料推移表!ak:ak,生产物料推移表!L:L,"计划生产",生产物料推移表!B:B,"852-253000-100")</f>
        <v>0</v>
      </c>
      <c r="AL78">
        <f>sumifs(生产物料推移表!al:al,生产物料推移表!L:L,"计划生产",生产物料推移表!B:B,"852-253000-100")</f>
        <v>0</v>
      </c>
      <c r="AM78">
        <f>sumifs(生产物料推移表!am:am,生产物料推移表!L:L,"计划生产",生产物料推移表!B:B,"852-253000-100")</f>
        <v>0</v>
      </c>
      <c r="AN78">
        <f>sumifs(生产物料推移表!an:an,生产物料推移表!L:L,"计划生产",生产物料推移表!B:B,"852-253000-100")</f>
        <v>0</v>
      </c>
      <c r="AO78">
        <f>sumifs(生产物料推移表!ao:ao,生产物料推移表!L:L,"计划生产",生产物料推移表!B:B,"852-253000-100")</f>
        <v>0</v>
      </c>
      <c r="AP78">
        <f>sumifs(生产物料推移表!ap:ap,生产物料推移表!L:L,"计划生产",生产物料推移表!B:B,"852-253000-100")</f>
        <v>0</v>
      </c>
      <c r="AQ78">
        <f>sumifs(生产物料推移表!aq:aq,生产物料推移表!L:L,"计划生产",生产物料推移表!B:B,"852-253000-100")</f>
        <v>0</v>
      </c>
      <c r="AR78">
        <f>sumifs(生产物料推移表!ar:ar,生产物料推移表!L:L,"计划生产",生产物料推移表!B:B,"852-253000-100")</f>
        <v>0</v>
      </c>
      <c r="BY78">
        <f>sum(j78:an78)</f>
        <v>0</v>
      </c>
    </row>
    <row r="79" spans="1:77">
      <c r="A79" t="s">
        <v>14</v>
      </c>
      <c r="B79" t="s">
        <v>251</v>
      </c>
      <c r="C79" t="s">
        <v>252</v>
      </c>
      <c r="D79" t="s">
        <v>304</v>
      </c>
      <c r="E79">
        <v>1</v>
      </c>
      <c r="F79" t="s">
        <v>253</v>
      </c>
      <c r="K79" t="s">
        <v>305</v>
      </c>
      <c r="L79" t="s">
        <v>37</v>
      </c>
      <c r="M79">
        <f>sumifs(生产物料推移表!m:m,生产物料推移表!L:L,"计划生产",生产物料推移表!B:B,"852-254000-100")</f>
        <v>0</v>
      </c>
      <c r="N79">
        <f>sumifs(生产物料推移表!n:n,生产物料推移表!L:L,"计划生产",生产物料推移表!B:B,"852-254000-100")</f>
        <v>0</v>
      </c>
      <c r="O79">
        <f>sumifs(生产物料推移表!o:o,生产物料推移表!L:L,"计划生产",生产物料推移表!B:B,"852-254000-100")</f>
        <v>0</v>
      </c>
      <c r="P79">
        <f>sumifs(生产物料推移表!p:p,生产物料推移表!L:L,"计划生产",生产物料推移表!B:B,"852-254000-100")</f>
        <v>0</v>
      </c>
      <c r="Q79">
        <f>sumifs(生产物料推移表!q:q,生产物料推移表!L:L,"计划生产",生产物料推移表!B:B,"852-254000-100")</f>
        <v>0</v>
      </c>
      <c r="R79">
        <f>sumifs(生产物料推移表!r:r,生产物料推移表!L:L,"计划生产",生产物料推移表!B:B,"852-254000-100")</f>
        <v>0</v>
      </c>
      <c r="S79">
        <f>sumifs(生产物料推移表!s:s,生产物料推移表!L:L,"计划生产",生产物料推移表!B:B,"852-254000-100")</f>
        <v>0</v>
      </c>
      <c r="T79">
        <f>sumifs(生产物料推移表!t:t,生产物料推移表!L:L,"计划生产",生产物料推移表!B:B,"852-254000-100")</f>
        <v>0</v>
      </c>
      <c r="U79">
        <f>sumifs(生产物料推移表!u:u,生产物料推移表!L:L,"计划生产",生产物料推移表!B:B,"852-254000-100")</f>
        <v>0</v>
      </c>
      <c r="V79">
        <f>sumifs(生产物料推移表!v:v,生产物料推移表!L:L,"计划生产",生产物料推移表!B:B,"852-254000-100")</f>
        <v>0</v>
      </c>
      <c r="W79">
        <f>sumifs(生产物料推移表!w:w,生产物料推移表!L:L,"计划生产",生产物料推移表!B:B,"852-254000-100")</f>
        <v>0</v>
      </c>
      <c r="X79">
        <f>sumifs(生产物料推移表!x:x,生产物料推移表!L:L,"计划生产",生产物料推移表!B:B,"852-254000-100")</f>
        <v>0</v>
      </c>
      <c r="Y79">
        <f>sumifs(生产物料推移表!y:y,生产物料推移表!L:L,"计划生产",生产物料推移表!B:B,"852-254000-100")</f>
        <v>0</v>
      </c>
      <c r="Z79">
        <f>sumifs(生产物料推移表!z:z,生产物料推移表!L:L,"计划生产",生产物料推移表!B:B,"852-254000-100")</f>
        <v>0</v>
      </c>
      <c r="AA79">
        <f>sumifs(生产物料推移表!aa:aa,生产物料推移表!L:L,"计划生产",生产物料推移表!B:B,"852-254000-100")</f>
        <v>0</v>
      </c>
      <c r="AB79">
        <f>sumifs(生产物料推移表!ab:ab,生产物料推移表!L:L,"计划生产",生产物料推移表!B:B,"852-254000-100")</f>
        <v>0</v>
      </c>
      <c r="AC79">
        <f>sumifs(生产物料推移表!ac:ac,生产物料推移表!L:L,"计划生产",生产物料推移表!B:B,"852-254000-100")</f>
        <v>0</v>
      </c>
      <c r="AD79">
        <f>sumifs(生产物料推移表!ad:ad,生产物料推移表!L:L,"计划生产",生产物料推移表!B:B,"852-254000-100")</f>
        <v>0</v>
      </c>
      <c r="AE79">
        <f>sumifs(生产物料推移表!ae:ae,生产物料推移表!L:L,"计划生产",生产物料推移表!B:B,"852-254000-100")</f>
        <v>0</v>
      </c>
      <c r="AF79">
        <f>sumifs(生产物料推移表!af:af,生产物料推移表!L:L,"计划生产",生产物料推移表!B:B,"852-254000-100")</f>
        <v>0</v>
      </c>
      <c r="AG79">
        <f>sumifs(生产物料推移表!ag:ag,生产物料推移表!L:L,"计划生产",生产物料推移表!B:B,"852-254000-100")</f>
        <v>0</v>
      </c>
      <c r="AH79">
        <f>sumifs(生产物料推移表!ah:ah,生产物料推移表!L:L,"计划生产",生产物料推移表!B:B,"852-254000-100")</f>
        <v>0</v>
      </c>
      <c r="AI79">
        <f>sumifs(生产物料推移表!ai:ai,生产物料推移表!L:L,"计划生产",生产物料推移表!B:B,"852-254000-100")</f>
        <v>0</v>
      </c>
      <c r="AJ79">
        <f>sumifs(生产物料推移表!aj:aj,生产物料推移表!L:L,"计划生产",生产物料推移表!B:B,"852-254000-100")</f>
        <v>0</v>
      </c>
      <c r="AK79">
        <f>sumifs(生产物料推移表!ak:ak,生产物料推移表!L:L,"计划生产",生产物料推移表!B:B,"852-254000-100")</f>
        <v>0</v>
      </c>
      <c r="AL79">
        <f>sumifs(生产物料推移表!al:al,生产物料推移表!L:L,"计划生产",生产物料推移表!B:B,"852-254000-100")</f>
        <v>0</v>
      </c>
      <c r="AM79">
        <f>sumifs(生产物料推移表!am:am,生产物料推移表!L:L,"计划生产",生产物料推移表!B:B,"852-254000-100")</f>
        <v>0</v>
      </c>
      <c r="AN79">
        <f>sumifs(生产物料推移表!an:an,生产物料推移表!L:L,"计划生产",生产物料推移表!B:B,"852-254000-100")</f>
        <v>0</v>
      </c>
      <c r="AO79">
        <f>sumifs(生产物料推移表!ao:ao,生产物料推移表!L:L,"计划生产",生产物料推移表!B:B,"852-254000-100")</f>
        <v>0</v>
      </c>
      <c r="AP79">
        <f>sumifs(生产物料推移表!ap:ap,生产物料推移表!L:L,"计划生产",生产物料推移表!B:B,"852-254000-100")</f>
        <v>0</v>
      </c>
      <c r="AQ79">
        <f>sumifs(生产物料推移表!aq:aq,生产物料推移表!L:L,"计划生产",生产物料推移表!B:B,"852-254000-100")</f>
        <v>0</v>
      </c>
      <c r="AR79">
        <f>sumifs(生产物料推移表!ar:ar,生产物料推移表!L:L,"计划生产",生产物料推移表!B:B,"852-254000-100")</f>
        <v>0</v>
      </c>
      <c r="BY79">
        <f>sum(j79:an79)</f>
        <v>0</v>
      </c>
    </row>
    <row r="80" spans="1:77">
      <c r="A80" t="s">
        <v>14</v>
      </c>
      <c r="B80" t="s">
        <v>259</v>
      </c>
      <c r="C80" t="s">
        <v>260</v>
      </c>
      <c r="D80" t="s">
        <v>256</v>
      </c>
      <c r="E80">
        <v>1</v>
      </c>
      <c r="F80" t="s">
        <v>261</v>
      </c>
      <c r="K80" t="s">
        <v>305</v>
      </c>
      <c r="L80" t="s">
        <v>37</v>
      </c>
      <c r="M80">
        <f>sumifs(生产物料推移表!m:m,生产物料推移表!L:L,"计划生产",生产物料推移表!B:B,"212-045000-000")</f>
        <v>0</v>
      </c>
      <c r="N80">
        <f>sumifs(生产物料推移表!n:n,生产物料推移表!L:L,"计划生产",生产物料推移表!B:B,"212-045000-000")</f>
        <v>0</v>
      </c>
      <c r="O80">
        <f>sumifs(生产物料推移表!o:o,生产物料推移表!L:L,"计划生产",生产物料推移表!B:B,"212-045000-000")</f>
        <v>0</v>
      </c>
      <c r="P80">
        <f>sumifs(生产物料推移表!p:p,生产物料推移表!L:L,"计划生产",生产物料推移表!B:B,"212-045000-000")</f>
        <v>0</v>
      </c>
      <c r="Q80">
        <f>sumifs(生产物料推移表!q:q,生产物料推移表!L:L,"计划生产",生产物料推移表!B:B,"212-045000-000")</f>
        <v>0</v>
      </c>
      <c r="R80">
        <f>sumifs(生产物料推移表!r:r,生产物料推移表!L:L,"计划生产",生产物料推移表!B:B,"212-045000-000")</f>
        <v>0</v>
      </c>
      <c r="S80">
        <f>sumifs(生产物料推移表!s:s,生产物料推移表!L:L,"计划生产",生产物料推移表!B:B,"212-045000-000")</f>
        <v>0</v>
      </c>
      <c r="T80">
        <f>sumifs(生产物料推移表!t:t,生产物料推移表!L:L,"计划生产",生产物料推移表!B:B,"212-045000-000")</f>
        <v>0</v>
      </c>
      <c r="U80">
        <f>sumifs(生产物料推移表!u:u,生产物料推移表!L:L,"计划生产",生产物料推移表!B:B,"212-045000-000")</f>
        <v>0</v>
      </c>
      <c r="V80">
        <f>sumifs(生产物料推移表!v:v,生产物料推移表!L:L,"计划生产",生产物料推移表!B:B,"212-045000-000")</f>
        <v>0</v>
      </c>
      <c r="W80">
        <f>sumifs(生产物料推移表!w:w,生产物料推移表!L:L,"计划生产",生产物料推移表!B:B,"212-045000-000")</f>
        <v>0</v>
      </c>
      <c r="X80">
        <f>sumifs(生产物料推移表!x:x,生产物料推移表!L:L,"计划生产",生产物料推移表!B:B,"212-045000-000")</f>
        <v>0</v>
      </c>
      <c r="Y80">
        <f>sumifs(生产物料推移表!y:y,生产物料推移表!L:L,"计划生产",生产物料推移表!B:B,"212-045000-000")</f>
        <v>0</v>
      </c>
      <c r="Z80">
        <f>sumifs(生产物料推移表!z:z,生产物料推移表!L:L,"计划生产",生产物料推移表!B:B,"212-045000-000")</f>
        <v>0</v>
      </c>
      <c r="AA80">
        <f>sumifs(生产物料推移表!aa:aa,生产物料推移表!L:L,"计划生产",生产物料推移表!B:B,"212-045000-000")</f>
        <v>0</v>
      </c>
      <c r="AB80">
        <f>sumifs(生产物料推移表!ab:ab,生产物料推移表!L:L,"计划生产",生产物料推移表!B:B,"212-045000-000")</f>
        <v>0</v>
      </c>
      <c r="AC80">
        <f>sumifs(生产物料推移表!ac:ac,生产物料推移表!L:L,"计划生产",生产物料推移表!B:B,"212-045000-000")</f>
        <v>0</v>
      </c>
      <c r="AD80">
        <f>sumifs(生产物料推移表!ad:ad,生产物料推移表!L:L,"计划生产",生产物料推移表!B:B,"212-045000-000")</f>
        <v>0</v>
      </c>
      <c r="AE80">
        <f>sumifs(生产物料推移表!ae:ae,生产物料推移表!L:L,"计划生产",生产物料推移表!B:B,"212-045000-000")</f>
        <v>0</v>
      </c>
      <c r="AF80">
        <f>sumifs(生产物料推移表!af:af,生产物料推移表!L:L,"计划生产",生产物料推移表!B:B,"212-045000-000")</f>
        <v>0</v>
      </c>
      <c r="AG80">
        <f>sumifs(生产物料推移表!ag:ag,生产物料推移表!L:L,"计划生产",生产物料推移表!B:B,"212-045000-000")</f>
        <v>0</v>
      </c>
      <c r="AH80">
        <f>sumifs(生产物料推移表!ah:ah,生产物料推移表!L:L,"计划生产",生产物料推移表!B:B,"212-045000-000")</f>
        <v>0</v>
      </c>
      <c r="AI80">
        <f>sumifs(生产物料推移表!ai:ai,生产物料推移表!L:L,"计划生产",生产物料推移表!B:B,"212-045000-000")</f>
        <v>0</v>
      </c>
      <c r="AJ80">
        <f>sumifs(生产物料推移表!aj:aj,生产物料推移表!L:L,"计划生产",生产物料推移表!B:B,"212-045000-000")</f>
        <v>0</v>
      </c>
      <c r="AK80">
        <f>sumifs(生产物料推移表!ak:ak,生产物料推移表!L:L,"计划生产",生产物料推移表!B:B,"212-045000-000")</f>
        <v>0</v>
      </c>
      <c r="AL80">
        <f>sumifs(生产物料推移表!al:al,生产物料推移表!L:L,"计划生产",生产物料推移表!B:B,"212-045000-000")</f>
        <v>0</v>
      </c>
      <c r="AM80">
        <f>sumifs(生产物料推移表!am:am,生产物料推移表!L:L,"计划生产",生产物料推移表!B:B,"212-045000-000")</f>
        <v>0</v>
      </c>
      <c r="AN80">
        <f>sumifs(生产物料推移表!an:an,生产物料推移表!L:L,"计划生产",生产物料推移表!B:B,"212-045000-000")</f>
        <v>0</v>
      </c>
      <c r="AO80">
        <f>sumifs(生产物料推移表!ao:ao,生产物料推移表!L:L,"计划生产",生产物料推移表!B:B,"212-045000-000")</f>
        <v>0</v>
      </c>
      <c r="AP80">
        <f>sumifs(生产物料推移表!ap:ap,生产物料推移表!L:L,"计划生产",生产物料推移表!B:B,"212-045000-000")</f>
        <v>0</v>
      </c>
      <c r="AQ80">
        <f>sumifs(生产物料推移表!aq:aq,生产物料推移表!L:L,"计划生产",生产物料推移表!B:B,"212-045000-000")</f>
        <v>0</v>
      </c>
      <c r="AR80">
        <f>sumifs(生产物料推移表!ar:ar,生产物料推移表!L:L,"计划生产",生产物料推移表!B:B,"212-045000-000")</f>
        <v>0</v>
      </c>
      <c r="BY80">
        <f>sum(j80:an80)</f>
        <v>0</v>
      </c>
    </row>
    <row r="81" spans="1:77">
      <c r="A81" t="s">
        <v>14</v>
      </c>
      <c r="B81" t="s">
        <v>271</v>
      </c>
      <c r="C81" t="s">
        <v>272</v>
      </c>
      <c r="D81" t="s">
        <v>256</v>
      </c>
      <c r="E81">
        <v>1</v>
      </c>
      <c r="F81" t="s">
        <v>273</v>
      </c>
      <c r="K81" t="s">
        <v>305</v>
      </c>
      <c r="L81" t="s">
        <v>37</v>
      </c>
      <c r="M81">
        <f>sumifs(生产物料推移表!m:m,生产物料推移表!L:L,"计划生产",生产物料推移表!B:B,"852-255000-100")</f>
        <v>0</v>
      </c>
      <c r="N81">
        <f>sumifs(生产物料推移表!n:n,生产物料推移表!L:L,"计划生产",生产物料推移表!B:B,"852-255000-100")</f>
        <v>0</v>
      </c>
      <c r="O81">
        <f>sumifs(生产物料推移表!o:o,生产物料推移表!L:L,"计划生产",生产物料推移表!B:B,"852-255000-100")</f>
        <v>0</v>
      </c>
      <c r="P81">
        <f>sumifs(生产物料推移表!p:p,生产物料推移表!L:L,"计划生产",生产物料推移表!B:B,"852-255000-100")</f>
        <v>0</v>
      </c>
      <c r="Q81">
        <f>sumifs(生产物料推移表!q:q,生产物料推移表!L:L,"计划生产",生产物料推移表!B:B,"852-255000-100")</f>
        <v>0</v>
      </c>
      <c r="R81">
        <f>sumifs(生产物料推移表!r:r,生产物料推移表!L:L,"计划生产",生产物料推移表!B:B,"852-255000-100")</f>
        <v>0</v>
      </c>
      <c r="S81">
        <f>sumifs(生产物料推移表!s:s,生产物料推移表!L:L,"计划生产",生产物料推移表!B:B,"852-255000-100")</f>
        <v>0</v>
      </c>
      <c r="T81">
        <f>sumifs(生产物料推移表!t:t,生产物料推移表!L:L,"计划生产",生产物料推移表!B:B,"852-255000-100")</f>
        <v>0</v>
      </c>
      <c r="U81">
        <f>sumifs(生产物料推移表!u:u,生产物料推移表!L:L,"计划生产",生产物料推移表!B:B,"852-255000-100")</f>
        <v>0</v>
      </c>
      <c r="V81">
        <f>sumifs(生产物料推移表!v:v,生产物料推移表!L:L,"计划生产",生产物料推移表!B:B,"852-255000-100")</f>
        <v>0</v>
      </c>
      <c r="W81">
        <f>sumifs(生产物料推移表!w:w,生产物料推移表!L:L,"计划生产",生产物料推移表!B:B,"852-255000-100")</f>
        <v>0</v>
      </c>
      <c r="X81">
        <f>sumifs(生产物料推移表!x:x,生产物料推移表!L:L,"计划生产",生产物料推移表!B:B,"852-255000-100")</f>
        <v>0</v>
      </c>
      <c r="Y81">
        <f>sumifs(生产物料推移表!y:y,生产物料推移表!L:L,"计划生产",生产物料推移表!B:B,"852-255000-100")</f>
        <v>0</v>
      </c>
      <c r="Z81">
        <f>sumifs(生产物料推移表!z:z,生产物料推移表!L:L,"计划生产",生产物料推移表!B:B,"852-255000-100")</f>
        <v>0</v>
      </c>
      <c r="AA81">
        <f>sumifs(生产物料推移表!aa:aa,生产物料推移表!L:L,"计划生产",生产物料推移表!B:B,"852-255000-100")</f>
        <v>0</v>
      </c>
      <c r="AB81">
        <f>sumifs(生产物料推移表!ab:ab,生产物料推移表!L:L,"计划生产",生产物料推移表!B:B,"852-255000-100")</f>
        <v>0</v>
      </c>
      <c r="AC81">
        <f>sumifs(生产物料推移表!ac:ac,生产物料推移表!L:L,"计划生产",生产物料推移表!B:B,"852-255000-100")</f>
        <v>0</v>
      </c>
      <c r="AD81">
        <f>sumifs(生产物料推移表!ad:ad,生产物料推移表!L:L,"计划生产",生产物料推移表!B:B,"852-255000-100")</f>
        <v>0</v>
      </c>
      <c r="AE81">
        <f>sumifs(生产物料推移表!ae:ae,生产物料推移表!L:L,"计划生产",生产物料推移表!B:B,"852-255000-100")</f>
        <v>0</v>
      </c>
      <c r="AF81">
        <f>sumifs(生产物料推移表!af:af,生产物料推移表!L:L,"计划生产",生产物料推移表!B:B,"852-255000-100")</f>
        <v>0</v>
      </c>
      <c r="AG81">
        <f>sumifs(生产物料推移表!ag:ag,生产物料推移表!L:L,"计划生产",生产物料推移表!B:B,"852-255000-100")</f>
        <v>0</v>
      </c>
      <c r="AH81">
        <f>sumifs(生产物料推移表!ah:ah,生产物料推移表!L:L,"计划生产",生产物料推移表!B:B,"852-255000-100")</f>
        <v>0</v>
      </c>
      <c r="AI81">
        <f>sumifs(生产物料推移表!ai:ai,生产物料推移表!L:L,"计划生产",生产物料推移表!B:B,"852-255000-100")</f>
        <v>0</v>
      </c>
      <c r="AJ81">
        <f>sumifs(生产物料推移表!aj:aj,生产物料推移表!L:L,"计划生产",生产物料推移表!B:B,"852-255000-100")</f>
        <v>0</v>
      </c>
      <c r="AK81">
        <f>sumifs(生产物料推移表!ak:ak,生产物料推移表!L:L,"计划生产",生产物料推移表!B:B,"852-255000-100")</f>
        <v>0</v>
      </c>
      <c r="AL81">
        <f>sumifs(生产物料推移表!al:al,生产物料推移表!L:L,"计划生产",生产物料推移表!B:B,"852-255000-100")</f>
        <v>0</v>
      </c>
      <c r="AM81">
        <f>sumifs(生产物料推移表!am:am,生产物料推移表!L:L,"计划生产",生产物料推移表!B:B,"852-255000-100")</f>
        <v>0</v>
      </c>
      <c r="AN81">
        <f>sumifs(生产物料推移表!an:an,生产物料推移表!L:L,"计划生产",生产物料推移表!B:B,"852-255000-100")</f>
        <v>0</v>
      </c>
      <c r="AO81">
        <f>sumifs(生产物料推移表!ao:ao,生产物料推移表!L:L,"计划生产",生产物料推移表!B:B,"852-255000-100")</f>
        <v>0</v>
      </c>
      <c r="AP81">
        <f>sumifs(生产物料推移表!ap:ap,生产物料推移表!L:L,"计划生产",生产物料推移表!B:B,"852-255000-100")</f>
        <v>0</v>
      </c>
      <c r="AQ81">
        <f>sumifs(生产物料推移表!aq:aq,生产物料推移表!L:L,"计划生产",生产物料推移表!B:B,"852-255000-100")</f>
        <v>0</v>
      </c>
      <c r="AR81">
        <f>sumifs(生产物料推移表!ar:ar,生产物料推移表!L:L,"计划生产",生产物料推移表!B:B,"852-255000-100")</f>
        <v>0</v>
      </c>
      <c r="BY81">
        <f>sum(j81:an81)</f>
        <v>0</v>
      </c>
    </row>
    <row r="82" spans="1:77">
      <c r="A82" t="s">
        <v>14</v>
      </c>
      <c r="B82" t="s">
        <v>277</v>
      </c>
      <c r="C82" t="s">
        <v>93</v>
      </c>
      <c r="D82" t="s">
        <v>304</v>
      </c>
      <c r="E82">
        <v>1</v>
      </c>
      <c r="F82" t="s">
        <v>278</v>
      </c>
      <c r="K82" t="s">
        <v>305</v>
      </c>
      <c r="L82" t="s">
        <v>37</v>
      </c>
      <c r="M82">
        <f>sumifs(生产物料推移表!m:m,生产物料推移表!L:L,"计划生产",生产物料推移表!B:B,"852-257000-100")</f>
        <v>0</v>
      </c>
      <c r="N82">
        <f>sumifs(生产物料推移表!n:n,生产物料推移表!L:L,"计划生产",生产物料推移表!B:B,"852-257000-100")</f>
        <v>0</v>
      </c>
      <c r="O82">
        <f>sumifs(生产物料推移表!o:o,生产物料推移表!L:L,"计划生产",生产物料推移表!B:B,"852-257000-100")</f>
        <v>0</v>
      </c>
      <c r="P82">
        <f>sumifs(生产物料推移表!p:p,生产物料推移表!L:L,"计划生产",生产物料推移表!B:B,"852-257000-100")</f>
        <v>0</v>
      </c>
      <c r="Q82">
        <f>sumifs(生产物料推移表!q:q,生产物料推移表!L:L,"计划生产",生产物料推移表!B:B,"852-257000-100")</f>
        <v>0</v>
      </c>
      <c r="R82">
        <f>sumifs(生产物料推移表!r:r,生产物料推移表!L:L,"计划生产",生产物料推移表!B:B,"852-257000-100")</f>
        <v>0</v>
      </c>
      <c r="S82">
        <f>sumifs(生产物料推移表!s:s,生产物料推移表!L:L,"计划生产",生产物料推移表!B:B,"852-257000-100")</f>
        <v>0</v>
      </c>
      <c r="T82">
        <f>sumifs(生产物料推移表!t:t,生产物料推移表!L:L,"计划生产",生产物料推移表!B:B,"852-257000-100")</f>
        <v>0</v>
      </c>
      <c r="U82">
        <f>sumifs(生产物料推移表!u:u,生产物料推移表!L:L,"计划生产",生产物料推移表!B:B,"852-257000-100")</f>
        <v>0</v>
      </c>
      <c r="V82">
        <f>sumifs(生产物料推移表!v:v,生产物料推移表!L:L,"计划生产",生产物料推移表!B:B,"852-257000-100")</f>
        <v>0</v>
      </c>
      <c r="W82">
        <f>sumifs(生产物料推移表!w:w,生产物料推移表!L:L,"计划生产",生产物料推移表!B:B,"852-257000-100")</f>
        <v>0</v>
      </c>
      <c r="X82">
        <f>sumifs(生产物料推移表!x:x,生产物料推移表!L:L,"计划生产",生产物料推移表!B:B,"852-257000-100")</f>
        <v>0</v>
      </c>
      <c r="Y82">
        <f>sumifs(生产物料推移表!y:y,生产物料推移表!L:L,"计划生产",生产物料推移表!B:B,"852-257000-100")</f>
        <v>0</v>
      </c>
      <c r="Z82">
        <f>sumifs(生产物料推移表!z:z,生产物料推移表!L:L,"计划生产",生产物料推移表!B:B,"852-257000-100")</f>
        <v>0</v>
      </c>
      <c r="AA82">
        <f>sumifs(生产物料推移表!aa:aa,生产物料推移表!L:L,"计划生产",生产物料推移表!B:B,"852-257000-100")</f>
        <v>0</v>
      </c>
      <c r="AB82">
        <f>sumifs(生产物料推移表!ab:ab,生产物料推移表!L:L,"计划生产",生产物料推移表!B:B,"852-257000-100")</f>
        <v>0</v>
      </c>
      <c r="AC82">
        <f>sumifs(生产物料推移表!ac:ac,生产物料推移表!L:L,"计划生产",生产物料推移表!B:B,"852-257000-100")</f>
        <v>0</v>
      </c>
      <c r="AD82">
        <f>sumifs(生产物料推移表!ad:ad,生产物料推移表!L:L,"计划生产",生产物料推移表!B:B,"852-257000-100")</f>
        <v>0</v>
      </c>
      <c r="AE82">
        <f>sumifs(生产物料推移表!ae:ae,生产物料推移表!L:L,"计划生产",生产物料推移表!B:B,"852-257000-100")</f>
        <v>0</v>
      </c>
      <c r="AF82">
        <f>sumifs(生产物料推移表!af:af,生产物料推移表!L:L,"计划生产",生产物料推移表!B:B,"852-257000-100")</f>
        <v>0</v>
      </c>
      <c r="AG82">
        <f>sumifs(生产物料推移表!ag:ag,生产物料推移表!L:L,"计划生产",生产物料推移表!B:B,"852-257000-100")</f>
        <v>0</v>
      </c>
      <c r="AH82">
        <f>sumifs(生产物料推移表!ah:ah,生产物料推移表!L:L,"计划生产",生产物料推移表!B:B,"852-257000-100")</f>
        <v>0</v>
      </c>
      <c r="AI82">
        <f>sumifs(生产物料推移表!ai:ai,生产物料推移表!L:L,"计划生产",生产物料推移表!B:B,"852-257000-100")</f>
        <v>0</v>
      </c>
      <c r="AJ82">
        <f>sumifs(生产物料推移表!aj:aj,生产物料推移表!L:L,"计划生产",生产物料推移表!B:B,"852-257000-100")</f>
        <v>0</v>
      </c>
      <c r="AK82">
        <f>sumifs(生产物料推移表!ak:ak,生产物料推移表!L:L,"计划生产",生产物料推移表!B:B,"852-257000-100")</f>
        <v>0</v>
      </c>
      <c r="AL82">
        <f>sumifs(生产物料推移表!al:al,生产物料推移表!L:L,"计划生产",生产物料推移表!B:B,"852-257000-100")</f>
        <v>0</v>
      </c>
      <c r="AM82">
        <f>sumifs(生产物料推移表!am:am,生产物料推移表!L:L,"计划生产",生产物料推移表!B:B,"852-257000-100")</f>
        <v>0</v>
      </c>
      <c r="AN82">
        <f>sumifs(生产物料推移表!an:an,生产物料推移表!L:L,"计划生产",生产物料推移表!B:B,"852-257000-100")</f>
        <v>0</v>
      </c>
      <c r="AO82">
        <f>sumifs(生产物料推移表!ao:ao,生产物料推移表!L:L,"计划生产",生产物料推移表!B:B,"852-257000-100")</f>
        <v>0</v>
      </c>
      <c r="AP82">
        <f>sumifs(生产物料推移表!ap:ap,生产物料推移表!L:L,"计划生产",生产物料推移表!B:B,"852-257000-100")</f>
        <v>0</v>
      </c>
      <c r="AQ82">
        <f>sumifs(生产物料推移表!aq:aq,生产物料推移表!L:L,"计划生产",生产物料推移表!B:B,"852-257000-100")</f>
        <v>0</v>
      </c>
      <c r="AR82">
        <f>sumifs(生产物料推移表!ar:ar,生产物料推移表!L:L,"计划生产",生产物料推移表!B:B,"852-257000-100")</f>
        <v>0</v>
      </c>
      <c r="BY82">
        <f>sum(j82:an82)</f>
        <v>0</v>
      </c>
    </row>
    <row r="83" spans="1:77">
      <c r="A83" t="s">
        <v>14</v>
      </c>
      <c r="B83" t="s">
        <v>281</v>
      </c>
      <c r="C83" t="s">
        <v>99</v>
      </c>
      <c r="D83" t="s">
        <v>304</v>
      </c>
      <c r="E83">
        <v>1</v>
      </c>
      <c r="F83" t="s">
        <v>282</v>
      </c>
      <c r="K83" t="s">
        <v>305</v>
      </c>
      <c r="L83" t="s">
        <v>37</v>
      </c>
      <c r="M83">
        <f>sumifs(生产物料推移表!m:m,生产物料推移表!L:L,"计划生产",生产物料推移表!B:B,"852-258000-100")</f>
        <v>0</v>
      </c>
      <c r="N83">
        <f>sumifs(生产物料推移表!n:n,生产物料推移表!L:L,"计划生产",生产物料推移表!B:B,"852-258000-100")</f>
        <v>0</v>
      </c>
      <c r="O83">
        <f>sumifs(生产物料推移表!o:o,生产物料推移表!L:L,"计划生产",生产物料推移表!B:B,"852-258000-100")</f>
        <v>0</v>
      </c>
      <c r="P83">
        <f>sumifs(生产物料推移表!p:p,生产物料推移表!L:L,"计划生产",生产物料推移表!B:B,"852-258000-100")</f>
        <v>0</v>
      </c>
      <c r="Q83">
        <f>sumifs(生产物料推移表!q:q,生产物料推移表!L:L,"计划生产",生产物料推移表!B:B,"852-258000-100")</f>
        <v>0</v>
      </c>
      <c r="R83">
        <f>sumifs(生产物料推移表!r:r,生产物料推移表!L:L,"计划生产",生产物料推移表!B:B,"852-258000-100")</f>
        <v>0</v>
      </c>
      <c r="S83">
        <f>sumifs(生产物料推移表!s:s,生产物料推移表!L:L,"计划生产",生产物料推移表!B:B,"852-258000-100")</f>
        <v>0</v>
      </c>
      <c r="T83">
        <f>sumifs(生产物料推移表!t:t,生产物料推移表!L:L,"计划生产",生产物料推移表!B:B,"852-258000-100")</f>
        <v>0</v>
      </c>
      <c r="U83">
        <f>sumifs(生产物料推移表!u:u,生产物料推移表!L:L,"计划生产",生产物料推移表!B:B,"852-258000-100")</f>
        <v>0</v>
      </c>
      <c r="V83">
        <f>sumifs(生产物料推移表!v:v,生产物料推移表!L:L,"计划生产",生产物料推移表!B:B,"852-258000-100")</f>
        <v>0</v>
      </c>
      <c r="W83">
        <f>sumifs(生产物料推移表!w:w,生产物料推移表!L:L,"计划生产",生产物料推移表!B:B,"852-258000-100")</f>
        <v>0</v>
      </c>
      <c r="X83">
        <f>sumifs(生产物料推移表!x:x,生产物料推移表!L:L,"计划生产",生产物料推移表!B:B,"852-258000-100")</f>
        <v>0</v>
      </c>
      <c r="Y83">
        <f>sumifs(生产物料推移表!y:y,生产物料推移表!L:L,"计划生产",生产物料推移表!B:B,"852-258000-100")</f>
        <v>0</v>
      </c>
      <c r="Z83">
        <f>sumifs(生产物料推移表!z:z,生产物料推移表!L:L,"计划生产",生产物料推移表!B:B,"852-258000-100")</f>
        <v>0</v>
      </c>
      <c r="AA83">
        <f>sumifs(生产物料推移表!aa:aa,生产物料推移表!L:L,"计划生产",生产物料推移表!B:B,"852-258000-100")</f>
        <v>0</v>
      </c>
      <c r="AB83">
        <f>sumifs(生产物料推移表!ab:ab,生产物料推移表!L:L,"计划生产",生产物料推移表!B:B,"852-258000-100")</f>
        <v>0</v>
      </c>
      <c r="AC83">
        <f>sumifs(生产物料推移表!ac:ac,生产物料推移表!L:L,"计划生产",生产物料推移表!B:B,"852-258000-100")</f>
        <v>0</v>
      </c>
      <c r="AD83">
        <f>sumifs(生产物料推移表!ad:ad,生产物料推移表!L:L,"计划生产",生产物料推移表!B:B,"852-258000-100")</f>
        <v>0</v>
      </c>
      <c r="AE83">
        <f>sumifs(生产物料推移表!ae:ae,生产物料推移表!L:L,"计划生产",生产物料推移表!B:B,"852-258000-100")</f>
        <v>0</v>
      </c>
      <c r="AF83">
        <f>sumifs(生产物料推移表!af:af,生产物料推移表!L:L,"计划生产",生产物料推移表!B:B,"852-258000-100")</f>
        <v>0</v>
      </c>
      <c r="AG83">
        <f>sumifs(生产物料推移表!ag:ag,生产物料推移表!L:L,"计划生产",生产物料推移表!B:B,"852-258000-100")</f>
        <v>0</v>
      </c>
      <c r="AH83">
        <f>sumifs(生产物料推移表!ah:ah,生产物料推移表!L:L,"计划生产",生产物料推移表!B:B,"852-258000-100")</f>
        <v>0</v>
      </c>
      <c r="AI83">
        <f>sumifs(生产物料推移表!ai:ai,生产物料推移表!L:L,"计划生产",生产物料推移表!B:B,"852-258000-100")</f>
        <v>0</v>
      </c>
      <c r="AJ83">
        <f>sumifs(生产物料推移表!aj:aj,生产物料推移表!L:L,"计划生产",生产物料推移表!B:B,"852-258000-100")</f>
        <v>0</v>
      </c>
      <c r="AK83">
        <f>sumifs(生产物料推移表!ak:ak,生产物料推移表!L:L,"计划生产",生产物料推移表!B:B,"852-258000-100")</f>
        <v>0</v>
      </c>
      <c r="AL83">
        <f>sumifs(生产物料推移表!al:al,生产物料推移表!L:L,"计划生产",生产物料推移表!B:B,"852-258000-100")</f>
        <v>0</v>
      </c>
      <c r="AM83">
        <f>sumifs(生产物料推移表!am:am,生产物料推移表!L:L,"计划生产",生产物料推移表!B:B,"852-258000-100")</f>
        <v>0</v>
      </c>
      <c r="AN83">
        <f>sumifs(生产物料推移表!an:an,生产物料推移表!L:L,"计划生产",生产物料推移表!B:B,"852-258000-100")</f>
        <v>0</v>
      </c>
      <c r="AO83">
        <f>sumifs(生产物料推移表!ao:ao,生产物料推移表!L:L,"计划生产",生产物料推移表!B:B,"852-258000-100")</f>
        <v>0</v>
      </c>
      <c r="AP83">
        <f>sumifs(生产物料推移表!ap:ap,生产物料推移表!L:L,"计划生产",生产物料推移表!B:B,"852-258000-100")</f>
        <v>0</v>
      </c>
      <c r="AQ83">
        <f>sumifs(生产物料推移表!aq:aq,生产物料推移表!L:L,"计划生产",生产物料推移表!B:B,"852-258000-100")</f>
        <v>0</v>
      </c>
      <c r="AR83">
        <f>sumifs(生产物料推移表!ar:ar,生产物料推移表!L:L,"计划生产",生产物料推移表!B:B,"852-258000-100")</f>
        <v>0</v>
      </c>
      <c r="BY83">
        <f>sum(j83:an83)</f>
        <v>0</v>
      </c>
    </row>
    <row r="84" spans="1:77">
      <c r="A84" t="s">
        <v>14</v>
      </c>
      <c r="B84" t="s">
        <v>286</v>
      </c>
      <c r="C84" t="s">
        <v>272</v>
      </c>
      <c r="D84" t="s">
        <v>304</v>
      </c>
      <c r="E84">
        <v>1</v>
      </c>
      <c r="F84" t="s">
        <v>287</v>
      </c>
      <c r="K84" t="s">
        <v>305</v>
      </c>
      <c r="L84" t="s">
        <v>37</v>
      </c>
      <c r="M84">
        <f>sumifs(生产物料推移表!m:m,生产物料推移表!L:L,"计划生产",生产物料推移表!B:B,"852-259000-100")</f>
        <v>0</v>
      </c>
      <c r="N84">
        <f>sumifs(生产物料推移表!n:n,生产物料推移表!L:L,"计划生产",生产物料推移表!B:B,"852-259000-100")</f>
        <v>0</v>
      </c>
      <c r="O84">
        <f>sumifs(生产物料推移表!o:o,生产物料推移表!L:L,"计划生产",生产物料推移表!B:B,"852-259000-100")</f>
        <v>0</v>
      </c>
      <c r="P84">
        <f>sumifs(生产物料推移表!p:p,生产物料推移表!L:L,"计划生产",生产物料推移表!B:B,"852-259000-100")</f>
        <v>0</v>
      </c>
      <c r="Q84">
        <f>sumifs(生产物料推移表!q:q,生产物料推移表!L:L,"计划生产",生产物料推移表!B:B,"852-259000-100")</f>
        <v>0</v>
      </c>
      <c r="R84">
        <f>sumifs(生产物料推移表!r:r,生产物料推移表!L:L,"计划生产",生产物料推移表!B:B,"852-259000-100")</f>
        <v>0</v>
      </c>
      <c r="S84">
        <f>sumifs(生产物料推移表!s:s,生产物料推移表!L:L,"计划生产",生产物料推移表!B:B,"852-259000-100")</f>
        <v>0</v>
      </c>
      <c r="T84">
        <f>sumifs(生产物料推移表!t:t,生产物料推移表!L:L,"计划生产",生产物料推移表!B:B,"852-259000-100")</f>
        <v>0</v>
      </c>
      <c r="U84">
        <f>sumifs(生产物料推移表!u:u,生产物料推移表!L:L,"计划生产",生产物料推移表!B:B,"852-259000-100")</f>
        <v>0</v>
      </c>
      <c r="V84">
        <f>sumifs(生产物料推移表!v:v,生产物料推移表!L:L,"计划生产",生产物料推移表!B:B,"852-259000-100")</f>
        <v>0</v>
      </c>
      <c r="W84">
        <f>sumifs(生产物料推移表!w:w,生产物料推移表!L:L,"计划生产",生产物料推移表!B:B,"852-259000-100")</f>
        <v>0</v>
      </c>
      <c r="X84">
        <f>sumifs(生产物料推移表!x:x,生产物料推移表!L:L,"计划生产",生产物料推移表!B:B,"852-259000-100")</f>
        <v>0</v>
      </c>
      <c r="Y84">
        <f>sumifs(生产物料推移表!y:y,生产物料推移表!L:L,"计划生产",生产物料推移表!B:B,"852-259000-100")</f>
        <v>0</v>
      </c>
      <c r="Z84">
        <f>sumifs(生产物料推移表!z:z,生产物料推移表!L:L,"计划生产",生产物料推移表!B:B,"852-259000-100")</f>
        <v>0</v>
      </c>
      <c r="AA84">
        <f>sumifs(生产物料推移表!aa:aa,生产物料推移表!L:L,"计划生产",生产物料推移表!B:B,"852-259000-100")</f>
        <v>0</v>
      </c>
      <c r="AB84">
        <f>sumifs(生产物料推移表!ab:ab,生产物料推移表!L:L,"计划生产",生产物料推移表!B:B,"852-259000-100")</f>
        <v>0</v>
      </c>
      <c r="AC84">
        <f>sumifs(生产物料推移表!ac:ac,生产物料推移表!L:L,"计划生产",生产物料推移表!B:B,"852-259000-100")</f>
        <v>0</v>
      </c>
      <c r="AD84">
        <f>sumifs(生产物料推移表!ad:ad,生产物料推移表!L:L,"计划生产",生产物料推移表!B:B,"852-259000-100")</f>
        <v>0</v>
      </c>
      <c r="AE84">
        <f>sumifs(生产物料推移表!ae:ae,生产物料推移表!L:L,"计划生产",生产物料推移表!B:B,"852-259000-100")</f>
        <v>0</v>
      </c>
      <c r="AF84">
        <f>sumifs(生产物料推移表!af:af,生产物料推移表!L:L,"计划生产",生产物料推移表!B:B,"852-259000-100")</f>
        <v>0</v>
      </c>
      <c r="AG84">
        <f>sumifs(生产物料推移表!ag:ag,生产物料推移表!L:L,"计划生产",生产物料推移表!B:B,"852-259000-100")</f>
        <v>0</v>
      </c>
      <c r="AH84">
        <f>sumifs(生产物料推移表!ah:ah,生产物料推移表!L:L,"计划生产",生产物料推移表!B:B,"852-259000-100")</f>
        <v>0</v>
      </c>
      <c r="AI84">
        <f>sumifs(生产物料推移表!ai:ai,生产物料推移表!L:L,"计划生产",生产物料推移表!B:B,"852-259000-100")</f>
        <v>0</v>
      </c>
      <c r="AJ84">
        <f>sumifs(生产物料推移表!aj:aj,生产物料推移表!L:L,"计划生产",生产物料推移表!B:B,"852-259000-100")</f>
        <v>0</v>
      </c>
      <c r="AK84">
        <f>sumifs(生产物料推移表!ak:ak,生产物料推移表!L:L,"计划生产",生产物料推移表!B:B,"852-259000-100")</f>
        <v>0</v>
      </c>
      <c r="AL84">
        <f>sumifs(生产物料推移表!al:al,生产物料推移表!L:L,"计划生产",生产物料推移表!B:B,"852-259000-100")</f>
        <v>0</v>
      </c>
      <c r="AM84">
        <f>sumifs(生产物料推移表!am:am,生产物料推移表!L:L,"计划生产",生产物料推移表!B:B,"852-259000-100")</f>
        <v>0</v>
      </c>
      <c r="AN84">
        <f>sumifs(生产物料推移表!an:an,生产物料推移表!L:L,"计划生产",生产物料推移表!B:B,"852-259000-100")</f>
        <v>0</v>
      </c>
      <c r="AO84">
        <f>sumifs(生产物料推移表!ao:ao,生产物料推移表!L:L,"计划生产",生产物料推移表!B:B,"852-259000-100")</f>
        <v>0</v>
      </c>
      <c r="AP84">
        <f>sumifs(生产物料推移表!ap:ap,生产物料推移表!L:L,"计划生产",生产物料推移表!B:B,"852-259000-100")</f>
        <v>0</v>
      </c>
      <c r="AQ84">
        <f>sumifs(生产物料推移表!aq:aq,生产物料推移表!L:L,"计划生产",生产物料推移表!B:B,"852-259000-100")</f>
        <v>0</v>
      </c>
      <c r="AR84">
        <f>sumifs(生产物料推移表!ar:ar,生产物料推移表!L:L,"计划生产",生产物料推移表!B:B,"852-259000-100")</f>
        <v>0</v>
      </c>
      <c r="BY84">
        <f>sum(j84:an84)</f>
        <v>0</v>
      </c>
    </row>
    <row r="85" spans="1:77">
      <c r="A85" t="s">
        <v>14</v>
      </c>
      <c r="B85" t="s">
        <v>291</v>
      </c>
      <c r="C85" t="s">
        <v>292</v>
      </c>
      <c r="D85" t="s">
        <v>304</v>
      </c>
      <c r="E85">
        <v>1</v>
      </c>
      <c r="F85" t="s">
        <v>293</v>
      </c>
      <c r="K85" t="s">
        <v>305</v>
      </c>
      <c r="L85" t="s">
        <v>37</v>
      </c>
      <c r="M85">
        <f>sumifs(生产物料推移表!m:m,生产物料推移表!L:L,"计划生产",生产物料推移表!B:B,"852-338000-100")</f>
        <v>0</v>
      </c>
      <c r="N85">
        <f>sumifs(生产物料推移表!n:n,生产物料推移表!L:L,"计划生产",生产物料推移表!B:B,"852-338000-100")</f>
        <v>0</v>
      </c>
      <c r="O85">
        <f>sumifs(生产物料推移表!o:o,生产物料推移表!L:L,"计划生产",生产物料推移表!B:B,"852-338000-100")</f>
        <v>0</v>
      </c>
      <c r="P85">
        <f>sumifs(生产物料推移表!p:p,生产物料推移表!L:L,"计划生产",生产物料推移表!B:B,"852-338000-100")</f>
        <v>0</v>
      </c>
      <c r="Q85">
        <f>sumifs(生产物料推移表!q:q,生产物料推移表!L:L,"计划生产",生产物料推移表!B:B,"852-338000-100")</f>
        <v>0</v>
      </c>
      <c r="R85">
        <f>sumifs(生产物料推移表!r:r,生产物料推移表!L:L,"计划生产",生产物料推移表!B:B,"852-338000-100")</f>
        <v>0</v>
      </c>
      <c r="S85">
        <f>sumifs(生产物料推移表!s:s,生产物料推移表!L:L,"计划生产",生产物料推移表!B:B,"852-338000-100")</f>
        <v>0</v>
      </c>
      <c r="T85">
        <f>sumifs(生产物料推移表!t:t,生产物料推移表!L:L,"计划生产",生产物料推移表!B:B,"852-338000-100")</f>
        <v>0</v>
      </c>
      <c r="U85">
        <f>sumifs(生产物料推移表!u:u,生产物料推移表!L:L,"计划生产",生产物料推移表!B:B,"852-338000-100")</f>
        <v>0</v>
      </c>
      <c r="V85">
        <f>sumifs(生产物料推移表!v:v,生产物料推移表!L:L,"计划生产",生产物料推移表!B:B,"852-338000-100")</f>
        <v>0</v>
      </c>
      <c r="W85">
        <f>sumifs(生产物料推移表!w:w,生产物料推移表!L:L,"计划生产",生产物料推移表!B:B,"852-338000-100")</f>
        <v>0</v>
      </c>
      <c r="X85">
        <f>sumifs(生产物料推移表!x:x,生产物料推移表!L:L,"计划生产",生产物料推移表!B:B,"852-338000-100")</f>
        <v>0</v>
      </c>
      <c r="Y85">
        <f>sumifs(生产物料推移表!y:y,生产物料推移表!L:L,"计划生产",生产物料推移表!B:B,"852-338000-100")</f>
        <v>0</v>
      </c>
      <c r="Z85">
        <f>sumifs(生产物料推移表!z:z,生产物料推移表!L:L,"计划生产",生产物料推移表!B:B,"852-338000-100")</f>
        <v>0</v>
      </c>
      <c r="AA85">
        <f>sumifs(生产物料推移表!aa:aa,生产物料推移表!L:L,"计划生产",生产物料推移表!B:B,"852-338000-100")</f>
        <v>0</v>
      </c>
      <c r="AB85">
        <f>sumifs(生产物料推移表!ab:ab,生产物料推移表!L:L,"计划生产",生产物料推移表!B:B,"852-338000-100")</f>
        <v>0</v>
      </c>
      <c r="AC85">
        <f>sumifs(生产物料推移表!ac:ac,生产物料推移表!L:L,"计划生产",生产物料推移表!B:B,"852-338000-100")</f>
        <v>0</v>
      </c>
      <c r="AD85">
        <f>sumifs(生产物料推移表!ad:ad,生产物料推移表!L:L,"计划生产",生产物料推移表!B:B,"852-338000-100")</f>
        <v>0</v>
      </c>
      <c r="AE85">
        <f>sumifs(生产物料推移表!ae:ae,生产物料推移表!L:L,"计划生产",生产物料推移表!B:B,"852-338000-100")</f>
        <v>0</v>
      </c>
      <c r="AF85">
        <f>sumifs(生产物料推移表!af:af,生产物料推移表!L:L,"计划生产",生产物料推移表!B:B,"852-338000-100")</f>
        <v>0</v>
      </c>
      <c r="AG85">
        <f>sumifs(生产物料推移表!ag:ag,生产物料推移表!L:L,"计划生产",生产物料推移表!B:B,"852-338000-100")</f>
        <v>0</v>
      </c>
      <c r="AH85">
        <f>sumifs(生产物料推移表!ah:ah,生产物料推移表!L:L,"计划生产",生产物料推移表!B:B,"852-338000-100")</f>
        <v>0</v>
      </c>
      <c r="AI85">
        <f>sumifs(生产物料推移表!ai:ai,生产物料推移表!L:L,"计划生产",生产物料推移表!B:B,"852-338000-100")</f>
        <v>0</v>
      </c>
      <c r="AJ85">
        <f>sumifs(生产物料推移表!aj:aj,生产物料推移表!L:L,"计划生产",生产物料推移表!B:B,"852-338000-100")</f>
        <v>0</v>
      </c>
      <c r="AK85">
        <f>sumifs(生产物料推移表!ak:ak,生产物料推移表!L:L,"计划生产",生产物料推移表!B:B,"852-338000-100")</f>
        <v>0</v>
      </c>
      <c r="AL85">
        <f>sumifs(生产物料推移表!al:al,生产物料推移表!L:L,"计划生产",生产物料推移表!B:B,"852-338000-100")</f>
        <v>0</v>
      </c>
      <c r="AM85">
        <f>sumifs(生产物料推移表!am:am,生产物料推移表!L:L,"计划生产",生产物料推移表!B:B,"852-338000-100")</f>
        <v>0</v>
      </c>
      <c r="AN85">
        <f>sumifs(生产物料推移表!an:an,生产物料推移表!L:L,"计划生产",生产物料推移表!B:B,"852-338000-100")</f>
        <v>0</v>
      </c>
      <c r="AO85">
        <f>sumifs(生产物料推移表!ao:ao,生产物料推移表!L:L,"计划生产",生产物料推移表!B:B,"852-338000-100")</f>
        <v>0</v>
      </c>
      <c r="AP85">
        <f>sumifs(生产物料推移表!ap:ap,生产物料推移表!L:L,"计划生产",生产物料推移表!B:B,"852-338000-100")</f>
        <v>0</v>
      </c>
      <c r="AQ85">
        <f>sumifs(生产物料推移表!aq:aq,生产物料推移表!L:L,"计划生产",生产物料推移表!B:B,"852-338000-100")</f>
        <v>0</v>
      </c>
      <c r="AR85">
        <f>sumifs(生产物料推移表!ar:ar,生产物料推移表!L:L,"计划生产",生产物料推移表!B:B,"852-338000-100")</f>
        <v>0</v>
      </c>
      <c r="BY85">
        <f>sum(j85:an85)</f>
        <v>0</v>
      </c>
    </row>
    <row r="86" spans="1:77">
      <c r="A86" t="s">
        <v>14</v>
      </c>
      <c r="B86" t="s">
        <v>298</v>
      </c>
      <c r="C86" t="s">
        <v>299</v>
      </c>
      <c r="D86" t="s">
        <v>36</v>
      </c>
      <c r="E86">
        <v>1</v>
      </c>
      <c r="F86" t="s">
        <v>300</v>
      </c>
      <c r="K86" t="s">
        <v>305</v>
      </c>
      <c r="L86" t="s">
        <v>37</v>
      </c>
      <c r="M86">
        <f>sumifs(生产物料推移表!m:m,生产物料推移表!L:L,"计划生产",生产物料推移表!B:B,"852-078000-100")</f>
        <v>0</v>
      </c>
      <c r="N86">
        <f>sumifs(生产物料推移表!n:n,生产物料推移表!L:L,"计划生产",生产物料推移表!B:B,"852-078000-100")</f>
        <v>0</v>
      </c>
      <c r="O86">
        <f>sumifs(生产物料推移表!o:o,生产物料推移表!L:L,"计划生产",生产物料推移表!B:B,"852-078000-100")</f>
        <v>0</v>
      </c>
      <c r="P86">
        <f>sumifs(生产物料推移表!p:p,生产物料推移表!L:L,"计划生产",生产物料推移表!B:B,"852-078000-100")</f>
        <v>0</v>
      </c>
      <c r="Q86">
        <f>sumifs(生产物料推移表!q:q,生产物料推移表!L:L,"计划生产",生产物料推移表!B:B,"852-078000-100")</f>
        <v>0</v>
      </c>
      <c r="R86">
        <f>sumifs(生产物料推移表!r:r,生产物料推移表!L:L,"计划生产",生产物料推移表!B:B,"852-078000-100")</f>
        <v>0</v>
      </c>
      <c r="S86">
        <f>sumifs(生产物料推移表!s:s,生产物料推移表!L:L,"计划生产",生产物料推移表!B:B,"852-078000-100")</f>
        <v>0</v>
      </c>
      <c r="T86">
        <f>sumifs(生产物料推移表!t:t,生产物料推移表!L:L,"计划生产",生产物料推移表!B:B,"852-078000-100")</f>
        <v>0</v>
      </c>
      <c r="U86">
        <f>sumifs(生产物料推移表!u:u,生产物料推移表!L:L,"计划生产",生产物料推移表!B:B,"852-078000-100")</f>
        <v>0</v>
      </c>
      <c r="V86">
        <f>sumifs(生产物料推移表!v:v,生产物料推移表!L:L,"计划生产",生产物料推移表!B:B,"852-078000-100")</f>
        <v>0</v>
      </c>
      <c r="W86">
        <f>sumifs(生产物料推移表!w:w,生产物料推移表!L:L,"计划生产",生产物料推移表!B:B,"852-078000-100")</f>
        <v>0</v>
      </c>
      <c r="X86">
        <f>sumifs(生产物料推移表!x:x,生产物料推移表!L:L,"计划生产",生产物料推移表!B:B,"852-078000-100")</f>
        <v>0</v>
      </c>
      <c r="Y86">
        <f>sumifs(生产物料推移表!y:y,生产物料推移表!L:L,"计划生产",生产物料推移表!B:B,"852-078000-100")</f>
        <v>0</v>
      </c>
      <c r="Z86">
        <f>sumifs(生产物料推移表!z:z,生产物料推移表!L:L,"计划生产",生产物料推移表!B:B,"852-078000-100")</f>
        <v>0</v>
      </c>
      <c r="AA86">
        <f>sumifs(生产物料推移表!aa:aa,生产物料推移表!L:L,"计划生产",生产物料推移表!B:B,"852-078000-100")</f>
        <v>0</v>
      </c>
      <c r="AB86">
        <f>sumifs(生产物料推移表!ab:ab,生产物料推移表!L:L,"计划生产",生产物料推移表!B:B,"852-078000-100")</f>
        <v>0</v>
      </c>
      <c r="AC86">
        <f>sumifs(生产物料推移表!ac:ac,生产物料推移表!L:L,"计划生产",生产物料推移表!B:B,"852-078000-100")</f>
        <v>0</v>
      </c>
      <c r="AD86">
        <f>sumifs(生产物料推移表!ad:ad,生产物料推移表!L:L,"计划生产",生产物料推移表!B:B,"852-078000-100")</f>
        <v>0</v>
      </c>
      <c r="AE86">
        <f>sumifs(生产物料推移表!ae:ae,生产物料推移表!L:L,"计划生产",生产物料推移表!B:B,"852-078000-100")</f>
        <v>0</v>
      </c>
      <c r="AF86">
        <f>sumifs(生产物料推移表!af:af,生产物料推移表!L:L,"计划生产",生产物料推移表!B:B,"852-078000-100")</f>
        <v>0</v>
      </c>
      <c r="AG86">
        <f>sumifs(生产物料推移表!ag:ag,生产物料推移表!L:L,"计划生产",生产物料推移表!B:B,"852-078000-100")</f>
        <v>0</v>
      </c>
      <c r="AH86">
        <f>sumifs(生产物料推移表!ah:ah,生产物料推移表!L:L,"计划生产",生产物料推移表!B:B,"852-078000-100")</f>
        <v>0</v>
      </c>
      <c r="AI86">
        <f>sumifs(生产物料推移表!ai:ai,生产物料推移表!L:L,"计划生产",生产物料推移表!B:B,"852-078000-100")</f>
        <v>0</v>
      </c>
      <c r="AJ86">
        <f>sumifs(生产物料推移表!aj:aj,生产物料推移表!L:L,"计划生产",生产物料推移表!B:B,"852-078000-100")</f>
        <v>0</v>
      </c>
      <c r="AK86">
        <f>sumifs(生产物料推移表!ak:ak,生产物料推移表!L:L,"计划生产",生产物料推移表!B:B,"852-078000-100")</f>
        <v>0</v>
      </c>
      <c r="AL86">
        <f>sumifs(生产物料推移表!al:al,生产物料推移表!L:L,"计划生产",生产物料推移表!B:B,"852-078000-100")</f>
        <v>0</v>
      </c>
      <c r="AM86">
        <f>sumifs(生产物料推移表!am:am,生产物料推移表!L:L,"计划生产",生产物料推移表!B:B,"852-078000-100")</f>
        <v>0</v>
      </c>
      <c r="AN86">
        <f>sumifs(生产物料推移表!an:an,生产物料推移表!L:L,"计划生产",生产物料推移表!B:B,"852-078000-100")</f>
        <v>0</v>
      </c>
      <c r="AO86">
        <f>sumifs(生产物料推移表!ao:ao,生产物料推移表!L:L,"计划生产",生产物料推移表!B:B,"852-078000-100")</f>
        <v>0</v>
      </c>
      <c r="AP86">
        <f>sumifs(生产物料推移表!ap:ap,生产物料推移表!L:L,"计划生产",生产物料推移表!B:B,"852-078000-100")</f>
        <v>0</v>
      </c>
      <c r="AQ86">
        <f>sumifs(生产物料推移表!aq:aq,生产物料推移表!L:L,"计划生产",生产物料推移表!B:B,"852-078000-100")</f>
        <v>0</v>
      </c>
      <c r="AR86">
        <f>sumifs(生产物料推移表!ar:ar,生产物料推移表!L:L,"计划生产",生产物料推移表!B:B,"852-078000-100")</f>
        <v>0</v>
      </c>
      <c r="BY86">
        <f>sum(j86:an86)</f>
        <v>0</v>
      </c>
    </row>
    <row r="87" spans="1:77">
      <c r="A87" t="s">
        <v>14</v>
      </c>
      <c r="B87" t="s">
        <v>434</v>
      </c>
      <c r="C87" t="s">
        <v>435</v>
      </c>
      <c r="E87">
        <v>1</v>
      </c>
      <c r="F87" t="s">
        <v>436</v>
      </c>
      <c r="K87" t="s">
        <v>437</v>
      </c>
      <c r="L87" t="s">
        <v>37</v>
      </c>
      <c r="M87">
        <f>sumifs(生产物料推移表!m:m,生产物料推移表!L:L,"计划生产",生产物料推移表!B:B,"952-221000-100")</f>
        <v>0</v>
      </c>
      <c r="N87">
        <f>sumifs(生产物料推移表!n:n,生产物料推移表!L:L,"计划生产",生产物料推移表!B:B,"952-221000-100")</f>
        <v>0</v>
      </c>
      <c r="O87">
        <f>sumifs(生产物料推移表!o:o,生产物料推移表!L:L,"计划生产",生产物料推移表!B:B,"952-221000-100")</f>
        <v>0</v>
      </c>
      <c r="P87">
        <f>sumifs(生产物料推移表!p:p,生产物料推移表!L:L,"计划生产",生产物料推移表!B:B,"952-221000-100")</f>
        <v>0</v>
      </c>
      <c r="Q87">
        <f>sumifs(生产物料推移表!q:q,生产物料推移表!L:L,"计划生产",生产物料推移表!B:B,"952-221000-100")</f>
        <v>0</v>
      </c>
      <c r="R87">
        <f>sumifs(生产物料推移表!r:r,生产物料推移表!L:L,"计划生产",生产物料推移表!B:B,"952-221000-100")</f>
        <v>0</v>
      </c>
      <c r="S87">
        <f>sumifs(生产物料推移表!s:s,生产物料推移表!L:L,"计划生产",生产物料推移表!B:B,"952-221000-100")</f>
        <v>0</v>
      </c>
      <c r="T87">
        <f>sumifs(生产物料推移表!t:t,生产物料推移表!L:L,"计划生产",生产物料推移表!B:B,"952-221000-100")</f>
        <v>0</v>
      </c>
      <c r="U87">
        <f>sumifs(生产物料推移表!u:u,生产物料推移表!L:L,"计划生产",生产物料推移表!B:B,"952-221000-100")</f>
        <v>0</v>
      </c>
      <c r="V87">
        <f>sumifs(生产物料推移表!v:v,生产物料推移表!L:L,"计划生产",生产物料推移表!B:B,"952-221000-100")</f>
        <v>0</v>
      </c>
      <c r="W87">
        <f>sumifs(生产物料推移表!w:w,生产物料推移表!L:L,"计划生产",生产物料推移表!B:B,"952-221000-100")</f>
        <v>0</v>
      </c>
      <c r="X87">
        <f>sumifs(生产物料推移表!x:x,生产物料推移表!L:L,"计划生产",生产物料推移表!B:B,"952-221000-100")</f>
        <v>0</v>
      </c>
      <c r="Y87">
        <f>sumifs(生产物料推移表!y:y,生产物料推移表!L:L,"计划生产",生产物料推移表!B:B,"952-221000-100")</f>
        <v>0</v>
      </c>
      <c r="Z87">
        <f>sumifs(生产物料推移表!z:z,生产物料推移表!L:L,"计划生产",生产物料推移表!B:B,"952-221000-100")</f>
        <v>0</v>
      </c>
      <c r="AA87">
        <f>sumifs(生产物料推移表!aa:aa,生产物料推移表!L:L,"计划生产",生产物料推移表!B:B,"952-221000-100")</f>
        <v>0</v>
      </c>
      <c r="AB87">
        <f>sumifs(生产物料推移表!ab:ab,生产物料推移表!L:L,"计划生产",生产物料推移表!B:B,"952-221000-100")</f>
        <v>0</v>
      </c>
      <c r="AC87">
        <f>sumifs(生产物料推移表!ac:ac,生产物料推移表!L:L,"计划生产",生产物料推移表!B:B,"952-221000-100")</f>
        <v>0</v>
      </c>
      <c r="AD87">
        <f>sumifs(生产物料推移表!ad:ad,生产物料推移表!L:L,"计划生产",生产物料推移表!B:B,"952-221000-100")</f>
        <v>0</v>
      </c>
      <c r="AE87">
        <f>sumifs(生产物料推移表!ae:ae,生产物料推移表!L:L,"计划生产",生产物料推移表!B:B,"952-221000-100")</f>
        <v>0</v>
      </c>
      <c r="AF87">
        <f>sumifs(生产物料推移表!af:af,生产物料推移表!L:L,"计划生产",生产物料推移表!B:B,"952-221000-100")</f>
        <v>0</v>
      </c>
      <c r="AG87">
        <f>sumifs(生产物料推移表!ag:ag,生产物料推移表!L:L,"计划生产",生产物料推移表!B:B,"952-221000-100")</f>
        <v>0</v>
      </c>
      <c r="AH87">
        <f>sumifs(生产物料推移表!ah:ah,生产物料推移表!L:L,"计划生产",生产物料推移表!B:B,"952-221000-100")</f>
        <v>0</v>
      </c>
      <c r="AI87">
        <f>sumifs(生产物料推移表!ai:ai,生产物料推移表!L:L,"计划生产",生产物料推移表!B:B,"952-221000-100")</f>
        <v>0</v>
      </c>
      <c r="AJ87">
        <f>sumifs(生产物料推移表!aj:aj,生产物料推移表!L:L,"计划生产",生产物料推移表!B:B,"952-221000-100")</f>
        <v>0</v>
      </c>
      <c r="AK87">
        <f>sumifs(生产物料推移表!ak:ak,生产物料推移表!L:L,"计划生产",生产物料推移表!B:B,"952-221000-100")</f>
        <v>0</v>
      </c>
      <c r="AL87">
        <f>sumifs(生产物料推移表!al:al,生产物料推移表!L:L,"计划生产",生产物料推移表!B:B,"952-221000-100")</f>
        <v>0</v>
      </c>
      <c r="AM87">
        <f>sumifs(生产物料推移表!am:am,生产物料推移表!L:L,"计划生产",生产物料推移表!B:B,"952-221000-100")</f>
        <v>0</v>
      </c>
      <c r="AN87">
        <f>sumifs(生产物料推移表!an:an,生产物料推移表!L:L,"计划生产",生产物料推移表!B:B,"952-221000-100")</f>
        <v>0</v>
      </c>
      <c r="AO87">
        <f>sumifs(生产物料推移表!ao:ao,生产物料推移表!L:L,"计划生产",生产物料推移表!B:B,"952-221000-100")</f>
        <v>0</v>
      </c>
      <c r="AP87">
        <f>sumifs(生产物料推移表!ap:ap,生产物料推移表!L:L,"计划生产",生产物料推移表!B:B,"952-221000-100")</f>
        <v>0</v>
      </c>
      <c r="AQ87">
        <f>sumifs(生产物料推移表!aq:aq,生产物料推移表!L:L,"计划生产",生产物料推移表!B:B,"952-221000-100")</f>
        <v>0</v>
      </c>
      <c r="AR87">
        <f>sumifs(生产物料推移表!ar:ar,生产物料推移表!L:L,"计划生产",生产物料推移表!B:B,"952-221000-100")</f>
        <v>0</v>
      </c>
      <c r="BY87">
        <f>sum(j87:an87)</f>
        <v>0</v>
      </c>
    </row>
    <row r="88" spans="1:77">
      <c r="A88" t="s">
        <v>14</v>
      </c>
      <c r="B88" t="s">
        <v>442</v>
      </c>
      <c r="C88" t="s">
        <v>443</v>
      </c>
      <c r="E88" t="s">
        <v>444</v>
      </c>
      <c r="F88" t="s">
        <v>445</v>
      </c>
      <c r="K88" t="s">
        <v>437</v>
      </c>
      <c r="L88" t="s">
        <v>37</v>
      </c>
      <c r="M88">
        <f>sumifs(生产物料推移表!m:m,生产物料推移表!L:L,"计划生产",生产物料推移表!B:B,"952-222000-100")</f>
        <v>0</v>
      </c>
      <c r="N88">
        <f>sumifs(生产物料推移表!n:n,生产物料推移表!L:L,"计划生产",生产物料推移表!B:B,"952-222000-100")</f>
        <v>0</v>
      </c>
      <c r="O88">
        <f>sumifs(生产物料推移表!o:o,生产物料推移表!L:L,"计划生产",生产物料推移表!B:B,"952-222000-100")</f>
        <v>0</v>
      </c>
      <c r="P88">
        <f>sumifs(生产物料推移表!p:p,生产物料推移表!L:L,"计划生产",生产物料推移表!B:B,"952-222000-100")</f>
        <v>0</v>
      </c>
      <c r="Q88">
        <f>sumifs(生产物料推移表!q:q,生产物料推移表!L:L,"计划生产",生产物料推移表!B:B,"952-222000-100")</f>
        <v>0</v>
      </c>
      <c r="R88">
        <f>sumifs(生产物料推移表!r:r,生产物料推移表!L:L,"计划生产",生产物料推移表!B:B,"952-222000-100")</f>
        <v>0</v>
      </c>
      <c r="S88">
        <f>sumifs(生产物料推移表!s:s,生产物料推移表!L:L,"计划生产",生产物料推移表!B:B,"952-222000-100")</f>
        <v>0</v>
      </c>
      <c r="T88">
        <f>sumifs(生产物料推移表!t:t,生产物料推移表!L:L,"计划生产",生产物料推移表!B:B,"952-222000-100")</f>
        <v>0</v>
      </c>
      <c r="U88">
        <f>sumifs(生产物料推移表!u:u,生产物料推移表!L:L,"计划生产",生产物料推移表!B:B,"952-222000-100")</f>
        <v>0</v>
      </c>
      <c r="V88">
        <f>sumifs(生产物料推移表!v:v,生产物料推移表!L:L,"计划生产",生产物料推移表!B:B,"952-222000-100")</f>
        <v>0</v>
      </c>
      <c r="W88">
        <f>sumifs(生产物料推移表!w:w,生产物料推移表!L:L,"计划生产",生产物料推移表!B:B,"952-222000-100")</f>
        <v>0</v>
      </c>
      <c r="X88">
        <f>sumifs(生产物料推移表!x:x,生产物料推移表!L:L,"计划生产",生产物料推移表!B:B,"952-222000-100")</f>
        <v>0</v>
      </c>
      <c r="Y88">
        <f>sumifs(生产物料推移表!y:y,生产物料推移表!L:L,"计划生产",生产物料推移表!B:B,"952-222000-100")</f>
        <v>0</v>
      </c>
      <c r="Z88">
        <f>sumifs(生产物料推移表!z:z,生产物料推移表!L:L,"计划生产",生产物料推移表!B:B,"952-222000-100")</f>
        <v>0</v>
      </c>
      <c r="AA88">
        <f>sumifs(生产物料推移表!aa:aa,生产物料推移表!L:L,"计划生产",生产物料推移表!B:B,"952-222000-100")</f>
        <v>0</v>
      </c>
      <c r="AB88">
        <f>sumifs(生产物料推移表!ab:ab,生产物料推移表!L:L,"计划生产",生产物料推移表!B:B,"952-222000-100")</f>
        <v>0</v>
      </c>
      <c r="AC88">
        <f>sumifs(生产物料推移表!ac:ac,生产物料推移表!L:L,"计划生产",生产物料推移表!B:B,"952-222000-100")</f>
        <v>0</v>
      </c>
      <c r="AD88">
        <f>sumifs(生产物料推移表!ad:ad,生产物料推移表!L:L,"计划生产",生产物料推移表!B:B,"952-222000-100")</f>
        <v>0</v>
      </c>
      <c r="AE88">
        <f>sumifs(生产物料推移表!ae:ae,生产物料推移表!L:L,"计划生产",生产物料推移表!B:B,"952-222000-100")</f>
        <v>0</v>
      </c>
      <c r="AF88">
        <f>sumifs(生产物料推移表!af:af,生产物料推移表!L:L,"计划生产",生产物料推移表!B:B,"952-222000-100")</f>
        <v>0</v>
      </c>
      <c r="AG88">
        <f>sumifs(生产物料推移表!ag:ag,生产物料推移表!L:L,"计划生产",生产物料推移表!B:B,"952-222000-100")</f>
        <v>0</v>
      </c>
      <c r="AH88">
        <f>sumifs(生产物料推移表!ah:ah,生产物料推移表!L:L,"计划生产",生产物料推移表!B:B,"952-222000-100")</f>
        <v>0</v>
      </c>
      <c r="AI88">
        <f>sumifs(生产物料推移表!ai:ai,生产物料推移表!L:L,"计划生产",生产物料推移表!B:B,"952-222000-100")</f>
        <v>0</v>
      </c>
      <c r="AJ88">
        <f>sumifs(生产物料推移表!aj:aj,生产物料推移表!L:L,"计划生产",生产物料推移表!B:B,"952-222000-100")</f>
        <v>0</v>
      </c>
      <c r="AK88">
        <f>sumifs(生产物料推移表!ak:ak,生产物料推移表!L:L,"计划生产",生产物料推移表!B:B,"952-222000-100")</f>
        <v>0</v>
      </c>
      <c r="AL88">
        <f>sumifs(生产物料推移表!al:al,生产物料推移表!L:L,"计划生产",生产物料推移表!B:B,"952-222000-100")</f>
        <v>0</v>
      </c>
      <c r="AM88">
        <f>sumifs(生产物料推移表!am:am,生产物料推移表!L:L,"计划生产",生产物料推移表!B:B,"952-222000-100")</f>
        <v>0</v>
      </c>
      <c r="AN88">
        <f>sumifs(生产物料推移表!an:an,生产物料推移表!L:L,"计划生产",生产物料推移表!B:B,"952-222000-100")</f>
        <v>0</v>
      </c>
      <c r="AO88">
        <f>sumifs(生产物料推移表!ao:ao,生产物料推移表!L:L,"计划生产",生产物料推移表!B:B,"952-222000-100")</f>
        <v>0</v>
      </c>
      <c r="AP88">
        <f>sumifs(生产物料推移表!ap:ap,生产物料推移表!L:L,"计划生产",生产物料推移表!B:B,"952-222000-100")</f>
        <v>0</v>
      </c>
      <c r="AQ88">
        <f>sumifs(生产物料推移表!aq:aq,生产物料推移表!L:L,"计划生产",生产物料推移表!B:B,"952-222000-100")</f>
        <v>0</v>
      </c>
      <c r="AR88">
        <f>sumifs(生产物料推移表!ar:ar,生产物料推移表!L:L,"计划生产",生产物料推移表!B:B,"952-222000-100")</f>
        <v>0</v>
      </c>
      <c r="BY88">
        <f>sum(j88:an88)</f>
        <v>0</v>
      </c>
    </row>
    <row r="89" spans="1:77">
      <c r="A89" t="s">
        <v>14</v>
      </c>
      <c r="B89" t="s">
        <v>455</v>
      </c>
      <c r="C89" t="s">
        <v>456</v>
      </c>
      <c r="E89">
        <v>1</v>
      </c>
      <c r="F89" t="s">
        <v>457</v>
      </c>
      <c r="K89" t="s">
        <v>437</v>
      </c>
      <c r="L89" t="s">
        <v>37</v>
      </c>
      <c r="M89">
        <f>sumifs(生产物料推移表!m:m,生产物料推移表!L:L,"计划生产",生产物料推移表!B:B,"952-222000-200")</f>
        <v>0</v>
      </c>
      <c r="N89">
        <f>sumifs(生产物料推移表!n:n,生产物料推移表!L:L,"计划生产",生产物料推移表!B:B,"952-222000-200")</f>
        <v>0</v>
      </c>
      <c r="O89">
        <f>sumifs(生产物料推移表!o:o,生产物料推移表!L:L,"计划生产",生产物料推移表!B:B,"952-222000-200")</f>
        <v>0</v>
      </c>
      <c r="P89">
        <f>sumifs(生产物料推移表!p:p,生产物料推移表!L:L,"计划生产",生产物料推移表!B:B,"952-222000-200")</f>
        <v>0</v>
      </c>
      <c r="Q89">
        <f>sumifs(生产物料推移表!q:q,生产物料推移表!L:L,"计划生产",生产物料推移表!B:B,"952-222000-200")</f>
        <v>0</v>
      </c>
      <c r="R89">
        <f>sumifs(生产物料推移表!r:r,生产物料推移表!L:L,"计划生产",生产物料推移表!B:B,"952-222000-200")</f>
        <v>0</v>
      </c>
      <c r="S89">
        <f>sumifs(生产物料推移表!s:s,生产物料推移表!L:L,"计划生产",生产物料推移表!B:B,"952-222000-200")</f>
        <v>0</v>
      </c>
      <c r="T89">
        <f>sumifs(生产物料推移表!t:t,生产物料推移表!L:L,"计划生产",生产物料推移表!B:B,"952-222000-200")</f>
        <v>0</v>
      </c>
      <c r="U89">
        <f>sumifs(生产物料推移表!u:u,生产物料推移表!L:L,"计划生产",生产物料推移表!B:B,"952-222000-200")</f>
        <v>0</v>
      </c>
      <c r="V89">
        <f>sumifs(生产物料推移表!v:v,生产物料推移表!L:L,"计划生产",生产物料推移表!B:B,"952-222000-200")</f>
        <v>0</v>
      </c>
      <c r="W89">
        <f>sumifs(生产物料推移表!w:w,生产物料推移表!L:L,"计划生产",生产物料推移表!B:B,"952-222000-200")</f>
        <v>0</v>
      </c>
      <c r="X89">
        <f>sumifs(生产物料推移表!x:x,生产物料推移表!L:L,"计划生产",生产物料推移表!B:B,"952-222000-200")</f>
        <v>0</v>
      </c>
      <c r="Y89">
        <f>sumifs(生产物料推移表!y:y,生产物料推移表!L:L,"计划生产",生产物料推移表!B:B,"952-222000-200")</f>
        <v>0</v>
      </c>
      <c r="Z89">
        <f>sumifs(生产物料推移表!z:z,生产物料推移表!L:L,"计划生产",生产物料推移表!B:B,"952-222000-200")</f>
        <v>0</v>
      </c>
      <c r="AA89">
        <f>sumifs(生产物料推移表!aa:aa,生产物料推移表!L:L,"计划生产",生产物料推移表!B:B,"952-222000-200")</f>
        <v>0</v>
      </c>
      <c r="AB89">
        <f>sumifs(生产物料推移表!ab:ab,生产物料推移表!L:L,"计划生产",生产物料推移表!B:B,"952-222000-200")</f>
        <v>0</v>
      </c>
      <c r="AC89">
        <f>sumifs(生产物料推移表!ac:ac,生产物料推移表!L:L,"计划生产",生产物料推移表!B:B,"952-222000-200")</f>
        <v>0</v>
      </c>
      <c r="AD89">
        <f>sumifs(生产物料推移表!ad:ad,生产物料推移表!L:L,"计划生产",生产物料推移表!B:B,"952-222000-200")</f>
        <v>0</v>
      </c>
      <c r="AE89">
        <f>sumifs(生产物料推移表!ae:ae,生产物料推移表!L:L,"计划生产",生产物料推移表!B:B,"952-222000-200")</f>
        <v>0</v>
      </c>
      <c r="AF89">
        <f>sumifs(生产物料推移表!af:af,生产物料推移表!L:L,"计划生产",生产物料推移表!B:B,"952-222000-200")</f>
        <v>0</v>
      </c>
      <c r="AG89">
        <f>sumifs(生产物料推移表!ag:ag,生产物料推移表!L:L,"计划生产",生产物料推移表!B:B,"952-222000-200")</f>
        <v>0</v>
      </c>
      <c r="AH89">
        <f>sumifs(生产物料推移表!ah:ah,生产物料推移表!L:L,"计划生产",生产物料推移表!B:B,"952-222000-200")</f>
        <v>0</v>
      </c>
      <c r="AI89">
        <f>sumifs(生产物料推移表!ai:ai,生产物料推移表!L:L,"计划生产",生产物料推移表!B:B,"952-222000-200")</f>
        <v>0</v>
      </c>
      <c r="AJ89">
        <f>sumifs(生产物料推移表!aj:aj,生产物料推移表!L:L,"计划生产",生产物料推移表!B:B,"952-222000-200")</f>
        <v>0</v>
      </c>
      <c r="AK89">
        <f>sumifs(生产物料推移表!ak:ak,生产物料推移表!L:L,"计划生产",生产物料推移表!B:B,"952-222000-200")</f>
        <v>0</v>
      </c>
      <c r="AL89">
        <f>sumifs(生产物料推移表!al:al,生产物料推移表!L:L,"计划生产",生产物料推移表!B:B,"952-222000-200")</f>
        <v>0</v>
      </c>
      <c r="AM89">
        <f>sumifs(生产物料推移表!am:am,生产物料推移表!L:L,"计划生产",生产物料推移表!B:B,"952-222000-200")</f>
        <v>0</v>
      </c>
      <c r="AN89">
        <f>sumifs(生产物料推移表!an:an,生产物料推移表!L:L,"计划生产",生产物料推移表!B:B,"952-222000-200")</f>
        <v>0</v>
      </c>
      <c r="AO89">
        <f>sumifs(生产物料推移表!ao:ao,生产物料推移表!L:L,"计划生产",生产物料推移表!B:B,"952-222000-200")</f>
        <v>0</v>
      </c>
      <c r="AP89">
        <f>sumifs(生产物料推移表!ap:ap,生产物料推移表!L:L,"计划生产",生产物料推移表!B:B,"952-222000-200")</f>
        <v>0</v>
      </c>
      <c r="AQ89">
        <f>sumifs(生产物料推移表!aq:aq,生产物料推移表!L:L,"计划生产",生产物料推移表!B:B,"952-222000-200")</f>
        <v>0</v>
      </c>
      <c r="AR89">
        <f>sumifs(生产物料推移表!ar:ar,生产物料推移表!L:L,"计划生产",生产物料推移表!B:B,"952-222000-200")</f>
        <v>0</v>
      </c>
      <c r="BY89">
        <f>sum(j89:an89)</f>
        <v>0</v>
      </c>
    </row>
    <row r="90" spans="1:77">
      <c r="A90" t="s">
        <v>14</v>
      </c>
      <c r="B90" t="s">
        <v>464</v>
      </c>
      <c r="C90" t="s">
        <v>465</v>
      </c>
      <c r="E90" t="s">
        <v>444</v>
      </c>
      <c r="F90" t="s">
        <v>466</v>
      </c>
      <c r="K90" t="s">
        <v>437</v>
      </c>
      <c r="L90" t="s">
        <v>37</v>
      </c>
      <c r="M90">
        <f>sumifs(生产物料推移表!m:m,生产物料推移表!L:L,"计划生产",生产物料推移表!B:B,"952-220000-100")</f>
        <v>0</v>
      </c>
      <c r="N90">
        <f>sumifs(生产物料推移表!n:n,生产物料推移表!L:L,"计划生产",生产物料推移表!B:B,"952-220000-100")</f>
        <v>0</v>
      </c>
      <c r="O90">
        <f>sumifs(生产物料推移表!o:o,生产物料推移表!L:L,"计划生产",生产物料推移表!B:B,"952-220000-100")</f>
        <v>0</v>
      </c>
      <c r="P90">
        <f>sumifs(生产物料推移表!p:p,生产物料推移表!L:L,"计划生产",生产物料推移表!B:B,"952-220000-100")</f>
        <v>0</v>
      </c>
      <c r="Q90">
        <f>sumifs(生产物料推移表!q:q,生产物料推移表!L:L,"计划生产",生产物料推移表!B:B,"952-220000-100")</f>
        <v>0</v>
      </c>
      <c r="R90">
        <f>sumifs(生产物料推移表!r:r,生产物料推移表!L:L,"计划生产",生产物料推移表!B:B,"952-220000-100")</f>
        <v>0</v>
      </c>
      <c r="S90">
        <f>sumifs(生产物料推移表!s:s,生产物料推移表!L:L,"计划生产",生产物料推移表!B:B,"952-220000-100")</f>
        <v>0</v>
      </c>
      <c r="T90">
        <f>sumifs(生产物料推移表!t:t,生产物料推移表!L:L,"计划生产",生产物料推移表!B:B,"952-220000-100")</f>
        <v>0</v>
      </c>
      <c r="U90">
        <f>sumifs(生产物料推移表!u:u,生产物料推移表!L:L,"计划生产",生产物料推移表!B:B,"952-220000-100")</f>
        <v>0</v>
      </c>
      <c r="V90">
        <f>sumifs(生产物料推移表!v:v,生产物料推移表!L:L,"计划生产",生产物料推移表!B:B,"952-220000-100")</f>
        <v>0</v>
      </c>
      <c r="W90">
        <f>sumifs(生产物料推移表!w:w,生产物料推移表!L:L,"计划生产",生产物料推移表!B:B,"952-220000-100")</f>
        <v>0</v>
      </c>
      <c r="X90">
        <f>sumifs(生产物料推移表!x:x,生产物料推移表!L:L,"计划生产",生产物料推移表!B:B,"952-220000-100")</f>
        <v>0</v>
      </c>
      <c r="Y90">
        <f>sumifs(生产物料推移表!y:y,生产物料推移表!L:L,"计划生产",生产物料推移表!B:B,"952-220000-100")</f>
        <v>0</v>
      </c>
      <c r="Z90">
        <f>sumifs(生产物料推移表!z:z,生产物料推移表!L:L,"计划生产",生产物料推移表!B:B,"952-220000-100")</f>
        <v>0</v>
      </c>
      <c r="AA90">
        <f>sumifs(生产物料推移表!aa:aa,生产物料推移表!L:L,"计划生产",生产物料推移表!B:B,"952-220000-100")</f>
        <v>0</v>
      </c>
      <c r="AB90">
        <f>sumifs(生产物料推移表!ab:ab,生产物料推移表!L:L,"计划生产",生产物料推移表!B:B,"952-220000-100")</f>
        <v>0</v>
      </c>
      <c r="AC90">
        <f>sumifs(生产物料推移表!ac:ac,生产物料推移表!L:L,"计划生产",生产物料推移表!B:B,"952-220000-100")</f>
        <v>0</v>
      </c>
      <c r="AD90">
        <f>sumifs(生产物料推移表!ad:ad,生产物料推移表!L:L,"计划生产",生产物料推移表!B:B,"952-220000-100")</f>
        <v>0</v>
      </c>
      <c r="AE90">
        <f>sumifs(生产物料推移表!ae:ae,生产物料推移表!L:L,"计划生产",生产物料推移表!B:B,"952-220000-100")</f>
        <v>0</v>
      </c>
      <c r="AF90">
        <f>sumifs(生产物料推移表!af:af,生产物料推移表!L:L,"计划生产",生产物料推移表!B:B,"952-220000-100")</f>
        <v>0</v>
      </c>
      <c r="AG90">
        <f>sumifs(生产物料推移表!ag:ag,生产物料推移表!L:L,"计划生产",生产物料推移表!B:B,"952-220000-100")</f>
        <v>0</v>
      </c>
      <c r="AH90">
        <f>sumifs(生产物料推移表!ah:ah,生产物料推移表!L:L,"计划生产",生产物料推移表!B:B,"952-220000-100")</f>
        <v>0</v>
      </c>
      <c r="AI90">
        <f>sumifs(生产物料推移表!ai:ai,生产物料推移表!L:L,"计划生产",生产物料推移表!B:B,"952-220000-100")</f>
        <v>0</v>
      </c>
      <c r="AJ90">
        <f>sumifs(生产物料推移表!aj:aj,生产物料推移表!L:L,"计划生产",生产物料推移表!B:B,"952-220000-100")</f>
        <v>0</v>
      </c>
      <c r="AK90">
        <f>sumifs(生产物料推移表!ak:ak,生产物料推移表!L:L,"计划生产",生产物料推移表!B:B,"952-220000-100")</f>
        <v>0</v>
      </c>
      <c r="AL90">
        <f>sumifs(生产物料推移表!al:al,生产物料推移表!L:L,"计划生产",生产物料推移表!B:B,"952-220000-100")</f>
        <v>0</v>
      </c>
      <c r="AM90">
        <f>sumifs(生产物料推移表!am:am,生产物料推移表!L:L,"计划生产",生产物料推移表!B:B,"952-220000-100")</f>
        <v>0</v>
      </c>
      <c r="AN90">
        <f>sumifs(生产物料推移表!an:an,生产物料推移表!L:L,"计划生产",生产物料推移表!B:B,"952-220000-100")</f>
        <v>0</v>
      </c>
      <c r="AO90">
        <f>sumifs(生产物料推移表!ao:ao,生产物料推移表!L:L,"计划生产",生产物料推移表!B:B,"952-220000-100")</f>
        <v>0</v>
      </c>
      <c r="AP90">
        <f>sumifs(生产物料推移表!ap:ap,生产物料推移表!L:L,"计划生产",生产物料推移表!B:B,"952-220000-100")</f>
        <v>0</v>
      </c>
      <c r="AQ90">
        <f>sumifs(生产物料推移表!aq:aq,生产物料推移表!L:L,"计划生产",生产物料推移表!B:B,"952-220000-100")</f>
        <v>0</v>
      </c>
      <c r="AR90">
        <f>sumifs(生产物料推移表!ar:ar,生产物料推移表!L:L,"计划生产",生产物料推移表!B:B,"952-220000-100")</f>
        <v>0</v>
      </c>
      <c r="BY90">
        <f>sum(j90:an90)</f>
        <v>0</v>
      </c>
    </row>
    <row r="91" spans="1:77">
      <c r="A91" t="s">
        <v>14</v>
      </c>
      <c r="B91" t="s">
        <v>475</v>
      </c>
      <c r="C91" t="s">
        <v>476</v>
      </c>
      <c r="F91" t="s">
        <v>477</v>
      </c>
      <c r="K91" t="s">
        <v>437</v>
      </c>
      <c r="L91" t="s">
        <v>37</v>
      </c>
      <c r="M91">
        <f>sumifs(生产物料推移表!m:m,生产物料推移表!L:L,"计划生产",生产物料推移表!B:B,"952-211000-100")</f>
        <v>0</v>
      </c>
      <c r="N91">
        <f>sumifs(生产物料推移表!n:n,生产物料推移表!L:L,"计划生产",生产物料推移表!B:B,"952-211000-100")</f>
        <v>0</v>
      </c>
      <c r="O91">
        <f>sumifs(生产物料推移表!o:o,生产物料推移表!L:L,"计划生产",生产物料推移表!B:B,"952-211000-100")</f>
        <v>0</v>
      </c>
      <c r="P91">
        <f>sumifs(生产物料推移表!p:p,生产物料推移表!L:L,"计划生产",生产物料推移表!B:B,"952-211000-100")</f>
        <v>0</v>
      </c>
      <c r="Q91">
        <f>sumifs(生产物料推移表!q:q,生产物料推移表!L:L,"计划生产",生产物料推移表!B:B,"952-211000-100")</f>
        <v>0</v>
      </c>
      <c r="R91">
        <f>sumifs(生产物料推移表!r:r,生产物料推移表!L:L,"计划生产",生产物料推移表!B:B,"952-211000-100")</f>
        <v>0</v>
      </c>
      <c r="S91">
        <f>sumifs(生产物料推移表!s:s,生产物料推移表!L:L,"计划生产",生产物料推移表!B:B,"952-211000-100")</f>
        <v>0</v>
      </c>
      <c r="T91">
        <f>sumifs(生产物料推移表!t:t,生产物料推移表!L:L,"计划生产",生产物料推移表!B:B,"952-211000-100")</f>
        <v>0</v>
      </c>
      <c r="U91">
        <f>sumifs(生产物料推移表!u:u,生产物料推移表!L:L,"计划生产",生产物料推移表!B:B,"952-211000-100")</f>
        <v>0</v>
      </c>
      <c r="V91">
        <f>sumifs(生产物料推移表!v:v,生产物料推移表!L:L,"计划生产",生产物料推移表!B:B,"952-211000-100")</f>
        <v>0</v>
      </c>
      <c r="W91">
        <f>sumifs(生产物料推移表!w:w,生产物料推移表!L:L,"计划生产",生产物料推移表!B:B,"952-211000-100")</f>
        <v>0</v>
      </c>
      <c r="X91">
        <f>sumifs(生产物料推移表!x:x,生产物料推移表!L:L,"计划生产",生产物料推移表!B:B,"952-211000-100")</f>
        <v>0</v>
      </c>
      <c r="Y91">
        <f>sumifs(生产物料推移表!y:y,生产物料推移表!L:L,"计划生产",生产物料推移表!B:B,"952-211000-100")</f>
        <v>0</v>
      </c>
      <c r="Z91">
        <f>sumifs(生产物料推移表!z:z,生产物料推移表!L:L,"计划生产",生产物料推移表!B:B,"952-211000-100")</f>
        <v>0</v>
      </c>
      <c r="AA91">
        <f>sumifs(生产物料推移表!aa:aa,生产物料推移表!L:L,"计划生产",生产物料推移表!B:B,"952-211000-100")</f>
        <v>0</v>
      </c>
      <c r="AB91">
        <f>sumifs(生产物料推移表!ab:ab,生产物料推移表!L:L,"计划生产",生产物料推移表!B:B,"952-211000-100")</f>
        <v>0</v>
      </c>
      <c r="AC91">
        <f>sumifs(生产物料推移表!ac:ac,生产物料推移表!L:L,"计划生产",生产物料推移表!B:B,"952-211000-100")</f>
        <v>0</v>
      </c>
      <c r="AD91">
        <f>sumifs(生产物料推移表!ad:ad,生产物料推移表!L:L,"计划生产",生产物料推移表!B:B,"952-211000-100")</f>
        <v>0</v>
      </c>
      <c r="AE91">
        <f>sumifs(生产物料推移表!ae:ae,生产物料推移表!L:L,"计划生产",生产物料推移表!B:B,"952-211000-100")</f>
        <v>0</v>
      </c>
      <c r="AF91">
        <f>sumifs(生产物料推移表!af:af,生产物料推移表!L:L,"计划生产",生产物料推移表!B:B,"952-211000-100")</f>
        <v>0</v>
      </c>
      <c r="AG91">
        <f>sumifs(生产物料推移表!ag:ag,生产物料推移表!L:L,"计划生产",生产物料推移表!B:B,"952-211000-100")</f>
        <v>0</v>
      </c>
      <c r="AH91">
        <f>sumifs(生产物料推移表!ah:ah,生产物料推移表!L:L,"计划生产",生产物料推移表!B:B,"952-211000-100")</f>
        <v>0</v>
      </c>
      <c r="AI91">
        <f>sumifs(生产物料推移表!ai:ai,生产物料推移表!L:L,"计划生产",生产物料推移表!B:B,"952-211000-100")</f>
        <v>0</v>
      </c>
      <c r="AJ91">
        <f>sumifs(生产物料推移表!aj:aj,生产物料推移表!L:L,"计划生产",生产物料推移表!B:B,"952-211000-100")</f>
        <v>0</v>
      </c>
      <c r="AK91">
        <f>sumifs(生产物料推移表!ak:ak,生产物料推移表!L:L,"计划生产",生产物料推移表!B:B,"952-211000-100")</f>
        <v>0</v>
      </c>
      <c r="AL91">
        <f>sumifs(生产物料推移表!al:al,生产物料推移表!L:L,"计划生产",生产物料推移表!B:B,"952-211000-100")</f>
        <v>0</v>
      </c>
      <c r="AM91">
        <f>sumifs(生产物料推移表!am:am,生产物料推移表!L:L,"计划生产",生产物料推移表!B:B,"952-211000-100")</f>
        <v>0</v>
      </c>
      <c r="AN91">
        <f>sumifs(生产物料推移表!an:an,生产物料推移表!L:L,"计划生产",生产物料推移表!B:B,"952-211000-100")</f>
        <v>0</v>
      </c>
      <c r="AO91">
        <f>sumifs(生产物料推移表!ao:ao,生产物料推移表!L:L,"计划生产",生产物料推移表!B:B,"952-211000-100")</f>
        <v>0</v>
      </c>
      <c r="AP91">
        <f>sumifs(生产物料推移表!ap:ap,生产物料推移表!L:L,"计划生产",生产物料推移表!B:B,"952-211000-100")</f>
        <v>0</v>
      </c>
      <c r="AQ91">
        <f>sumifs(生产物料推移表!aq:aq,生产物料推移表!L:L,"计划生产",生产物料推移表!B:B,"952-211000-100")</f>
        <v>0</v>
      </c>
      <c r="AR91">
        <f>sumifs(生产物料推移表!ar:ar,生产物料推移表!L:L,"计划生产",生产物料推移表!B:B,"952-211000-100")</f>
        <v>0</v>
      </c>
      <c r="BY91">
        <f>sum(j91:an91)</f>
        <v>0</v>
      </c>
    </row>
    <row r="92" spans="1:77">
      <c r="A92" t="s">
        <v>14</v>
      </c>
      <c r="B92" t="s">
        <v>485</v>
      </c>
      <c r="C92" t="s">
        <v>486</v>
      </c>
      <c r="D92" t="s">
        <v>452</v>
      </c>
      <c r="E92" t="s">
        <v>444</v>
      </c>
      <c r="F92" t="s">
        <v>487</v>
      </c>
      <c r="K92" t="s">
        <v>437</v>
      </c>
      <c r="L92" t="s">
        <v>37</v>
      </c>
      <c r="M92">
        <f>sumifs(生产物料推移表!m:m,生产物料推移表!L:L,"计划生产",生产物料推移表!B:B,"952-227000-100")</f>
        <v>0</v>
      </c>
      <c r="N92">
        <f>sumifs(生产物料推移表!n:n,生产物料推移表!L:L,"计划生产",生产物料推移表!B:B,"952-227000-100")</f>
        <v>0</v>
      </c>
      <c r="O92">
        <f>sumifs(生产物料推移表!o:o,生产物料推移表!L:L,"计划生产",生产物料推移表!B:B,"952-227000-100")</f>
        <v>0</v>
      </c>
      <c r="P92">
        <f>sumifs(生产物料推移表!p:p,生产物料推移表!L:L,"计划生产",生产物料推移表!B:B,"952-227000-100")</f>
        <v>0</v>
      </c>
      <c r="Q92">
        <f>sumifs(生产物料推移表!q:q,生产物料推移表!L:L,"计划生产",生产物料推移表!B:B,"952-227000-100")</f>
        <v>0</v>
      </c>
      <c r="R92">
        <f>sumifs(生产物料推移表!r:r,生产物料推移表!L:L,"计划生产",生产物料推移表!B:B,"952-227000-100")</f>
        <v>0</v>
      </c>
      <c r="S92">
        <f>sumifs(生产物料推移表!s:s,生产物料推移表!L:L,"计划生产",生产物料推移表!B:B,"952-227000-100")</f>
        <v>0</v>
      </c>
      <c r="T92">
        <f>sumifs(生产物料推移表!t:t,生产物料推移表!L:L,"计划生产",生产物料推移表!B:B,"952-227000-100")</f>
        <v>0</v>
      </c>
      <c r="U92">
        <f>sumifs(生产物料推移表!u:u,生产物料推移表!L:L,"计划生产",生产物料推移表!B:B,"952-227000-100")</f>
        <v>0</v>
      </c>
      <c r="V92">
        <f>sumifs(生产物料推移表!v:v,生产物料推移表!L:L,"计划生产",生产物料推移表!B:B,"952-227000-100")</f>
        <v>0</v>
      </c>
      <c r="W92">
        <f>sumifs(生产物料推移表!w:w,生产物料推移表!L:L,"计划生产",生产物料推移表!B:B,"952-227000-100")</f>
        <v>0</v>
      </c>
      <c r="X92">
        <f>sumifs(生产物料推移表!x:x,生产物料推移表!L:L,"计划生产",生产物料推移表!B:B,"952-227000-100")</f>
        <v>0</v>
      </c>
      <c r="Y92">
        <f>sumifs(生产物料推移表!y:y,生产物料推移表!L:L,"计划生产",生产物料推移表!B:B,"952-227000-100")</f>
        <v>0</v>
      </c>
      <c r="Z92">
        <f>sumifs(生产物料推移表!z:z,生产物料推移表!L:L,"计划生产",生产物料推移表!B:B,"952-227000-100")</f>
        <v>0</v>
      </c>
      <c r="AA92">
        <f>sumifs(生产物料推移表!aa:aa,生产物料推移表!L:L,"计划生产",生产物料推移表!B:B,"952-227000-100")</f>
        <v>0</v>
      </c>
      <c r="AB92">
        <f>sumifs(生产物料推移表!ab:ab,生产物料推移表!L:L,"计划生产",生产物料推移表!B:B,"952-227000-100")</f>
        <v>0</v>
      </c>
      <c r="AC92">
        <f>sumifs(生产物料推移表!ac:ac,生产物料推移表!L:L,"计划生产",生产物料推移表!B:B,"952-227000-100")</f>
        <v>0</v>
      </c>
      <c r="AD92">
        <f>sumifs(生产物料推移表!ad:ad,生产物料推移表!L:L,"计划生产",生产物料推移表!B:B,"952-227000-100")</f>
        <v>0</v>
      </c>
      <c r="AE92">
        <f>sumifs(生产物料推移表!ae:ae,生产物料推移表!L:L,"计划生产",生产物料推移表!B:B,"952-227000-100")</f>
        <v>0</v>
      </c>
      <c r="AF92">
        <f>sumifs(生产物料推移表!af:af,生产物料推移表!L:L,"计划生产",生产物料推移表!B:B,"952-227000-100")</f>
        <v>0</v>
      </c>
      <c r="AG92">
        <f>sumifs(生产物料推移表!ag:ag,生产物料推移表!L:L,"计划生产",生产物料推移表!B:B,"952-227000-100")</f>
        <v>0</v>
      </c>
      <c r="AH92">
        <f>sumifs(生产物料推移表!ah:ah,生产物料推移表!L:L,"计划生产",生产物料推移表!B:B,"952-227000-100")</f>
        <v>0</v>
      </c>
      <c r="AI92">
        <f>sumifs(生产物料推移表!ai:ai,生产物料推移表!L:L,"计划生产",生产物料推移表!B:B,"952-227000-100")</f>
        <v>0</v>
      </c>
      <c r="AJ92">
        <f>sumifs(生产物料推移表!aj:aj,生产物料推移表!L:L,"计划生产",生产物料推移表!B:B,"952-227000-100")</f>
        <v>0</v>
      </c>
      <c r="AK92">
        <f>sumifs(生产物料推移表!ak:ak,生产物料推移表!L:L,"计划生产",生产物料推移表!B:B,"952-227000-100")</f>
        <v>0</v>
      </c>
      <c r="AL92">
        <f>sumifs(生产物料推移表!al:al,生产物料推移表!L:L,"计划生产",生产物料推移表!B:B,"952-227000-100")</f>
        <v>0</v>
      </c>
      <c r="AM92">
        <f>sumifs(生产物料推移表!am:am,生产物料推移表!L:L,"计划生产",生产物料推移表!B:B,"952-227000-100")</f>
        <v>0</v>
      </c>
      <c r="AN92">
        <f>sumifs(生产物料推移表!an:an,生产物料推移表!L:L,"计划生产",生产物料推移表!B:B,"952-227000-100")</f>
        <v>0</v>
      </c>
      <c r="AO92">
        <f>sumifs(生产物料推移表!ao:ao,生产物料推移表!L:L,"计划生产",生产物料推移表!B:B,"952-227000-100")</f>
        <v>0</v>
      </c>
      <c r="AP92">
        <f>sumifs(生产物料推移表!ap:ap,生产物料推移表!L:L,"计划生产",生产物料推移表!B:B,"952-227000-100")</f>
        <v>0</v>
      </c>
      <c r="AQ92">
        <f>sumifs(生产物料推移表!aq:aq,生产物料推移表!L:L,"计划生产",生产物料推移表!B:B,"952-227000-100")</f>
        <v>0</v>
      </c>
      <c r="AR92">
        <f>sumifs(生产物料推移表!ar:ar,生产物料推移表!L:L,"计划生产",生产物料推移表!B:B,"952-227000-100")</f>
        <v>0</v>
      </c>
      <c r="BY92">
        <f>sum(j92:an92)</f>
        <v>0</v>
      </c>
    </row>
    <row r="93" spans="1:77">
      <c r="A93" t="s">
        <v>14</v>
      </c>
      <c r="B93" t="s">
        <v>488</v>
      </c>
      <c r="C93" t="s">
        <v>489</v>
      </c>
      <c r="E93" t="s">
        <v>444</v>
      </c>
      <c r="F93" t="s">
        <v>490</v>
      </c>
      <c r="K93" t="s">
        <v>437</v>
      </c>
      <c r="L93" t="s">
        <v>37</v>
      </c>
      <c r="M93">
        <f>sumifs(生产物料推移表!m:m,生产物料推移表!L:L,"计划生产",生产物料推移表!B:B,"952-220000-200")</f>
        <v>0</v>
      </c>
      <c r="N93">
        <f>sumifs(生产物料推移表!n:n,生产物料推移表!L:L,"计划生产",生产物料推移表!B:B,"952-220000-200")</f>
        <v>0</v>
      </c>
      <c r="O93">
        <f>sumifs(生产物料推移表!o:o,生产物料推移表!L:L,"计划生产",生产物料推移表!B:B,"952-220000-200")</f>
        <v>0</v>
      </c>
      <c r="P93">
        <f>sumifs(生产物料推移表!p:p,生产物料推移表!L:L,"计划生产",生产物料推移表!B:B,"952-220000-200")</f>
        <v>0</v>
      </c>
      <c r="Q93">
        <f>sumifs(生产物料推移表!q:q,生产物料推移表!L:L,"计划生产",生产物料推移表!B:B,"952-220000-200")</f>
        <v>0</v>
      </c>
      <c r="R93">
        <f>sumifs(生产物料推移表!r:r,生产物料推移表!L:L,"计划生产",生产物料推移表!B:B,"952-220000-200")</f>
        <v>0</v>
      </c>
      <c r="S93">
        <f>sumifs(生产物料推移表!s:s,生产物料推移表!L:L,"计划生产",生产物料推移表!B:B,"952-220000-200")</f>
        <v>0</v>
      </c>
      <c r="T93">
        <f>sumifs(生产物料推移表!t:t,生产物料推移表!L:L,"计划生产",生产物料推移表!B:B,"952-220000-200")</f>
        <v>0</v>
      </c>
      <c r="U93">
        <f>sumifs(生产物料推移表!u:u,生产物料推移表!L:L,"计划生产",生产物料推移表!B:B,"952-220000-200")</f>
        <v>0</v>
      </c>
      <c r="V93">
        <f>sumifs(生产物料推移表!v:v,生产物料推移表!L:L,"计划生产",生产物料推移表!B:B,"952-220000-200")</f>
        <v>0</v>
      </c>
      <c r="W93">
        <f>sumifs(生产物料推移表!w:w,生产物料推移表!L:L,"计划生产",生产物料推移表!B:B,"952-220000-200")</f>
        <v>0</v>
      </c>
      <c r="X93">
        <f>sumifs(生产物料推移表!x:x,生产物料推移表!L:L,"计划生产",生产物料推移表!B:B,"952-220000-200")</f>
        <v>0</v>
      </c>
      <c r="Y93">
        <f>sumifs(生产物料推移表!y:y,生产物料推移表!L:L,"计划生产",生产物料推移表!B:B,"952-220000-200")</f>
        <v>0</v>
      </c>
      <c r="Z93">
        <f>sumifs(生产物料推移表!z:z,生产物料推移表!L:L,"计划生产",生产物料推移表!B:B,"952-220000-200")</f>
        <v>0</v>
      </c>
      <c r="AA93">
        <f>sumifs(生产物料推移表!aa:aa,生产物料推移表!L:L,"计划生产",生产物料推移表!B:B,"952-220000-200")</f>
        <v>0</v>
      </c>
      <c r="AB93">
        <f>sumifs(生产物料推移表!ab:ab,生产物料推移表!L:L,"计划生产",生产物料推移表!B:B,"952-220000-200")</f>
        <v>0</v>
      </c>
      <c r="AC93">
        <f>sumifs(生产物料推移表!ac:ac,生产物料推移表!L:L,"计划生产",生产物料推移表!B:B,"952-220000-200")</f>
        <v>0</v>
      </c>
      <c r="AD93">
        <f>sumifs(生产物料推移表!ad:ad,生产物料推移表!L:L,"计划生产",生产物料推移表!B:B,"952-220000-200")</f>
        <v>0</v>
      </c>
      <c r="AE93">
        <f>sumifs(生产物料推移表!ae:ae,生产物料推移表!L:L,"计划生产",生产物料推移表!B:B,"952-220000-200")</f>
        <v>0</v>
      </c>
      <c r="AF93">
        <f>sumifs(生产物料推移表!af:af,生产物料推移表!L:L,"计划生产",生产物料推移表!B:B,"952-220000-200")</f>
        <v>0</v>
      </c>
      <c r="AG93">
        <f>sumifs(生产物料推移表!ag:ag,生产物料推移表!L:L,"计划生产",生产物料推移表!B:B,"952-220000-200")</f>
        <v>0</v>
      </c>
      <c r="AH93">
        <f>sumifs(生产物料推移表!ah:ah,生产物料推移表!L:L,"计划生产",生产物料推移表!B:B,"952-220000-200")</f>
        <v>0</v>
      </c>
      <c r="AI93">
        <f>sumifs(生产物料推移表!ai:ai,生产物料推移表!L:L,"计划生产",生产物料推移表!B:B,"952-220000-200")</f>
        <v>0</v>
      </c>
      <c r="AJ93">
        <f>sumifs(生产物料推移表!aj:aj,生产物料推移表!L:L,"计划生产",生产物料推移表!B:B,"952-220000-200")</f>
        <v>0</v>
      </c>
      <c r="AK93">
        <f>sumifs(生产物料推移表!ak:ak,生产物料推移表!L:L,"计划生产",生产物料推移表!B:B,"952-220000-200")</f>
        <v>0</v>
      </c>
      <c r="AL93">
        <f>sumifs(生产物料推移表!al:al,生产物料推移表!L:L,"计划生产",生产物料推移表!B:B,"952-220000-200")</f>
        <v>0</v>
      </c>
      <c r="AM93">
        <f>sumifs(生产物料推移表!am:am,生产物料推移表!L:L,"计划生产",生产物料推移表!B:B,"952-220000-200")</f>
        <v>0</v>
      </c>
      <c r="AN93">
        <f>sumifs(生产物料推移表!an:an,生产物料推移表!L:L,"计划生产",生产物料推移表!B:B,"952-220000-200")</f>
        <v>0</v>
      </c>
      <c r="AO93">
        <f>sumifs(生产物料推移表!ao:ao,生产物料推移表!L:L,"计划生产",生产物料推移表!B:B,"952-220000-200")</f>
        <v>0</v>
      </c>
      <c r="AP93">
        <f>sumifs(生产物料推移表!ap:ap,生产物料推移表!L:L,"计划生产",生产物料推移表!B:B,"952-220000-200")</f>
        <v>0</v>
      </c>
      <c r="AQ93">
        <f>sumifs(生产物料推移表!aq:aq,生产物料推移表!L:L,"计划生产",生产物料推移表!B:B,"952-220000-200")</f>
        <v>0</v>
      </c>
      <c r="AR93">
        <f>sumifs(生产物料推移表!ar:ar,生产物料推移表!L:L,"计划生产",生产物料推移表!B:B,"952-220000-200")</f>
        <v>0</v>
      </c>
      <c r="BY93">
        <f>sum(j93:an93)</f>
        <v>0</v>
      </c>
    </row>
    <row r="94" spans="1:77">
      <c r="A94" t="s">
        <v>14</v>
      </c>
      <c r="B94" t="s">
        <v>491</v>
      </c>
      <c r="C94" t="s">
        <v>492</v>
      </c>
      <c r="E94" t="s">
        <v>444</v>
      </c>
      <c r="F94" t="s">
        <v>493</v>
      </c>
      <c r="K94" t="s">
        <v>437</v>
      </c>
      <c r="L94" t="s">
        <v>37</v>
      </c>
      <c r="M94">
        <f>sumifs(生产物料推移表!m:m,生产物料推移表!L:L,"计划生产",生产物料推移表!B:B,"952-225000-200")</f>
        <v>0</v>
      </c>
      <c r="N94">
        <f>sumifs(生产物料推移表!n:n,生产物料推移表!L:L,"计划生产",生产物料推移表!B:B,"952-225000-200")</f>
        <v>0</v>
      </c>
      <c r="O94">
        <f>sumifs(生产物料推移表!o:o,生产物料推移表!L:L,"计划生产",生产物料推移表!B:B,"952-225000-200")</f>
        <v>0</v>
      </c>
      <c r="P94">
        <f>sumifs(生产物料推移表!p:p,生产物料推移表!L:L,"计划生产",生产物料推移表!B:B,"952-225000-200")</f>
        <v>0</v>
      </c>
      <c r="Q94">
        <f>sumifs(生产物料推移表!q:q,生产物料推移表!L:L,"计划生产",生产物料推移表!B:B,"952-225000-200")</f>
        <v>0</v>
      </c>
      <c r="R94">
        <f>sumifs(生产物料推移表!r:r,生产物料推移表!L:L,"计划生产",生产物料推移表!B:B,"952-225000-200")</f>
        <v>0</v>
      </c>
      <c r="S94">
        <f>sumifs(生产物料推移表!s:s,生产物料推移表!L:L,"计划生产",生产物料推移表!B:B,"952-225000-200")</f>
        <v>0</v>
      </c>
      <c r="T94">
        <f>sumifs(生产物料推移表!t:t,生产物料推移表!L:L,"计划生产",生产物料推移表!B:B,"952-225000-200")</f>
        <v>0</v>
      </c>
      <c r="U94">
        <f>sumifs(生产物料推移表!u:u,生产物料推移表!L:L,"计划生产",生产物料推移表!B:B,"952-225000-200")</f>
        <v>0</v>
      </c>
      <c r="V94">
        <f>sumifs(生产物料推移表!v:v,生产物料推移表!L:L,"计划生产",生产物料推移表!B:B,"952-225000-200")</f>
        <v>0</v>
      </c>
      <c r="W94">
        <f>sumifs(生产物料推移表!w:w,生产物料推移表!L:L,"计划生产",生产物料推移表!B:B,"952-225000-200")</f>
        <v>0</v>
      </c>
      <c r="X94">
        <f>sumifs(生产物料推移表!x:x,生产物料推移表!L:L,"计划生产",生产物料推移表!B:B,"952-225000-200")</f>
        <v>0</v>
      </c>
      <c r="Y94">
        <f>sumifs(生产物料推移表!y:y,生产物料推移表!L:L,"计划生产",生产物料推移表!B:B,"952-225000-200")</f>
        <v>0</v>
      </c>
      <c r="Z94">
        <f>sumifs(生产物料推移表!z:z,生产物料推移表!L:L,"计划生产",生产物料推移表!B:B,"952-225000-200")</f>
        <v>0</v>
      </c>
      <c r="AA94">
        <f>sumifs(生产物料推移表!aa:aa,生产物料推移表!L:L,"计划生产",生产物料推移表!B:B,"952-225000-200")</f>
        <v>0</v>
      </c>
      <c r="AB94">
        <f>sumifs(生产物料推移表!ab:ab,生产物料推移表!L:L,"计划生产",生产物料推移表!B:B,"952-225000-200")</f>
        <v>0</v>
      </c>
      <c r="AC94">
        <f>sumifs(生产物料推移表!ac:ac,生产物料推移表!L:L,"计划生产",生产物料推移表!B:B,"952-225000-200")</f>
        <v>0</v>
      </c>
      <c r="AD94">
        <f>sumifs(生产物料推移表!ad:ad,生产物料推移表!L:L,"计划生产",生产物料推移表!B:B,"952-225000-200")</f>
        <v>0</v>
      </c>
      <c r="AE94">
        <f>sumifs(生产物料推移表!ae:ae,生产物料推移表!L:L,"计划生产",生产物料推移表!B:B,"952-225000-200")</f>
        <v>0</v>
      </c>
      <c r="AF94">
        <f>sumifs(生产物料推移表!af:af,生产物料推移表!L:L,"计划生产",生产物料推移表!B:B,"952-225000-200")</f>
        <v>0</v>
      </c>
      <c r="AG94">
        <f>sumifs(生产物料推移表!ag:ag,生产物料推移表!L:L,"计划生产",生产物料推移表!B:B,"952-225000-200")</f>
        <v>0</v>
      </c>
      <c r="AH94">
        <f>sumifs(生产物料推移表!ah:ah,生产物料推移表!L:L,"计划生产",生产物料推移表!B:B,"952-225000-200")</f>
        <v>0</v>
      </c>
      <c r="AI94">
        <f>sumifs(生产物料推移表!ai:ai,生产物料推移表!L:L,"计划生产",生产物料推移表!B:B,"952-225000-200")</f>
        <v>0</v>
      </c>
      <c r="AJ94">
        <f>sumifs(生产物料推移表!aj:aj,生产物料推移表!L:L,"计划生产",生产物料推移表!B:B,"952-225000-200")</f>
        <v>0</v>
      </c>
      <c r="AK94">
        <f>sumifs(生产物料推移表!ak:ak,生产物料推移表!L:L,"计划生产",生产物料推移表!B:B,"952-225000-200")</f>
        <v>0</v>
      </c>
      <c r="AL94">
        <f>sumifs(生产物料推移表!al:al,生产物料推移表!L:L,"计划生产",生产物料推移表!B:B,"952-225000-200")</f>
        <v>0</v>
      </c>
      <c r="AM94">
        <f>sumifs(生产物料推移表!am:am,生产物料推移表!L:L,"计划生产",生产物料推移表!B:B,"952-225000-200")</f>
        <v>0</v>
      </c>
      <c r="AN94">
        <f>sumifs(生产物料推移表!an:an,生产物料推移表!L:L,"计划生产",生产物料推移表!B:B,"952-225000-200")</f>
        <v>0</v>
      </c>
      <c r="AO94">
        <f>sumifs(生产物料推移表!ao:ao,生产物料推移表!L:L,"计划生产",生产物料推移表!B:B,"952-225000-200")</f>
        <v>0</v>
      </c>
      <c r="AP94">
        <f>sumifs(生产物料推移表!ap:ap,生产物料推移表!L:L,"计划生产",生产物料推移表!B:B,"952-225000-200")</f>
        <v>0</v>
      </c>
      <c r="AQ94">
        <f>sumifs(生产物料推移表!aq:aq,生产物料推移表!L:L,"计划生产",生产物料推移表!B:B,"952-225000-200")</f>
        <v>0</v>
      </c>
      <c r="AR94">
        <f>sumifs(生产物料推移表!ar:ar,生产物料推移表!L:L,"计划生产",生产物料推移表!B:B,"952-225000-200")</f>
        <v>0</v>
      </c>
      <c r="BY94">
        <f>sum(j94:an94)</f>
        <v>0</v>
      </c>
    </row>
    <row r="95" spans="1:77">
      <c r="A95" t="s">
        <v>14</v>
      </c>
      <c r="B95" t="s">
        <v>438</v>
      </c>
      <c r="C95" t="s">
        <v>441</v>
      </c>
      <c r="D95" t="s">
        <v>440</v>
      </c>
      <c r="E95">
        <v>1</v>
      </c>
      <c r="F95" t="s">
        <v>441</v>
      </c>
      <c r="K95" t="s">
        <v>497</v>
      </c>
      <c r="L95" t="s">
        <v>37</v>
      </c>
      <c r="M95">
        <f>sumifs(生产物料推移表!m:m,生产物料推移表!L:L,"计划生产",生产物料推移表!B:B,"852-221000-100")</f>
        <v>0</v>
      </c>
      <c r="N95">
        <f>sumifs(生产物料推移表!n:n,生产物料推移表!L:L,"计划生产",生产物料推移表!B:B,"852-221000-100")</f>
        <v>0</v>
      </c>
      <c r="O95">
        <f>sumifs(生产物料推移表!o:o,生产物料推移表!L:L,"计划生产",生产物料推移表!B:B,"852-221000-100")</f>
        <v>0</v>
      </c>
      <c r="P95">
        <f>sumifs(生产物料推移表!p:p,生产物料推移表!L:L,"计划生产",生产物料推移表!B:B,"852-221000-100")</f>
        <v>0</v>
      </c>
      <c r="Q95">
        <f>sumifs(生产物料推移表!q:q,生产物料推移表!L:L,"计划生产",生产物料推移表!B:B,"852-221000-100")</f>
        <v>0</v>
      </c>
      <c r="R95">
        <f>sumifs(生产物料推移表!r:r,生产物料推移表!L:L,"计划生产",生产物料推移表!B:B,"852-221000-100")</f>
        <v>0</v>
      </c>
      <c r="S95">
        <f>sumifs(生产物料推移表!s:s,生产物料推移表!L:L,"计划生产",生产物料推移表!B:B,"852-221000-100")</f>
        <v>0</v>
      </c>
      <c r="T95">
        <f>sumifs(生产物料推移表!t:t,生产物料推移表!L:L,"计划生产",生产物料推移表!B:B,"852-221000-100")</f>
        <v>0</v>
      </c>
      <c r="U95">
        <f>sumifs(生产物料推移表!u:u,生产物料推移表!L:L,"计划生产",生产物料推移表!B:B,"852-221000-100")</f>
        <v>0</v>
      </c>
      <c r="V95">
        <f>sumifs(生产物料推移表!v:v,生产物料推移表!L:L,"计划生产",生产物料推移表!B:B,"852-221000-100")</f>
        <v>0</v>
      </c>
      <c r="W95">
        <f>sumifs(生产物料推移表!w:w,生产物料推移表!L:L,"计划生产",生产物料推移表!B:B,"852-221000-100")</f>
        <v>0</v>
      </c>
      <c r="X95">
        <f>sumifs(生产物料推移表!x:x,生产物料推移表!L:L,"计划生产",生产物料推移表!B:B,"852-221000-100")</f>
        <v>0</v>
      </c>
      <c r="Y95">
        <f>sumifs(生产物料推移表!y:y,生产物料推移表!L:L,"计划生产",生产物料推移表!B:B,"852-221000-100")</f>
        <v>0</v>
      </c>
      <c r="Z95">
        <f>sumifs(生产物料推移表!z:z,生产物料推移表!L:L,"计划生产",生产物料推移表!B:B,"852-221000-100")</f>
        <v>0</v>
      </c>
      <c r="AA95">
        <f>sumifs(生产物料推移表!aa:aa,生产物料推移表!L:L,"计划生产",生产物料推移表!B:B,"852-221000-100")</f>
        <v>0</v>
      </c>
      <c r="AB95">
        <f>sumifs(生产物料推移表!ab:ab,生产物料推移表!L:L,"计划生产",生产物料推移表!B:B,"852-221000-100")</f>
        <v>0</v>
      </c>
      <c r="AC95">
        <f>sumifs(生产物料推移表!ac:ac,生产物料推移表!L:L,"计划生产",生产物料推移表!B:B,"852-221000-100")</f>
        <v>0</v>
      </c>
      <c r="AD95">
        <f>sumifs(生产物料推移表!ad:ad,生产物料推移表!L:L,"计划生产",生产物料推移表!B:B,"852-221000-100")</f>
        <v>0</v>
      </c>
      <c r="AE95">
        <f>sumifs(生产物料推移表!ae:ae,生产物料推移表!L:L,"计划生产",生产物料推移表!B:B,"852-221000-100")</f>
        <v>0</v>
      </c>
      <c r="AF95">
        <f>sumifs(生产物料推移表!af:af,生产物料推移表!L:L,"计划生产",生产物料推移表!B:B,"852-221000-100")</f>
        <v>0</v>
      </c>
      <c r="AG95">
        <f>sumifs(生产物料推移表!ag:ag,生产物料推移表!L:L,"计划生产",生产物料推移表!B:B,"852-221000-100")</f>
        <v>0</v>
      </c>
      <c r="AH95">
        <f>sumifs(生产物料推移表!ah:ah,生产物料推移表!L:L,"计划生产",生产物料推移表!B:B,"852-221000-100")</f>
        <v>0</v>
      </c>
      <c r="AI95">
        <f>sumifs(生产物料推移表!ai:ai,生产物料推移表!L:L,"计划生产",生产物料推移表!B:B,"852-221000-100")</f>
        <v>0</v>
      </c>
      <c r="AJ95">
        <f>sumifs(生产物料推移表!aj:aj,生产物料推移表!L:L,"计划生产",生产物料推移表!B:B,"852-221000-100")</f>
        <v>0</v>
      </c>
      <c r="AK95">
        <f>sumifs(生产物料推移表!ak:ak,生产物料推移表!L:L,"计划生产",生产物料推移表!B:B,"852-221000-100")</f>
        <v>0</v>
      </c>
      <c r="AL95">
        <f>sumifs(生产物料推移表!al:al,生产物料推移表!L:L,"计划生产",生产物料推移表!B:B,"852-221000-100")</f>
        <v>0</v>
      </c>
      <c r="AM95">
        <f>sumifs(生产物料推移表!am:am,生产物料推移表!L:L,"计划生产",生产物料推移表!B:B,"852-221000-100")</f>
        <v>0</v>
      </c>
      <c r="AN95">
        <f>sumifs(生产物料推移表!an:an,生产物料推移表!L:L,"计划生产",生产物料推移表!B:B,"852-221000-100")</f>
        <v>0</v>
      </c>
      <c r="AO95">
        <f>sumifs(生产物料推移表!ao:ao,生产物料推移表!L:L,"计划生产",生产物料推移表!B:B,"852-221000-100")</f>
        <v>0</v>
      </c>
      <c r="AP95">
        <f>sumifs(生产物料推移表!ap:ap,生产物料推移表!L:L,"计划生产",生产物料推移表!B:B,"852-221000-100")</f>
        <v>0</v>
      </c>
      <c r="AQ95">
        <f>sumifs(生产物料推移表!aq:aq,生产物料推移表!L:L,"计划生产",生产物料推移表!B:B,"852-221000-100")</f>
        <v>0</v>
      </c>
      <c r="AR95">
        <f>sumifs(生产物料推移表!ar:ar,生产物料推移表!L:L,"计划生产",生产物料推移表!B:B,"852-221000-100")</f>
        <v>0</v>
      </c>
      <c r="BY95">
        <f>sum(j95:an95)</f>
        <v>0</v>
      </c>
    </row>
    <row r="96" spans="1:77">
      <c r="A96" t="s">
        <v>14</v>
      </c>
      <c r="B96" t="s">
        <v>446</v>
      </c>
      <c r="C96" t="s">
        <v>449</v>
      </c>
      <c r="D96" t="s">
        <v>448</v>
      </c>
      <c r="E96">
        <v>1</v>
      </c>
      <c r="F96" t="s">
        <v>449</v>
      </c>
      <c r="K96" t="s">
        <v>497</v>
      </c>
      <c r="L96" t="s">
        <v>37</v>
      </c>
      <c r="M96">
        <f>sumifs(生产物料推移表!m:m,生产物料推移表!L:L,"计划生产",生产物料推移表!B:B,"852-222000-100")</f>
        <v>0</v>
      </c>
      <c r="N96">
        <f>sumifs(生产物料推移表!n:n,生产物料推移表!L:L,"计划生产",生产物料推移表!B:B,"852-222000-100")</f>
        <v>0</v>
      </c>
      <c r="O96">
        <f>sumifs(生产物料推移表!o:o,生产物料推移表!L:L,"计划生产",生产物料推移表!B:B,"852-222000-100")</f>
        <v>0</v>
      </c>
      <c r="P96">
        <f>sumifs(生产物料推移表!p:p,生产物料推移表!L:L,"计划生产",生产物料推移表!B:B,"852-222000-100")</f>
        <v>0</v>
      </c>
      <c r="Q96">
        <f>sumifs(生产物料推移表!q:q,生产物料推移表!L:L,"计划生产",生产物料推移表!B:B,"852-222000-100")</f>
        <v>0</v>
      </c>
      <c r="R96">
        <f>sumifs(生产物料推移表!r:r,生产物料推移表!L:L,"计划生产",生产物料推移表!B:B,"852-222000-100")</f>
        <v>0</v>
      </c>
      <c r="S96">
        <f>sumifs(生产物料推移表!s:s,生产物料推移表!L:L,"计划生产",生产物料推移表!B:B,"852-222000-100")</f>
        <v>0</v>
      </c>
      <c r="T96">
        <f>sumifs(生产物料推移表!t:t,生产物料推移表!L:L,"计划生产",生产物料推移表!B:B,"852-222000-100")</f>
        <v>0</v>
      </c>
      <c r="U96">
        <f>sumifs(生产物料推移表!u:u,生产物料推移表!L:L,"计划生产",生产物料推移表!B:B,"852-222000-100")</f>
        <v>0</v>
      </c>
      <c r="V96">
        <f>sumifs(生产物料推移表!v:v,生产物料推移表!L:L,"计划生产",生产物料推移表!B:B,"852-222000-100")</f>
        <v>0</v>
      </c>
      <c r="W96">
        <f>sumifs(生产物料推移表!w:w,生产物料推移表!L:L,"计划生产",生产物料推移表!B:B,"852-222000-100")</f>
        <v>0</v>
      </c>
      <c r="X96">
        <f>sumifs(生产物料推移表!x:x,生产物料推移表!L:L,"计划生产",生产物料推移表!B:B,"852-222000-100")</f>
        <v>0</v>
      </c>
      <c r="Y96">
        <f>sumifs(生产物料推移表!y:y,生产物料推移表!L:L,"计划生产",生产物料推移表!B:B,"852-222000-100")</f>
        <v>0</v>
      </c>
      <c r="Z96">
        <f>sumifs(生产物料推移表!z:z,生产物料推移表!L:L,"计划生产",生产物料推移表!B:B,"852-222000-100")</f>
        <v>0</v>
      </c>
      <c r="AA96">
        <f>sumifs(生产物料推移表!aa:aa,生产物料推移表!L:L,"计划生产",生产物料推移表!B:B,"852-222000-100")</f>
        <v>0</v>
      </c>
      <c r="AB96">
        <f>sumifs(生产物料推移表!ab:ab,生产物料推移表!L:L,"计划生产",生产物料推移表!B:B,"852-222000-100")</f>
        <v>0</v>
      </c>
      <c r="AC96">
        <f>sumifs(生产物料推移表!ac:ac,生产物料推移表!L:L,"计划生产",生产物料推移表!B:B,"852-222000-100")</f>
        <v>0</v>
      </c>
      <c r="AD96">
        <f>sumifs(生产物料推移表!ad:ad,生产物料推移表!L:L,"计划生产",生产物料推移表!B:B,"852-222000-100")</f>
        <v>0</v>
      </c>
      <c r="AE96">
        <f>sumifs(生产物料推移表!ae:ae,生产物料推移表!L:L,"计划生产",生产物料推移表!B:B,"852-222000-100")</f>
        <v>0</v>
      </c>
      <c r="AF96">
        <f>sumifs(生产物料推移表!af:af,生产物料推移表!L:L,"计划生产",生产物料推移表!B:B,"852-222000-100")</f>
        <v>0</v>
      </c>
      <c r="AG96">
        <f>sumifs(生产物料推移表!ag:ag,生产物料推移表!L:L,"计划生产",生产物料推移表!B:B,"852-222000-100")</f>
        <v>0</v>
      </c>
      <c r="AH96">
        <f>sumifs(生产物料推移表!ah:ah,生产物料推移表!L:L,"计划生产",生产物料推移表!B:B,"852-222000-100")</f>
        <v>0</v>
      </c>
      <c r="AI96">
        <f>sumifs(生产物料推移表!ai:ai,生产物料推移表!L:L,"计划生产",生产物料推移表!B:B,"852-222000-100")</f>
        <v>0</v>
      </c>
      <c r="AJ96">
        <f>sumifs(生产物料推移表!aj:aj,生产物料推移表!L:L,"计划生产",生产物料推移表!B:B,"852-222000-100")</f>
        <v>0</v>
      </c>
      <c r="AK96">
        <f>sumifs(生产物料推移表!ak:ak,生产物料推移表!L:L,"计划生产",生产物料推移表!B:B,"852-222000-100")</f>
        <v>0</v>
      </c>
      <c r="AL96">
        <f>sumifs(生产物料推移表!al:al,生产物料推移表!L:L,"计划生产",生产物料推移表!B:B,"852-222000-100")</f>
        <v>0</v>
      </c>
      <c r="AM96">
        <f>sumifs(生产物料推移表!am:am,生产物料推移表!L:L,"计划生产",生产物料推移表!B:B,"852-222000-100")</f>
        <v>0</v>
      </c>
      <c r="AN96">
        <f>sumifs(生产物料推移表!an:an,生产物料推移表!L:L,"计划生产",生产物料推移表!B:B,"852-222000-100")</f>
        <v>0</v>
      </c>
      <c r="AO96">
        <f>sumifs(生产物料推移表!ao:ao,生产物料推移表!L:L,"计划生产",生产物料推移表!B:B,"852-222000-100")</f>
        <v>0</v>
      </c>
      <c r="AP96">
        <f>sumifs(生产物料推移表!ap:ap,生产物料推移表!L:L,"计划生产",生产物料推移表!B:B,"852-222000-100")</f>
        <v>0</v>
      </c>
      <c r="AQ96">
        <f>sumifs(生产物料推移表!aq:aq,生产物料推移表!L:L,"计划生产",生产物料推移表!B:B,"852-222000-100")</f>
        <v>0</v>
      </c>
      <c r="AR96">
        <f>sumifs(生产物料推移表!ar:ar,生产物料推移表!L:L,"计划生产",生产物料推移表!B:B,"852-222000-100")</f>
        <v>0</v>
      </c>
      <c r="BY96">
        <f>sum(j96:an96)</f>
        <v>0</v>
      </c>
    </row>
    <row r="97" spans="1:77">
      <c r="A97" t="s">
        <v>14</v>
      </c>
      <c r="B97" t="s">
        <v>450</v>
      </c>
      <c r="C97" t="s">
        <v>454</v>
      </c>
      <c r="D97" t="s">
        <v>452</v>
      </c>
      <c r="E97" t="s">
        <v>453</v>
      </c>
      <c r="F97" t="s">
        <v>454</v>
      </c>
      <c r="K97" t="s">
        <v>497</v>
      </c>
      <c r="L97" t="s">
        <v>37</v>
      </c>
      <c r="M97">
        <f>sumifs(生产物料推移表!m:m,生产物料推移表!L:L,"计划生产",生产物料推移表!B:B,"852-223000-100")</f>
        <v>0</v>
      </c>
      <c r="N97">
        <f>sumifs(生产物料推移表!n:n,生产物料推移表!L:L,"计划生产",生产物料推移表!B:B,"852-223000-100")</f>
        <v>0</v>
      </c>
      <c r="O97">
        <f>sumifs(生产物料推移表!o:o,生产物料推移表!L:L,"计划生产",生产物料推移表!B:B,"852-223000-100")</f>
        <v>0</v>
      </c>
      <c r="P97">
        <f>sumifs(生产物料推移表!p:p,生产物料推移表!L:L,"计划生产",生产物料推移表!B:B,"852-223000-100")</f>
        <v>0</v>
      </c>
      <c r="Q97">
        <f>sumifs(生产物料推移表!q:q,生产物料推移表!L:L,"计划生产",生产物料推移表!B:B,"852-223000-100")</f>
        <v>0</v>
      </c>
      <c r="R97">
        <f>sumifs(生产物料推移表!r:r,生产物料推移表!L:L,"计划生产",生产物料推移表!B:B,"852-223000-100")</f>
        <v>0</v>
      </c>
      <c r="S97">
        <f>sumifs(生产物料推移表!s:s,生产物料推移表!L:L,"计划生产",生产物料推移表!B:B,"852-223000-100")</f>
        <v>0</v>
      </c>
      <c r="T97">
        <f>sumifs(生产物料推移表!t:t,生产物料推移表!L:L,"计划生产",生产物料推移表!B:B,"852-223000-100")</f>
        <v>0</v>
      </c>
      <c r="U97">
        <f>sumifs(生产物料推移表!u:u,生产物料推移表!L:L,"计划生产",生产物料推移表!B:B,"852-223000-100")</f>
        <v>0</v>
      </c>
      <c r="V97">
        <f>sumifs(生产物料推移表!v:v,生产物料推移表!L:L,"计划生产",生产物料推移表!B:B,"852-223000-100")</f>
        <v>0</v>
      </c>
      <c r="W97">
        <f>sumifs(生产物料推移表!w:w,生产物料推移表!L:L,"计划生产",生产物料推移表!B:B,"852-223000-100")</f>
        <v>0</v>
      </c>
      <c r="X97">
        <f>sumifs(生产物料推移表!x:x,生产物料推移表!L:L,"计划生产",生产物料推移表!B:B,"852-223000-100")</f>
        <v>0</v>
      </c>
      <c r="Y97">
        <f>sumifs(生产物料推移表!y:y,生产物料推移表!L:L,"计划生产",生产物料推移表!B:B,"852-223000-100")</f>
        <v>0</v>
      </c>
      <c r="Z97">
        <f>sumifs(生产物料推移表!z:z,生产物料推移表!L:L,"计划生产",生产物料推移表!B:B,"852-223000-100")</f>
        <v>0</v>
      </c>
      <c r="AA97">
        <f>sumifs(生产物料推移表!aa:aa,生产物料推移表!L:L,"计划生产",生产物料推移表!B:B,"852-223000-100")</f>
        <v>0</v>
      </c>
      <c r="AB97">
        <f>sumifs(生产物料推移表!ab:ab,生产物料推移表!L:L,"计划生产",生产物料推移表!B:B,"852-223000-100")</f>
        <v>0</v>
      </c>
      <c r="AC97">
        <f>sumifs(生产物料推移表!ac:ac,生产物料推移表!L:L,"计划生产",生产物料推移表!B:B,"852-223000-100")</f>
        <v>0</v>
      </c>
      <c r="AD97">
        <f>sumifs(生产物料推移表!ad:ad,生产物料推移表!L:L,"计划生产",生产物料推移表!B:B,"852-223000-100")</f>
        <v>0</v>
      </c>
      <c r="AE97">
        <f>sumifs(生产物料推移表!ae:ae,生产物料推移表!L:L,"计划生产",生产物料推移表!B:B,"852-223000-100")</f>
        <v>0</v>
      </c>
      <c r="AF97">
        <f>sumifs(生产物料推移表!af:af,生产物料推移表!L:L,"计划生产",生产物料推移表!B:B,"852-223000-100")</f>
        <v>0</v>
      </c>
      <c r="AG97">
        <f>sumifs(生产物料推移表!ag:ag,生产物料推移表!L:L,"计划生产",生产物料推移表!B:B,"852-223000-100")</f>
        <v>0</v>
      </c>
      <c r="AH97">
        <f>sumifs(生产物料推移表!ah:ah,生产物料推移表!L:L,"计划生产",生产物料推移表!B:B,"852-223000-100")</f>
        <v>0</v>
      </c>
      <c r="AI97">
        <f>sumifs(生产物料推移表!ai:ai,生产物料推移表!L:L,"计划生产",生产物料推移表!B:B,"852-223000-100")</f>
        <v>0</v>
      </c>
      <c r="AJ97">
        <f>sumifs(生产物料推移表!aj:aj,生产物料推移表!L:L,"计划生产",生产物料推移表!B:B,"852-223000-100")</f>
        <v>0</v>
      </c>
      <c r="AK97">
        <f>sumifs(生产物料推移表!ak:ak,生产物料推移表!L:L,"计划生产",生产物料推移表!B:B,"852-223000-100")</f>
        <v>0</v>
      </c>
      <c r="AL97">
        <f>sumifs(生产物料推移表!al:al,生产物料推移表!L:L,"计划生产",生产物料推移表!B:B,"852-223000-100")</f>
        <v>0</v>
      </c>
      <c r="AM97">
        <f>sumifs(生产物料推移表!am:am,生产物料推移表!L:L,"计划生产",生产物料推移表!B:B,"852-223000-100")</f>
        <v>0</v>
      </c>
      <c r="AN97">
        <f>sumifs(生产物料推移表!an:an,生产物料推移表!L:L,"计划生产",生产物料推移表!B:B,"852-223000-100")</f>
        <v>0</v>
      </c>
      <c r="AO97">
        <f>sumifs(生产物料推移表!ao:ao,生产物料推移表!L:L,"计划生产",生产物料推移表!B:B,"852-223000-100")</f>
        <v>0</v>
      </c>
      <c r="AP97">
        <f>sumifs(生产物料推移表!ap:ap,生产物料推移表!L:L,"计划生产",生产物料推移表!B:B,"852-223000-100")</f>
        <v>0</v>
      </c>
      <c r="AQ97">
        <f>sumifs(生产物料推移表!aq:aq,生产物料推移表!L:L,"计划生产",生产物料推移表!B:B,"852-223000-100")</f>
        <v>0</v>
      </c>
      <c r="AR97">
        <f>sumifs(生产物料推移表!ar:ar,生产物料推移表!L:L,"计划生产",生产物料推移表!B:B,"852-223000-100")</f>
        <v>0</v>
      </c>
      <c r="BY97">
        <f>sum(j97:an97)</f>
        <v>0</v>
      </c>
    </row>
    <row r="98" spans="1:77">
      <c r="A98" t="s">
        <v>14</v>
      </c>
      <c r="B98" t="s">
        <v>458</v>
      </c>
      <c r="C98" t="s">
        <v>460</v>
      </c>
      <c r="D98" t="s">
        <v>448</v>
      </c>
      <c r="E98">
        <v>1</v>
      </c>
      <c r="F98" t="s">
        <v>460</v>
      </c>
      <c r="K98" t="s">
        <v>497</v>
      </c>
      <c r="L98" t="s">
        <v>37</v>
      </c>
      <c r="M98">
        <f>sumifs(生产物料推移表!m:m,生产物料推移表!L:L,"计划生产",生产物料推移表!B:B,"852-222000-200")</f>
        <v>0</v>
      </c>
      <c r="N98">
        <f>sumifs(生产物料推移表!n:n,生产物料推移表!L:L,"计划生产",生产物料推移表!B:B,"852-222000-200")</f>
        <v>0</v>
      </c>
      <c r="O98">
        <f>sumifs(生产物料推移表!o:o,生产物料推移表!L:L,"计划生产",生产物料推移表!B:B,"852-222000-200")</f>
        <v>0</v>
      </c>
      <c r="P98">
        <f>sumifs(生产物料推移表!p:p,生产物料推移表!L:L,"计划生产",生产物料推移表!B:B,"852-222000-200")</f>
        <v>0</v>
      </c>
      <c r="Q98">
        <f>sumifs(生产物料推移表!q:q,生产物料推移表!L:L,"计划生产",生产物料推移表!B:B,"852-222000-200")</f>
        <v>0</v>
      </c>
      <c r="R98">
        <f>sumifs(生产物料推移表!r:r,生产物料推移表!L:L,"计划生产",生产物料推移表!B:B,"852-222000-200")</f>
        <v>0</v>
      </c>
      <c r="S98">
        <f>sumifs(生产物料推移表!s:s,生产物料推移表!L:L,"计划生产",生产物料推移表!B:B,"852-222000-200")</f>
        <v>0</v>
      </c>
      <c r="T98">
        <f>sumifs(生产物料推移表!t:t,生产物料推移表!L:L,"计划生产",生产物料推移表!B:B,"852-222000-200")</f>
        <v>0</v>
      </c>
      <c r="U98">
        <f>sumifs(生产物料推移表!u:u,生产物料推移表!L:L,"计划生产",生产物料推移表!B:B,"852-222000-200")</f>
        <v>0</v>
      </c>
      <c r="V98">
        <f>sumifs(生产物料推移表!v:v,生产物料推移表!L:L,"计划生产",生产物料推移表!B:B,"852-222000-200")</f>
        <v>0</v>
      </c>
      <c r="W98">
        <f>sumifs(生产物料推移表!w:w,生产物料推移表!L:L,"计划生产",生产物料推移表!B:B,"852-222000-200")</f>
        <v>0</v>
      </c>
      <c r="X98">
        <f>sumifs(生产物料推移表!x:x,生产物料推移表!L:L,"计划生产",生产物料推移表!B:B,"852-222000-200")</f>
        <v>0</v>
      </c>
      <c r="Y98">
        <f>sumifs(生产物料推移表!y:y,生产物料推移表!L:L,"计划生产",生产物料推移表!B:B,"852-222000-200")</f>
        <v>0</v>
      </c>
      <c r="Z98">
        <f>sumifs(生产物料推移表!z:z,生产物料推移表!L:L,"计划生产",生产物料推移表!B:B,"852-222000-200")</f>
        <v>0</v>
      </c>
      <c r="AA98">
        <f>sumifs(生产物料推移表!aa:aa,生产物料推移表!L:L,"计划生产",生产物料推移表!B:B,"852-222000-200")</f>
        <v>0</v>
      </c>
      <c r="AB98">
        <f>sumifs(生产物料推移表!ab:ab,生产物料推移表!L:L,"计划生产",生产物料推移表!B:B,"852-222000-200")</f>
        <v>0</v>
      </c>
      <c r="AC98">
        <f>sumifs(生产物料推移表!ac:ac,生产物料推移表!L:L,"计划生产",生产物料推移表!B:B,"852-222000-200")</f>
        <v>0</v>
      </c>
      <c r="AD98">
        <f>sumifs(生产物料推移表!ad:ad,生产物料推移表!L:L,"计划生产",生产物料推移表!B:B,"852-222000-200")</f>
        <v>0</v>
      </c>
      <c r="AE98">
        <f>sumifs(生产物料推移表!ae:ae,生产物料推移表!L:L,"计划生产",生产物料推移表!B:B,"852-222000-200")</f>
        <v>0</v>
      </c>
      <c r="AF98">
        <f>sumifs(生产物料推移表!af:af,生产物料推移表!L:L,"计划生产",生产物料推移表!B:B,"852-222000-200")</f>
        <v>0</v>
      </c>
      <c r="AG98">
        <f>sumifs(生产物料推移表!ag:ag,生产物料推移表!L:L,"计划生产",生产物料推移表!B:B,"852-222000-200")</f>
        <v>0</v>
      </c>
      <c r="AH98">
        <f>sumifs(生产物料推移表!ah:ah,生产物料推移表!L:L,"计划生产",生产物料推移表!B:B,"852-222000-200")</f>
        <v>0</v>
      </c>
      <c r="AI98">
        <f>sumifs(生产物料推移表!ai:ai,生产物料推移表!L:L,"计划生产",生产物料推移表!B:B,"852-222000-200")</f>
        <v>0</v>
      </c>
      <c r="AJ98">
        <f>sumifs(生产物料推移表!aj:aj,生产物料推移表!L:L,"计划生产",生产物料推移表!B:B,"852-222000-200")</f>
        <v>0</v>
      </c>
      <c r="AK98">
        <f>sumifs(生产物料推移表!ak:ak,生产物料推移表!L:L,"计划生产",生产物料推移表!B:B,"852-222000-200")</f>
        <v>0</v>
      </c>
      <c r="AL98">
        <f>sumifs(生产物料推移表!al:al,生产物料推移表!L:L,"计划生产",生产物料推移表!B:B,"852-222000-200")</f>
        <v>0</v>
      </c>
      <c r="AM98">
        <f>sumifs(生产物料推移表!am:am,生产物料推移表!L:L,"计划生产",生产物料推移表!B:B,"852-222000-200")</f>
        <v>0</v>
      </c>
      <c r="AN98">
        <f>sumifs(生产物料推移表!an:an,生产物料推移表!L:L,"计划生产",生产物料推移表!B:B,"852-222000-200")</f>
        <v>0</v>
      </c>
      <c r="AO98">
        <f>sumifs(生产物料推移表!ao:ao,生产物料推移表!L:L,"计划生产",生产物料推移表!B:B,"852-222000-200")</f>
        <v>0</v>
      </c>
      <c r="AP98">
        <f>sumifs(生产物料推移表!ap:ap,生产物料推移表!L:L,"计划生产",生产物料推移表!B:B,"852-222000-200")</f>
        <v>0</v>
      </c>
      <c r="AQ98">
        <f>sumifs(生产物料推移表!aq:aq,生产物料推移表!L:L,"计划生产",生产物料推移表!B:B,"852-222000-200")</f>
        <v>0</v>
      </c>
      <c r="AR98">
        <f>sumifs(生产物料推移表!ar:ar,生产物料推移表!L:L,"计划生产",生产物料推移表!B:B,"852-222000-200")</f>
        <v>0</v>
      </c>
      <c r="BY98">
        <f>sum(j98:an98)</f>
        <v>0</v>
      </c>
    </row>
    <row r="99" spans="1:77">
      <c r="A99" t="s">
        <v>14</v>
      </c>
      <c r="B99" t="s">
        <v>461</v>
      </c>
      <c r="C99" t="s">
        <v>463</v>
      </c>
      <c r="D99" t="s">
        <v>452</v>
      </c>
      <c r="E99" t="s">
        <v>453</v>
      </c>
      <c r="F99" t="s">
        <v>463</v>
      </c>
      <c r="K99" t="s">
        <v>497</v>
      </c>
      <c r="L99" t="s">
        <v>37</v>
      </c>
      <c r="M99">
        <f>sumifs(生产物料推移表!m:m,生产物料推移表!L:L,"计划生产",生产物料推移表!B:B,"852-223000-200")</f>
        <v>0</v>
      </c>
      <c r="N99">
        <f>sumifs(生产物料推移表!n:n,生产物料推移表!L:L,"计划生产",生产物料推移表!B:B,"852-223000-200")</f>
        <v>0</v>
      </c>
      <c r="O99">
        <f>sumifs(生产物料推移表!o:o,生产物料推移表!L:L,"计划生产",生产物料推移表!B:B,"852-223000-200")</f>
        <v>0</v>
      </c>
      <c r="P99">
        <f>sumifs(生产物料推移表!p:p,生产物料推移表!L:L,"计划生产",生产物料推移表!B:B,"852-223000-200")</f>
        <v>0</v>
      </c>
      <c r="Q99">
        <f>sumifs(生产物料推移表!q:q,生产物料推移表!L:L,"计划生产",生产物料推移表!B:B,"852-223000-200")</f>
        <v>0</v>
      </c>
      <c r="R99">
        <f>sumifs(生产物料推移表!r:r,生产物料推移表!L:L,"计划生产",生产物料推移表!B:B,"852-223000-200")</f>
        <v>0</v>
      </c>
      <c r="S99">
        <f>sumifs(生产物料推移表!s:s,生产物料推移表!L:L,"计划生产",生产物料推移表!B:B,"852-223000-200")</f>
        <v>0</v>
      </c>
      <c r="T99">
        <f>sumifs(生产物料推移表!t:t,生产物料推移表!L:L,"计划生产",生产物料推移表!B:B,"852-223000-200")</f>
        <v>0</v>
      </c>
      <c r="U99">
        <f>sumifs(生产物料推移表!u:u,生产物料推移表!L:L,"计划生产",生产物料推移表!B:B,"852-223000-200")</f>
        <v>0</v>
      </c>
      <c r="V99">
        <f>sumifs(生产物料推移表!v:v,生产物料推移表!L:L,"计划生产",生产物料推移表!B:B,"852-223000-200")</f>
        <v>0</v>
      </c>
      <c r="W99">
        <f>sumifs(生产物料推移表!w:w,生产物料推移表!L:L,"计划生产",生产物料推移表!B:B,"852-223000-200")</f>
        <v>0</v>
      </c>
      <c r="X99">
        <f>sumifs(生产物料推移表!x:x,生产物料推移表!L:L,"计划生产",生产物料推移表!B:B,"852-223000-200")</f>
        <v>0</v>
      </c>
      <c r="Y99">
        <f>sumifs(生产物料推移表!y:y,生产物料推移表!L:L,"计划生产",生产物料推移表!B:B,"852-223000-200")</f>
        <v>0</v>
      </c>
      <c r="Z99">
        <f>sumifs(生产物料推移表!z:z,生产物料推移表!L:L,"计划生产",生产物料推移表!B:B,"852-223000-200")</f>
        <v>0</v>
      </c>
      <c r="AA99">
        <f>sumifs(生产物料推移表!aa:aa,生产物料推移表!L:L,"计划生产",生产物料推移表!B:B,"852-223000-200")</f>
        <v>0</v>
      </c>
      <c r="AB99">
        <f>sumifs(生产物料推移表!ab:ab,生产物料推移表!L:L,"计划生产",生产物料推移表!B:B,"852-223000-200")</f>
        <v>0</v>
      </c>
      <c r="AC99">
        <f>sumifs(生产物料推移表!ac:ac,生产物料推移表!L:L,"计划生产",生产物料推移表!B:B,"852-223000-200")</f>
        <v>0</v>
      </c>
      <c r="AD99">
        <f>sumifs(生产物料推移表!ad:ad,生产物料推移表!L:L,"计划生产",生产物料推移表!B:B,"852-223000-200")</f>
        <v>0</v>
      </c>
      <c r="AE99">
        <f>sumifs(生产物料推移表!ae:ae,生产物料推移表!L:L,"计划生产",生产物料推移表!B:B,"852-223000-200")</f>
        <v>0</v>
      </c>
      <c r="AF99">
        <f>sumifs(生产物料推移表!af:af,生产物料推移表!L:L,"计划生产",生产物料推移表!B:B,"852-223000-200")</f>
        <v>0</v>
      </c>
      <c r="AG99">
        <f>sumifs(生产物料推移表!ag:ag,生产物料推移表!L:L,"计划生产",生产物料推移表!B:B,"852-223000-200")</f>
        <v>0</v>
      </c>
      <c r="AH99">
        <f>sumifs(生产物料推移表!ah:ah,生产物料推移表!L:L,"计划生产",生产物料推移表!B:B,"852-223000-200")</f>
        <v>0</v>
      </c>
      <c r="AI99">
        <f>sumifs(生产物料推移表!ai:ai,生产物料推移表!L:L,"计划生产",生产物料推移表!B:B,"852-223000-200")</f>
        <v>0</v>
      </c>
      <c r="AJ99">
        <f>sumifs(生产物料推移表!aj:aj,生产物料推移表!L:L,"计划生产",生产物料推移表!B:B,"852-223000-200")</f>
        <v>0</v>
      </c>
      <c r="AK99">
        <f>sumifs(生产物料推移表!ak:ak,生产物料推移表!L:L,"计划生产",生产物料推移表!B:B,"852-223000-200")</f>
        <v>0</v>
      </c>
      <c r="AL99">
        <f>sumifs(生产物料推移表!al:al,生产物料推移表!L:L,"计划生产",生产物料推移表!B:B,"852-223000-200")</f>
        <v>0</v>
      </c>
      <c r="AM99">
        <f>sumifs(生产物料推移表!am:am,生产物料推移表!L:L,"计划生产",生产物料推移表!B:B,"852-223000-200")</f>
        <v>0</v>
      </c>
      <c r="AN99">
        <f>sumifs(生产物料推移表!an:an,生产物料推移表!L:L,"计划生产",生产物料推移表!B:B,"852-223000-200")</f>
        <v>0</v>
      </c>
      <c r="AO99">
        <f>sumifs(生产物料推移表!ao:ao,生产物料推移表!L:L,"计划生产",生产物料推移表!B:B,"852-223000-200")</f>
        <v>0</v>
      </c>
      <c r="AP99">
        <f>sumifs(生产物料推移表!ap:ap,生产物料推移表!L:L,"计划生产",生产物料推移表!B:B,"852-223000-200")</f>
        <v>0</v>
      </c>
      <c r="AQ99">
        <f>sumifs(生产物料推移表!aq:aq,生产物料推移表!L:L,"计划生产",生产物料推移表!B:B,"852-223000-200")</f>
        <v>0</v>
      </c>
      <c r="AR99">
        <f>sumifs(生产物料推移表!ar:ar,生产物料推移表!L:L,"计划生产",生产物料推移表!B:B,"852-223000-200")</f>
        <v>0</v>
      </c>
      <c r="BY99">
        <f>sum(j99:an99)</f>
        <v>0</v>
      </c>
    </row>
    <row r="100" spans="1:77">
      <c r="A100" t="s">
        <v>14</v>
      </c>
      <c r="B100" t="s">
        <v>467</v>
      </c>
      <c r="C100" t="s">
        <v>470</v>
      </c>
      <c r="D100" t="s">
        <v>469</v>
      </c>
      <c r="E100" t="s">
        <v>444</v>
      </c>
      <c r="F100" t="s">
        <v>470</v>
      </c>
      <c r="K100" t="s">
        <v>497</v>
      </c>
      <c r="L100" t="s">
        <v>37</v>
      </c>
      <c r="M100">
        <f>sumifs(生产物料推移表!m:m,生产物料推移表!L:L,"计划生产",生产物料推移表!B:B,"852-220000-100")</f>
        <v>0</v>
      </c>
      <c r="N100">
        <f>sumifs(生产物料推移表!n:n,生产物料推移表!L:L,"计划生产",生产物料推移表!B:B,"852-220000-100")</f>
        <v>0</v>
      </c>
      <c r="O100">
        <f>sumifs(生产物料推移表!o:o,生产物料推移表!L:L,"计划生产",生产物料推移表!B:B,"852-220000-100")</f>
        <v>0</v>
      </c>
      <c r="P100">
        <f>sumifs(生产物料推移表!p:p,生产物料推移表!L:L,"计划生产",生产物料推移表!B:B,"852-220000-100")</f>
        <v>0</v>
      </c>
      <c r="Q100">
        <f>sumifs(生产物料推移表!q:q,生产物料推移表!L:L,"计划生产",生产物料推移表!B:B,"852-220000-100")</f>
        <v>0</v>
      </c>
      <c r="R100">
        <f>sumifs(生产物料推移表!r:r,生产物料推移表!L:L,"计划生产",生产物料推移表!B:B,"852-220000-100")</f>
        <v>0</v>
      </c>
      <c r="S100">
        <f>sumifs(生产物料推移表!s:s,生产物料推移表!L:L,"计划生产",生产物料推移表!B:B,"852-220000-100")</f>
        <v>0</v>
      </c>
      <c r="T100">
        <f>sumifs(生产物料推移表!t:t,生产物料推移表!L:L,"计划生产",生产物料推移表!B:B,"852-220000-100")</f>
        <v>0</v>
      </c>
      <c r="U100">
        <f>sumifs(生产物料推移表!u:u,生产物料推移表!L:L,"计划生产",生产物料推移表!B:B,"852-220000-100")</f>
        <v>0</v>
      </c>
      <c r="V100">
        <f>sumifs(生产物料推移表!v:v,生产物料推移表!L:L,"计划生产",生产物料推移表!B:B,"852-220000-100")</f>
        <v>0</v>
      </c>
      <c r="W100">
        <f>sumifs(生产物料推移表!w:w,生产物料推移表!L:L,"计划生产",生产物料推移表!B:B,"852-220000-100")</f>
        <v>0</v>
      </c>
      <c r="X100">
        <f>sumifs(生产物料推移表!x:x,生产物料推移表!L:L,"计划生产",生产物料推移表!B:B,"852-220000-100")</f>
        <v>0</v>
      </c>
      <c r="Y100">
        <f>sumifs(生产物料推移表!y:y,生产物料推移表!L:L,"计划生产",生产物料推移表!B:B,"852-220000-100")</f>
        <v>0</v>
      </c>
      <c r="Z100">
        <f>sumifs(生产物料推移表!z:z,生产物料推移表!L:L,"计划生产",生产物料推移表!B:B,"852-220000-100")</f>
        <v>0</v>
      </c>
      <c r="AA100">
        <f>sumifs(生产物料推移表!aa:aa,生产物料推移表!L:L,"计划生产",生产物料推移表!B:B,"852-220000-100")</f>
        <v>0</v>
      </c>
      <c r="AB100">
        <f>sumifs(生产物料推移表!ab:ab,生产物料推移表!L:L,"计划生产",生产物料推移表!B:B,"852-220000-100")</f>
        <v>0</v>
      </c>
      <c r="AC100">
        <f>sumifs(生产物料推移表!ac:ac,生产物料推移表!L:L,"计划生产",生产物料推移表!B:B,"852-220000-100")</f>
        <v>0</v>
      </c>
      <c r="AD100">
        <f>sumifs(生产物料推移表!ad:ad,生产物料推移表!L:L,"计划生产",生产物料推移表!B:B,"852-220000-100")</f>
        <v>0</v>
      </c>
      <c r="AE100">
        <f>sumifs(生产物料推移表!ae:ae,生产物料推移表!L:L,"计划生产",生产物料推移表!B:B,"852-220000-100")</f>
        <v>0</v>
      </c>
      <c r="AF100">
        <f>sumifs(生产物料推移表!af:af,生产物料推移表!L:L,"计划生产",生产物料推移表!B:B,"852-220000-100")</f>
        <v>0</v>
      </c>
      <c r="AG100">
        <f>sumifs(生产物料推移表!ag:ag,生产物料推移表!L:L,"计划生产",生产物料推移表!B:B,"852-220000-100")</f>
        <v>0</v>
      </c>
      <c r="AH100">
        <f>sumifs(生产物料推移表!ah:ah,生产物料推移表!L:L,"计划生产",生产物料推移表!B:B,"852-220000-100")</f>
        <v>0</v>
      </c>
      <c r="AI100">
        <f>sumifs(生产物料推移表!ai:ai,生产物料推移表!L:L,"计划生产",生产物料推移表!B:B,"852-220000-100")</f>
        <v>0</v>
      </c>
      <c r="AJ100">
        <f>sumifs(生产物料推移表!aj:aj,生产物料推移表!L:L,"计划生产",生产物料推移表!B:B,"852-220000-100")</f>
        <v>0</v>
      </c>
      <c r="AK100">
        <f>sumifs(生产物料推移表!ak:ak,生产物料推移表!L:L,"计划生产",生产物料推移表!B:B,"852-220000-100")</f>
        <v>0</v>
      </c>
      <c r="AL100">
        <f>sumifs(生产物料推移表!al:al,生产物料推移表!L:L,"计划生产",生产物料推移表!B:B,"852-220000-100")</f>
        <v>0</v>
      </c>
      <c r="AM100">
        <f>sumifs(生产物料推移表!am:am,生产物料推移表!L:L,"计划生产",生产物料推移表!B:B,"852-220000-100")</f>
        <v>0</v>
      </c>
      <c r="AN100">
        <f>sumifs(生产物料推移表!an:an,生产物料推移表!L:L,"计划生产",生产物料推移表!B:B,"852-220000-100")</f>
        <v>0</v>
      </c>
      <c r="AO100">
        <f>sumifs(生产物料推移表!ao:ao,生产物料推移表!L:L,"计划生产",生产物料推移表!B:B,"852-220000-100")</f>
        <v>0</v>
      </c>
      <c r="AP100">
        <f>sumifs(生产物料推移表!ap:ap,生产物料推移表!L:L,"计划生产",生产物料推移表!B:B,"852-220000-100")</f>
        <v>0</v>
      </c>
      <c r="AQ100">
        <f>sumifs(生产物料推移表!aq:aq,生产物料推移表!L:L,"计划生产",生产物料推移表!B:B,"852-220000-100")</f>
        <v>0</v>
      </c>
      <c r="AR100">
        <f>sumifs(生产物料推移表!ar:ar,生产物料推移表!L:L,"计划生产",生产物料推移表!B:B,"852-220000-100")</f>
        <v>0</v>
      </c>
      <c r="BY100">
        <f>sum(j100:an100)</f>
        <v>0</v>
      </c>
    </row>
    <row r="101" spans="1:77">
      <c r="A101" t="s">
        <v>14</v>
      </c>
      <c r="B101" t="s">
        <v>471</v>
      </c>
      <c r="C101" t="s">
        <v>474</v>
      </c>
      <c r="D101" t="s">
        <v>473</v>
      </c>
      <c r="E101">
        <v>1</v>
      </c>
      <c r="F101" t="s">
        <v>474</v>
      </c>
      <c r="K101" t="s">
        <v>497</v>
      </c>
      <c r="L101" t="s">
        <v>37</v>
      </c>
      <c r="M101">
        <f>sumifs(生产物料推移表!m:m,生产物料推移表!L:L,"计划生产",生产物料推移表!B:B,"852-224000-100")</f>
        <v>0</v>
      </c>
      <c r="N101">
        <f>sumifs(生产物料推移表!n:n,生产物料推移表!L:L,"计划生产",生产物料推移表!B:B,"852-224000-100")</f>
        <v>0</v>
      </c>
      <c r="O101">
        <f>sumifs(生产物料推移表!o:o,生产物料推移表!L:L,"计划生产",生产物料推移表!B:B,"852-224000-100")</f>
        <v>0</v>
      </c>
      <c r="P101">
        <f>sumifs(生产物料推移表!p:p,生产物料推移表!L:L,"计划生产",生产物料推移表!B:B,"852-224000-100")</f>
        <v>0</v>
      </c>
      <c r="Q101">
        <f>sumifs(生产物料推移表!q:q,生产物料推移表!L:L,"计划生产",生产物料推移表!B:B,"852-224000-100")</f>
        <v>0</v>
      </c>
      <c r="R101">
        <f>sumifs(生产物料推移表!r:r,生产物料推移表!L:L,"计划生产",生产物料推移表!B:B,"852-224000-100")</f>
        <v>0</v>
      </c>
      <c r="S101">
        <f>sumifs(生产物料推移表!s:s,生产物料推移表!L:L,"计划生产",生产物料推移表!B:B,"852-224000-100")</f>
        <v>0</v>
      </c>
      <c r="T101">
        <f>sumifs(生产物料推移表!t:t,生产物料推移表!L:L,"计划生产",生产物料推移表!B:B,"852-224000-100")</f>
        <v>0</v>
      </c>
      <c r="U101">
        <f>sumifs(生产物料推移表!u:u,生产物料推移表!L:L,"计划生产",生产物料推移表!B:B,"852-224000-100")</f>
        <v>0</v>
      </c>
      <c r="V101">
        <f>sumifs(生产物料推移表!v:v,生产物料推移表!L:L,"计划生产",生产物料推移表!B:B,"852-224000-100")</f>
        <v>0</v>
      </c>
      <c r="W101">
        <f>sumifs(生产物料推移表!w:w,生产物料推移表!L:L,"计划生产",生产物料推移表!B:B,"852-224000-100")</f>
        <v>0</v>
      </c>
      <c r="X101">
        <f>sumifs(生产物料推移表!x:x,生产物料推移表!L:L,"计划生产",生产物料推移表!B:B,"852-224000-100")</f>
        <v>0</v>
      </c>
      <c r="Y101">
        <f>sumifs(生产物料推移表!y:y,生产物料推移表!L:L,"计划生产",生产物料推移表!B:B,"852-224000-100")</f>
        <v>0</v>
      </c>
      <c r="Z101">
        <f>sumifs(生产物料推移表!z:z,生产物料推移表!L:L,"计划生产",生产物料推移表!B:B,"852-224000-100")</f>
        <v>0</v>
      </c>
      <c r="AA101">
        <f>sumifs(生产物料推移表!aa:aa,生产物料推移表!L:L,"计划生产",生产物料推移表!B:B,"852-224000-100")</f>
        <v>0</v>
      </c>
      <c r="AB101">
        <f>sumifs(生产物料推移表!ab:ab,生产物料推移表!L:L,"计划生产",生产物料推移表!B:B,"852-224000-100")</f>
        <v>0</v>
      </c>
      <c r="AC101">
        <f>sumifs(生产物料推移表!ac:ac,生产物料推移表!L:L,"计划生产",生产物料推移表!B:B,"852-224000-100")</f>
        <v>0</v>
      </c>
      <c r="AD101">
        <f>sumifs(生产物料推移表!ad:ad,生产物料推移表!L:L,"计划生产",生产物料推移表!B:B,"852-224000-100")</f>
        <v>0</v>
      </c>
      <c r="AE101">
        <f>sumifs(生产物料推移表!ae:ae,生产物料推移表!L:L,"计划生产",生产物料推移表!B:B,"852-224000-100")</f>
        <v>0</v>
      </c>
      <c r="AF101">
        <f>sumifs(生产物料推移表!af:af,生产物料推移表!L:L,"计划生产",生产物料推移表!B:B,"852-224000-100")</f>
        <v>0</v>
      </c>
      <c r="AG101">
        <f>sumifs(生产物料推移表!ag:ag,生产物料推移表!L:L,"计划生产",生产物料推移表!B:B,"852-224000-100")</f>
        <v>0</v>
      </c>
      <c r="AH101">
        <f>sumifs(生产物料推移表!ah:ah,生产物料推移表!L:L,"计划生产",生产物料推移表!B:B,"852-224000-100")</f>
        <v>0</v>
      </c>
      <c r="AI101">
        <f>sumifs(生产物料推移表!ai:ai,生产物料推移表!L:L,"计划生产",生产物料推移表!B:B,"852-224000-100")</f>
        <v>0</v>
      </c>
      <c r="AJ101">
        <f>sumifs(生产物料推移表!aj:aj,生产物料推移表!L:L,"计划生产",生产物料推移表!B:B,"852-224000-100")</f>
        <v>0</v>
      </c>
      <c r="AK101">
        <f>sumifs(生产物料推移表!ak:ak,生产物料推移表!L:L,"计划生产",生产物料推移表!B:B,"852-224000-100")</f>
        <v>0</v>
      </c>
      <c r="AL101">
        <f>sumifs(生产物料推移表!al:al,生产物料推移表!L:L,"计划生产",生产物料推移表!B:B,"852-224000-100")</f>
        <v>0</v>
      </c>
      <c r="AM101">
        <f>sumifs(生产物料推移表!am:am,生产物料推移表!L:L,"计划生产",生产物料推移表!B:B,"852-224000-100")</f>
        <v>0</v>
      </c>
      <c r="AN101">
        <f>sumifs(生产物料推移表!an:an,生产物料推移表!L:L,"计划生产",生产物料推移表!B:B,"852-224000-100")</f>
        <v>0</v>
      </c>
      <c r="AO101">
        <f>sumifs(生产物料推移表!ao:ao,生产物料推移表!L:L,"计划生产",生产物料推移表!B:B,"852-224000-100")</f>
        <v>0</v>
      </c>
      <c r="AP101">
        <f>sumifs(生产物料推移表!ap:ap,生产物料推移表!L:L,"计划生产",生产物料推移表!B:B,"852-224000-100")</f>
        <v>0</v>
      </c>
      <c r="AQ101">
        <f>sumifs(生产物料推移表!aq:aq,生产物料推移表!L:L,"计划生产",生产物料推移表!B:B,"852-224000-100")</f>
        <v>0</v>
      </c>
      <c r="AR101">
        <f>sumifs(生产物料推移表!ar:ar,生产物料推移表!L:L,"计划生产",生产物料推移表!B:B,"852-224000-100")</f>
        <v>0</v>
      </c>
      <c r="BY101">
        <f>sum(j101:an101)</f>
        <v>0</v>
      </c>
    </row>
    <row r="102" spans="1:77">
      <c r="A102" t="s">
        <v>14</v>
      </c>
      <c r="B102" t="s">
        <v>478</v>
      </c>
      <c r="C102" t="s">
        <v>481</v>
      </c>
      <c r="D102" t="s">
        <v>480</v>
      </c>
      <c r="E102" t="s">
        <v>444</v>
      </c>
      <c r="F102" t="s">
        <v>481</v>
      </c>
      <c r="K102" t="s">
        <v>497</v>
      </c>
      <c r="L102" t="s">
        <v>37</v>
      </c>
      <c r="M102">
        <f>sumifs(生产物料推移表!m:m,生产物料推移表!L:L,"计划生产",生产物料推移表!B:B,"852-211000-100")</f>
        <v>0</v>
      </c>
      <c r="N102">
        <f>sumifs(生产物料推移表!n:n,生产物料推移表!L:L,"计划生产",生产物料推移表!B:B,"852-211000-100")</f>
        <v>0</v>
      </c>
      <c r="O102">
        <f>sumifs(生产物料推移表!o:o,生产物料推移表!L:L,"计划生产",生产物料推移表!B:B,"852-211000-100")</f>
        <v>0</v>
      </c>
      <c r="P102">
        <f>sumifs(生产物料推移表!p:p,生产物料推移表!L:L,"计划生产",生产物料推移表!B:B,"852-211000-100")</f>
        <v>0</v>
      </c>
      <c r="Q102">
        <f>sumifs(生产物料推移表!q:q,生产物料推移表!L:L,"计划生产",生产物料推移表!B:B,"852-211000-100")</f>
        <v>0</v>
      </c>
      <c r="R102">
        <f>sumifs(生产物料推移表!r:r,生产物料推移表!L:L,"计划生产",生产物料推移表!B:B,"852-211000-100")</f>
        <v>0</v>
      </c>
      <c r="S102">
        <f>sumifs(生产物料推移表!s:s,生产物料推移表!L:L,"计划生产",生产物料推移表!B:B,"852-211000-100")</f>
        <v>0</v>
      </c>
      <c r="T102">
        <f>sumifs(生产物料推移表!t:t,生产物料推移表!L:L,"计划生产",生产物料推移表!B:B,"852-211000-100")</f>
        <v>0</v>
      </c>
      <c r="U102">
        <f>sumifs(生产物料推移表!u:u,生产物料推移表!L:L,"计划生产",生产物料推移表!B:B,"852-211000-100")</f>
        <v>0</v>
      </c>
      <c r="V102">
        <f>sumifs(生产物料推移表!v:v,生产物料推移表!L:L,"计划生产",生产物料推移表!B:B,"852-211000-100")</f>
        <v>0</v>
      </c>
      <c r="W102">
        <f>sumifs(生产物料推移表!w:w,生产物料推移表!L:L,"计划生产",生产物料推移表!B:B,"852-211000-100")</f>
        <v>0</v>
      </c>
      <c r="X102">
        <f>sumifs(生产物料推移表!x:x,生产物料推移表!L:L,"计划生产",生产物料推移表!B:B,"852-211000-100")</f>
        <v>0</v>
      </c>
      <c r="Y102">
        <f>sumifs(生产物料推移表!y:y,生产物料推移表!L:L,"计划生产",生产物料推移表!B:B,"852-211000-100")</f>
        <v>0</v>
      </c>
      <c r="Z102">
        <f>sumifs(生产物料推移表!z:z,生产物料推移表!L:L,"计划生产",生产物料推移表!B:B,"852-211000-100")</f>
        <v>0</v>
      </c>
      <c r="AA102">
        <f>sumifs(生产物料推移表!aa:aa,生产物料推移表!L:L,"计划生产",生产物料推移表!B:B,"852-211000-100")</f>
        <v>0</v>
      </c>
      <c r="AB102">
        <f>sumifs(生产物料推移表!ab:ab,生产物料推移表!L:L,"计划生产",生产物料推移表!B:B,"852-211000-100")</f>
        <v>0</v>
      </c>
      <c r="AC102">
        <f>sumifs(生产物料推移表!ac:ac,生产物料推移表!L:L,"计划生产",生产物料推移表!B:B,"852-211000-100")</f>
        <v>0</v>
      </c>
      <c r="AD102">
        <f>sumifs(生产物料推移表!ad:ad,生产物料推移表!L:L,"计划生产",生产物料推移表!B:B,"852-211000-100")</f>
        <v>0</v>
      </c>
      <c r="AE102">
        <f>sumifs(生产物料推移表!ae:ae,生产物料推移表!L:L,"计划生产",生产物料推移表!B:B,"852-211000-100")</f>
        <v>0</v>
      </c>
      <c r="AF102">
        <f>sumifs(生产物料推移表!af:af,生产物料推移表!L:L,"计划生产",生产物料推移表!B:B,"852-211000-100")</f>
        <v>0</v>
      </c>
      <c r="AG102">
        <f>sumifs(生产物料推移表!ag:ag,生产物料推移表!L:L,"计划生产",生产物料推移表!B:B,"852-211000-100")</f>
        <v>0</v>
      </c>
      <c r="AH102">
        <f>sumifs(生产物料推移表!ah:ah,生产物料推移表!L:L,"计划生产",生产物料推移表!B:B,"852-211000-100")</f>
        <v>0</v>
      </c>
      <c r="AI102">
        <f>sumifs(生产物料推移表!ai:ai,生产物料推移表!L:L,"计划生产",生产物料推移表!B:B,"852-211000-100")</f>
        <v>0</v>
      </c>
      <c r="AJ102">
        <f>sumifs(生产物料推移表!aj:aj,生产物料推移表!L:L,"计划生产",生产物料推移表!B:B,"852-211000-100")</f>
        <v>0</v>
      </c>
      <c r="AK102">
        <f>sumifs(生产物料推移表!ak:ak,生产物料推移表!L:L,"计划生产",生产物料推移表!B:B,"852-211000-100")</f>
        <v>0</v>
      </c>
      <c r="AL102">
        <f>sumifs(生产物料推移表!al:al,生产物料推移表!L:L,"计划生产",生产物料推移表!B:B,"852-211000-100")</f>
        <v>0</v>
      </c>
      <c r="AM102">
        <f>sumifs(生产物料推移表!am:am,生产物料推移表!L:L,"计划生产",生产物料推移表!B:B,"852-211000-100")</f>
        <v>0</v>
      </c>
      <c r="AN102">
        <f>sumifs(生产物料推移表!an:an,生产物料推移表!L:L,"计划生产",生产物料推移表!B:B,"852-211000-100")</f>
        <v>0</v>
      </c>
      <c r="AO102">
        <f>sumifs(生产物料推移表!ao:ao,生产物料推移表!L:L,"计划生产",生产物料推移表!B:B,"852-211000-100")</f>
        <v>0</v>
      </c>
      <c r="AP102">
        <f>sumifs(生产物料推移表!ap:ap,生产物料推移表!L:L,"计划生产",生产物料推移表!B:B,"852-211000-100")</f>
        <v>0</v>
      </c>
      <c r="AQ102">
        <f>sumifs(生产物料推移表!aq:aq,生产物料推移表!L:L,"计划生产",生产物料推移表!B:B,"852-211000-100")</f>
        <v>0</v>
      </c>
      <c r="AR102">
        <f>sumifs(生产物料推移表!ar:ar,生产物料推移表!L:L,"计划生产",生产物料推移表!B:B,"852-211000-100")</f>
        <v>0</v>
      </c>
      <c r="BY102">
        <f>sum(j102:an102)</f>
        <v>0</v>
      </c>
    </row>
    <row r="103" spans="1:77">
      <c r="A103" t="s">
        <v>14</v>
      </c>
      <c r="B103" t="s">
        <v>482</v>
      </c>
      <c r="C103" t="s">
        <v>484</v>
      </c>
      <c r="D103" t="s">
        <v>452</v>
      </c>
      <c r="E103" t="s">
        <v>444</v>
      </c>
      <c r="F103" t="s">
        <v>484</v>
      </c>
      <c r="K103" t="s">
        <v>497</v>
      </c>
      <c r="L103" t="s">
        <v>37</v>
      </c>
      <c r="M103">
        <f>sumifs(生产物料推移表!m:m,生产物料推移表!L:L,"计划生产",生产物料推移表!B:B,"852-226000-100")</f>
        <v>0</v>
      </c>
      <c r="N103">
        <f>sumifs(生产物料推移表!n:n,生产物料推移表!L:L,"计划生产",生产物料推移表!B:B,"852-226000-100")</f>
        <v>0</v>
      </c>
      <c r="O103">
        <f>sumifs(生产物料推移表!o:o,生产物料推移表!L:L,"计划生产",生产物料推移表!B:B,"852-226000-100")</f>
        <v>0</v>
      </c>
      <c r="P103">
        <f>sumifs(生产物料推移表!p:p,生产物料推移表!L:L,"计划生产",生产物料推移表!B:B,"852-226000-100")</f>
        <v>0</v>
      </c>
      <c r="Q103">
        <f>sumifs(生产物料推移表!q:q,生产物料推移表!L:L,"计划生产",生产物料推移表!B:B,"852-226000-100")</f>
        <v>0</v>
      </c>
      <c r="R103">
        <f>sumifs(生产物料推移表!r:r,生产物料推移表!L:L,"计划生产",生产物料推移表!B:B,"852-226000-100")</f>
        <v>0</v>
      </c>
      <c r="S103">
        <f>sumifs(生产物料推移表!s:s,生产物料推移表!L:L,"计划生产",生产物料推移表!B:B,"852-226000-100")</f>
        <v>0</v>
      </c>
      <c r="T103">
        <f>sumifs(生产物料推移表!t:t,生产物料推移表!L:L,"计划生产",生产物料推移表!B:B,"852-226000-100")</f>
        <v>0</v>
      </c>
      <c r="U103">
        <f>sumifs(生产物料推移表!u:u,生产物料推移表!L:L,"计划生产",生产物料推移表!B:B,"852-226000-100")</f>
        <v>0</v>
      </c>
      <c r="V103">
        <f>sumifs(生产物料推移表!v:v,生产物料推移表!L:L,"计划生产",生产物料推移表!B:B,"852-226000-100")</f>
        <v>0</v>
      </c>
      <c r="W103">
        <f>sumifs(生产物料推移表!w:w,生产物料推移表!L:L,"计划生产",生产物料推移表!B:B,"852-226000-100")</f>
        <v>0</v>
      </c>
      <c r="X103">
        <f>sumifs(生产物料推移表!x:x,生产物料推移表!L:L,"计划生产",生产物料推移表!B:B,"852-226000-100")</f>
        <v>0</v>
      </c>
      <c r="Y103">
        <f>sumifs(生产物料推移表!y:y,生产物料推移表!L:L,"计划生产",生产物料推移表!B:B,"852-226000-100")</f>
        <v>0</v>
      </c>
      <c r="Z103">
        <f>sumifs(生产物料推移表!z:z,生产物料推移表!L:L,"计划生产",生产物料推移表!B:B,"852-226000-100")</f>
        <v>0</v>
      </c>
      <c r="AA103">
        <f>sumifs(生产物料推移表!aa:aa,生产物料推移表!L:L,"计划生产",生产物料推移表!B:B,"852-226000-100")</f>
        <v>0</v>
      </c>
      <c r="AB103">
        <f>sumifs(生产物料推移表!ab:ab,生产物料推移表!L:L,"计划生产",生产物料推移表!B:B,"852-226000-100")</f>
        <v>0</v>
      </c>
      <c r="AC103">
        <f>sumifs(生产物料推移表!ac:ac,生产物料推移表!L:L,"计划生产",生产物料推移表!B:B,"852-226000-100")</f>
        <v>0</v>
      </c>
      <c r="AD103">
        <f>sumifs(生产物料推移表!ad:ad,生产物料推移表!L:L,"计划生产",生产物料推移表!B:B,"852-226000-100")</f>
        <v>0</v>
      </c>
      <c r="AE103">
        <f>sumifs(生产物料推移表!ae:ae,生产物料推移表!L:L,"计划生产",生产物料推移表!B:B,"852-226000-100")</f>
        <v>0</v>
      </c>
      <c r="AF103">
        <f>sumifs(生产物料推移表!af:af,生产物料推移表!L:L,"计划生产",生产物料推移表!B:B,"852-226000-100")</f>
        <v>0</v>
      </c>
      <c r="AG103">
        <f>sumifs(生产物料推移表!ag:ag,生产物料推移表!L:L,"计划生产",生产物料推移表!B:B,"852-226000-100")</f>
        <v>0</v>
      </c>
      <c r="AH103">
        <f>sumifs(生产物料推移表!ah:ah,生产物料推移表!L:L,"计划生产",生产物料推移表!B:B,"852-226000-100")</f>
        <v>0</v>
      </c>
      <c r="AI103">
        <f>sumifs(生产物料推移表!ai:ai,生产物料推移表!L:L,"计划生产",生产物料推移表!B:B,"852-226000-100")</f>
        <v>0</v>
      </c>
      <c r="AJ103">
        <f>sumifs(生产物料推移表!aj:aj,生产物料推移表!L:L,"计划生产",生产物料推移表!B:B,"852-226000-100")</f>
        <v>0</v>
      </c>
      <c r="AK103">
        <f>sumifs(生产物料推移表!ak:ak,生产物料推移表!L:L,"计划生产",生产物料推移表!B:B,"852-226000-100")</f>
        <v>0</v>
      </c>
      <c r="AL103">
        <f>sumifs(生产物料推移表!al:al,生产物料推移表!L:L,"计划生产",生产物料推移表!B:B,"852-226000-100")</f>
        <v>0</v>
      </c>
      <c r="AM103">
        <f>sumifs(生产物料推移表!am:am,生产物料推移表!L:L,"计划生产",生产物料推移表!B:B,"852-226000-100")</f>
        <v>0</v>
      </c>
      <c r="AN103">
        <f>sumifs(生产物料推移表!an:an,生产物料推移表!L:L,"计划生产",生产物料推移表!B:B,"852-226000-100")</f>
        <v>0</v>
      </c>
      <c r="AO103">
        <f>sumifs(生产物料推移表!ao:ao,生产物料推移表!L:L,"计划生产",生产物料推移表!B:B,"852-226000-100")</f>
        <v>0</v>
      </c>
      <c r="AP103">
        <f>sumifs(生产物料推移表!ap:ap,生产物料推移表!L:L,"计划生产",生产物料推移表!B:B,"852-226000-100")</f>
        <v>0</v>
      </c>
      <c r="AQ103">
        <f>sumifs(生产物料推移表!aq:aq,生产物料推移表!L:L,"计划生产",生产物料推移表!B:B,"852-226000-100")</f>
        <v>0</v>
      </c>
      <c r="AR103">
        <f>sumifs(生产物料推移表!ar:ar,生产物料推移表!L:L,"计划生产",生产物料推移表!B:B,"852-226000-100")</f>
        <v>0</v>
      </c>
      <c r="BY103">
        <f>sum(j103:an103)</f>
        <v>0</v>
      </c>
    </row>
    <row r="104" spans="1:77">
      <c r="A104" t="s">
        <v>14</v>
      </c>
      <c r="B104" t="s">
        <v>467</v>
      </c>
      <c r="C104" t="s">
        <v>470</v>
      </c>
      <c r="D104" t="s">
        <v>469</v>
      </c>
      <c r="E104" t="s">
        <v>444</v>
      </c>
      <c r="F104" t="s">
        <v>470</v>
      </c>
      <c r="K104" t="s">
        <v>497</v>
      </c>
      <c r="L104" t="s">
        <v>37</v>
      </c>
      <c r="M104">
        <f>sumifs(生产物料推移表!m:m,生产物料推移表!L:L,"计划生产",生产物料推移表!B:B,"852-220000-100")</f>
        <v>0</v>
      </c>
      <c r="N104">
        <f>sumifs(生产物料推移表!n:n,生产物料推移表!L:L,"计划生产",生产物料推移表!B:B,"852-220000-100")</f>
        <v>0</v>
      </c>
      <c r="O104">
        <f>sumifs(生产物料推移表!o:o,生产物料推移表!L:L,"计划生产",生产物料推移表!B:B,"852-220000-100")</f>
        <v>0</v>
      </c>
      <c r="P104">
        <f>sumifs(生产物料推移表!p:p,生产物料推移表!L:L,"计划生产",生产物料推移表!B:B,"852-220000-100")</f>
        <v>0</v>
      </c>
      <c r="Q104">
        <f>sumifs(生产物料推移表!q:q,生产物料推移表!L:L,"计划生产",生产物料推移表!B:B,"852-220000-100")</f>
        <v>0</v>
      </c>
      <c r="R104">
        <f>sumifs(生产物料推移表!r:r,生产物料推移表!L:L,"计划生产",生产物料推移表!B:B,"852-220000-100")</f>
        <v>0</v>
      </c>
      <c r="S104">
        <f>sumifs(生产物料推移表!s:s,生产物料推移表!L:L,"计划生产",生产物料推移表!B:B,"852-220000-100")</f>
        <v>0</v>
      </c>
      <c r="T104">
        <f>sumifs(生产物料推移表!t:t,生产物料推移表!L:L,"计划生产",生产物料推移表!B:B,"852-220000-100")</f>
        <v>0</v>
      </c>
      <c r="U104">
        <f>sumifs(生产物料推移表!u:u,生产物料推移表!L:L,"计划生产",生产物料推移表!B:B,"852-220000-100")</f>
        <v>0</v>
      </c>
      <c r="V104">
        <f>sumifs(生产物料推移表!v:v,生产物料推移表!L:L,"计划生产",生产物料推移表!B:B,"852-220000-100")</f>
        <v>0</v>
      </c>
      <c r="W104">
        <f>sumifs(生产物料推移表!w:w,生产物料推移表!L:L,"计划生产",生产物料推移表!B:B,"852-220000-100")</f>
        <v>0</v>
      </c>
      <c r="X104">
        <f>sumifs(生产物料推移表!x:x,生产物料推移表!L:L,"计划生产",生产物料推移表!B:B,"852-220000-100")</f>
        <v>0</v>
      </c>
      <c r="Y104">
        <f>sumifs(生产物料推移表!y:y,生产物料推移表!L:L,"计划生产",生产物料推移表!B:B,"852-220000-100")</f>
        <v>0</v>
      </c>
      <c r="Z104">
        <f>sumifs(生产物料推移表!z:z,生产物料推移表!L:L,"计划生产",生产物料推移表!B:B,"852-220000-100")</f>
        <v>0</v>
      </c>
      <c r="AA104">
        <f>sumifs(生产物料推移表!aa:aa,生产物料推移表!L:L,"计划生产",生产物料推移表!B:B,"852-220000-100")</f>
        <v>0</v>
      </c>
      <c r="AB104">
        <f>sumifs(生产物料推移表!ab:ab,生产物料推移表!L:L,"计划生产",生产物料推移表!B:B,"852-220000-100")</f>
        <v>0</v>
      </c>
      <c r="AC104">
        <f>sumifs(生产物料推移表!ac:ac,生产物料推移表!L:L,"计划生产",生产物料推移表!B:B,"852-220000-100")</f>
        <v>0</v>
      </c>
      <c r="AD104">
        <f>sumifs(生产物料推移表!ad:ad,生产物料推移表!L:L,"计划生产",生产物料推移表!B:B,"852-220000-100")</f>
        <v>0</v>
      </c>
      <c r="AE104">
        <f>sumifs(生产物料推移表!ae:ae,生产物料推移表!L:L,"计划生产",生产物料推移表!B:B,"852-220000-100")</f>
        <v>0</v>
      </c>
      <c r="AF104">
        <f>sumifs(生产物料推移表!af:af,生产物料推移表!L:L,"计划生产",生产物料推移表!B:B,"852-220000-100")</f>
        <v>0</v>
      </c>
      <c r="AG104">
        <f>sumifs(生产物料推移表!ag:ag,生产物料推移表!L:L,"计划生产",生产物料推移表!B:B,"852-220000-100")</f>
        <v>0</v>
      </c>
      <c r="AH104">
        <f>sumifs(生产物料推移表!ah:ah,生产物料推移表!L:L,"计划生产",生产物料推移表!B:B,"852-220000-100")</f>
        <v>0</v>
      </c>
      <c r="AI104">
        <f>sumifs(生产物料推移表!ai:ai,生产物料推移表!L:L,"计划生产",生产物料推移表!B:B,"852-220000-100")</f>
        <v>0</v>
      </c>
      <c r="AJ104">
        <f>sumifs(生产物料推移表!aj:aj,生产物料推移表!L:L,"计划生产",生产物料推移表!B:B,"852-220000-100")</f>
        <v>0</v>
      </c>
      <c r="AK104">
        <f>sumifs(生产物料推移表!ak:ak,生产物料推移表!L:L,"计划生产",生产物料推移表!B:B,"852-220000-100")</f>
        <v>0</v>
      </c>
      <c r="AL104">
        <f>sumifs(生产物料推移表!al:al,生产物料推移表!L:L,"计划生产",生产物料推移表!B:B,"852-220000-100")</f>
        <v>0</v>
      </c>
      <c r="AM104">
        <f>sumifs(生产物料推移表!am:am,生产物料推移表!L:L,"计划生产",生产物料推移表!B:B,"852-220000-100")</f>
        <v>0</v>
      </c>
      <c r="AN104">
        <f>sumifs(生产物料推移表!an:an,生产物料推移表!L:L,"计划生产",生产物料推移表!B:B,"852-220000-100")</f>
        <v>0</v>
      </c>
      <c r="AO104">
        <f>sumifs(生产物料推移表!ao:ao,生产物料推移表!L:L,"计划生产",生产物料推移表!B:B,"852-220000-100")</f>
        <v>0</v>
      </c>
      <c r="AP104">
        <f>sumifs(生产物料推移表!ap:ap,生产物料推移表!L:L,"计划生产",生产物料推移表!B:B,"852-220000-100")</f>
        <v>0</v>
      </c>
      <c r="AQ104">
        <f>sumifs(生产物料推移表!aq:aq,生产物料推移表!L:L,"计划生产",生产物料推移表!B:B,"852-220000-100")</f>
        <v>0</v>
      </c>
      <c r="AR104">
        <f>sumifs(生产物料推移表!ar:ar,生产物料推移表!L:L,"计划生产",生产物料推移表!B:B,"852-220000-100")</f>
        <v>0</v>
      </c>
      <c r="BY104">
        <f>sum(j104:an104)</f>
        <v>0</v>
      </c>
    </row>
    <row r="105" spans="1:77">
      <c r="A105" t="s">
        <v>14</v>
      </c>
      <c r="B105" t="s">
        <v>471</v>
      </c>
      <c r="C105" t="s">
        <v>474</v>
      </c>
      <c r="D105" t="s">
        <v>473</v>
      </c>
      <c r="E105">
        <v>1</v>
      </c>
      <c r="F105" t="s">
        <v>474</v>
      </c>
      <c r="K105" t="s">
        <v>497</v>
      </c>
      <c r="L105" t="s">
        <v>37</v>
      </c>
      <c r="M105">
        <f>sumifs(生产物料推移表!m:m,生产物料推移表!L:L,"计划生产",生产物料推移表!B:B,"852-224000-100")</f>
        <v>0</v>
      </c>
      <c r="N105">
        <f>sumifs(生产物料推移表!n:n,生产物料推移表!L:L,"计划生产",生产物料推移表!B:B,"852-224000-100")</f>
        <v>0</v>
      </c>
      <c r="O105">
        <f>sumifs(生产物料推移表!o:o,生产物料推移表!L:L,"计划生产",生产物料推移表!B:B,"852-224000-100")</f>
        <v>0</v>
      </c>
      <c r="P105">
        <f>sumifs(生产物料推移表!p:p,生产物料推移表!L:L,"计划生产",生产物料推移表!B:B,"852-224000-100")</f>
        <v>0</v>
      </c>
      <c r="Q105">
        <f>sumifs(生产物料推移表!q:q,生产物料推移表!L:L,"计划生产",生产物料推移表!B:B,"852-224000-100")</f>
        <v>0</v>
      </c>
      <c r="R105">
        <f>sumifs(生产物料推移表!r:r,生产物料推移表!L:L,"计划生产",生产物料推移表!B:B,"852-224000-100")</f>
        <v>0</v>
      </c>
      <c r="S105">
        <f>sumifs(生产物料推移表!s:s,生产物料推移表!L:L,"计划生产",生产物料推移表!B:B,"852-224000-100")</f>
        <v>0</v>
      </c>
      <c r="T105">
        <f>sumifs(生产物料推移表!t:t,生产物料推移表!L:L,"计划生产",生产物料推移表!B:B,"852-224000-100")</f>
        <v>0</v>
      </c>
      <c r="U105">
        <f>sumifs(生产物料推移表!u:u,生产物料推移表!L:L,"计划生产",生产物料推移表!B:B,"852-224000-100")</f>
        <v>0</v>
      </c>
      <c r="V105">
        <f>sumifs(生产物料推移表!v:v,生产物料推移表!L:L,"计划生产",生产物料推移表!B:B,"852-224000-100")</f>
        <v>0</v>
      </c>
      <c r="W105">
        <f>sumifs(生产物料推移表!w:w,生产物料推移表!L:L,"计划生产",生产物料推移表!B:B,"852-224000-100")</f>
        <v>0</v>
      </c>
      <c r="X105">
        <f>sumifs(生产物料推移表!x:x,生产物料推移表!L:L,"计划生产",生产物料推移表!B:B,"852-224000-100")</f>
        <v>0</v>
      </c>
      <c r="Y105">
        <f>sumifs(生产物料推移表!y:y,生产物料推移表!L:L,"计划生产",生产物料推移表!B:B,"852-224000-100")</f>
        <v>0</v>
      </c>
      <c r="Z105">
        <f>sumifs(生产物料推移表!z:z,生产物料推移表!L:L,"计划生产",生产物料推移表!B:B,"852-224000-100")</f>
        <v>0</v>
      </c>
      <c r="AA105">
        <f>sumifs(生产物料推移表!aa:aa,生产物料推移表!L:L,"计划生产",生产物料推移表!B:B,"852-224000-100")</f>
        <v>0</v>
      </c>
      <c r="AB105">
        <f>sumifs(生产物料推移表!ab:ab,生产物料推移表!L:L,"计划生产",生产物料推移表!B:B,"852-224000-100")</f>
        <v>0</v>
      </c>
      <c r="AC105">
        <f>sumifs(生产物料推移表!ac:ac,生产物料推移表!L:L,"计划生产",生产物料推移表!B:B,"852-224000-100")</f>
        <v>0</v>
      </c>
      <c r="AD105">
        <f>sumifs(生产物料推移表!ad:ad,生产物料推移表!L:L,"计划生产",生产物料推移表!B:B,"852-224000-100")</f>
        <v>0</v>
      </c>
      <c r="AE105">
        <f>sumifs(生产物料推移表!ae:ae,生产物料推移表!L:L,"计划生产",生产物料推移表!B:B,"852-224000-100")</f>
        <v>0</v>
      </c>
      <c r="AF105">
        <f>sumifs(生产物料推移表!af:af,生产物料推移表!L:L,"计划生产",生产物料推移表!B:B,"852-224000-100")</f>
        <v>0</v>
      </c>
      <c r="AG105">
        <f>sumifs(生产物料推移表!ag:ag,生产物料推移表!L:L,"计划生产",生产物料推移表!B:B,"852-224000-100")</f>
        <v>0</v>
      </c>
      <c r="AH105">
        <f>sumifs(生产物料推移表!ah:ah,生产物料推移表!L:L,"计划生产",生产物料推移表!B:B,"852-224000-100")</f>
        <v>0</v>
      </c>
      <c r="AI105">
        <f>sumifs(生产物料推移表!ai:ai,生产物料推移表!L:L,"计划生产",生产物料推移表!B:B,"852-224000-100")</f>
        <v>0</v>
      </c>
      <c r="AJ105">
        <f>sumifs(生产物料推移表!aj:aj,生产物料推移表!L:L,"计划生产",生产物料推移表!B:B,"852-224000-100")</f>
        <v>0</v>
      </c>
      <c r="AK105">
        <f>sumifs(生产物料推移表!ak:ak,生产物料推移表!L:L,"计划生产",生产物料推移表!B:B,"852-224000-100")</f>
        <v>0</v>
      </c>
      <c r="AL105">
        <f>sumifs(生产物料推移表!al:al,生产物料推移表!L:L,"计划生产",生产物料推移表!B:B,"852-224000-100")</f>
        <v>0</v>
      </c>
      <c r="AM105">
        <f>sumifs(生产物料推移表!am:am,生产物料推移表!L:L,"计划生产",生产物料推移表!B:B,"852-224000-100")</f>
        <v>0</v>
      </c>
      <c r="AN105">
        <f>sumifs(生产物料推移表!an:an,生产物料推移表!L:L,"计划生产",生产物料推移表!B:B,"852-224000-100")</f>
        <v>0</v>
      </c>
      <c r="AO105">
        <f>sumifs(生产物料推移表!ao:ao,生产物料推移表!L:L,"计划生产",生产物料推移表!B:B,"852-224000-100")</f>
        <v>0</v>
      </c>
      <c r="AP105">
        <f>sumifs(生产物料推移表!ap:ap,生产物料推移表!L:L,"计划生产",生产物料推移表!B:B,"852-224000-100")</f>
        <v>0</v>
      </c>
      <c r="AQ105">
        <f>sumifs(生产物料推移表!aq:aq,生产物料推移表!L:L,"计划生产",生产物料推移表!B:B,"852-224000-100")</f>
        <v>0</v>
      </c>
      <c r="AR105">
        <f>sumifs(生产物料推移表!ar:ar,生产物料推移表!L:L,"计划生产",生产物料推移表!B:B,"852-224000-100")</f>
        <v>0</v>
      </c>
      <c r="BY105">
        <f>sum(j105:an105)</f>
        <v>0</v>
      </c>
    </row>
    <row r="106" spans="1:77">
      <c r="A106" t="s">
        <v>14</v>
      </c>
      <c r="B106" t="s">
        <v>494</v>
      </c>
      <c r="C106" t="s">
        <v>496</v>
      </c>
      <c r="D106" t="s">
        <v>480</v>
      </c>
      <c r="E106" t="s">
        <v>444</v>
      </c>
      <c r="F106" t="s">
        <v>496</v>
      </c>
      <c r="K106" t="s">
        <v>497</v>
      </c>
      <c r="L106" t="s">
        <v>37</v>
      </c>
      <c r="M106">
        <f>sumifs(生产物料推移表!m:m,生产物料推移表!L:L,"计划生产",生产物料推移表!B:B,"852-225000-200")</f>
        <v>0</v>
      </c>
      <c r="N106">
        <f>sumifs(生产物料推移表!n:n,生产物料推移表!L:L,"计划生产",生产物料推移表!B:B,"852-225000-200")</f>
        <v>0</v>
      </c>
      <c r="O106">
        <f>sumifs(生产物料推移表!o:o,生产物料推移表!L:L,"计划生产",生产物料推移表!B:B,"852-225000-200")</f>
        <v>0</v>
      </c>
      <c r="P106">
        <f>sumifs(生产物料推移表!p:p,生产物料推移表!L:L,"计划生产",生产物料推移表!B:B,"852-225000-200")</f>
        <v>0</v>
      </c>
      <c r="Q106">
        <f>sumifs(生产物料推移表!q:q,生产物料推移表!L:L,"计划生产",生产物料推移表!B:B,"852-225000-200")</f>
        <v>0</v>
      </c>
      <c r="R106">
        <f>sumifs(生产物料推移表!r:r,生产物料推移表!L:L,"计划生产",生产物料推移表!B:B,"852-225000-200")</f>
        <v>0</v>
      </c>
      <c r="S106">
        <f>sumifs(生产物料推移表!s:s,生产物料推移表!L:L,"计划生产",生产物料推移表!B:B,"852-225000-200")</f>
        <v>0</v>
      </c>
      <c r="T106">
        <f>sumifs(生产物料推移表!t:t,生产物料推移表!L:L,"计划生产",生产物料推移表!B:B,"852-225000-200")</f>
        <v>0</v>
      </c>
      <c r="U106">
        <f>sumifs(生产物料推移表!u:u,生产物料推移表!L:L,"计划生产",生产物料推移表!B:B,"852-225000-200")</f>
        <v>0</v>
      </c>
      <c r="V106">
        <f>sumifs(生产物料推移表!v:v,生产物料推移表!L:L,"计划生产",生产物料推移表!B:B,"852-225000-200")</f>
        <v>0</v>
      </c>
      <c r="W106">
        <f>sumifs(生产物料推移表!w:w,生产物料推移表!L:L,"计划生产",生产物料推移表!B:B,"852-225000-200")</f>
        <v>0</v>
      </c>
      <c r="X106">
        <f>sumifs(生产物料推移表!x:x,生产物料推移表!L:L,"计划生产",生产物料推移表!B:B,"852-225000-200")</f>
        <v>0</v>
      </c>
      <c r="Y106">
        <f>sumifs(生产物料推移表!y:y,生产物料推移表!L:L,"计划生产",生产物料推移表!B:B,"852-225000-200")</f>
        <v>0</v>
      </c>
      <c r="Z106">
        <f>sumifs(生产物料推移表!z:z,生产物料推移表!L:L,"计划生产",生产物料推移表!B:B,"852-225000-200")</f>
        <v>0</v>
      </c>
      <c r="AA106">
        <f>sumifs(生产物料推移表!aa:aa,生产物料推移表!L:L,"计划生产",生产物料推移表!B:B,"852-225000-200")</f>
        <v>0</v>
      </c>
      <c r="AB106">
        <f>sumifs(生产物料推移表!ab:ab,生产物料推移表!L:L,"计划生产",生产物料推移表!B:B,"852-225000-200")</f>
        <v>0</v>
      </c>
      <c r="AC106">
        <f>sumifs(生产物料推移表!ac:ac,生产物料推移表!L:L,"计划生产",生产物料推移表!B:B,"852-225000-200")</f>
        <v>0</v>
      </c>
      <c r="AD106">
        <f>sumifs(生产物料推移表!ad:ad,生产物料推移表!L:L,"计划生产",生产物料推移表!B:B,"852-225000-200")</f>
        <v>0</v>
      </c>
      <c r="AE106">
        <f>sumifs(生产物料推移表!ae:ae,生产物料推移表!L:L,"计划生产",生产物料推移表!B:B,"852-225000-200")</f>
        <v>0</v>
      </c>
      <c r="AF106">
        <f>sumifs(生产物料推移表!af:af,生产物料推移表!L:L,"计划生产",生产物料推移表!B:B,"852-225000-200")</f>
        <v>0</v>
      </c>
      <c r="AG106">
        <f>sumifs(生产物料推移表!ag:ag,生产物料推移表!L:L,"计划生产",生产物料推移表!B:B,"852-225000-200")</f>
        <v>0</v>
      </c>
      <c r="AH106">
        <f>sumifs(生产物料推移表!ah:ah,生产物料推移表!L:L,"计划生产",生产物料推移表!B:B,"852-225000-200")</f>
        <v>0</v>
      </c>
      <c r="AI106">
        <f>sumifs(生产物料推移表!ai:ai,生产物料推移表!L:L,"计划生产",生产物料推移表!B:B,"852-225000-200")</f>
        <v>0</v>
      </c>
      <c r="AJ106">
        <f>sumifs(生产物料推移表!aj:aj,生产物料推移表!L:L,"计划生产",生产物料推移表!B:B,"852-225000-200")</f>
        <v>0</v>
      </c>
      <c r="AK106">
        <f>sumifs(生产物料推移表!ak:ak,生产物料推移表!L:L,"计划生产",生产物料推移表!B:B,"852-225000-200")</f>
        <v>0</v>
      </c>
      <c r="AL106">
        <f>sumifs(生产物料推移表!al:al,生产物料推移表!L:L,"计划生产",生产物料推移表!B:B,"852-225000-200")</f>
        <v>0</v>
      </c>
      <c r="AM106">
        <f>sumifs(生产物料推移表!am:am,生产物料推移表!L:L,"计划生产",生产物料推移表!B:B,"852-225000-200")</f>
        <v>0</v>
      </c>
      <c r="AN106">
        <f>sumifs(生产物料推移表!an:an,生产物料推移表!L:L,"计划生产",生产物料推移表!B:B,"852-225000-200")</f>
        <v>0</v>
      </c>
      <c r="AO106">
        <f>sumifs(生产物料推移表!ao:ao,生产物料推移表!L:L,"计划生产",生产物料推移表!B:B,"852-225000-200")</f>
        <v>0</v>
      </c>
      <c r="AP106">
        <f>sumifs(生产物料推移表!ap:ap,生产物料推移表!L:L,"计划生产",生产物料推移表!B:B,"852-225000-200")</f>
        <v>0</v>
      </c>
      <c r="AQ106">
        <f>sumifs(生产物料推移表!aq:aq,生产物料推移表!L:L,"计划生产",生产物料推移表!B:B,"852-225000-200")</f>
        <v>0</v>
      </c>
      <c r="AR106">
        <f>sumifs(生产物料推移表!ar:ar,生产物料推移表!L:L,"计划生产",生产物料推移表!B:B,"852-225000-200")</f>
        <v>0</v>
      </c>
      <c r="BY106">
        <f>sum(j106:an106)</f>
        <v>0</v>
      </c>
    </row>
    <row r="107" spans="1:77">
      <c r="A107" t="s">
        <v>14</v>
      </c>
      <c r="B107" t="s">
        <v>482</v>
      </c>
      <c r="C107" t="s">
        <v>484</v>
      </c>
      <c r="D107" t="s">
        <v>452</v>
      </c>
      <c r="E107" t="s">
        <v>444</v>
      </c>
      <c r="F107" t="s">
        <v>484</v>
      </c>
      <c r="K107" t="s">
        <v>497</v>
      </c>
      <c r="L107" t="s">
        <v>37</v>
      </c>
      <c r="M107">
        <f>sumifs(生产物料推移表!m:m,生产物料推移表!L:L,"计划生产",生产物料推移表!B:B,"852-226000-100")</f>
        <v>0</v>
      </c>
      <c r="N107">
        <f>sumifs(生产物料推移表!n:n,生产物料推移表!L:L,"计划生产",生产物料推移表!B:B,"852-226000-100")</f>
        <v>0</v>
      </c>
      <c r="O107">
        <f>sumifs(生产物料推移表!o:o,生产物料推移表!L:L,"计划生产",生产物料推移表!B:B,"852-226000-100")</f>
        <v>0</v>
      </c>
      <c r="P107">
        <f>sumifs(生产物料推移表!p:p,生产物料推移表!L:L,"计划生产",生产物料推移表!B:B,"852-226000-100")</f>
        <v>0</v>
      </c>
      <c r="Q107">
        <f>sumifs(生产物料推移表!q:q,生产物料推移表!L:L,"计划生产",生产物料推移表!B:B,"852-226000-100")</f>
        <v>0</v>
      </c>
      <c r="R107">
        <f>sumifs(生产物料推移表!r:r,生产物料推移表!L:L,"计划生产",生产物料推移表!B:B,"852-226000-100")</f>
        <v>0</v>
      </c>
      <c r="S107">
        <f>sumifs(生产物料推移表!s:s,生产物料推移表!L:L,"计划生产",生产物料推移表!B:B,"852-226000-100")</f>
        <v>0</v>
      </c>
      <c r="T107">
        <f>sumifs(生产物料推移表!t:t,生产物料推移表!L:L,"计划生产",生产物料推移表!B:B,"852-226000-100")</f>
        <v>0</v>
      </c>
      <c r="U107">
        <f>sumifs(生产物料推移表!u:u,生产物料推移表!L:L,"计划生产",生产物料推移表!B:B,"852-226000-100")</f>
        <v>0</v>
      </c>
      <c r="V107">
        <f>sumifs(生产物料推移表!v:v,生产物料推移表!L:L,"计划生产",生产物料推移表!B:B,"852-226000-100")</f>
        <v>0</v>
      </c>
      <c r="W107">
        <f>sumifs(生产物料推移表!w:w,生产物料推移表!L:L,"计划生产",生产物料推移表!B:B,"852-226000-100")</f>
        <v>0</v>
      </c>
      <c r="X107">
        <f>sumifs(生产物料推移表!x:x,生产物料推移表!L:L,"计划生产",生产物料推移表!B:B,"852-226000-100")</f>
        <v>0</v>
      </c>
      <c r="Y107">
        <f>sumifs(生产物料推移表!y:y,生产物料推移表!L:L,"计划生产",生产物料推移表!B:B,"852-226000-100")</f>
        <v>0</v>
      </c>
      <c r="Z107">
        <f>sumifs(生产物料推移表!z:z,生产物料推移表!L:L,"计划生产",生产物料推移表!B:B,"852-226000-100")</f>
        <v>0</v>
      </c>
      <c r="AA107">
        <f>sumifs(生产物料推移表!aa:aa,生产物料推移表!L:L,"计划生产",生产物料推移表!B:B,"852-226000-100")</f>
        <v>0</v>
      </c>
      <c r="AB107">
        <f>sumifs(生产物料推移表!ab:ab,生产物料推移表!L:L,"计划生产",生产物料推移表!B:B,"852-226000-100")</f>
        <v>0</v>
      </c>
      <c r="AC107">
        <f>sumifs(生产物料推移表!ac:ac,生产物料推移表!L:L,"计划生产",生产物料推移表!B:B,"852-226000-100")</f>
        <v>0</v>
      </c>
      <c r="AD107">
        <f>sumifs(生产物料推移表!ad:ad,生产物料推移表!L:L,"计划生产",生产物料推移表!B:B,"852-226000-100")</f>
        <v>0</v>
      </c>
      <c r="AE107">
        <f>sumifs(生产物料推移表!ae:ae,生产物料推移表!L:L,"计划生产",生产物料推移表!B:B,"852-226000-100")</f>
        <v>0</v>
      </c>
      <c r="AF107">
        <f>sumifs(生产物料推移表!af:af,生产物料推移表!L:L,"计划生产",生产物料推移表!B:B,"852-226000-100")</f>
        <v>0</v>
      </c>
      <c r="AG107">
        <f>sumifs(生产物料推移表!ag:ag,生产物料推移表!L:L,"计划生产",生产物料推移表!B:B,"852-226000-100")</f>
        <v>0</v>
      </c>
      <c r="AH107">
        <f>sumifs(生产物料推移表!ah:ah,生产物料推移表!L:L,"计划生产",生产物料推移表!B:B,"852-226000-100")</f>
        <v>0</v>
      </c>
      <c r="AI107">
        <f>sumifs(生产物料推移表!ai:ai,生产物料推移表!L:L,"计划生产",生产物料推移表!B:B,"852-226000-100")</f>
        <v>0</v>
      </c>
      <c r="AJ107">
        <f>sumifs(生产物料推移表!aj:aj,生产物料推移表!L:L,"计划生产",生产物料推移表!B:B,"852-226000-100")</f>
        <v>0</v>
      </c>
      <c r="AK107">
        <f>sumifs(生产物料推移表!ak:ak,生产物料推移表!L:L,"计划生产",生产物料推移表!B:B,"852-226000-100")</f>
        <v>0</v>
      </c>
      <c r="AL107">
        <f>sumifs(生产物料推移表!al:al,生产物料推移表!L:L,"计划生产",生产物料推移表!B:B,"852-226000-100")</f>
        <v>0</v>
      </c>
      <c r="AM107">
        <f>sumifs(生产物料推移表!am:am,生产物料推移表!L:L,"计划生产",生产物料推移表!B:B,"852-226000-100")</f>
        <v>0</v>
      </c>
      <c r="AN107">
        <f>sumifs(生产物料推移表!an:an,生产物料推移表!L:L,"计划生产",生产物料推移表!B:B,"852-226000-100")</f>
        <v>0</v>
      </c>
      <c r="AO107">
        <f>sumifs(生产物料推移表!ao:ao,生产物料推移表!L:L,"计划生产",生产物料推移表!B:B,"852-226000-100")</f>
        <v>0</v>
      </c>
      <c r="AP107">
        <f>sumifs(生产物料推移表!ap:ap,生产物料推移表!L:L,"计划生产",生产物料推移表!B:B,"852-226000-100")</f>
        <v>0</v>
      </c>
      <c r="AQ107">
        <f>sumifs(生产物料推移表!aq:aq,生产物料推移表!L:L,"计划生产",生产物料推移表!B:B,"852-226000-100")</f>
        <v>0</v>
      </c>
      <c r="AR107">
        <f>sumifs(生产物料推移表!ar:ar,生产物料推移表!L:L,"计划生产",生产物料推移表!B:B,"852-226000-100")</f>
        <v>0</v>
      </c>
      <c r="BY107">
        <f>sum(j107:an107)</f>
        <v>0</v>
      </c>
    </row>
    <row r="108" spans="1:77">
      <c r="A108" t="s">
        <v>14</v>
      </c>
      <c r="B108" t="s">
        <v>513</v>
      </c>
      <c r="C108" t="s">
        <v>514</v>
      </c>
      <c r="E108">
        <v>1</v>
      </c>
      <c r="F108" t="s">
        <v>515</v>
      </c>
      <c r="K108" t="s">
        <v>516</v>
      </c>
      <c r="L108" t="s">
        <v>37</v>
      </c>
      <c r="M108">
        <f>sumifs(生产物料推移表!m:m,生产物料推移表!L:L,"计划生产",生产物料推移表!B:B,"952-180000-100")</f>
        <v>0</v>
      </c>
      <c r="N108">
        <f>sumifs(生产物料推移表!n:n,生产物料推移表!L:L,"计划生产",生产物料推移表!B:B,"952-180000-100")</f>
        <v>0</v>
      </c>
      <c r="O108">
        <f>sumifs(生产物料推移表!o:o,生产物料推移表!L:L,"计划生产",生产物料推移表!B:B,"952-180000-100")</f>
        <v>0</v>
      </c>
      <c r="P108">
        <f>sumifs(生产物料推移表!p:p,生产物料推移表!L:L,"计划生产",生产物料推移表!B:B,"952-180000-100")</f>
        <v>0</v>
      </c>
      <c r="Q108">
        <f>sumifs(生产物料推移表!q:q,生产物料推移表!L:L,"计划生产",生产物料推移表!B:B,"952-180000-100")</f>
        <v>0</v>
      </c>
      <c r="R108">
        <f>sumifs(生产物料推移表!r:r,生产物料推移表!L:L,"计划生产",生产物料推移表!B:B,"952-180000-100")</f>
        <v>0</v>
      </c>
      <c r="S108">
        <f>sumifs(生产物料推移表!s:s,生产物料推移表!L:L,"计划生产",生产物料推移表!B:B,"952-180000-100")</f>
        <v>0</v>
      </c>
      <c r="T108">
        <f>sumifs(生产物料推移表!t:t,生产物料推移表!L:L,"计划生产",生产物料推移表!B:B,"952-180000-100")</f>
        <v>0</v>
      </c>
      <c r="U108">
        <f>sumifs(生产物料推移表!u:u,生产物料推移表!L:L,"计划生产",生产物料推移表!B:B,"952-180000-100")</f>
        <v>0</v>
      </c>
      <c r="V108">
        <f>sumifs(生产物料推移表!v:v,生产物料推移表!L:L,"计划生产",生产物料推移表!B:B,"952-180000-100")</f>
        <v>0</v>
      </c>
      <c r="W108">
        <f>sumifs(生产物料推移表!w:w,生产物料推移表!L:L,"计划生产",生产物料推移表!B:B,"952-180000-100")</f>
        <v>0</v>
      </c>
      <c r="X108">
        <f>sumifs(生产物料推移表!x:x,生产物料推移表!L:L,"计划生产",生产物料推移表!B:B,"952-180000-100")</f>
        <v>0</v>
      </c>
      <c r="Y108">
        <f>sumifs(生产物料推移表!y:y,生产物料推移表!L:L,"计划生产",生产物料推移表!B:B,"952-180000-100")</f>
        <v>0</v>
      </c>
      <c r="Z108">
        <f>sumifs(生产物料推移表!z:z,生产物料推移表!L:L,"计划生产",生产物料推移表!B:B,"952-180000-100")</f>
        <v>0</v>
      </c>
      <c r="AA108">
        <f>sumifs(生产物料推移表!aa:aa,生产物料推移表!L:L,"计划生产",生产物料推移表!B:B,"952-180000-100")</f>
        <v>0</v>
      </c>
      <c r="AB108">
        <f>sumifs(生产物料推移表!ab:ab,生产物料推移表!L:L,"计划生产",生产物料推移表!B:B,"952-180000-100")</f>
        <v>0</v>
      </c>
      <c r="AC108">
        <f>sumifs(生产物料推移表!ac:ac,生产物料推移表!L:L,"计划生产",生产物料推移表!B:B,"952-180000-100")</f>
        <v>0</v>
      </c>
      <c r="AD108">
        <f>sumifs(生产物料推移表!ad:ad,生产物料推移表!L:L,"计划生产",生产物料推移表!B:B,"952-180000-100")</f>
        <v>0</v>
      </c>
      <c r="AE108">
        <f>sumifs(生产物料推移表!ae:ae,生产物料推移表!L:L,"计划生产",生产物料推移表!B:B,"952-180000-100")</f>
        <v>0</v>
      </c>
      <c r="AF108">
        <f>sumifs(生产物料推移表!af:af,生产物料推移表!L:L,"计划生产",生产物料推移表!B:B,"952-180000-100")</f>
        <v>0</v>
      </c>
      <c r="AG108">
        <f>sumifs(生产物料推移表!ag:ag,生产物料推移表!L:L,"计划生产",生产物料推移表!B:B,"952-180000-100")</f>
        <v>0</v>
      </c>
      <c r="AH108">
        <f>sumifs(生产物料推移表!ah:ah,生产物料推移表!L:L,"计划生产",生产物料推移表!B:B,"952-180000-100")</f>
        <v>0</v>
      </c>
      <c r="AI108">
        <f>sumifs(生产物料推移表!ai:ai,生产物料推移表!L:L,"计划生产",生产物料推移表!B:B,"952-180000-100")</f>
        <v>0</v>
      </c>
      <c r="AJ108">
        <f>sumifs(生产物料推移表!aj:aj,生产物料推移表!L:L,"计划生产",生产物料推移表!B:B,"952-180000-100")</f>
        <v>0</v>
      </c>
      <c r="AK108">
        <f>sumifs(生产物料推移表!ak:ak,生产物料推移表!L:L,"计划生产",生产物料推移表!B:B,"952-180000-100")</f>
        <v>0</v>
      </c>
      <c r="AL108">
        <f>sumifs(生产物料推移表!al:al,生产物料推移表!L:L,"计划生产",生产物料推移表!B:B,"952-180000-100")</f>
        <v>0</v>
      </c>
      <c r="AM108">
        <f>sumifs(生产物料推移表!am:am,生产物料推移表!L:L,"计划生产",生产物料推移表!B:B,"952-180000-100")</f>
        <v>0</v>
      </c>
      <c r="AN108">
        <f>sumifs(生产物料推移表!an:an,生产物料推移表!L:L,"计划生产",生产物料推移表!B:B,"952-180000-100")</f>
        <v>0</v>
      </c>
      <c r="AO108">
        <f>sumifs(生产物料推移表!ao:ao,生产物料推移表!L:L,"计划生产",生产物料推移表!B:B,"952-180000-100")</f>
        <v>0</v>
      </c>
      <c r="AP108">
        <f>sumifs(生产物料推移表!ap:ap,生产物料推移表!L:L,"计划生产",生产物料推移表!B:B,"952-180000-100")</f>
        <v>0</v>
      </c>
      <c r="AQ108">
        <f>sumifs(生产物料推移表!aq:aq,生产物料推移表!L:L,"计划生产",生产物料推移表!B:B,"952-180000-100")</f>
        <v>0</v>
      </c>
      <c r="AR108">
        <f>sumifs(生产物料推移表!ar:ar,生产物料推移表!L:L,"计划生产",生产物料推移表!B:B,"952-180000-100")</f>
        <v>0</v>
      </c>
      <c r="BY108">
        <f>sum(j108:an108)</f>
        <v>0</v>
      </c>
    </row>
    <row r="109" spans="1:77">
      <c r="A109" t="s">
        <v>14</v>
      </c>
      <c r="B109" t="s">
        <v>575</v>
      </c>
      <c r="C109" t="s">
        <v>576</v>
      </c>
      <c r="E109" t="s">
        <v>444</v>
      </c>
      <c r="F109" t="s">
        <v>577</v>
      </c>
      <c r="K109" t="s">
        <v>516</v>
      </c>
      <c r="L109" t="s">
        <v>37</v>
      </c>
      <c r="M109">
        <f>sumifs(生产物料推移表!m:m,生产物料推移表!L:L,"计划生产",生产物料推移表!B:B,"952-213000-100")</f>
        <v>0</v>
      </c>
      <c r="N109">
        <f>sumifs(生产物料推移表!n:n,生产物料推移表!L:L,"计划生产",生产物料推移表!B:B,"952-213000-100")</f>
        <v>0</v>
      </c>
      <c r="O109">
        <f>sumifs(生产物料推移表!o:o,生产物料推移表!L:L,"计划生产",生产物料推移表!B:B,"952-213000-100")</f>
        <v>0</v>
      </c>
      <c r="P109">
        <f>sumifs(生产物料推移表!p:p,生产物料推移表!L:L,"计划生产",生产物料推移表!B:B,"952-213000-100")</f>
        <v>0</v>
      </c>
      <c r="Q109">
        <f>sumifs(生产物料推移表!q:q,生产物料推移表!L:L,"计划生产",生产物料推移表!B:B,"952-213000-100")</f>
        <v>0</v>
      </c>
      <c r="R109">
        <f>sumifs(生产物料推移表!r:r,生产物料推移表!L:L,"计划生产",生产物料推移表!B:B,"952-213000-100")</f>
        <v>0</v>
      </c>
      <c r="S109">
        <f>sumifs(生产物料推移表!s:s,生产物料推移表!L:L,"计划生产",生产物料推移表!B:B,"952-213000-100")</f>
        <v>0</v>
      </c>
      <c r="T109">
        <f>sumifs(生产物料推移表!t:t,生产物料推移表!L:L,"计划生产",生产物料推移表!B:B,"952-213000-100")</f>
        <v>0</v>
      </c>
      <c r="U109">
        <f>sumifs(生产物料推移表!u:u,生产物料推移表!L:L,"计划生产",生产物料推移表!B:B,"952-213000-100")</f>
        <v>0</v>
      </c>
      <c r="V109">
        <f>sumifs(生产物料推移表!v:v,生产物料推移表!L:L,"计划生产",生产物料推移表!B:B,"952-213000-100")</f>
        <v>0</v>
      </c>
      <c r="W109">
        <f>sumifs(生产物料推移表!w:w,生产物料推移表!L:L,"计划生产",生产物料推移表!B:B,"952-213000-100")</f>
        <v>0</v>
      </c>
      <c r="X109">
        <f>sumifs(生产物料推移表!x:x,生产物料推移表!L:L,"计划生产",生产物料推移表!B:B,"952-213000-100")</f>
        <v>0</v>
      </c>
      <c r="Y109">
        <f>sumifs(生产物料推移表!y:y,生产物料推移表!L:L,"计划生产",生产物料推移表!B:B,"952-213000-100")</f>
        <v>0</v>
      </c>
      <c r="Z109">
        <f>sumifs(生产物料推移表!z:z,生产物料推移表!L:L,"计划生产",生产物料推移表!B:B,"952-213000-100")</f>
        <v>0</v>
      </c>
      <c r="AA109">
        <f>sumifs(生产物料推移表!aa:aa,生产物料推移表!L:L,"计划生产",生产物料推移表!B:B,"952-213000-100")</f>
        <v>0</v>
      </c>
      <c r="AB109">
        <f>sumifs(生产物料推移表!ab:ab,生产物料推移表!L:L,"计划生产",生产物料推移表!B:B,"952-213000-100")</f>
        <v>0</v>
      </c>
      <c r="AC109">
        <f>sumifs(生产物料推移表!ac:ac,生产物料推移表!L:L,"计划生产",生产物料推移表!B:B,"952-213000-100")</f>
        <v>0</v>
      </c>
      <c r="AD109">
        <f>sumifs(生产物料推移表!ad:ad,生产物料推移表!L:L,"计划生产",生产物料推移表!B:B,"952-213000-100")</f>
        <v>0</v>
      </c>
      <c r="AE109">
        <f>sumifs(生产物料推移表!ae:ae,生产物料推移表!L:L,"计划生产",生产物料推移表!B:B,"952-213000-100")</f>
        <v>0</v>
      </c>
      <c r="AF109">
        <f>sumifs(生产物料推移表!af:af,生产物料推移表!L:L,"计划生产",生产物料推移表!B:B,"952-213000-100")</f>
        <v>0</v>
      </c>
      <c r="AG109">
        <f>sumifs(生产物料推移表!ag:ag,生产物料推移表!L:L,"计划生产",生产物料推移表!B:B,"952-213000-100")</f>
        <v>0</v>
      </c>
      <c r="AH109">
        <f>sumifs(生产物料推移表!ah:ah,生产物料推移表!L:L,"计划生产",生产物料推移表!B:B,"952-213000-100")</f>
        <v>0</v>
      </c>
      <c r="AI109">
        <f>sumifs(生产物料推移表!ai:ai,生产物料推移表!L:L,"计划生产",生产物料推移表!B:B,"952-213000-100")</f>
        <v>0</v>
      </c>
      <c r="AJ109">
        <f>sumifs(生产物料推移表!aj:aj,生产物料推移表!L:L,"计划生产",生产物料推移表!B:B,"952-213000-100")</f>
        <v>0</v>
      </c>
      <c r="AK109">
        <f>sumifs(生产物料推移表!ak:ak,生产物料推移表!L:L,"计划生产",生产物料推移表!B:B,"952-213000-100")</f>
        <v>0</v>
      </c>
      <c r="AL109">
        <f>sumifs(生产物料推移表!al:al,生产物料推移表!L:L,"计划生产",生产物料推移表!B:B,"952-213000-100")</f>
        <v>0</v>
      </c>
      <c r="AM109">
        <f>sumifs(生产物料推移表!am:am,生产物料推移表!L:L,"计划生产",生产物料推移表!B:B,"952-213000-100")</f>
        <v>0</v>
      </c>
      <c r="AN109">
        <f>sumifs(生产物料推移表!an:an,生产物料推移表!L:L,"计划生产",生产物料推移表!B:B,"952-213000-100")</f>
        <v>0</v>
      </c>
      <c r="AO109">
        <f>sumifs(生产物料推移表!ao:ao,生产物料推移表!L:L,"计划生产",生产物料推移表!B:B,"952-213000-100")</f>
        <v>0</v>
      </c>
      <c r="AP109">
        <f>sumifs(生产物料推移表!ap:ap,生产物料推移表!L:L,"计划生产",生产物料推移表!B:B,"952-213000-100")</f>
        <v>0</v>
      </c>
      <c r="AQ109">
        <f>sumifs(生产物料推移表!aq:aq,生产物料推移表!L:L,"计划生产",生产物料推移表!B:B,"952-213000-100")</f>
        <v>0</v>
      </c>
      <c r="AR109">
        <f>sumifs(生产物料推移表!ar:ar,生产物料推移表!L:L,"计划生产",生产物料推移表!B:B,"952-213000-100")</f>
        <v>0</v>
      </c>
      <c r="BY109">
        <f>sum(j109:an109)</f>
        <v>0</v>
      </c>
    </row>
    <row r="110" spans="1:77">
      <c r="A110" t="s">
        <v>14</v>
      </c>
      <c r="B110" t="s">
        <v>578</v>
      </c>
      <c r="C110" t="s">
        <v>579</v>
      </c>
      <c r="D110" t="s">
        <v>452</v>
      </c>
      <c r="E110" t="s">
        <v>444</v>
      </c>
      <c r="F110" t="s">
        <v>580</v>
      </c>
      <c r="K110" t="s">
        <v>516</v>
      </c>
      <c r="L110" t="s">
        <v>37</v>
      </c>
      <c r="M110">
        <f>sumifs(生产物料推移表!m:m,生产物料推移表!L:L,"计划生产",生产物料推移表!B:B,"952-218000-100")</f>
        <v>0</v>
      </c>
      <c r="N110">
        <f>sumifs(生产物料推移表!n:n,生产物料推移表!L:L,"计划生产",生产物料推移表!B:B,"952-218000-100")</f>
        <v>0</v>
      </c>
      <c r="O110">
        <f>sumifs(生产物料推移表!o:o,生产物料推移表!L:L,"计划生产",生产物料推移表!B:B,"952-218000-100")</f>
        <v>0</v>
      </c>
      <c r="P110">
        <f>sumifs(生产物料推移表!p:p,生产物料推移表!L:L,"计划生产",生产物料推移表!B:B,"952-218000-100")</f>
        <v>0</v>
      </c>
      <c r="Q110">
        <f>sumifs(生产物料推移表!q:q,生产物料推移表!L:L,"计划生产",生产物料推移表!B:B,"952-218000-100")</f>
        <v>0</v>
      </c>
      <c r="R110">
        <f>sumifs(生产物料推移表!r:r,生产物料推移表!L:L,"计划生产",生产物料推移表!B:B,"952-218000-100")</f>
        <v>0</v>
      </c>
      <c r="S110">
        <f>sumifs(生产物料推移表!s:s,生产物料推移表!L:L,"计划生产",生产物料推移表!B:B,"952-218000-100")</f>
        <v>0</v>
      </c>
      <c r="T110">
        <f>sumifs(生产物料推移表!t:t,生产物料推移表!L:L,"计划生产",生产物料推移表!B:B,"952-218000-100")</f>
        <v>0</v>
      </c>
      <c r="U110">
        <f>sumifs(生产物料推移表!u:u,生产物料推移表!L:L,"计划生产",生产物料推移表!B:B,"952-218000-100")</f>
        <v>0</v>
      </c>
      <c r="V110">
        <f>sumifs(生产物料推移表!v:v,生产物料推移表!L:L,"计划生产",生产物料推移表!B:B,"952-218000-100")</f>
        <v>0</v>
      </c>
      <c r="W110">
        <f>sumifs(生产物料推移表!w:w,生产物料推移表!L:L,"计划生产",生产物料推移表!B:B,"952-218000-100")</f>
        <v>0</v>
      </c>
      <c r="X110">
        <f>sumifs(生产物料推移表!x:x,生产物料推移表!L:L,"计划生产",生产物料推移表!B:B,"952-218000-100")</f>
        <v>0</v>
      </c>
      <c r="Y110">
        <f>sumifs(生产物料推移表!y:y,生产物料推移表!L:L,"计划生产",生产物料推移表!B:B,"952-218000-100")</f>
        <v>0</v>
      </c>
      <c r="Z110">
        <f>sumifs(生产物料推移表!z:z,生产物料推移表!L:L,"计划生产",生产物料推移表!B:B,"952-218000-100")</f>
        <v>0</v>
      </c>
      <c r="AA110">
        <f>sumifs(生产物料推移表!aa:aa,生产物料推移表!L:L,"计划生产",生产物料推移表!B:B,"952-218000-100")</f>
        <v>0</v>
      </c>
      <c r="AB110">
        <f>sumifs(生产物料推移表!ab:ab,生产物料推移表!L:L,"计划生产",生产物料推移表!B:B,"952-218000-100")</f>
        <v>0</v>
      </c>
      <c r="AC110">
        <f>sumifs(生产物料推移表!ac:ac,生产物料推移表!L:L,"计划生产",生产物料推移表!B:B,"952-218000-100")</f>
        <v>0</v>
      </c>
      <c r="AD110">
        <f>sumifs(生产物料推移表!ad:ad,生产物料推移表!L:L,"计划生产",生产物料推移表!B:B,"952-218000-100")</f>
        <v>0</v>
      </c>
      <c r="AE110">
        <f>sumifs(生产物料推移表!ae:ae,生产物料推移表!L:L,"计划生产",生产物料推移表!B:B,"952-218000-100")</f>
        <v>0</v>
      </c>
      <c r="AF110">
        <f>sumifs(生产物料推移表!af:af,生产物料推移表!L:L,"计划生产",生产物料推移表!B:B,"952-218000-100")</f>
        <v>0</v>
      </c>
      <c r="AG110">
        <f>sumifs(生产物料推移表!ag:ag,生产物料推移表!L:L,"计划生产",生产物料推移表!B:B,"952-218000-100")</f>
        <v>0</v>
      </c>
      <c r="AH110">
        <f>sumifs(生产物料推移表!ah:ah,生产物料推移表!L:L,"计划生产",生产物料推移表!B:B,"952-218000-100")</f>
        <v>0</v>
      </c>
      <c r="AI110">
        <f>sumifs(生产物料推移表!ai:ai,生产物料推移表!L:L,"计划生产",生产物料推移表!B:B,"952-218000-100")</f>
        <v>0</v>
      </c>
      <c r="AJ110">
        <f>sumifs(生产物料推移表!aj:aj,生产物料推移表!L:L,"计划生产",生产物料推移表!B:B,"952-218000-100")</f>
        <v>0</v>
      </c>
      <c r="AK110">
        <f>sumifs(生产物料推移表!ak:ak,生产物料推移表!L:L,"计划生产",生产物料推移表!B:B,"952-218000-100")</f>
        <v>0</v>
      </c>
      <c r="AL110">
        <f>sumifs(生产物料推移表!al:al,生产物料推移表!L:L,"计划生产",生产物料推移表!B:B,"952-218000-100")</f>
        <v>0</v>
      </c>
      <c r="AM110">
        <f>sumifs(生产物料推移表!am:am,生产物料推移表!L:L,"计划生产",生产物料推移表!B:B,"952-218000-100")</f>
        <v>0</v>
      </c>
      <c r="AN110">
        <f>sumifs(生产物料推移表!an:an,生产物料推移表!L:L,"计划生产",生产物料推移表!B:B,"952-218000-100")</f>
        <v>0</v>
      </c>
      <c r="AO110">
        <f>sumifs(生产物料推移表!ao:ao,生产物料推移表!L:L,"计划生产",生产物料推移表!B:B,"952-218000-100")</f>
        <v>0</v>
      </c>
      <c r="AP110">
        <f>sumifs(生产物料推移表!ap:ap,生产物料推移表!L:L,"计划生产",生产物料推移表!B:B,"952-218000-100")</f>
        <v>0</v>
      </c>
      <c r="AQ110">
        <f>sumifs(生产物料推移表!aq:aq,生产物料推移表!L:L,"计划生产",生产物料推移表!B:B,"952-218000-100")</f>
        <v>0</v>
      </c>
      <c r="AR110">
        <f>sumifs(生产物料推移表!ar:ar,生产物料推移表!L:L,"计划生产",生产物料推移表!B:B,"952-218000-100")</f>
        <v>0</v>
      </c>
      <c r="BY110">
        <f>sum(j110:an110)</f>
        <v>0</v>
      </c>
    </row>
    <row r="111" spans="1:77">
      <c r="A111" t="s">
        <v>14</v>
      </c>
      <c r="B111" t="s">
        <v>581</v>
      </c>
      <c r="C111" t="s">
        <v>582</v>
      </c>
      <c r="D111" t="s">
        <v>452</v>
      </c>
      <c r="E111" t="s">
        <v>444</v>
      </c>
      <c r="F111" t="s">
        <v>583</v>
      </c>
      <c r="K111" t="s">
        <v>516</v>
      </c>
      <c r="L111" t="s">
        <v>37</v>
      </c>
      <c r="M111">
        <f>sumifs(生产物料推移表!m:m,生产物料推移表!L:L,"计划生产",生产物料推移表!B:B,"952-219000-100")</f>
        <v>0</v>
      </c>
      <c r="N111">
        <f>sumifs(生产物料推移表!n:n,生产物料推移表!L:L,"计划生产",生产物料推移表!B:B,"952-219000-100")</f>
        <v>0</v>
      </c>
      <c r="O111">
        <f>sumifs(生产物料推移表!o:o,生产物料推移表!L:L,"计划生产",生产物料推移表!B:B,"952-219000-100")</f>
        <v>0</v>
      </c>
      <c r="P111">
        <f>sumifs(生产物料推移表!p:p,生产物料推移表!L:L,"计划生产",生产物料推移表!B:B,"952-219000-100")</f>
        <v>0</v>
      </c>
      <c r="Q111">
        <f>sumifs(生产物料推移表!q:q,生产物料推移表!L:L,"计划生产",生产物料推移表!B:B,"952-219000-100")</f>
        <v>0</v>
      </c>
      <c r="R111">
        <f>sumifs(生产物料推移表!r:r,生产物料推移表!L:L,"计划生产",生产物料推移表!B:B,"952-219000-100")</f>
        <v>0</v>
      </c>
      <c r="S111">
        <f>sumifs(生产物料推移表!s:s,生产物料推移表!L:L,"计划生产",生产物料推移表!B:B,"952-219000-100")</f>
        <v>0</v>
      </c>
      <c r="T111">
        <f>sumifs(生产物料推移表!t:t,生产物料推移表!L:L,"计划生产",生产物料推移表!B:B,"952-219000-100")</f>
        <v>0</v>
      </c>
      <c r="U111">
        <f>sumifs(生产物料推移表!u:u,生产物料推移表!L:L,"计划生产",生产物料推移表!B:B,"952-219000-100")</f>
        <v>0</v>
      </c>
      <c r="V111">
        <f>sumifs(生产物料推移表!v:v,生产物料推移表!L:L,"计划生产",生产物料推移表!B:B,"952-219000-100")</f>
        <v>0</v>
      </c>
      <c r="W111">
        <f>sumifs(生产物料推移表!w:w,生产物料推移表!L:L,"计划生产",生产物料推移表!B:B,"952-219000-100")</f>
        <v>0</v>
      </c>
      <c r="X111">
        <f>sumifs(生产物料推移表!x:x,生产物料推移表!L:L,"计划生产",生产物料推移表!B:B,"952-219000-100")</f>
        <v>0</v>
      </c>
      <c r="Y111">
        <f>sumifs(生产物料推移表!y:y,生产物料推移表!L:L,"计划生产",生产物料推移表!B:B,"952-219000-100")</f>
        <v>0</v>
      </c>
      <c r="Z111">
        <f>sumifs(生产物料推移表!z:z,生产物料推移表!L:L,"计划生产",生产物料推移表!B:B,"952-219000-100")</f>
        <v>0</v>
      </c>
      <c r="AA111">
        <f>sumifs(生产物料推移表!aa:aa,生产物料推移表!L:L,"计划生产",生产物料推移表!B:B,"952-219000-100")</f>
        <v>0</v>
      </c>
      <c r="AB111">
        <f>sumifs(生产物料推移表!ab:ab,生产物料推移表!L:L,"计划生产",生产物料推移表!B:B,"952-219000-100")</f>
        <v>0</v>
      </c>
      <c r="AC111">
        <f>sumifs(生产物料推移表!ac:ac,生产物料推移表!L:L,"计划生产",生产物料推移表!B:B,"952-219000-100")</f>
        <v>0</v>
      </c>
      <c r="AD111">
        <f>sumifs(生产物料推移表!ad:ad,生产物料推移表!L:L,"计划生产",生产物料推移表!B:B,"952-219000-100")</f>
        <v>0</v>
      </c>
      <c r="AE111">
        <f>sumifs(生产物料推移表!ae:ae,生产物料推移表!L:L,"计划生产",生产物料推移表!B:B,"952-219000-100")</f>
        <v>0</v>
      </c>
      <c r="AF111">
        <f>sumifs(生产物料推移表!af:af,生产物料推移表!L:L,"计划生产",生产物料推移表!B:B,"952-219000-100")</f>
        <v>0</v>
      </c>
      <c r="AG111">
        <f>sumifs(生产物料推移表!ag:ag,生产物料推移表!L:L,"计划生产",生产物料推移表!B:B,"952-219000-100")</f>
        <v>0</v>
      </c>
      <c r="AH111">
        <f>sumifs(生产物料推移表!ah:ah,生产物料推移表!L:L,"计划生产",生产物料推移表!B:B,"952-219000-100")</f>
        <v>0</v>
      </c>
      <c r="AI111">
        <f>sumifs(生产物料推移表!ai:ai,生产物料推移表!L:L,"计划生产",生产物料推移表!B:B,"952-219000-100")</f>
        <v>0</v>
      </c>
      <c r="AJ111">
        <f>sumifs(生产物料推移表!aj:aj,生产物料推移表!L:L,"计划生产",生产物料推移表!B:B,"952-219000-100")</f>
        <v>0</v>
      </c>
      <c r="AK111">
        <f>sumifs(生产物料推移表!ak:ak,生产物料推移表!L:L,"计划生产",生产物料推移表!B:B,"952-219000-100")</f>
        <v>0</v>
      </c>
      <c r="AL111">
        <f>sumifs(生产物料推移表!al:al,生产物料推移表!L:L,"计划生产",生产物料推移表!B:B,"952-219000-100")</f>
        <v>0</v>
      </c>
      <c r="AM111">
        <f>sumifs(生产物料推移表!am:am,生产物料推移表!L:L,"计划生产",生产物料推移表!B:B,"952-219000-100")</f>
        <v>0</v>
      </c>
      <c r="AN111">
        <f>sumifs(生产物料推移表!an:an,生产物料推移表!L:L,"计划生产",生产物料推移表!B:B,"952-219000-100")</f>
        <v>0</v>
      </c>
      <c r="AO111">
        <f>sumifs(生产物料推移表!ao:ao,生产物料推移表!L:L,"计划生产",生产物料推移表!B:B,"952-219000-100")</f>
        <v>0</v>
      </c>
      <c r="AP111">
        <f>sumifs(生产物料推移表!ap:ap,生产物料推移表!L:L,"计划生产",生产物料推移表!B:B,"952-219000-100")</f>
        <v>0</v>
      </c>
      <c r="AQ111">
        <f>sumifs(生产物料推移表!aq:aq,生产物料推移表!L:L,"计划生产",生产物料推移表!B:B,"952-219000-100")</f>
        <v>0</v>
      </c>
      <c r="AR111">
        <f>sumifs(生产物料推移表!ar:ar,生产物料推移表!L:L,"计划生产",生产物料推移表!B:B,"952-219000-100")</f>
        <v>0</v>
      </c>
      <c r="BY111">
        <f>sum(j111:an111)</f>
        <v>0</v>
      </c>
    </row>
    <row r="112" spans="1:77">
      <c r="A112" t="s">
        <v>14</v>
      </c>
      <c r="B112" t="s">
        <v>584</v>
      </c>
      <c r="C112" t="s">
        <v>585</v>
      </c>
      <c r="E112" t="s">
        <v>444</v>
      </c>
      <c r="F112" t="s">
        <v>586</v>
      </c>
      <c r="K112" t="s">
        <v>516</v>
      </c>
      <c r="L112" t="s">
        <v>37</v>
      </c>
      <c r="M112">
        <f>sumifs(生产物料推移表!m:m,生产物料推移表!L:L,"计划生产",生产物料推移表!B:B,"952-199000-100")</f>
        <v>0</v>
      </c>
      <c r="N112">
        <f>sumifs(生产物料推移表!n:n,生产物料推移表!L:L,"计划生产",生产物料推移表!B:B,"952-199000-100")</f>
        <v>0</v>
      </c>
      <c r="O112">
        <f>sumifs(生产物料推移表!o:o,生产物料推移表!L:L,"计划生产",生产物料推移表!B:B,"952-199000-100")</f>
        <v>0</v>
      </c>
      <c r="P112">
        <f>sumifs(生产物料推移表!p:p,生产物料推移表!L:L,"计划生产",生产物料推移表!B:B,"952-199000-100")</f>
        <v>0</v>
      </c>
      <c r="Q112">
        <f>sumifs(生产物料推移表!q:q,生产物料推移表!L:L,"计划生产",生产物料推移表!B:B,"952-199000-100")</f>
        <v>0</v>
      </c>
      <c r="R112">
        <f>sumifs(生产物料推移表!r:r,生产物料推移表!L:L,"计划生产",生产物料推移表!B:B,"952-199000-100")</f>
        <v>0</v>
      </c>
      <c r="S112">
        <f>sumifs(生产物料推移表!s:s,生产物料推移表!L:L,"计划生产",生产物料推移表!B:B,"952-199000-100")</f>
        <v>0</v>
      </c>
      <c r="T112">
        <f>sumifs(生产物料推移表!t:t,生产物料推移表!L:L,"计划生产",生产物料推移表!B:B,"952-199000-100")</f>
        <v>0</v>
      </c>
      <c r="U112">
        <f>sumifs(生产物料推移表!u:u,生产物料推移表!L:L,"计划生产",生产物料推移表!B:B,"952-199000-100")</f>
        <v>0</v>
      </c>
      <c r="V112">
        <f>sumifs(生产物料推移表!v:v,生产物料推移表!L:L,"计划生产",生产物料推移表!B:B,"952-199000-100")</f>
        <v>0</v>
      </c>
      <c r="W112">
        <f>sumifs(生产物料推移表!w:w,生产物料推移表!L:L,"计划生产",生产物料推移表!B:B,"952-199000-100")</f>
        <v>0</v>
      </c>
      <c r="X112">
        <f>sumifs(生产物料推移表!x:x,生产物料推移表!L:L,"计划生产",生产物料推移表!B:B,"952-199000-100")</f>
        <v>0</v>
      </c>
      <c r="Y112">
        <f>sumifs(生产物料推移表!y:y,生产物料推移表!L:L,"计划生产",生产物料推移表!B:B,"952-199000-100")</f>
        <v>0</v>
      </c>
      <c r="Z112">
        <f>sumifs(生产物料推移表!z:z,生产物料推移表!L:L,"计划生产",生产物料推移表!B:B,"952-199000-100")</f>
        <v>0</v>
      </c>
      <c r="AA112">
        <f>sumifs(生产物料推移表!aa:aa,生产物料推移表!L:L,"计划生产",生产物料推移表!B:B,"952-199000-100")</f>
        <v>0</v>
      </c>
      <c r="AB112">
        <f>sumifs(生产物料推移表!ab:ab,生产物料推移表!L:L,"计划生产",生产物料推移表!B:B,"952-199000-100")</f>
        <v>0</v>
      </c>
      <c r="AC112">
        <f>sumifs(生产物料推移表!ac:ac,生产物料推移表!L:L,"计划生产",生产物料推移表!B:B,"952-199000-100")</f>
        <v>0</v>
      </c>
      <c r="AD112">
        <f>sumifs(生产物料推移表!ad:ad,生产物料推移表!L:L,"计划生产",生产物料推移表!B:B,"952-199000-100")</f>
        <v>0</v>
      </c>
      <c r="AE112">
        <f>sumifs(生产物料推移表!ae:ae,生产物料推移表!L:L,"计划生产",生产物料推移表!B:B,"952-199000-100")</f>
        <v>0</v>
      </c>
      <c r="AF112">
        <f>sumifs(生产物料推移表!af:af,生产物料推移表!L:L,"计划生产",生产物料推移表!B:B,"952-199000-100")</f>
        <v>0</v>
      </c>
      <c r="AG112">
        <f>sumifs(生产物料推移表!ag:ag,生产物料推移表!L:L,"计划生产",生产物料推移表!B:B,"952-199000-100")</f>
        <v>0</v>
      </c>
      <c r="AH112">
        <f>sumifs(生产物料推移表!ah:ah,生产物料推移表!L:L,"计划生产",生产物料推移表!B:B,"952-199000-100")</f>
        <v>0</v>
      </c>
      <c r="AI112">
        <f>sumifs(生产物料推移表!ai:ai,生产物料推移表!L:L,"计划生产",生产物料推移表!B:B,"952-199000-100")</f>
        <v>0</v>
      </c>
      <c r="AJ112">
        <f>sumifs(生产物料推移表!aj:aj,生产物料推移表!L:L,"计划生产",生产物料推移表!B:B,"952-199000-100")</f>
        <v>0</v>
      </c>
      <c r="AK112">
        <f>sumifs(生产物料推移表!ak:ak,生产物料推移表!L:L,"计划生产",生产物料推移表!B:B,"952-199000-100")</f>
        <v>0</v>
      </c>
      <c r="AL112">
        <f>sumifs(生产物料推移表!al:al,生产物料推移表!L:L,"计划生产",生产物料推移表!B:B,"952-199000-100")</f>
        <v>0</v>
      </c>
      <c r="AM112">
        <f>sumifs(生产物料推移表!am:am,生产物料推移表!L:L,"计划生产",生产物料推移表!B:B,"952-199000-100")</f>
        <v>0</v>
      </c>
      <c r="AN112">
        <f>sumifs(生产物料推移表!an:an,生产物料推移表!L:L,"计划生产",生产物料推移表!B:B,"952-199000-100")</f>
        <v>0</v>
      </c>
      <c r="AO112">
        <f>sumifs(生产物料推移表!ao:ao,生产物料推移表!L:L,"计划生产",生产物料推移表!B:B,"952-199000-100")</f>
        <v>0</v>
      </c>
      <c r="AP112">
        <f>sumifs(生产物料推移表!ap:ap,生产物料推移表!L:L,"计划生产",生产物料推移表!B:B,"952-199000-100")</f>
        <v>0</v>
      </c>
      <c r="AQ112">
        <f>sumifs(生产物料推移表!aq:aq,生产物料推移表!L:L,"计划生产",生产物料推移表!B:B,"952-199000-100")</f>
        <v>0</v>
      </c>
      <c r="AR112">
        <f>sumifs(生产物料推移表!ar:ar,生产物料推移表!L:L,"计划生产",生产物料推移表!B:B,"952-199000-100")</f>
        <v>0</v>
      </c>
      <c r="BY112">
        <f>sum(j112:an112)</f>
        <v>0</v>
      </c>
    </row>
    <row r="113" spans="1:77">
      <c r="A113" t="s">
        <v>14</v>
      </c>
      <c r="B113" t="s">
        <v>517</v>
      </c>
      <c r="C113" t="s">
        <v>518</v>
      </c>
      <c r="F113" t="s">
        <v>522</v>
      </c>
      <c r="K113" t="s">
        <v>590</v>
      </c>
      <c r="L113" t="s">
        <v>37</v>
      </c>
      <c r="M113">
        <f>sumifs(生产物料推移表!m:m,生产物料推移表!L:L,"计划生产",生产物料推移表!B:B,"852-184000-110")</f>
        <v>0</v>
      </c>
      <c r="N113">
        <f>sumifs(生产物料推移表!n:n,生产物料推移表!L:L,"计划生产",生产物料推移表!B:B,"852-184000-110")</f>
        <v>0</v>
      </c>
      <c r="O113">
        <f>sumifs(生产物料推移表!o:o,生产物料推移表!L:L,"计划生产",生产物料推移表!B:B,"852-184000-110")</f>
        <v>0</v>
      </c>
      <c r="P113">
        <f>sumifs(生产物料推移表!p:p,生产物料推移表!L:L,"计划生产",生产物料推移表!B:B,"852-184000-110")</f>
        <v>0</v>
      </c>
      <c r="Q113">
        <f>sumifs(生产物料推移表!q:q,生产物料推移表!L:L,"计划生产",生产物料推移表!B:B,"852-184000-110")</f>
        <v>0</v>
      </c>
      <c r="R113">
        <f>sumifs(生产物料推移表!r:r,生产物料推移表!L:L,"计划生产",生产物料推移表!B:B,"852-184000-110")</f>
        <v>0</v>
      </c>
      <c r="S113">
        <f>sumifs(生产物料推移表!s:s,生产物料推移表!L:L,"计划生产",生产物料推移表!B:B,"852-184000-110")</f>
        <v>0</v>
      </c>
      <c r="T113">
        <f>sumifs(生产物料推移表!t:t,生产物料推移表!L:L,"计划生产",生产物料推移表!B:B,"852-184000-110")</f>
        <v>0</v>
      </c>
      <c r="U113">
        <f>sumifs(生产物料推移表!u:u,生产物料推移表!L:L,"计划生产",生产物料推移表!B:B,"852-184000-110")</f>
        <v>0</v>
      </c>
      <c r="V113">
        <f>sumifs(生产物料推移表!v:v,生产物料推移表!L:L,"计划生产",生产物料推移表!B:B,"852-184000-110")</f>
        <v>0</v>
      </c>
      <c r="W113">
        <f>sumifs(生产物料推移表!w:w,生产物料推移表!L:L,"计划生产",生产物料推移表!B:B,"852-184000-110")</f>
        <v>0</v>
      </c>
      <c r="X113">
        <f>sumifs(生产物料推移表!x:x,生产物料推移表!L:L,"计划生产",生产物料推移表!B:B,"852-184000-110")</f>
        <v>0</v>
      </c>
      <c r="Y113">
        <f>sumifs(生产物料推移表!y:y,生产物料推移表!L:L,"计划生产",生产物料推移表!B:B,"852-184000-110")</f>
        <v>0</v>
      </c>
      <c r="Z113">
        <f>sumifs(生产物料推移表!z:z,生产物料推移表!L:L,"计划生产",生产物料推移表!B:B,"852-184000-110")</f>
        <v>0</v>
      </c>
      <c r="AA113">
        <f>sumifs(生产物料推移表!aa:aa,生产物料推移表!L:L,"计划生产",生产物料推移表!B:B,"852-184000-110")</f>
        <v>0</v>
      </c>
      <c r="AB113">
        <f>sumifs(生产物料推移表!ab:ab,生产物料推移表!L:L,"计划生产",生产物料推移表!B:B,"852-184000-110")</f>
        <v>0</v>
      </c>
      <c r="AC113">
        <f>sumifs(生产物料推移表!ac:ac,生产物料推移表!L:L,"计划生产",生产物料推移表!B:B,"852-184000-110")</f>
        <v>0</v>
      </c>
      <c r="AD113">
        <f>sumifs(生产物料推移表!ad:ad,生产物料推移表!L:L,"计划生产",生产物料推移表!B:B,"852-184000-110")</f>
        <v>0</v>
      </c>
      <c r="AE113">
        <f>sumifs(生产物料推移表!ae:ae,生产物料推移表!L:L,"计划生产",生产物料推移表!B:B,"852-184000-110")</f>
        <v>0</v>
      </c>
      <c r="AF113">
        <f>sumifs(生产物料推移表!af:af,生产物料推移表!L:L,"计划生产",生产物料推移表!B:B,"852-184000-110")</f>
        <v>0</v>
      </c>
      <c r="AG113">
        <f>sumifs(生产物料推移表!ag:ag,生产物料推移表!L:L,"计划生产",生产物料推移表!B:B,"852-184000-110")</f>
        <v>0</v>
      </c>
      <c r="AH113">
        <f>sumifs(生产物料推移表!ah:ah,生产物料推移表!L:L,"计划生产",生产物料推移表!B:B,"852-184000-110")</f>
        <v>0</v>
      </c>
      <c r="AI113">
        <f>sumifs(生产物料推移表!ai:ai,生产物料推移表!L:L,"计划生产",生产物料推移表!B:B,"852-184000-110")</f>
        <v>0</v>
      </c>
      <c r="AJ113">
        <f>sumifs(生产物料推移表!aj:aj,生产物料推移表!L:L,"计划生产",生产物料推移表!B:B,"852-184000-110")</f>
        <v>0</v>
      </c>
      <c r="AK113">
        <f>sumifs(生产物料推移表!ak:ak,生产物料推移表!L:L,"计划生产",生产物料推移表!B:B,"852-184000-110")</f>
        <v>0</v>
      </c>
      <c r="AL113">
        <f>sumifs(生产物料推移表!al:al,生产物料推移表!L:L,"计划生产",生产物料推移表!B:B,"852-184000-110")</f>
        <v>0</v>
      </c>
      <c r="AM113">
        <f>sumifs(生产物料推移表!am:am,生产物料推移表!L:L,"计划生产",生产物料推移表!B:B,"852-184000-110")</f>
        <v>0</v>
      </c>
      <c r="AN113">
        <f>sumifs(生产物料推移表!an:an,生产物料推移表!L:L,"计划生产",生产物料推移表!B:B,"852-184000-110")</f>
        <v>0</v>
      </c>
      <c r="AO113">
        <f>sumifs(生产物料推移表!ao:ao,生产物料推移表!L:L,"计划生产",生产物料推移表!B:B,"852-184000-110")</f>
        <v>0</v>
      </c>
      <c r="AP113">
        <f>sumifs(生产物料推移表!ap:ap,生产物料推移表!L:L,"计划生产",生产物料推移表!B:B,"852-184000-110")</f>
        <v>0</v>
      </c>
      <c r="AQ113">
        <f>sumifs(生产物料推移表!aq:aq,生产物料推移表!L:L,"计划生产",生产物料推移表!B:B,"852-184000-110")</f>
        <v>0</v>
      </c>
      <c r="AR113">
        <f>sumifs(生产物料推移表!ar:ar,生产物料推移表!L:L,"计划生产",生产物料推移表!B:B,"852-184000-110")</f>
        <v>0</v>
      </c>
      <c r="BY113">
        <f>sum(j113:an113)</f>
        <v>0</v>
      </c>
    </row>
    <row r="114" spans="1:77">
      <c r="A114" t="s">
        <v>14</v>
      </c>
      <c r="B114" t="s">
        <v>520</v>
      </c>
      <c r="C114" t="s">
        <v>521</v>
      </c>
      <c r="E114">
        <v>1</v>
      </c>
      <c r="F114" t="s">
        <v>526</v>
      </c>
      <c r="K114" t="s">
        <v>590</v>
      </c>
      <c r="L114" t="s">
        <v>37</v>
      </c>
      <c r="M114">
        <f>sumifs(生产物料推移表!m:m,生产物料推移表!L:L,"计划生产",生产物料推移表!B:B,"852-184000-111")</f>
        <v>0</v>
      </c>
      <c r="N114">
        <f>sumifs(生产物料推移表!n:n,生产物料推移表!L:L,"计划生产",生产物料推移表!B:B,"852-184000-111")</f>
        <v>0</v>
      </c>
      <c r="O114">
        <f>sumifs(生产物料推移表!o:o,生产物料推移表!L:L,"计划生产",生产物料推移表!B:B,"852-184000-111")</f>
        <v>0</v>
      </c>
      <c r="P114">
        <f>sumifs(生产物料推移表!p:p,生产物料推移表!L:L,"计划生产",生产物料推移表!B:B,"852-184000-111")</f>
        <v>0</v>
      </c>
      <c r="Q114">
        <f>sumifs(生产物料推移表!q:q,生产物料推移表!L:L,"计划生产",生产物料推移表!B:B,"852-184000-111")</f>
        <v>0</v>
      </c>
      <c r="R114">
        <f>sumifs(生产物料推移表!r:r,生产物料推移表!L:L,"计划生产",生产物料推移表!B:B,"852-184000-111")</f>
        <v>0</v>
      </c>
      <c r="S114">
        <f>sumifs(生产物料推移表!s:s,生产物料推移表!L:L,"计划生产",生产物料推移表!B:B,"852-184000-111")</f>
        <v>0</v>
      </c>
      <c r="T114">
        <f>sumifs(生产物料推移表!t:t,生产物料推移表!L:L,"计划生产",生产物料推移表!B:B,"852-184000-111")</f>
        <v>0</v>
      </c>
      <c r="U114">
        <f>sumifs(生产物料推移表!u:u,生产物料推移表!L:L,"计划生产",生产物料推移表!B:B,"852-184000-111")</f>
        <v>0</v>
      </c>
      <c r="V114">
        <f>sumifs(生产物料推移表!v:v,生产物料推移表!L:L,"计划生产",生产物料推移表!B:B,"852-184000-111")</f>
        <v>0</v>
      </c>
      <c r="W114">
        <f>sumifs(生产物料推移表!w:w,生产物料推移表!L:L,"计划生产",生产物料推移表!B:B,"852-184000-111")</f>
        <v>0</v>
      </c>
      <c r="X114">
        <f>sumifs(生产物料推移表!x:x,生产物料推移表!L:L,"计划生产",生产物料推移表!B:B,"852-184000-111")</f>
        <v>0</v>
      </c>
      <c r="Y114">
        <f>sumifs(生产物料推移表!y:y,生产物料推移表!L:L,"计划生产",生产物料推移表!B:B,"852-184000-111")</f>
        <v>0</v>
      </c>
      <c r="Z114">
        <f>sumifs(生产物料推移表!z:z,生产物料推移表!L:L,"计划生产",生产物料推移表!B:B,"852-184000-111")</f>
        <v>0</v>
      </c>
      <c r="AA114">
        <f>sumifs(生产物料推移表!aa:aa,生产物料推移表!L:L,"计划生产",生产物料推移表!B:B,"852-184000-111")</f>
        <v>0</v>
      </c>
      <c r="AB114">
        <f>sumifs(生产物料推移表!ab:ab,生产物料推移表!L:L,"计划生产",生产物料推移表!B:B,"852-184000-111")</f>
        <v>0</v>
      </c>
      <c r="AC114">
        <f>sumifs(生产物料推移表!ac:ac,生产物料推移表!L:L,"计划生产",生产物料推移表!B:B,"852-184000-111")</f>
        <v>0</v>
      </c>
      <c r="AD114">
        <f>sumifs(生产物料推移表!ad:ad,生产物料推移表!L:L,"计划生产",生产物料推移表!B:B,"852-184000-111")</f>
        <v>0</v>
      </c>
      <c r="AE114">
        <f>sumifs(生产物料推移表!ae:ae,生产物料推移表!L:L,"计划生产",生产物料推移表!B:B,"852-184000-111")</f>
        <v>0</v>
      </c>
      <c r="AF114">
        <f>sumifs(生产物料推移表!af:af,生产物料推移表!L:L,"计划生产",生产物料推移表!B:B,"852-184000-111")</f>
        <v>0</v>
      </c>
      <c r="AG114">
        <f>sumifs(生产物料推移表!ag:ag,生产物料推移表!L:L,"计划生产",生产物料推移表!B:B,"852-184000-111")</f>
        <v>0</v>
      </c>
      <c r="AH114">
        <f>sumifs(生产物料推移表!ah:ah,生产物料推移表!L:L,"计划生产",生产物料推移表!B:B,"852-184000-111")</f>
        <v>0</v>
      </c>
      <c r="AI114">
        <f>sumifs(生产物料推移表!ai:ai,生产物料推移表!L:L,"计划生产",生产物料推移表!B:B,"852-184000-111")</f>
        <v>0</v>
      </c>
      <c r="AJ114">
        <f>sumifs(生产物料推移表!aj:aj,生产物料推移表!L:L,"计划生产",生产物料推移表!B:B,"852-184000-111")</f>
        <v>0</v>
      </c>
      <c r="AK114">
        <f>sumifs(生产物料推移表!ak:ak,生产物料推移表!L:L,"计划生产",生产物料推移表!B:B,"852-184000-111")</f>
        <v>0</v>
      </c>
      <c r="AL114">
        <f>sumifs(生产物料推移表!al:al,生产物料推移表!L:L,"计划生产",生产物料推移表!B:B,"852-184000-111")</f>
        <v>0</v>
      </c>
      <c r="AM114">
        <f>sumifs(生产物料推移表!am:am,生产物料推移表!L:L,"计划生产",生产物料推移表!B:B,"852-184000-111")</f>
        <v>0</v>
      </c>
      <c r="AN114">
        <f>sumifs(生产物料推移表!an:an,生产物料推移表!L:L,"计划生产",生产物料推移表!B:B,"852-184000-111")</f>
        <v>0</v>
      </c>
      <c r="AO114">
        <f>sumifs(生产物料推移表!ao:ao,生产物料推移表!L:L,"计划生产",生产物料推移表!B:B,"852-184000-111")</f>
        <v>0</v>
      </c>
      <c r="AP114">
        <f>sumifs(生产物料推移表!ap:ap,生产物料推移表!L:L,"计划生产",生产物料推移表!B:B,"852-184000-111")</f>
        <v>0</v>
      </c>
      <c r="AQ114">
        <f>sumifs(生产物料推移表!aq:aq,生产物料推移表!L:L,"计划生产",生产物料推移表!B:B,"852-184000-111")</f>
        <v>0</v>
      </c>
      <c r="AR114">
        <f>sumifs(生产物料推移表!ar:ar,生产物料推移表!L:L,"计划生产",生产物料推移表!B:B,"852-184000-111")</f>
        <v>0</v>
      </c>
      <c r="BY114">
        <f>sum(j114:an114)</f>
        <v>0</v>
      </c>
    </row>
    <row r="115" spans="1:77">
      <c r="A115" t="s">
        <v>14</v>
      </c>
      <c r="B115" t="s">
        <v>523</v>
      </c>
      <c r="C115" t="s">
        <v>524</v>
      </c>
      <c r="D115" t="s">
        <v>525</v>
      </c>
      <c r="E115" t="s">
        <v>591</v>
      </c>
      <c r="F115" t="s">
        <v>592</v>
      </c>
      <c r="K115" t="s">
        <v>590</v>
      </c>
      <c r="L115" t="s">
        <v>37</v>
      </c>
      <c r="M115">
        <f>sumifs(生产物料推移表!m:m,生产物料推移表!L:L,"计划生产",生产物料推移表!B:B,"852-184000-100")</f>
        <v>0</v>
      </c>
      <c r="N115">
        <f>sumifs(生产物料推移表!n:n,生产物料推移表!L:L,"计划生产",生产物料推移表!B:B,"852-184000-100")</f>
        <v>0</v>
      </c>
      <c r="O115">
        <f>sumifs(生产物料推移表!o:o,生产物料推移表!L:L,"计划生产",生产物料推移表!B:B,"852-184000-100")</f>
        <v>0</v>
      </c>
      <c r="P115">
        <f>sumifs(生产物料推移表!p:p,生产物料推移表!L:L,"计划生产",生产物料推移表!B:B,"852-184000-100")</f>
        <v>0</v>
      </c>
      <c r="Q115">
        <f>sumifs(生产物料推移表!q:q,生产物料推移表!L:L,"计划生产",生产物料推移表!B:B,"852-184000-100")</f>
        <v>0</v>
      </c>
      <c r="R115">
        <f>sumifs(生产物料推移表!r:r,生产物料推移表!L:L,"计划生产",生产物料推移表!B:B,"852-184000-100")</f>
        <v>0</v>
      </c>
      <c r="S115">
        <f>sumifs(生产物料推移表!s:s,生产物料推移表!L:L,"计划生产",生产物料推移表!B:B,"852-184000-100")</f>
        <v>0</v>
      </c>
      <c r="T115">
        <f>sumifs(生产物料推移表!t:t,生产物料推移表!L:L,"计划生产",生产物料推移表!B:B,"852-184000-100")</f>
        <v>0</v>
      </c>
      <c r="U115">
        <f>sumifs(生产物料推移表!u:u,生产物料推移表!L:L,"计划生产",生产物料推移表!B:B,"852-184000-100")</f>
        <v>0</v>
      </c>
      <c r="V115">
        <f>sumifs(生产物料推移表!v:v,生产物料推移表!L:L,"计划生产",生产物料推移表!B:B,"852-184000-100")</f>
        <v>0</v>
      </c>
      <c r="W115">
        <f>sumifs(生产物料推移表!w:w,生产物料推移表!L:L,"计划生产",生产物料推移表!B:B,"852-184000-100")</f>
        <v>0</v>
      </c>
      <c r="X115">
        <f>sumifs(生产物料推移表!x:x,生产物料推移表!L:L,"计划生产",生产物料推移表!B:B,"852-184000-100")</f>
        <v>0</v>
      </c>
      <c r="Y115">
        <f>sumifs(生产物料推移表!y:y,生产物料推移表!L:L,"计划生产",生产物料推移表!B:B,"852-184000-100")</f>
        <v>0</v>
      </c>
      <c r="Z115">
        <f>sumifs(生产物料推移表!z:z,生产物料推移表!L:L,"计划生产",生产物料推移表!B:B,"852-184000-100")</f>
        <v>0</v>
      </c>
      <c r="AA115">
        <f>sumifs(生产物料推移表!aa:aa,生产物料推移表!L:L,"计划生产",生产物料推移表!B:B,"852-184000-100")</f>
        <v>0</v>
      </c>
      <c r="AB115">
        <f>sumifs(生产物料推移表!ab:ab,生产物料推移表!L:L,"计划生产",生产物料推移表!B:B,"852-184000-100")</f>
        <v>0</v>
      </c>
      <c r="AC115">
        <f>sumifs(生产物料推移表!ac:ac,生产物料推移表!L:L,"计划生产",生产物料推移表!B:B,"852-184000-100")</f>
        <v>0</v>
      </c>
      <c r="AD115">
        <f>sumifs(生产物料推移表!ad:ad,生产物料推移表!L:L,"计划生产",生产物料推移表!B:B,"852-184000-100")</f>
        <v>0</v>
      </c>
      <c r="AE115">
        <f>sumifs(生产物料推移表!ae:ae,生产物料推移表!L:L,"计划生产",生产物料推移表!B:B,"852-184000-100")</f>
        <v>0</v>
      </c>
      <c r="AF115">
        <f>sumifs(生产物料推移表!af:af,生产物料推移表!L:L,"计划生产",生产物料推移表!B:B,"852-184000-100")</f>
        <v>0</v>
      </c>
      <c r="AG115">
        <f>sumifs(生产物料推移表!ag:ag,生产物料推移表!L:L,"计划生产",生产物料推移表!B:B,"852-184000-100")</f>
        <v>0</v>
      </c>
      <c r="AH115">
        <f>sumifs(生产物料推移表!ah:ah,生产物料推移表!L:L,"计划生产",生产物料推移表!B:B,"852-184000-100")</f>
        <v>0</v>
      </c>
      <c r="AI115">
        <f>sumifs(生产物料推移表!ai:ai,生产物料推移表!L:L,"计划生产",生产物料推移表!B:B,"852-184000-100")</f>
        <v>0</v>
      </c>
      <c r="AJ115">
        <f>sumifs(生产物料推移表!aj:aj,生产物料推移表!L:L,"计划生产",生产物料推移表!B:B,"852-184000-100")</f>
        <v>0</v>
      </c>
      <c r="AK115">
        <f>sumifs(生产物料推移表!ak:ak,生产物料推移表!L:L,"计划生产",生产物料推移表!B:B,"852-184000-100")</f>
        <v>0</v>
      </c>
      <c r="AL115">
        <f>sumifs(生产物料推移表!al:al,生产物料推移表!L:L,"计划生产",生产物料推移表!B:B,"852-184000-100")</f>
        <v>0</v>
      </c>
      <c r="AM115">
        <f>sumifs(生产物料推移表!am:am,生产物料推移表!L:L,"计划生产",生产物料推移表!B:B,"852-184000-100")</f>
        <v>0</v>
      </c>
      <c r="AN115">
        <f>sumifs(生产物料推移表!an:an,生产物料推移表!L:L,"计划生产",生产物料推移表!B:B,"852-184000-100")</f>
        <v>0</v>
      </c>
      <c r="AO115">
        <f>sumifs(生产物料推移表!ao:ao,生产物料推移表!L:L,"计划生产",生产物料推移表!B:B,"852-184000-100")</f>
        <v>0</v>
      </c>
      <c r="AP115">
        <f>sumifs(生产物料推移表!ap:ap,生产物料推移表!L:L,"计划生产",生产物料推移表!B:B,"852-184000-100")</f>
        <v>0</v>
      </c>
      <c r="AQ115">
        <f>sumifs(生产物料推移表!aq:aq,生产物料推移表!L:L,"计划生产",生产物料推移表!B:B,"852-184000-100")</f>
        <v>0</v>
      </c>
      <c r="AR115">
        <f>sumifs(生产物料推移表!ar:ar,生产物料推移表!L:L,"计划生产",生产物料推移表!B:B,"852-184000-100")</f>
        <v>0</v>
      </c>
      <c r="BY115">
        <f>sum(j115:an115)</f>
        <v>0</v>
      </c>
    </row>
    <row r="116" spans="1:77">
      <c r="A116" t="s">
        <v>14</v>
      </c>
      <c r="B116" t="s">
        <v>527</v>
      </c>
      <c r="C116" t="s">
        <v>528</v>
      </c>
      <c r="D116" t="s">
        <v>469</v>
      </c>
      <c r="F116" t="s">
        <v>532</v>
      </c>
      <c r="K116" t="s">
        <v>590</v>
      </c>
      <c r="L116" t="s">
        <v>37</v>
      </c>
      <c r="M116">
        <f>sumifs(生产物料推移表!m:m,生产物料推移表!L:L,"计划生产",生产物料推移表!B:B,"852-180000-100")</f>
        <v>0</v>
      </c>
      <c r="N116">
        <f>sumifs(生产物料推移表!n:n,生产物料推移表!L:L,"计划生产",生产物料推移表!B:B,"852-180000-100")</f>
        <v>0</v>
      </c>
      <c r="O116">
        <f>sumifs(生产物料推移表!o:o,生产物料推移表!L:L,"计划生产",生产物料推移表!B:B,"852-180000-100")</f>
        <v>0</v>
      </c>
      <c r="P116">
        <f>sumifs(生产物料推移表!p:p,生产物料推移表!L:L,"计划生产",生产物料推移表!B:B,"852-180000-100")</f>
        <v>0</v>
      </c>
      <c r="Q116">
        <f>sumifs(生产物料推移表!q:q,生产物料推移表!L:L,"计划生产",生产物料推移表!B:B,"852-180000-100")</f>
        <v>0</v>
      </c>
      <c r="R116">
        <f>sumifs(生产物料推移表!r:r,生产物料推移表!L:L,"计划生产",生产物料推移表!B:B,"852-180000-100")</f>
        <v>0</v>
      </c>
      <c r="S116">
        <f>sumifs(生产物料推移表!s:s,生产物料推移表!L:L,"计划生产",生产物料推移表!B:B,"852-180000-100")</f>
        <v>0</v>
      </c>
      <c r="T116">
        <f>sumifs(生产物料推移表!t:t,生产物料推移表!L:L,"计划生产",生产物料推移表!B:B,"852-180000-100")</f>
        <v>0</v>
      </c>
      <c r="U116">
        <f>sumifs(生产物料推移表!u:u,生产物料推移表!L:L,"计划生产",生产物料推移表!B:B,"852-180000-100")</f>
        <v>0</v>
      </c>
      <c r="V116">
        <f>sumifs(生产物料推移表!v:v,生产物料推移表!L:L,"计划生产",生产物料推移表!B:B,"852-180000-100")</f>
        <v>0</v>
      </c>
      <c r="W116">
        <f>sumifs(生产物料推移表!w:w,生产物料推移表!L:L,"计划生产",生产物料推移表!B:B,"852-180000-100")</f>
        <v>0</v>
      </c>
      <c r="X116">
        <f>sumifs(生产物料推移表!x:x,生产物料推移表!L:L,"计划生产",生产物料推移表!B:B,"852-180000-100")</f>
        <v>0</v>
      </c>
      <c r="Y116">
        <f>sumifs(生产物料推移表!y:y,生产物料推移表!L:L,"计划生产",生产物料推移表!B:B,"852-180000-100")</f>
        <v>0</v>
      </c>
      <c r="Z116">
        <f>sumifs(生产物料推移表!z:z,生产物料推移表!L:L,"计划生产",生产物料推移表!B:B,"852-180000-100")</f>
        <v>0</v>
      </c>
      <c r="AA116">
        <f>sumifs(生产物料推移表!aa:aa,生产物料推移表!L:L,"计划生产",生产物料推移表!B:B,"852-180000-100")</f>
        <v>0</v>
      </c>
      <c r="AB116">
        <f>sumifs(生产物料推移表!ab:ab,生产物料推移表!L:L,"计划生产",生产物料推移表!B:B,"852-180000-100")</f>
        <v>0</v>
      </c>
      <c r="AC116">
        <f>sumifs(生产物料推移表!ac:ac,生产物料推移表!L:L,"计划生产",生产物料推移表!B:B,"852-180000-100")</f>
        <v>0</v>
      </c>
      <c r="AD116">
        <f>sumifs(生产物料推移表!ad:ad,生产物料推移表!L:L,"计划生产",生产物料推移表!B:B,"852-180000-100")</f>
        <v>0</v>
      </c>
      <c r="AE116">
        <f>sumifs(生产物料推移表!ae:ae,生产物料推移表!L:L,"计划生产",生产物料推移表!B:B,"852-180000-100")</f>
        <v>0</v>
      </c>
      <c r="AF116">
        <f>sumifs(生产物料推移表!af:af,生产物料推移表!L:L,"计划生产",生产物料推移表!B:B,"852-180000-100")</f>
        <v>0</v>
      </c>
      <c r="AG116">
        <f>sumifs(生产物料推移表!ag:ag,生产物料推移表!L:L,"计划生产",生产物料推移表!B:B,"852-180000-100")</f>
        <v>0</v>
      </c>
      <c r="AH116">
        <f>sumifs(生产物料推移表!ah:ah,生产物料推移表!L:L,"计划生产",生产物料推移表!B:B,"852-180000-100")</f>
        <v>0</v>
      </c>
      <c r="AI116">
        <f>sumifs(生产物料推移表!ai:ai,生产物料推移表!L:L,"计划生产",生产物料推移表!B:B,"852-180000-100")</f>
        <v>0</v>
      </c>
      <c r="AJ116">
        <f>sumifs(生产物料推移表!aj:aj,生产物料推移表!L:L,"计划生产",生产物料推移表!B:B,"852-180000-100")</f>
        <v>0</v>
      </c>
      <c r="AK116">
        <f>sumifs(生产物料推移表!ak:ak,生产物料推移表!L:L,"计划生产",生产物料推移表!B:B,"852-180000-100")</f>
        <v>0</v>
      </c>
      <c r="AL116">
        <f>sumifs(生产物料推移表!al:al,生产物料推移表!L:L,"计划生产",生产物料推移表!B:B,"852-180000-100")</f>
        <v>0</v>
      </c>
      <c r="AM116">
        <f>sumifs(生产物料推移表!am:am,生产物料推移表!L:L,"计划生产",生产物料推移表!B:B,"852-180000-100")</f>
        <v>0</v>
      </c>
      <c r="AN116">
        <f>sumifs(生产物料推移表!an:an,生产物料推移表!L:L,"计划生产",生产物料推移表!B:B,"852-180000-100")</f>
        <v>0</v>
      </c>
      <c r="AO116">
        <f>sumifs(生产物料推移表!ao:ao,生产物料推移表!L:L,"计划生产",生产物料推移表!B:B,"852-180000-100")</f>
        <v>0</v>
      </c>
      <c r="AP116">
        <f>sumifs(生产物料推移表!ap:ap,生产物料推移表!L:L,"计划生产",生产物料推移表!B:B,"852-180000-100")</f>
        <v>0</v>
      </c>
      <c r="AQ116">
        <f>sumifs(生产物料推移表!aq:aq,生产物料推移表!L:L,"计划生产",生产物料推移表!B:B,"852-180000-100")</f>
        <v>0</v>
      </c>
      <c r="AR116">
        <f>sumifs(生产物料推移表!ar:ar,生产物料推移表!L:L,"计划生产",生产物料推移表!B:B,"852-180000-100")</f>
        <v>0</v>
      </c>
      <c r="BY116">
        <f>sum(j116:an116)</f>
        <v>0</v>
      </c>
    </row>
    <row r="117" spans="1:77">
      <c r="A117" t="s">
        <v>14</v>
      </c>
      <c r="B117" t="s">
        <v>530</v>
      </c>
      <c r="C117" t="s">
        <v>531</v>
      </c>
      <c r="E117">
        <v>1</v>
      </c>
      <c r="F117" t="s">
        <v>535</v>
      </c>
      <c r="K117" t="s">
        <v>590</v>
      </c>
      <c r="L117" t="s">
        <v>37</v>
      </c>
      <c r="M117">
        <f>sumifs(生产物料推移表!m:m,生产物料推移表!L:L,"计划生产",生产物料推移表!B:B,"852-187000-110")</f>
        <v>0</v>
      </c>
      <c r="N117">
        <f>sumifs(生产物料推移表!n:n,生产物料推移表!L:L,"计划生产",生产物料推移表!B:B,"852-187000-110")</f>
        <v>0</v>
      </c>
      <c r="O117">
        <f>sumifs(生产物料推移表!o:o,生产物料推移表!L:L,"计划生产",生产物料推移表!B:B,"852-187000-110")</f>
        <v>0</v>
      </c>
      <c r="P117">
        <f>sumifs(生产物料推移表!p:p,生产物料推移表!L:L,"计划生产",生产物料推移表!B:B,"852-187000-110")</f>
        <v>0</v>
      </c>
      <c r="Q117">
        <f>sumifs(生产物料推移表!q:q,生产物料推移表!L:L,"计划生产",生产物料推移表!B:B,"852-187000-110")</f>
        <v>0</v>
      </c>
      <c r="R117">
        <f>sumifs(生产物料推移表!r:r,生产物料推移表!L:L,"计划生产",生产物料推移表!B:B,"852-187000-110")</f>
        <v>0</v>
      </c>
      <c r="S117">
        <f>sumifs(生产物料推移表!s:s,生产物料推移表!L:L,"计划生产",生产物料推移表!B:B,"852-187000-110")</f>
        <v>0</v>
      </c>
      <c r="T117">
        <f>sumifs(生产物料推移表!t:t,生产物料推移表!L:L,"计划生产",生产物料推移表!B:B,"852-187000-110")</f>
        <v>0</v>
      </c>
      <c r="U117">
        <f>sumifs(生产物料推移表!u:u,生产物料推移表!L:L,"计划生产",生产物料推移表!B:B,"852-187000-110")</f>
        <v>0</v>
      </c>
      <c r="V117">
        <f>sumifs(生产物料推移表!v:v,生产物料推移表!L:L,"计划生产",生产物料推移表!B:B,"852-187000-110")</f>
        <v>0</v>
      </c>
      <c r="W117">
        <f>sumifs(生产物料推移表!w:w,生产物料推移表!L:L,"计划生产",生产物料推移表!B:B,"852-187000-110")</f>
        <v>0</v>
      </c>
      <c r="X117">
        <f>sumifs(生产物料推移表!x:x,生产物料推移表!L:L,"计划生产",生产物料推移表!B:B,"852-187000-110")</f>
        <v>0</v>
      </c>
      <c r="Y117">
        <f>sumifs(生产物料推移表!y:y,生产物料推移表!L:L,"计划生产",生产物料推移表!B:B,"852-187000-110")</f>
        <v>0</v>
      </c>
      <c r="Z117">
        <f>sumifs(生产物料推移表!z:z,生产物料推移表!L:L,"计划生产",生产物料推移表!B:B,"852-187000-110")</f>
        <v>0</v>
      </c>
      <c r="AA117">
        <f>sumifs(生产物料推移表!aa:aa,生产物料推移表!L:L,"计划生产",生产物料推移表!B:B,"852-187000-110")</f>
        <v>0</v>
      </c>
      <c r="AB117">
        <f>sumifs(生产物料推移表!ab:ab,生产物料推移表!L:L,"计划生产",生产物料推移表!B:B,"852-187000-110")</f>
        <v>0</v>
      </c>
      <c r="AC117">
        <f>sumifs(生产物料推移表!ac:ac,生产物料推移表!L:L,"计划生产",生产物料推移表!B:B,"852-187000-110")</f>
        <v>0</v>
      </c>
      <c r="AD117">
        <f>sumifs(生产物料推移表!ad:ad,生产物料推移表!L:L,"计划生产",生产物料推移表!B:B,"852-187000-110")</f>
        <v>0</v>
      </c>
      <c r="AE117">
        <f>sumifs(生产物料推移表!ae:ae,生产物料推移表!L:L,"计划生产",生产物料推移表!B:B,"852-187000-110")</f>
        <v>0</v>
      </c>
      <c r="AF117">
        <f>sumifs(生产物料推移表!af:af,生产物料推移表!L:L,"计划生产",生产物料推移表!B:B,"852-187000-110")</f>
        <v>0</v>
      </c>
      <c r="AG117">
        <f>sumifs(生产物料推移表!ag:ag,生产物料推移表!L:L,"计划生产",生产物料推移表!B:B,"852-187000-110")</f>
        <v>0</v>
      </c>
      <c r="AH117">
        <f>sumifs(生产物料推移表!ah:ah,生产物料推移表!L:L,"计划生产",生产物料推移表!B:B,"852-187000-110")</f>
        <v>0</v>
      </c>
      <c r="AI117">
        <f>sumifs(生产物料推移表!ai:ai,生产物料推移表!L:L,"计划生产",生产物料推移表!B:B,"852-187000-110")</f>
        <v>0</v>
      </c>
      <c r="AJ117">
        <f>sumifs(生产物料推移表!aj:aj,生产物料推移表!L:L,"计划生产",生产物料推移表!B:B,"852-187000-110")</f>
        <v>0</v>
      </c>
      <c r="AK117">
        <f>sumifs(生产物料推移表!ak:ak,生产物料推移表!L:L,"计划生产",生产物料推移表!B:B,"852-187000-110")</f>
        <v>0</v>
      </c>
      <c r="AL117">
        <f>sumifs(生产物料推移表!al:al,生产物料推移表!L:L,"计划生产",生产物料推移表!B:B,"852-187000-110")</f>
        <v>0</v>
      </c>
      <c r="AM117">
        <f>sumifs(生产物料推移表!am:am,生产物料推移表!L:L,"计划生产",生产物料推移表!B:B,"852-187000-110")</f>
        <v>0</v>
      </c>
      <c r="AN117">
        <f>sumifs(生产物料推移表!an:an,生产物料推移表!L:L,"计划生产",生产物料推移表!B:B,"852-187000-110")</f>
        <v>0</v>
      </c>
      <c r="AO117">
        <f>sumifs(生产物料推移表!ao:ao,生产物料推移表!L:L,"计划生产",生产物料推移表!B:B,"852-187000-110")</f>
        <v>0</v>
      </c>
      <c r="AP117">
        <f>sumifs(生产物料推移表!ap:ap,生产物料推移表!L:L,"计划生产",生产物料推移表!B:B,"852-187000-110")</f>
        <v>0</v>
      </c>
      <c r="AQ117">
        <f>sumifs(生产物料推移表!aq:aq,生产物料推移表!L:L,"计划生产",生产物料推移表!B:B,"852-187000-110")</f>
        <v>0</v>
      </c>
      <c r="AR117">
        <f>sumifs(生产物料推移表!ar:ar,生产物料推移表!L:L,"计划生产",生产物料推移表!B:B,"852-187000-110")</f>
        <v>0</v>
      </c>
      <c r="BY117">
        <f>sum(j117:an117)</f>
        <v>0</v>
      </c>
    </row>
    <row r="118" spans="1:77">
      <c r="A118" t="s">
        <v>14</v>
      </c>
      <c r="B118" t="s">
        <v>533</v>
      </c>
      <c r="C118" t="s">
        <v>534</v>
      </c>
      <c r="E118" t="s">
        <v>444</v>
      </c>
      <c r="F118" t="s">
        <v>538</v>
      </c>
      <c r="K118" t="s">
        <v>590</v>
      </c>
      <c r="L118" t="s">
        <v>37</v>
      </c>
      <c r="M118">
        <f>sumifs(生产物料推移表!m:m,生产物料推移表!L:L,"计划生产",生产物料推移表!B:B,"852-187000-111")</f>
        <v>0</v>
      </c>
      <c r="N118">
        <f>sumifs(生产物料推移表!n:n,生产物料推移表!L:L,"计划生产",生产物料推移表!B:B,"852-187000-111")</f>
        <v>0</v>
      </c>
      <c r="O118">
        <f>sumifs(生产物料推移表!o:o,生产物料推移表!L:L,"计划生产",生产物料推移表!B:B,"852-187000-111")</f>
        <v>0</v>
      </c>
      <c r="P118">
        <f>sumifs(生产物料推移表!p:p,生产物料推移表!L:L,"计划生产",生产物料推移表!B:B,"852-187000-111")</f>
        <v>0</v>
      </c>
      <c r="Q118">
        <f>sumifs(生产物料推移表!q:q,生产物料推移表!L:L,"计划生产",生产物料推移表!B:B,"852-187000-111")</f>
        <v>0</v>
      </c>
      <c r="R118">
        <f>sumifs(生产物料推移表!r:r,生产物料推移表!L:L,"计划生产",生产物料推移表!B:B,"852-187000-111")</f>
        <v>0</v>
      </c>
      <c r="S118">
        <f>sumifs(生产物料推移表!s:s,生产物料推移表!L:L,"计划生产",生产物料推移表!B:B,"852-187000-111")</f>
        <v>0</v>
      </c>
      <c r="T118">
        <f>sumifs(生产物料推移表!t:t,生产物料推移表!L:L,"计划生产",生产物料推移表!B:B,"852-187000-111")</f>
        <v>0</v>
      </c>
      <c r="U118">
        <f>sumifs(生产物料推移表!u:u,生产物料推移表!L:L,"计划生产",生产物料推移表!B:B,"852-187000-111")</f>
        <v>0</v>
      </c>
      <c r="V118">
        <f>sumifs(生产物料推移表!v:v,生产物料推移表!L:L,"计划生产",生产物料推移表!B:B,"852-187000-111")</f>
        <v>0</v>
      </c>
      <c r="W118">
        <f>sumifs(生产物料推移表!w:w,生产物料推移表!L:L,"计划生产",生产物料推移表!B:B,"852-187000-111")</f>
        <v>0</v>
      </c>
      <c r="X118">
        <f>sumifs(生产物料推移表!x:x,生产物料推移表!L:L,"计划生产",生产物料推移表!B:B,"852-187000-111")</f>
        <v>0</v>
      </c>
      <c r="Y118">
        <f>sumifs(生产物料推移表!y:y,生产物料推移表!L:L,"计划生产",生产物料推移表!B:B,"852-187000-111")</f>
        <v>0</v>
      </c>
      <c r="Z118">
        <f>sumifs(生产物料推移表!z:z,生产物料推移表!L:L,"计划生产",生产物料推移表!B:B,"852-187000-111")</f>
        <v>0</v>
      </c>
      <c r="AA118">
        <f>sumifs(生产物料推移表!aa:aa,生产物料推移表!L:L,"计划生产",生产物料推移表!B:B,"852-187000-111")</f>
        <v>0</v>
      </c>
      <c r="AB118">
        <f>sumifs(生产物料推移表!ab:ab,生产物料推移表!L:L,"计划生产",生产物料推移表!B:B,"852-187000-111")</f>
        <v>0</v>
      </c>
      <c r="AC118">
        <f>sumifs(生产物料推移表!ac:ac,生产物料推移表!L:L,"计划生产",生产物料推移表!B:B,"852-187000-111")</f>
        <v>0</v>
      </c>
      <c r="AD118">
        <f>sumifs(生产物料推移表!ad:ad,生产物料推移表!L:L,"计划生产",生产物料推移表!B:B,"852-187000-111")</f>
        <v>0</v>
      </c>
      <c r="AE118">
        <f>sumifs(生产物料推移表!ae:ae,生产物料推移表!L:L,"计划生产",生产物料推移表!B:B,"852-187000-111")</f>
        <v>0</v>
      </c>
      <c r="AF118">
        <f>sumifs(生产物料推移表!af:af,生产物料推移表!L:L,"计划生产",生产物料推移表!B:B,"852-187000-111")</f>
        <v>0</v>
      </c>
      <c r="AG118">
        <f>sumifs(生产物料推移表!ag:ag,生产物料推移表!L:L,"计划生产",生产物料推移表!B:B,"852-187000-111")</f>
        <v>0</v>
      </c>
      <c r="AH118">
        <f>sumifs(生产物料推移表!ah:ah,生产物料推移表!L:L,"计划生产",生产物料推移表!B:B,"852-187000-111")</f>
        <v>0</v>
      </c>
      <c r="AI118">
        <f>sumifs(生产物料推移表!ai:ai,生产物料推移表!L:L,"计划生产",生产物料推移表!B:B,"852-187000-111")</f>
        <v>0</v>
      </c>
      <c r="AJ118">
        <f>sumifs(生产物料推移表!aj:aj,生产物料推移表!L:L,"计划生产",生产物料推移表!B:B,"852-187000-111")</f>
        <v>0</v>
      </c>
      <c r="AK118">
        <f>sumifs(生产物料推移表!ak:ak,生产物料推移表!L:L,"计划生产",生产物料推移表!B:B,"852-187000-111")</f>
        <v>0</v>
      </c>
      <c r="AL118">
        <f>sumifs(生产物料推移表!al:al,生产物料推移表!L:L,"计划生产",生产物料推移表!B:B,"852-187000-111")</f>
        <v>0</v>
      </c>
      <c r="AM118">
        <f>sumifs(生产物料推移表!am:am,生产物料推移表!L:L,"计划生产",生产物料推移表!B:B,"852-187000-111")</f>
        <v>0</v>
      </c>
      <c r="AN118">
        <f>sumifs(生产物料推移表!an:an,生产物料推移表!L:L,"计划生产",生产物料推移表!B:B,"852-187000-111")</f>
        <v>0</v>
      </c>
      <c r="AO118">
        <f>sumifs(生产物料推移表!ao:ao,生产物料推移表!L:L,"计划生产",生产物料推移表!B:B,"852-187000-111")</f>
        <v>0</v>
      </c>
      <c r="AP118">
        <f>sumifs(生产物料推移表!ap:ap,生产物料推移表!L:L,"计划生产",生产物料推移表!B:B,"852-187000-111")</f>
        <v>0</v>
      </c>
      <c r="AQ118">
        <f>sumifs(生产物料推移表!aq:aq,生产物料推移表!L:L,"计划生产",生产物料推移表!B:B,"852-187000-111")</f>
        <v>0</v>
      </c>
      <c r="AR118">
        <f>sumifs(生产物料推移表!ar:ar,生产物料推移表!L:L,"计划生产",生产物料推移表!B:B,"852-187000-111")</f>
        <v>0</v>
      </c>
      <c r="BY118">
        <f>sum(j118:an118)</f>
        <v>0</v>
      </c>
    </row>
    <row r="119" spans="1:77">
      <c r="A119" t="s">
        <v>14</v>
      </c>
      <c r="B119" t="s">
        <v>536</v>
      </c>
      <c r="C119" t="s">
        <v>537</v>
      </c>
      <c r="D119" t="s">
        <v>525</v>
      </c>
      <c r="E119" t="s">
        <v>444</v>
      </c>
      <c r="F119" t="s">
        <v>599</v>
      </c>
      <c r="K119" t="s">
        <v>590</v>
      </c>
      <c r="L119" t="s">
        <v>37</v>
      </c>
      <c r="M119">
        <f>sumifs(生产物料推移表!m:m,生产物料推移表!L:L,"计划生产",生产物料推移表!B:B,"852-187000-100")</f>
        <v>0</v>
      </c>
      <c r="N119">
        <f>sumifs(生产物料推移表!n:n,生产物料推移表!L:L,"计划生产",生产物料推移表!B:B,"852-187000-100")</f>
        <v>0</v>
      </c>
      <c r="O119">
        <f>sumifs(生产物料推移表!o:o,生产物料推移表!L:L,"计划生产",生产物料推移表!B:B,"852-187000-100")</f>
        <v>0</v>
      </c>
      <c r="P119">
        <f>sumifs(生产物料推移表!p:p,生产物料推移表!L:L,"计划生产",生产物料推移表!B:B,"852-187000-100")</f>
        <v>0</v>
      </c>
      <c r="Q119">
        <f>sumifs(生产物料推移表!q:q,生产物料推移表!L:L,"计划生产",生产物料推移表!B:B,"852-187000-100")</f>
        <v>0</v>
      </c>
      <c r="R119">
        <f>sumifs(生产物料推移表!r:r,生产物料推移表!L:L,"计划生产",生产物料推移表!B:B,"852-187000-100")</f>
        <v>0</v>
      </c>
      <c r="S119">
        <f>sumifs(生产物料推移表!s:s,生产物料推移表!L:L,"计划生产",生产物料推移表!B:B,"852-187000-100")</f>
        <v>0</v>
      </c>
      <c r="T119">
        <f>sumifs(生产物料推移表!t:t,生产物料推移表!L:L,"计划生产",生产物料推移表!B:B,"852-187000-100")</f>
        <v>0</v>
      </c>
      <c r="U119">
        <f>sumifs(生产物料推移表!u:u,生产物料推移表!L:L,"计划生产",生产物料推移表!B:B,"852-187000-100")</f>
        <v>0</v>
      </c>
      <c r="V119">
        <f>sumifs(生产物料推移表!v:v,生产物料推移表!L:L,"计划生产",生产物料推移表!B:B,"852-187000-100")</f>
        <v>0</v>
      </c>
      <c r="W119">
        <f>sumifs(生产物料推移表!w:w,生产物料推移表!L:L,"计划生产",生产物料推移表!B:B,"852-187000-100")</f>
        <v>0</v>
      </c>
      <c r="X119">
        <f>sumifs(生产物料推移表!x:x,生产物料推移表!L:L,"计划生产",生产物料推移表!B:B,"852-187000-100")</f>
        <v>0</v>
      </c>
      <c r="Y119">
        <f>sumifs(生产物料推移表!y:y,生产物料推移表!L:L,"计划生产",生产物料推移表!B:B,"852-187000-100")</f>
        <v>0</v>
      </c>
      <c r="Z119">
        <f>sumifs(生产物料推移表!z:z,生产物料推移表!L:L,"计划生产",生产物料推移表!B:B,"852-187000-100")</f>
        <v>0</v>
      </c>
      <c r="AA119">
        <f>sumifs(生产物料推移表!aa:aa,生产物料推移表!L:L,"计划生产",生产物料推移表!B:B,"852-187000-100")</f>
        <v>0</v>
      </c>
      <c r="AB119">
        <f>sumifs(生产物料推移表!ab:ab,生产物料推移表!L:L,"计划生产",生产物料推移表!B:B,"852-187000-100")</f>
        <v>0</v>
      </c>
      <c r="AC119">
        <f>sumifs(生产物料推移表!ac:ac,生产物料推移表!L:L,"计划生产",生产物料推移表!B:B,"852-187000-100")</f>
        <v>0</v>
      </c>
      <c r="AD119">
        <f>sumifs(生产物料推移表!ad:ad,生产物料推移表!L:L,"计划生产",生产物料推移表!B:B,"852-187000-100")</f>
        <v>0</v>
      </c>
      <c r="AE119">
        <f>sumifs(生产物料推移表!ae:ae,生产物料推移表!L:L,"计划生产",生产物料推移表!B:B,"852-187000-100")</f>
        <v>0</v>
      </c>
      <c r="AF119">
        <f>sumifs(生产物料推移表!af:af,生产物料推移表!L:L,"计划生产",生产物料推移表!B:B,"852-187000-100")</f>
        <v>0</v>
      </c>
      <c r="AG119">
        <f>sumifs(生产物料推移表!ag:ag,生产物料推移表!L:L,"计划生产",生产物料推移表!B:B,"852-187000-100")</f>
        <v>0</v>
      </c>
      <c r="AH119">
        <f>sumifs(生产物料推移表!ah:ah,生产物料推移表!L:L,"计划生产",生产物料推移表!B:B,"852-187000-100")</f>
        <v>0</v>
      </c>
      <c r="AI119">
        <f>sumifs(生产物料推移表!ai:ai,生产物料推移表!L:L,"计划生产",生产物料推移表!B:B,"852-187000-100")</f>
        <v>0</v>
      </c>
      <c r="AJ119">
        <f>sumifs(生产物料推移表!aj:aj,生产物料推移表!L:L,"计划生产",生产物料推移表!B:B,"852-187000-100")</f>
        <v>0</v>
      </c>
      <c r="AK119">
        <f>sumifs(生产物料推移表!ak:ak,生产物料推移表!L:L,"计划生产",生产物料推移表!B:B,"852-187000-100")</f>
        <v>0</v>
      </c>
      <c r="AL119">
        <f>sumifs(生产物料推移表!al:al,生产物料推移表!L:L,"计划生产",生产物料推移表!B:B,"852-187000-100")</f>
        <v>0</v>
      </c>
      <c r="AM119">
        <f>sumifs(生产物料推移表!am:am,生产物料推移表!L:L,"计划生产",生产物料推移表!B:B,"852-187000-100")</f>
        <v>0</v>
      </c>
      <c r="AN119">
        <f>sumifs(生产物料推移表!an:an,生产物料推移表!L:L,"计划生产",生产物料推移表!B:B,"852-187000-100")</f>
        <v>0</v>
      </c>
      <c r="AO119">
        <f>sumifs(生产物料推移表!ao:ao,生产物料推移表!L:L,"计划生产",生产物料推移表!B:B,"852-187000-100")</f>
        <v>0</v>
      </c>
      <c r="AP119">
        <f>sumifs(生产物料推移表!ap:ap,生产物料推移表!L:L,"计划生产",生产物料推移表!B:B,"852-187000-100")</f>
        <v>0</v>
      </c>
      <c r="AQ119">
        <f>sumifs(生产物料推移表!aq:aq,生产物料推移表!L:L,"计划生产",生产物料推移表!B:B,"852-187000-100")</f>
        <v>0</v>
      </c>
      <c r="AR119">
        <f>sumifs(生产物料推移表!ar:ar,生产物料推移表!L:L,"计划生产",生产物料推移表!B:B,"852-187000-100")</f>
        <v>0</v>
      </c>
      <c r="BY119">
        <f>sum(j119:an119)</f>
        <v>0</v>
      </c>
    </row>
    <row r="120" spans="1:77">
      <c r="A120" t="s">
        <v>14</v>
      </c>
      <c r="B120" t="s">
        <v>539</v>
      </c>
      <c r="C120" t="s">
        <v>540</v>
      </c>
      <c r="E120" t="s">
        <v>444</v>
      </c>
      <c r="F120" t="s">
        <v>544</v>
      </c>
      <c r="K120" t="s">
        <v>590</v>
      </c>
      <c r="L120" t="s">
        <v>37</v>
      </c>
      <c r="M120">
        <f>sumifs(生产物料推移表!m:m,生产物料推移表!L:L,"计划生产",生产物料推移表!B:B,"852-189000-110")</f>
        <v>0</v>
      </c>
      <c r="N120">
        <f>sumifs(生产物料推移表!n:n,生产物料推移表!L:L,"计划生产",生产物料推移表!B:B,"852-189000-110")</f>
        <v>0</v>
      </c>
      <c r="O120">
        <f>sumifs(生产物料推移表!o:o,生产物料推移表!L:L,"计划生产",生产物料推移表!B:B,"852-189000-110")</f>
        <v>0</v>
      </c>
      <c r="P120">
        <f>sumifs(生产物料推移表!p:p,生产物料推移表!L:L,"计划生产",生产物料推移表!B:B,"852-189000-110")</f>
        <v>0</v>
      </c>
      <c r="Q120">
        <f>sumifs(生产物料推移表!q:q,生产物料推移表!L:L,"计划生产",生产物料推移表!B:B,"852-189000-110")</f>
        <v>0</v>
      </c>
      <c r="R120">
        <f>sumifs(生产物料推移表!r:r,生产物料推移表!L:L,"计划生产",生产物料推移表!B:B,"852-189000-110")</f>
        <v>0</v>
      </c>
      <c r="S120">
        <f>sumifs(生产物料推移表!s:s,生产物料推移表!L:L,"计划生产",生产物料推移表!B:B,"852-189000-110")</f>
        <v>0</v>
      </c>
      <c r="T120">
        <f>sumifs(生产物料推移表!t:t,生产物料推移表!L:L,"计划生产",生产物料推移表!B:B,"852-189000-110")</f>
        <v>0</v>
      </c>
      <c r="U120">
        <f>sumifs(生产物料推移表!u:u,生产物料推移表!L:L,"计划生产",生产物料推移表!B:B,"852-189000-110")</f>
        <v>0</v>
      </c>
      <c r="V120">
        <f>sumifs(生产物料推移表!v:v,生产物料推移表!L:L,"计划生产",生产物料推移表!B:B,"852-189000-110")</f>
        <v>0</v>
      </c>
      <c r="W120">
        <f>sumifs(生产物料推移表!w:w,生产物料推移表!L:L,"计划生产",生产物料推移表!B:B,"852-189000-110")</f>
        <v>0</v>
      </c>
      <c r="X120">
        <f>sumifs(生产物料推移表!x:x,生产物料推移表!L:L,"计划生产",生产物料推移表!B:B,"852-189000-110")</f>
        <v>0</v>
      </c>
      <c r="Y120">
        <f>sumifs(生产物料推移表!y:y,生产物料推移表!L:L,"计划生产",生产物料推移表!B:B,"852-189000-110")</f>
        <v>0</v>
      </c>
      <c r="Z120">
        <f>sumifs(生产物料推移表!z:z,生产物料推移表!L:L,"计划生产",生产物料推移表!B:B,"852-189000-110")</f>
        <v>0</v>
      </c>
      <c r="AA120">
        <f>sumifs(生产物料推移表!aa:aa,生产物料推移表!L:L,"计划生产",生产物料推移表!B:B,"852-189000-110")</f>
        <v>0</v>
      </c>
      <c r="AB120">
        <f>sumifs(生产物料推移表!ab:ab,生产物料推移表!L:L,"计划生产",生产物料推移表!B:B,"852-189000-110")</f>
        <v>0</v>
      </c>
      <c r="AC120">
        <f>sumifs(生产物料推移表!ac:ac,生产物料推移表!L:L,"计划生产",生产物料推移表!B:B,"852-189000-110")</f>
        <v>0</v>
      </c>
      <c r="AD120">
        <f>sumifs(生产物料推移表!ad:ad,生产物料推移表!L:L,"计划生产",生产物料推移表!B:B,"852-189000-110")</f>
        <v>0</v>
      </c>
      <c r="AE120">
        <f>sumifs(生产物料推移表!ae:ae,生产物料推移表!L:L,"计划生产",生产物料推移表!B:B,"852-189000-110")</f>
        <v>0</v>
      </c>
      <c r="AF120">
        <f>sumifs(生产物料推移表!af:af,生产物料推移表!L:L,"计划生产",生产物料推移表!B:B,"852-189000-110")</f>
        <v>0</v>
      </c>
      <c r="AG120">
        <f>sumifs(生产物料推移表!ag:ag,生产物料推移表!L:L,"计划生产",生产物料推移表!B:B,"852-189000-110")</f>
        <v>0</v>
      </c>
      <c r="AH120">
        <f>sumifs(生产物料推移表!ah:ah,生产物料推移表!L:L,"计划生产",生产物料推移表!B:B,"852-189000-110")</f>
        <v>0</v>
      </c>
      <c r="AI120">
        <f>sumifs(生产物料推移表!ai:ai,生产物料推移表!L:L,"计划生产",生产物料推移表!B:B,"852-189000-110")</f>
        <v>0</v>
      </c>
      <c r="AJ120">
        <f>sumifs(生产物料推移表!aj:aj,生产物料推移表!L:L,"计划生产",生产物料推移表!B:B,"852-189000-110")</f>
        <v>0</v>
      </c>
      <c r="AK120">
        <f>sumifs(生产物料推移表!ak:ak,生产物料推移表!L:L,"计划生产",生产物料推移表!B:B,"852-189000-110")</f>
        <v>0</v>
      </c>
      <c r="AL120">
        <f>sumifs(生产物料推移表!al:al,生产物料推移表!L:L,"计划生产",生产物料推移表!B:B,"852-189000-110")</f>
        <v>0</v>
      </c>
      <c r="AM120">
        <f>sumifs(生产物料推移表!am:am,生产物料推移表!L:L,"计划生产",生产物料推移表!B:B,"852-189000-110")</f>
        <v>0</v>
      </c>
      <c r="AN120">
        <f>sumifs(生产物料推移表!an:an,生产物料推移表!L:L,"计划生产",生产物料推移表!B:B,"852-189000-110")</f>
        <v>0</v>
      </c>
      <c r="AO120">
        <f>sumifs(生产物料推移表!ao:ao,生产物料推移表!L:L,"计划生产",生产物料推移表!B:B,"852-189000-110")</f>
        <v>0</v>
      </c>
      <c r="AP120">
        <f>sumifs(生产物料推移表!ap:ap,生产物料推移表!L:L,"计划生产",生产物料推移表!B:B,"852-189000-110")</f>
        <v>0</v>
      </c>
      <c r="AQ120">
        <f>sumifs(生产物料推移表!aq:aq,生产物料推移表!L:L,"计划生产",生产物料推移表!B:B,"852-189000-110")</f>
        <v>0</v>
      </c>
      <c r="AR120">
        <f>sumifs(生产物料推移表!ar:ar,生产物料推移表!L:L,"计划生产",生产物料推移表!B:B,"852-189000-110")</f>
        <v>0</v>
      </c>
      <c r="BY120">
        <f>sum(j120:an120)</f>
        <v>0</v>
      </c>
    </row>
    <row r="121" spans="1:77">
      <c r="A121" t="s">
        <v>14</v>
      </c>
      <c r="B121" t="s">
        <v>542</v>
      </c>
      <c r="C121" t="s">
        <v>543</v>
      </c>
      <c r="F121" t="s">
        <v>605</v>
      </c>
      <c r="K121" t="s">
        <v>590</v>
      </c>
      <c r="L121" t="s">
        <v>37</v>
      </c>
      <c r="M121">
        <f>sumifs(生产物料推移表!m:m,生产物料推移表!L:L,"计划生产",生产物料推移表!B:B,"852-189000-111")</f>
        <v>0</v>
      </c>
      <c r="N121">
        <f>sumifs(生产物料推移表!n:n,生产物料推移表!L:L,"计划生产",生产物料推移表!B:B,"852-189000-111")</f>
        <v>0</v>
      </c>
      <c r="O121">
        <f>sumifs(生产物料推移表!o:o,生产物料推移表!L:L,"计划生产",生产物料推移表!B:B,"852-189000-111")</f>
        <v>0</v>
      </c>
      <c r="P121">
        <f>sumifs(生产物料推移表!p:p,生产物料推移表!L:L,"计划生产",生产物料推移表!B:B,"852-189000-111")</f>
        <v>0</v>
      </c>
      <c r="Q121">
        <f>sumifs(生产物料推移表!q:q,生产物料推移表!L:L,"计划生产",生产物料推移表!B:B,"852-189000-111")</f>
        <v>0</v>
      </c>
      <c r="R121">
        <f>sumifs(生产物料推移表!r:r,生产物料推移表!L:L,"计划生产",生产物料推移表!B:B,"852-189000-111")</f>
        <v>0</v>
      </c>
      <c r="S121">
        <f>sumifs(生产物料推移表!s:s,生产物料推移表!L:L,"计划生产",生产物料推移表!B:B,"852-189000-111")</f>
        <v>0</v>
      </c>
      <c r="T121">
        <f>sumifs(生产物料推移表!t:t,生产物料推移表!L:L,"计划生产",生产物料推移表!B:B,"852-189000-111")</f>
        <v>0</v>
      </c>
      <c r="U121">
        <f>sumifs(生产物料推移表!u:u,生产物料推移表!L:L,"计划生产",生产物料推移表!B:B,"852-189000-111")</f>
        <v>0</v>
      </c>
      <c r="V121">
        <f>sumifs(生产物料推移表!v:v,生产物料推移表!L:L,"计划生产",生产物料推移表!B:B,"852-189000-111")</f>
        <v>0</v>
      </c>
      <c r="W121">
        <f>sumifs(生产物料推移表!w:w,生产物料推移表!L:L,"计划生产",生产物料推移表!B:B,"852-189000-111")</f>
        <v>0</v>
      </c>
      <c r="X121">
        <f>sumifs(生产物料推移表!x:x,生产物料推移表!L:L,"计划生产",生产物料推移表!B:B,"852-189000-111")</f>
        <v>0</v>
      </c>
      <c r="Y121">
        <f>sumifs(生产物料推移表!y:y,生产物料推移表!L:L,"计划生产",生产物料推移表!B:B,"852-189000-111")</f>
        <v>0</v>
      </c>
      <c r="Z121">
        <f>sumifs(生产物料推移表!z:z,生产物料推移表!L:L,"计划生产",生产物料推移表!B:B,"852-189000-111")</f>
        <v>0</v>
      </c>
      <c r="AA121">
        <f>sumifs(生产物料推移表!aa:aa,生产物料推移表!L:L,"计划生产",生产物料推移表!B:B,"852-189000-111")</f>
        <v>0</v>
      </c>
      <c r="AB121">
        <f>sumifs(生产物料推移表!ab:ab,生产物料推移表!L:L,"计划生产",生产物料推移表!B:B,"852-189000-111")</f>
        <v>0</v>
      </c>
      <c r="AC121">
        <f>sumifs(生产物料推移表!ac:ac,生产物料推移表!L:L,"计划生产",生产物料推移表!B:B,"852-189000-111")</f>
        <v>0</v>
      </c>
      <c r="AD121">
        <f>sumifs(生产物料推移表!ad:ad,生产物料推移表!L:L,"计划生产",生产物料推移表!B:B,"852-189000-111")</f>
        <v>0</v>
      </c>
      <c r="AE121">
        <f>sumifs(生产物料推移表!ae:ae,生产物料推移表!L:L,"计划生产",生产物料推移表!B:B,"852-189000-111")</f>
        <v>0</v>
      </c>
      <c r="AF121">
        <f>sumifs(生产物料推移表!af:af,生产物料推移表!L:L,"计划生产",生产物料推移表!B:B,"852-189000-111")</f>
        <v>0</v>
      </c>
      <c r="AG121">
        <f>sumifs(生产物料推移表!ag:ag,生产物料推移表!L:L,"计划生产",生产物料推移表!B:B,"852-189000-111")</f>
        <v>0</v>
      </c>
      <c r="AH121">
        <f>sumifs(生产物料推移表!ah:ah,生产物料推移表!L:L,"计划生产",生产物料推移表!B:B,"852-189000-111")</f>
        <v>0</v>
      </c>
      <c r="AI121">
        <f>sumifs(生产物料推移表!ai:ai,生产物料推移表!L:L,"计划生产",生产物料推移表!B:B,"852-189000-111")</f>
        <v>0</v>
      </c>
      <c r="AJ121">
        <f>sumifs(生产物料推移表!aj:aj,生产物料推移表!L:L,"计划生产",生产物料推移表!B:B,"852-189000-111")</f>
        <v>0</v>
      </c>
      <c r="AK121">
        <f>sumifs(生产物料推移表!ak:ak,生产物料推移表!L:L,"计划生产",生产物料推移表!B:B,"852-189000-111")</f>
        <v>0</v>
      </c>
      <c r="AL121">
        <f>sumifs(生产物料推移表!al:al,生产物料推移表!L:L,"计划生产",生产物料推移表!B:B,"852-189000-111")</f>
        <v>0</v>
      </c>
      <c r="AM121">
        <f>sumifs(生产物料推移表!am:am,生产物料推移表!L:L,"计划生产",生产物料推移表!B:B,"852-189000-111")</f>
        <v>0</v>
      </c>
      <c r="AN121">
        <f>sumifs(生产物料推移表!an:an,生产物料推移表!L:L,"计划生产",生产物料推移表!B:B,"852-189000-111")</f>
        <v>0</v>
      </c>
      <c r="AO121">
        <f>sumifs(生产物料推移表!ao:ao,生产物料推移表!L:L,"计划生产",生产物料推移表!B:B,"852-189000-111")</f>
        <v>0</v>
      </c>
      <c r="AP121">
        <f>sumifs(生产物料推移表!ap:ap,生产物料推移表!L:L,"计划生产",生产物料推移表!B:B,"852-189000-111")</f>
        <v>0</v>
      </c>
      <c r="AQ121">
        <f>sumifs(生产物料推移表!aq:aq,生产物料推移表!L:L,"计划生产",生产物料推移表!B:B,"852-189000-111")</f>
        <v>0</v>
      </c>
      <c r="AR121">
        <f>sumifs(生产物料推移表!ar:ar,生产物料推移表!L:L,"计划生产",生产物料推移表!B:B,"852-189000-111")</f>
        <v>0</v>
      </c>
      <c r="BY121">
        <f>sum(j121:an121)</f>
        <v>0</v>
      </c>
    </row>
    <row r="122" spans="1:77">
      <c r="A122" t="s">
        <v>14</v>
      </c>
      <c r="B122" t="s">
        <v>545</v>
      </c>
      <c r="C122" t="s">
        <v>546</v>
      </c>
      <c r="D122" t="s">
        <v>547</v>
      </c>
      <c r="E122" t="s">
        <v>444</v>
      </c>
      <c r="F122" t="s">
        <v>608</v>
      </c>
      <c r="K122" t="s">
        <v>590</v>
      </c>
      <c r="L122" t="s">
        <v>37</v>
      </c>
      <c r="M122">
        <f>sumifs(生产物料推移表!m:m,生产物料推移表!L:L,"计划生产",生产物料推移表!B:B,"852-189000-100")</f>
        <v>0</v>
      </c>
      <c r="N122">
        <f>sumifs(生产物料推移表!n:n,生产物料推移表!L:L,"计划生产",生产物料推移表!B:B,"852-189000-100")</f>
        <v>0</v>
      </c>
      <c r="O122">
        <f>sumifs(生产物料推移表!o:o,生产物料推移表!L:L,"计划生产",生产物料推移表!B:B,"852-189000-100")</f>
        <v>0</v>
      </c>
      <c r="P122">
        <f>sumifs(生产物料推移表!p:p,生产物料推移表!L:L,"计划生产",生产物料推移表!B:B,"852-189000-100")</f>
        <v>0</v>
      </c>
      <c r="Q122">
        <f>sumifs(生产物料推移表!q:q,生产物料推移表!L:L,"计划生产",生产物料推移表!B:B,"852-189000-100")</f>
        <v>0</v>
      </c>
      <c r="R122">
        <f>sumifs(生产物料推移表!r:r,生产物料推移表!L:L,"计划生产",生产物料推移表!B:B,"852-189000-100")</f>
        <v>0</v>
      </c>
      <c r="S122">
        <f>sumifs(生产物料推移表!s:s,生产物料推移表!L:L,"计划生产",生产物料推移表!B:B,"852-189000-100")</f>
        <v>0</v>
      </c>
      <c r="T122">
        <f>sumifs(生产物料推移表!t:t,生产物料推移表!L:L,"计划生产",生产物料推移表!B:B,"852-189000-100")</f>
        <v>0</v>
      </c>
      <c r="U122">
        <f>sumifs(生产物料推移表!u:u,生产物料推移表!L:L,"计划生产",生产物料推移表!B:B,"852-189000-100")</f>
        <v>0</v>
      </c>
      <c r="V122">
        <f>sumifs(生产物料推移表!v:v,生产物料推移表!L:L,"计划生产",生产物料推移表!B:B,"852-189000-100")</f>
        <v>0</v>
      </c>
      <c r="W122">
        <f>sumifs(生产物料推移表!w:w,生产物料推移表!L:L,"计划生产",生产物料推移表!B:B,"852-189000-100")</f>
        <v>0</v>
      </c>
      <c r="X122">
        <f>sumifs(生产物料推移表!x:x,生产物料推移表!L:L,"计划生产",生产物料推移表!B:B,"852-189000-100")</f>
        <v>0</v>
      </c>
      <c r="Y122">
        <f>sumifs(生产物料推移表!y:y,生产物料推移表!L:L,"计划生产",生产物料推移表!B:B,"852-189000-100")</f>
        <v>0</v>
      </c>
      <c r="Z122">
        <f>sumifs(生产物料推移表!z:z,生产物料推移表!L:L,"计划生产",生产物料推移表!B:B,"852-189000-100")</f>
        <v>0</v>
      </c>
      <c r="AA122">
        <f>sumifs(生产物料推移表!aa:aa,生产物料推移表!L:L,"计划生产",生产物料推移表!B:B,"852-189000-100")</f>
        <v>0</v>
      </c>
      <c r="AB122">
        <f>sumifs(生产物料推移表!ab:ab,生产物料推移表!L:L,"计划生产",生产物料推移表!B:B,"852-189000-100")</f>
        <v>0</v>
      </c>
      <c r="AC122">
        <f>sumifs(生产物料推移表!ac:ac,生产物料推移表!L:L,"计划生产",生产物料推移表!B:B,"852-189000-100")</f>
        <v>0</v>
      </c>
      <c r="AD122">
        <f>sumifs(生产物料推移表!ad:ad,生产物料推移表!L:L,"计划生产",生产物料推移表!B:B,"852-189000-100")</f>
        <v>0</v>
      </c>
      <c r="AE122">
        <f>sumifs(生产物料推移表!ae:ae,生产物料推移表!L:L,"计划生产",生产物料推移表!B:B,"852-189000-100")</f>
        <v>0</v>
      </c>
      <c r="AF122">
        <f>sumifs(生产物料推移表!af:af,生产物料推移表!L:L,"计划生产",生产物料推移表!B:B,"852-189000-100")</f>
        <v>0</v>
      </c>
      <c r="AG122">
        <f>sumifs(生产物料推移表!ag:ag,生产物料推移表!L:L,"计划生产",生产物料推移表!B:B,"852-189000-100")</f>
        <v>0</v>
      </c>
      <c r="AH122">
        <f>sumifs(生产物料推移表!ah:ah,生产物料推移表!L:L,"计划生产",生产物料推移表!B:B,"852-189000-100")</f>
        <v>0</v>
      </c>
      <c r="AI122">
        <f>sumifs(生产物料推移表!ai:ai,生产物料推移表!L:L,"计划生产",生产物料推移表!B:B,"852-189000-100")</f>
        <v>0</v>
      </c>
      <c r="AJ122">
        <f>sumifs(生产物料推移表!aj:aj,生产物料推移表!L:L,"计划生产",生产物料推移表!B:B,"852-189000-100")</f>
        <v>0</v>
      </c>
      <c r="AK122">
        <f>sumifs(生产物料推移表!ak:ak,生产物料推移表!L:L,"计划生产",生产物料推移表!B:B,"852-189000-100")</f>
        <v>0</v>
      </c>
      <c r="AL122">
        <f>sumifs(生产物料推移表!al:al,生产物料推移表!L:L,"计划生产",生产物料推移表!B:B,"852-189000-100")</f>
        <v>0</v>
      </c>
      <c r="AM122">
        <f>sumifs(生产物料推移表!am:am,生产物料推移表!L:L,"计划生产",生产物料推移表!B:B,"852-189000-100")</f>
        <v>0</v>
      </c>
      <c r="AN122">
        <f>sumifs(生产物料推移表!an:an,生产物料推移表!L:L,"计划生产",生产物料推移表!B:B,"852-189000-100")</f>
        <v>0</v>
      </c>
      <c r="AO122">
        <f>sumifs(生产物料推移表!ao:ao,生产物料推移表!L:L,"计划生产",生产物料推移表!B:B,"852-189000-100")</f>
        <v>0</v>
      </c>
      <c r="AP122">
        <f>sumifs(生产物料推移表!ap:ap,生产物料推移表!L:L,"计划生产",生产物料推移表!B:B,"852-189000-100")</f>
        <v>0</v>
      </c>
      <c r="AQ122">
        <f>sumifs(生产物料推移表!aq:aq,生产物料推移表!L:L,"计划生产",生产物料推移表!B:B,"852-189000-100")</f>
        <v>0</v>
      </c>
      <c r="AR122">
        <f>sumifs(生产物料推移表!ar:ar,生产物料推移表!L:L,"计划生产",生产物料推移表!B:B,"852-189000-100")</f>
        <v>0</v>
      </c>
      <c r="BY122">
        <f>sum(j122:an122)</f>
        <v>0</v>
      </c>
    </row>
    <row r="123" spans="1:77">
      <c r="A123" t="s">
        <v>14</v>
      </c>
      <c r="B123" t="s">
        <v>549</v>
      </c>
      <c r="C123" t="s">
        <v>550</v>
      </c>
      <c r="E123" t="s">
        <v>444</v>
      </c>
      <c r="F123" t="s">
        <v>555</v>
      </c>
      <c r="K123" t="s">
        <v>590</v>
      </c>
      <c r="L123" t="s">
        <v>37</v>
      </c>
      <c r="M123">
        <f>sumifs(生产物料推移表!m:m,生产物料推移表!L:L,"计划生产",生产物料推移表!B:B,"852-191000-110")</f>
        <v>0</v>
      </c>
      <c r="N123">
        <f>sumifs(生产物料推移表!n:n,生产物料推移表!L:L,"计划生产",生产物料推移表!B:B,"852-191000-110")</f>
        <v>0</v>
      </c>
      <c r="O123">
        <f>sumifs(生产物料推移表!o:o,生产物料推移表!L:L,"计划生产",生产物料推移表!B:B,"852-191000-110")</f>
        <v>0</v>
      </c>
      <c r="P123">
        <f>sumifs(生产物料推移表!p:p,生产物料推移表!L:L,"计划生产",生产物料推移表!B:B,"852-191000-110")</f>
        <v>0</v>
      </c>
      <c r="Q123">
        <f>sumifs(生产物料推移表!q:q,生产物料推移表!L:L,"计划生产",生产物料推移表!B:B,"852-191000-110")</f>
        <v>0</v>
      </c>
      <c r="R123">
        <f>sumifs(生产物料推移表!r:r,生产物料推移表!L:L,"计划生产",生产物料推移表!B:B,"852-191000-110")</f>
        <v>0</v>
      </c>
      <c r="S123">
        <f>sumifs(生产物料推移表!s:s,生产物料推移表!L:L,"计划生产",生产物料推移表!B:B,"852-191000-110")</f>
        <v>0</v>
      </c>
      <c r="T123">
        <f>sumifs(生产物料推移表!t:t,生产物料推移表!L:L,"计划生产",生产物料推移表!B:B,"852-191000-110")</f>
        <v>0</v>
      </c>
      <c r="U123">
        <f>sumifs(生产物料推移表!u:u,生产物料推移表!L:L,"计划生产",生产物料推移表!B:B,"852-191000-110")</f>
        <v>0</v>
      </c>
      <c r="V123">
        <f>sumifs(生产物料推移表!v:v,生产物料推移表!L:L,"计划生产",生产物料推移表!B:B,"852-191000-110")</f>
        <v>0</v>
      </c>
      <c r="W123">
        <f>sumifs(生产物料推移表!w:w,生产物料推移表!L:L,"计划生产",生产物料推移表!B:B,"852-191000-110")</f>
        <v>0</v>
      </c>
      <c r="X123">
        <f>sumifs(生产物料推移表!x:x,生产物料推移表!L:L,"计划生产",生产物料推移表!B:B,"852-191000-110")</f>
        <v>0</v>
      </c>
      <c r="Y123">
        <f>sumifs(生产物料推移表!y:y,生产物料推移表!L:L,"计划生产",生产物料推移表!B:B,"852-191000-110")</f>
        <v>0</v>
      </c>
      <c r="Z123">
        <f>sumifs(生产物料推移表!z:z,生产物料推移表!L:L,"计划生产",生产物料推移表!B:B,"852-191000-110")</f>
        <v>0</v>
      </c>
      <c r="AA123">
        <f>sumifs(生产物料推移表!aa:aa,生产物料推移表!L:L,"计划生产",生产物料推移表!B:B,"852-191000-110")</f>
        <v>0</v>
      </c>
      <c r="AB123">
        <f>sumifs(生产物料推移表!ab:ab,生产物料推移表!L:L,"计划生产",生产物料推移表!B:B,"852-191000-110")</f>
        <v>0</v>
      </c>
      <c r="AC123">
        <f>sumifs(生产物料推移表!ac:ac,生产物料推移表!L:L,"计划生产",生产物料推移表!B:B,"852-191000-110")</f>
        <v>0</v>
      </c>
      <c r="AD123">
        <f>sumifs(生产物料推移表!ad:ad,生产物料推移表!L:L,"计划生产",生产物料推移表!B:B,"852-191000-110")</f>
        <v>0</v>
      </c>
      <c r="AE123">
        <f>sumifs(生产物料推移表!ae:ae,生产物料推移表!L:L,"计划生产",生产物料推移表!B:B,"852-191000-110")</f>
        <v>0</v>
      </c>
      <c r="AF123">
        <f>sumifs(生产物料推移表!af:af,生产物料推移表!L:L,"计划生产",生产物料推移表!B:B,"852-191000-110")</f>
        <v>0</v>
      </c>
      <c r="AG123">
        <f>sumifs(生产物料推移表!ag:ag,生产物料推移表!L:L,"计划生产",生产物料推移表!B:B,"852-191000-110")</f>
        <v>0</v>
      </c>
      <c r="AH123">
        <f>sumifs(生产物料推移表!ah:ah,生产物料推移表!L:L,"计划生产",生产物料推移表!B:B,"852-191000-110")</f>
        <v>0</v>
      </c>
      <c r="AI123">
        <f>sumifs(生产物料推移表!ai:ai,生产物料推移表!L:L,"计划生产",生产物料推移表!B:B,"852-191000-110")</f>
        <v>0</v>
      </c>
      <c r="AJ123">
        <f>sumifs(生产物料推移表!aj:aj,生产物料推移表!L:L,"计划生产",生产物料推移表!B:B,"852-191000-110")</f>
        <v>0</v>
      </c>
      <c r="AK123">
        <f>sumifs(生产物料推移表!ak:ak,生产物料推移表!L:L,"计划生产",生产物料推移表!B:B,"852-191000-110")</f>
        <v>0</v>
      </c>
      <c r="AL123">
        <f>sumifs(生产物料推移表!al:al,生产物料推移表!L:L,"计划生产",生产物料推移表!B:B,"852-191000-110")</f>
        <v>0</v>
      </c>
      <c r="AM123">
        <f>sumifs(生产物料推移表!am:am,生产物料推移表!L:L,"计划生产",生产物料推移表!B:B,"852-191000-110")</f>
        <v>0</v>
      </c>
      <c r="AN123">
        <f>sumifs(生产物料推移表!an:an,生产物料推移表!L:L,"计划生产",生产物料推移表!B:B,"852-191000-110")</f>
        <v>0</v>
      </c>
      <c r="AO123">
        <f>sumifs(生产物料推移表!ao:ao,生产物料推移表!L:L,"计划生产",生产物料推移表!B:B,"852-191000-110")</f>
        <v>0</v>
      </c>
      <c r="AP123">
        <f>sumifs(生产物料推移表!ap:ap,生产物料推移表!L:L,"计划生产",生产物料推移表!B:B,"852-191000-110")</f>
        <v>0</v>
      </c>
      <c r="AQ123">
        <f>sumifs(生产物料推移表!aq:aq,生产物料推移表!L:L,"计划生产",生产物料推移表!B:B,"852-191000-110")</f>
        <v>0</v>
      </c>
      <c r="AR123">
        <f>sumifs(生产物料推移表!ar:ar,生产物料推移表!L:L,"计划生产",生产物料推移表!B:B,"852-191000-110")</f>
        <v>0</v>
      </c>
      <c r="BY123">
        <f>sum(j123:an123)</f>
        <v>0</v>
      </c>
    </row>
    <row r="124" spans="1:77">
      <c r="A124" t="s">
        <v>14</v>
      </c>
      <c r="B124" t="s">
        <v>552</v>
      </c>
      <c r="C124" t="s">
        <v>553</v>
      </c>
      <c r="D124" t="s">
        <v>554</v>
      </c>
      <c r="E124" t="s">
        <v>444</v>
      </c>
      <c r="F124" t="s">
        <v>558</v>
      </c>
      <c r="K124" t="s">
        <v>590</v>
      </c>
      <c r="L124" t="s">
        <v>37</v>
      </c>
      <c r="M124">
        <f>sumifs(生产物料推移表!m:m,生产物料推移表!L:L,"计划生产",生产物料推移表!B:B,"852-191000-100")</f>
        <v>0</v>
      </c>
      <c r="N124">
        <f>sumifs(生产物料推移表!n:n,生产物料推移表!L:L,"计划生产",生产物料推移表!B:B,"852-191000-100")</f>
        <v>0</v>
      </c>
      <c r="O124">
        <f>sumifs(生产物料推移表!o:o,生产物料推移表!L:L,"计划生产",生产物料推移表!B:B,"852-191000-100")</f>
        <v>0</v>
      </c>
      <c r="P124">
        <f>sumifs(生产物料推移表!p:p,生产物料推移表!L:L,"计划生产",生产物料推移表!B:B,"852-191000-100")</f>
        <v>0</v>
      </c>
      <c r="Q124">
        <f>sumifs(生产物料推移表!q:q,生产物料推移表!L:L,"计划生产",生产物料推移表!B:B,"852-191000-100")</f>
        <v>0</v>
      </c>
      <c r="R124">
        <f>sumifs(生产物料推移表!r:r,生产物料推移表!L:L,"计划生产",生产物料推移表!B:B,"852-191000-100")</f>
        <v>0</v>
      </c>
      <c r="S124">
        <f>sumifs(生产物料推移表!s:s,生产物料推移表!L:L,"计划生产",生产物料推移表!B:B,"852-191000-100")</f>
        <v>0</v>
      </c>
      <c r="T124">
        <f>sumifs(生产物料推移表!t:t,生产物料推移表!L:L,"计划生产",生产物料推移表!B:B,"852-191000-100")</f>
        <v>0</v>
      </c>
      <c r="U124">
        <f>sumifs(生产物料推移表!u:u,生产物料推移表!L:L,"计划生产",生产物料推移表!B:B,"852-191000-100")</f>
        <v>0</v>
      </c>
      <c r="V124">
        <f>sumifs(生产物料推移表!v:v,生产物料推移表!L:L,"计划生产",生产物料推移表!B:B,"852-191000-100")</f>
        <v>0</v>
      </c>
      <c r="W124">
        <f>sumifs(生产物料推移表!w:w,生产物料推移表!L:L,"计划生产",生产物料推移表!B:B,"852-191000-100")</f>
        <v>0</v>
      </c>
      <c r="X124">
        <f>sumifs(生产物料推移表!x:x,生产物料推移表!L:L,"计划生产",生产物料推移表!B:B,"852-191000-100")</f>
        <v>0</v>
      </c>
      <c r="Y124">
        <f>sumifs(生产物料推移表!y:y,生产物料推移表!L:L,"计划生产",生产物料推移表!B:B,"852-191000-100")</f>
        <v>0</v>
      </c>
      <c r="Z124">
        <f>sumifs(生产物料推移表!z:z,生产物料推移表!L:L,"计划生产",生产物料推移表!B:B,"852-191000-100")</f>
        <v>0</v>
      </c>
      <c r="AA124">
        <f>sumifs(生产物料推移表!aa:aa,生产物料推移表!L:L,"计划生产",生产物料推移表!B:B,"852-191000-100")</f>
        <v>0</v>
      </c>
      <c r="AB124">
        <f>sumifs(生产物料推移表!ab:ab,生产物料推移表!L:L,"计划生产",生产物料推移表!B:B,"852-191000-100")</f>
        <v>0</v>
      </c>
      <c r="AC124">
        <f>sumifs(生产物料推移表!ac:ac,生产物料推移表!L:L,"计划生产",生产物料推移表!B:B,"852-191000-100")</f>
        <v>0</v>
      </c>
      <c r="AD124">
        <f>sumifs(生产物料推移表!ad:ad,生产物料推移表!L:L,"计划生产",生产物料推移表!B:B,"852-191000-100")</f>
        <v>0</v>
      </c>
      <c r="AE124">
        <f>sumifs(生产物料推移表!ae:ae,生产物料推移表!L:L,"计划生产",生产物料推移表!B:B,"852-191000-100")</f>
        <v>0</v>
      </c>
      <c r="AF124">
        <f>sumifs(生产物料推移表!af:af,生产物料推移表!L:L,"计划生产",生产物料推移表!B:B,"852-191000-100")</f>
        <v>0</v>
      </c>
      <c r="AG124">
        <f>sumifs(生产物料推移表!ag:ag,生产物料推移表!L:L,"计划生产",生产物料推移表!B:B,"852-191000-100")</f>
        <v>0</v>
      </c>
      <c r="AH124">
        <f>sumifs(生产物料推移表!ah:ah,生产物料推移表!L:L,"计划生产",生产物料推移表!B:B,"852-191000-100")</f>
        <v>0</v>
      </c>
      <c r="AI124">
        <f>sumifs(生产物料推移表!ai:ai,生产物料推移表!L:L,"计划生产",生产物料推移表!B:B,"852-191000-100")</f>
        <v>0</v>
      </c>
      <c r="AJ124">
        <f>sumifs(生产物料推移表!aj:aj,生产物料推移表!L:L,"计划生产",生产物料推移表!B:B,"852-191000-100")</f>
        <v>0</v>
      </c>
      <c r="AK124">
        <f>sumifs(生产物料推移表!ak:ak,生产物料推移表!L:L,"计划生产",生产物料推移表!B:B,"852-191000-100")</f>
        <v>0</v>
      </c>
      <c r="AL124">
        <f>sumifs(生产物料推移表!al:al,生产物料推移表!L:L,"计划生产",生产物料推移表!B:B,"852-191000-100")</f>
        <v>0</v>
      </c>
      <c r="AM124">
        <f>sumifs(生产物料推移表!am:am,生产物料推移表!L:L,"计划生产",生产物料推移表!B:B,"852-191000-100")</f>
        <v>0</v>
      </c>
      <c r="AN124">
        <f>sumifs(生产物料推移表!an:an,生产物料推移表!L:L,"计划生产",生产物料推移表!B:B,"852-191000-100")</f>
        <v>0</v>
      </c>
      <c r="AO124">
        <f>sumifs(生产物料推移表!ao:ao,生产物料推移表!L:L,"计划生产",生产物料推移表!B:B,"852-191000-100")</f>
        <v>0</v>
      </c>
      <c r="AP124">
        <f>sumifs(生产物料推移表!ap:ap,生产物料推移表!L:L,"计划生产",生产物料推移表!B:B,"852-191000-100")</f>
        <v>0</v>
      </c>
      <c r="AQ124">
        <f>sumifs(生产物料推移表!aq:aq,生产物料推移表!L:L,"计划生产",生产物料推移表!B:B,"852-191000-100")</f>
        <v>0</v>
      </c>
      <c r="AR124">
        <f>sumifs(生产物料推移表!ar:ar,生产物料推移表!L:L,"计划生产",生产物料推移表!B:B,"852-191000-100")</f>
        <v>0</v>
      </c>
      <c r="BY124">
        <f>sum(j124:an124)</f>
        <v>0</v>
      </c>
    </row>
    <row r="125" spans="1:77">
      <c r="A125" t="s">
        <v>14</v>
      </c>
      <c r="B125" t="s">
        <v>556</v>
      </c>
      <c r="C125" t="s">
        <v>557</v>
      </c>
      <c r="D125" t="s">
        <v>554</v>
      </c>
      <c r="E125">
        <v>1</v>
      </c>
      <c r="F125" t="s">
        <v>561</v>
      </c>
      <c r="K125" t="s">
        <v>590</v>
      </c>
      <c r="L125" t="s">
        <v>37</v>
      </c>
      <c r="M125">
        <f>sumifs(生产物料推移表!m:m,生产物料推移表!L:L,"计划生产",生产物料推移表!B:B,"852-193000-100")</f>
        <v>0</v>
      </c>
      <c r="N125">
        <f>sumifs(生产物料推移表!n:n,生产物料推移表!L:L,"计划生产",生产物料推移表!B:B,"852-193000-100")</f>
        <v>0</v>
      </c>
      <c r="O125">
        <f>sumifs(生产物料推移表!o:o,生产物料推移表!L:L,"计划生产",生产物料推移表!B:B,"852-193000-100")</f>
        <v>0</v>
      </c>
      <c r="P125">
        <f>sumifs(生产物料推移表!p:p,生产物料推移表!L:L,"计划生产",生产物料推移表!B:B,"852-193000-100")</f>
        <v>0</v>
      </c>
      <c r="Q125">
        <f>sumifs(生产物料推移表!q:q,生产物料推移表!L:L,"计划生产",生产物料推移表!B:B,"852-193000-100")</f>
        <v>0</v>
      </c>
      <c r="R125">
        <f>sumifs(生产物料推移表!r:r,生产物料推移表!L:L,"计划生产",生产物料推移表!B:B,"852-193000-100")</f>
        <v>0</v>
      </c>
      <c r="S125">
        <f>sumifs(生产物料推移表!s:s,生产物料推移表!L:L,"计划生产",生产物料推移表!B:B,"852-193000-100")</f>
        <v>0</v>
      </c>
      <c r="T125">
        <f>sumifs(生产物料推移表!t:t,生产物料推移表!L:L,"计划生产",生产物料推移表!B:B,"852-193000-100")</f>
        <v>0</v>
      </c>
      <c r="U125">
        <f>sumifs(生产物料推移表!u:u,生产物料推移表!L:L,"计划生产",生产物料推移表!B:B,"852-193000-100")</f>
        <v>0</v>
      </c>
      <c r="V125">
        <f>sumifs(生产物料推移表!v:v,生产物料推移表!L:L,"计划生产",生产物料推移表!B:B,"852-193000-100")</f>
        <v>0</v>
      </c>
      <c r="W125">
        <f>sumifs(生产物料推移表!w:w,生产物料推移表!L:L,"计划生产",生产物料推移表!B:B,"852-193000-100")</f>
        <v>0</v>
      </c>
      <c r="X125">
        <f>sumifs(生产物料推移表!x:x,生产物料推移表!L:L,"计划生产",生产物料推移表!B:B,"852-193000-100")</f>
        <v>0</v>
      </c>
      <c r="Y125">
        <f>sumifs(生产物料推移表!y:y,生产物料推移表!L:L,"计划生产",生产物料推移表!B:B,"852-193000-100")</f>
        <v>0</v>
      </c>
      <c r="Z125">
        <f>sumifs(生产物料推移表!z:z,生产物料推移表!L:L,"计划生产",生产物料推移表!B:B,"852-193000-100")</f>
        <v>0</v>
      </c>
      <c r="AA125">
        <f>sumifs(生产物料推移表!aa:aa,生产物料推移表!L:L,"计划生产",生产物料推移表!B:B,"852-193000-100")</f>
        <v>0</v>
      </c>
      <c r="AB125">
        <f>sumifs(生产物料推移表!ab:ab,生产物料推移表!L:L,"计划生产",生产物料推移表!B:B,"852-193000-100")</f>
        <v>0</v>
      </c>
      <c r="AC125">
        <f>sumifs(生产物料推移表!ac:ac,生产物料推移表!L:L,"计划生产",生产物料推移表!B:B,"852-193000-100")</f>
        <v>0</v>
      </c>
      <c r="AD125">
        <f>sumifs(生产物料推移表!ad:ad,生产物料推移表!L:L,"计划生产",生产物料推移表!B:B,"852-193000-100")</f>
        <v>0</v>
      </c>
      <c r="AE125">
        <f>sumifs(生产物料推移表!ae:ae,生产物料推移表!L:L,"计划生产",生产物料推移表!B:B,"852-193000-100")</f>
        <v>0</v>
      </c>
      <c r="AF125">
        <f>sumifs(生产物料推移表!af:af,生产物料推移表!L:L,"计划生产",生产物料推移表!B:B,"852-193000-100")</f>
        <v>0</v>
      </c>
      <c r="AG125">
        <f>sumifs(生产物料推移表!ag:ag,生产物料推移表!L:L,"计划生产",生产物料推移表!B:B,"852-193000-100")</f>
        <v>0</v>
      </c>
      <c r="AH125">
        <f>sumifs(生产物料推移表!ah:ah,生产物料推移表!L:L,"计划生产",生产物料推移表!B:B,"852-193000-100")</f>
        <v>0</v>
      </c>
      <c r="AI125">
        <f>sumifs(生产物料推移表!ai:ai,生产物料推移表!L:L,"计划生产",生产物料推移表!B:B,"852-193000-100")</f>
        <v>0</v>
      </c>
      <c r="AJ125">
        <f>sumifs(生产物料推移表!aj:aj,生产物料推移表!L:L,"计划生产",生产物料推移表!B:B,"852-193000-100")</f>
        <v>0</v>
      </c>
      <c r="AK125">
        <f>sumifs(生产物料推移表!ak:ak,生产物料推移表!L:L,"计划生产",生产物料推移表!B:B,"852-193000-100")</f>
        <v>0</v>
      </c>
      <c r="AL125">
        <f>sumifs(生产物料推移表!al:al,生产物料推移表!L:L,"计划生产",生产物料推移表!B:B,"852-193000-100")</f>
        <v>0</v>
      </c>
      <c r="AM125">
        <f>sumifs(生产物料推移表!am:am,生产物料推移表!L:L,"计划生产",生产物料推移表!B:B,"852-193000-100")</f>
        <v>0</v>
      </c>
      <c r="AN125">
        <f>sumifs(生产物料推移表!an:an,生产物料推移表!L:L,"计划生产",生产物料推移表!B:B,"852-193000-100")</f>
        <v>0</v>
      </c>
      <c r="AO125">
        <f>sumifs(生产物料推移表!ao:ao,生产物料推移表!L:L,"计划生产",生产物料推移表!B:B,"852-193000-100")</f>
        <v>0</v>
      </c>
      <c r="AP125">
        <f>sumifs(生产物料推移表!ap:ap,生产物料推移表!L:L,"计划生产",生产物料推移表!B:B,"852-193000-100")</f>
        <v>0</v>
      </c>
      <c r="AQ125">
        <f>sumifs(生产物料推移表!aq:aq,生产物料推移表!L:L,"计划生产",生产物料推移表!B:B,"852-193000-100")</f>
        <v>0</v>
      </c>
      <c r="AR125">
        <f>sumifs(生产物料推移表!ar:ar,生产物料推移表!L:L,"计划生产",生产物料推移表!B:B,"852-193000-100")</f>
        <v>0</v>
      </c>
      <c r="BY125">
        <f>sum(j125:an125)</f>
        <v>0</v>
      </c>
    </row>
    <row r="126" spans="1:77">
      <c r="A126" t="s">
        <v>14</v>
      </c>
      <c r="B126" t="s">
        <v>559</v>
      </c>
      <c r="C126" t="s">
        <v>560</v>
      </c>
      <c r="D126" t="s">
        <v>547</v>
      </c>
      <c r="E126" t="s">
        <v>444</v>
      </c>
      <c r="F126" t="s">
        <v>614</v>
      </c>
      <c r="K126" t="s">
        <v>590</v>
      </c>
      <c r="L126" t="s">
        <v>37</v>
      </c>
      <c r="M126">
        <f>sumifs(生产物料推移表!m:m,生产物料推移表!L:L,"计划生产",生产物料推移表!B:B,"852-195000-100")</f>
        <v>0</v>
      </c>
      <c r="N126">
        <f>sumifs(生产物料推移表!n:n,生产物料推移表!L:L,"计划生产",生产物料推移表!B:B,"852-195000-100")</f>
        <v>0</v>
      </c>
      <c r="O126">
        <f>sumifs(生产物料推移表!o:o,生产物料推移表!L:L,"计划生产",生产物料推移表!B:B,"852-195000-100")</f>
        <v>0</v>
      </c>
      <c r="P126">
        <f>sumifs(生产物料推移表!p:p,生产物料推移表!L:L,"计划生产",生产物料推移表!B:B,"852-195000-100")</f>
        <v>0</v>
      </c>
      <c r="Q126">
        <f>sumifs(生产物料推移表!q:q,生产物料推移表!L:L,"计划生产",生产物料推移表!B:B,"852-195000-100")</f>
        <v>0</v>
      </c>
      <c r="R126">
        <f>sumifs(生产物料推移表!r:r,生产物料推移表!L:L,"计划生产",生产物料推移表!B:B,"852-195000-100")</f>
        <v>0</v>
      </c>
      <c r="S126">
        <f>sumifs(生产物料推移表!s:s,生产物料推移表!L:L,"计划生产",生产物料推移表!B:B,"852-195000-100")</f>
        <v>0</v>
      </c>
      <c r="T126">
        <f>sumifs(生产物料推移表!t:t,生产物料推移表!L:L,"计划生产",生产物料推移表!B:B,"852-195000-100")</f>
        <v>0</v>
      </c>
      <c r="U126">
        <f>sumifs(生产物料推移表!u:u,生产物料推移表!L:L,"计划生产",生产物料推移表!B:B,"852-195000-100")</f>
        <v>0</v>
      </c>
      <c r="V126">
        <f>sumifs(生产物料推移表!v:v,生产物料推移表!L:L,"计划生产",生产物料推移表!B:B,"852-195000-100")</f>
        <v>0</v>
      </c>
      <c r="W126">
        <f>sumifs(生产物料推移表!w:w,生产物料推移表!L:L,"计划生产",生产物料推移表!B:B,"852-195000-100")</f>
        <v>0</v>
      </c>
      <c r="X126">
        <f>sumifs(生产物料推移表!x:x,生产物料推移表!L:L,"计划生产",生产物料推移表!B:B,"852-195000-100")</f>
        <v>0</v>
      </c>
      <c r="Y126">
        <f>sumifs(生产物料推移表!y:y,生产物料推移表!L:L,"计划生产",生产物料推移表!B:B,"852-195000-100")</f>
        <v>0</v>
      </c>
      <c r="Z126">
        <f>sumifs(生产物料推移表!z:z,生产物料推移表!L:L,"计划生产",生产物料推移表!B:B,"852-195000-100")</f>
        <v>0</v>
      </c>
      <c r="AA126">
        <f>sumifs(生产物料推移表!aa:aa,生产物料推移表!L:L,"计划生产",生产物料推移表!B:B,"852-195000-100")</f>
        <v>0</v>
      </c>
      <c r="AB126">
        <f>sumifs(生产物料推移表!ab:ab,生产物料推移表!L:L,"计划生产",生产物料推移表!B:B,"852-195000-100")</f>
        <v>0</v>
      </c>
      <c r="AC126">
        <f>sumifs(生产物料推移表!ac:ac,生产物料推移表!L:L,"计划生产",生产物料推移表!B:B,"852-195000-100")</f>
        <v>0</v>
      </c>
      <c r="AD126">
        <f>sumifs(生产物料推移表!ad:ad,生产物料推移表!L:L,"计划生产",生产物料推移表!B:B,"852-195000-100")</f>
        <v>0</v>
      </c>
      <c r="AE126">
        <f>sumifs(生产物料推移表!ae:ae,生产物料推移表!L:L,"计划生产",生产物料推移表!B:B,"852-195000-100")</f>
        <v>0</v>
      </c>
      <c r="AF126">
        <f>sumifs(生产物料推移表!af:af,生产物料推移表!L:L,"计划生产",生产物料推移表!B:B,"852-195000-100")</f>
        <v>0</v>
      </c>
      <c r="AG126">
        <f>sumifs(生产物料推移表!ag:ag,生产物料推移表!L:L,"计划生产",生产物料推移表!B:B,"852-195000-100")</f>
        <v>0</v>
      </c>
      <c r="AH126">
        <f>sumifs(生产物料推移表!ah:ah,生产物料推移表!L:L,"计划生产",生产物料推移表!B:B,"852-195000-100")</f>
        <v>0</v>
      </c>
      <c r="AI126">
        <f>sumifs(生产物料推移表!ai:ai,生产物料推移表!L:L,"计划生产",生产物料推移表!B:B,"852-195000-100")</f>
        <v>0</v>
      </c>
      <c r="AJ126">
        <f>sumifs(生产物料推移表!aj:aj,生产物料推移表!L:L,"计划生产",生产物料推移表!B:B,"852-195000-100")</f>
        <v>0</v>
      </c>
      <c r="AK126">
        <f>sumifs(生产物料推移表!ak:ak,生产物料推移表!L:L,"计划生产",生产物料推移表!B:B,"852-195000-100")</f>
        <v>0</v>
      </c>
      <c r="AL126">
        <f>sumifs(生产物料推移表!al:al,生产物料推移表!L:L,"计划生产",生产物料推移表!B:B,"852-195000-100")</f>
        <v>0</v>
      </c>
      <c r="AM126">
        <f>sumifs(生产物料推移表!am:am,生产物料推移表!L:L,"计划生产",生产物料推移表!B:B,"852-195000-100")</f>
        <v>0</v>
      </c>
      <c r="AN126">
        <f>sumifs(生产物料推移表!an:an,生产物料推移表!L:L,"计划生产",生产物料推移表!B:B,"852-195000-100")</f>
        <v>0</v>
      </c>
      <c r="AO126">
        <f>sumifs(生产物料推移表!ao:ao,生产物料推移表!L:L,"计划生产",生产物料推移表!B:B,"852-195000-100")</f>
        <v>0</v>
      </c>
      <c r="AP126">
        <f>sumifs(生产物料推移表!ap:ap,生产物料推移表!L:L,"计划生产",生产物料推移表!B:B,"852-195000-100")</f>
        <v>0</v>
      </c>
      <c r="AQ126">
        <f>sumifs(生产物料推移表!aq:aq,生产物料推移表!L:L,"计划生产",生产物料推移表!B:B,"852-195000-100")</f>
        <v>0</v>
      </c>
      <c r="AR126">
        <f>sumifs(生产物料推移表!ar:ar,生产物料推移表!L:L,"计划生产",生产物料推移表!B:B,"852-195000-100")</f>
        <v>0</v>
      </c>
      <c r="BY126">
        <f>sum(j126:an126)</f>
        <v>0</v>
      </c>
    </row>
    <row r="127" spans="1:77">
      <c r="A127" t="s">
        <v>14</v>
      </c>
      <c r="B127" t="s">
        <v>562</v>
      </c>
      <c r="C127" t="s">
        <v>563</v>
      </c>
      <c r="D127" t="s">
        <v>564</v>
      </c>
      <c r="E127" t="s">
        <v>444</v>
      </c>
      <c r="F127" t="s">
        <v>568</v>
      </c>
      <c r="K127" t="s">
        <v>590</v>
      </c>
      <c r="L127" t="s">
        <v>37</v>
      </c>
      <c r="M127">
        <f>sumifs(生产物料推移表!m:m,生产物料推移表!L:L,"计划生产",生产物料推移表!B:B,"852-201000-100")</f>
        <v>0</v>
      </c>
      <c r="N127">
        <f>sumifs(生产物料推移表!n:n,生产物料推移表!L:L,"计划生产",生产物料推移表!B:B,"852-201000-100")</f>
        <v>0</v>
      </c>
      <c r="O127">
        <f>sumifs(生产物料推移表!o:o,生产物料推移表!L:L,"计划生产",生产物料推移表!B:B,"852-201000-100")</f>
        <v>0</v>
      </c>
      <c r="P127">
        <f>sumifs(生产物料推移表!p:p,生产物料推移表!L:L,"计划生产",生产物料推移表!B:B,"852-201000-100")</f>
        <v>0</v>
      </c>
      <c r="Q127">
        <f>sumifs(生产物料推移表!q:q,生产物料推移表!L:L,"计划生产",生产物料推移表!B:B,"852-201000-100")</f>
        <v>0</v>
      </c>
      <c r="R127">
        <f>sumifs(生产物料推移表!r:r,生产物料推移表!L:L,"计划生产",生产物料推移表!B:B,"852-201000-100")</f>
        <v>0</v>
      </c>
      <c r="S127">
        <f>sumifs(生产物料推移表!s:s,生产物料推移表!L:L,"计划生产",生产物料推移表!B:B,"852-201000-100")</f>
        <v>0</v>
      </c>
      <c r="T127">
        <f>sumifs(生产物料推移表!t:t,生产物料推移表!L:L,"计划生产",生产物料推移表!B:B,"852-201000-100")</f>
        <v>0</v>
      </c>
      <c r="U127">
        <f>sumifs(生产物料推移表!u:u,生产物料推移表!L:L,"计划生产",生产物料推移表!B:B,"852-201000-100")</f>
        <v>0</v>
      </c>
      <c r="V127">
        <f>sumifs(生产物料推移表!v:v,生产物料推移表!L:L,"计划生产",生产物料推移表!B:B,"852-201000-100")</f>
        <v>0</v>
      </c>
      <c r="W127">
        <f>sumifs(生产物料推移表!w:w,生产物料推移表!L:L,"计划生产",生产物料推移表!B:B,"852-201000-100")</f>
        <v>0</v>
      </c>
      <c r="X127">
        <f>sumifs(生产物料推移表!x:x,生产物料推移表!L:L,"计划生产",生产物料推移表!B:B,"852-201000-100")</f>
        <v>0</v>
      </c>
      <c r="Y127">
        <f>sumifs(生产物料推移表!y:y,生产物料推移表!L:L,"计划生产",生产物料推移表!B:B,"852-201000-100")</f>
        <v>0</v>
      </c>
      <c r="Z127">
        <f>sumifs(生产物料推移表!z:z,生产物料推移表!L:L,"计划生产",生产物料推移表!B:B,"852-201000-100")</f>
        <v>0</v>
      </c>
      <c r="AA127">
        <f>sumifs(生产物料推移表!aa:aa,生产物料推移表!L:L,"计划生产",生产物料推移表!B:B,"852-201000-100")</f>
        <v>0</v>
      </c>
      <c r="AB127">
        <f>sumifs(生产物料推移表!ab:ab,生产物料推移表!L:L,"计划生产",生产物料推移表!B:B,"852-201000-100")</f>
        <v>0</v>
      </c>
      <c r="AC127">
        <f>sumifs(生产物料推移表!ac:ac,生产物料推移表!L:L,"计划生产",生产物料推移表!B:B,"852-201000-100")</f>
        <v>0</v>
      </c>
      <c r="AD127">
        <f>sumifs(生产物料推移表!ad:ad,生产物料推移表!L:L,"计划生产",生产物料推移表!B:B,"852-201000-100")</f>
        <v>0</v>
      </c>
      <c r="AE127">
        <f>sumifs(生产物料推移表!ae:ae,生产物料推移表!L:L,"计划生产",生产物料推移表!B:B,"852-201000-100")</f>
        <v>0</v>
      </c>
      <c r="AF127">
        <f>sumifs(生产物料推移表!af:af,生产物料推移表!L:L,"计划生产",生产物料推移表!B:B,"852-201000-100")</f>
        <v>0</v>
      </c>
      <c r="AG127">
        <f>sumifs(生产物料推移表!ag:ag,生产物料推移表!L:L,"计划生产",生产物料推移表!B:B,"852-201000-100")</f>
        <v>0</v>
      </c>
      <c r="AH127">
        <f>sumifs(生产物料推移表!ah:ah,生产物料推移表!L:L,"计划生产",生产物料推移表!B:B,"852-201000-100")</f>
        <v>0</v>
      </c>
      <c r="AI127">
        <f>sumifs(生产物料推移表!ai:ai,生产物料推移表!L:L,"计划生产",生产物料推移表!B:B,"852-201000-100")</f>
        <v>0</v>
      </c>
      <c r="AJ127">
        <f>sumifs(生产物料推移表!aj:aj,生产物料推移表!L:L,"计划生产",生产物料推移表!B:B,"852-201000-100")</f>
        <v>0</v>
      </c>
      <c r="AK127">
        <f>sumifs(生产物料推移表!ak:ak,生产物料推移表!L:L,"计划生产",生产物料推移表!B:B,"852-201000-100")</f>
        <v>0</v>
      </c>
      <c r="AL127">
        <f>sumifs(生产物料推移表!al:al,生产物料推移表!L:L,"计划生产",生产物料推移表!B:B,"852-201000-100")</f>
        <v>0</v>
      </c>
      <c r="AM127">
        <f>sumifs(生产物料推移表!am:am,生产物料推移表!L:L,"计划生产",生产物料推移表!B:B,"852-201000-100")</f>
        <v>0</v>
      </c>
      <c r="AN127">
        <f>sumifs(生产物料推移表!an:an,生产物料推移表!L:L,"计划生产",生产物料推移表!B:B,"852-201000-100")</f>
        <v>0</v>
      </c>
      <c r="AO127">
        <f>sumifs(生产物料推移表!ao:ao,生产物料推移表!L:L,"计划生产",生产物料推移表!B:B,"852-201000-100")</f>
        <v>0</v>
      </c>
      <c r="AP127">
        <f>sumifs(生产物料推移表!ap:ap,生产物料推移表!L:L,"计划生产",生产物料推移表!B:B,"852-201000-100")</f>
        <v>0</v>
      </c>
      <c r="AQ127">
        <f>sumifs(生产物料推移表!aq:aq,生产物料推移表!L:L,"计划生产",生产物料推移表!B:B,"852-201000-100")</f>
        <v>0</v>
      </c>
      <c r="AR127">
        <f>sumifs(生产物料推移表!ar:ar,生产物料推移表!L:L,"计划生产",生产物料推移表!B:B,"852-201000-100")</f>
        <v>0</v>
      </c>
      <c r="BY127">
        <f>sum(j127:an127)</f>
        <v>0</v>
      </c>
    </row>
    <row r="128" spans="1:77">
      <c r="A128" t="s">
        <v>14</v>
      </c>
      <c r="B128" t="s">
        <v>566</v>
      </c>
      <c r="C128" t="s">
        <v>567</v>
      </c>
      <c r="E128" t="s">
        <v>444</v>
      </c>
      <c r="F128" t="s">
        <v>571</v>
      </c>
      <c r="K128" t="s">
        <v>590</v>
      </c>
      <c r="L128" t="s">
        <v>37</v>
      </c>
      <c r="M128">
        <f>sumifs(生产物料推移表!m:m,生产物料推移表!L:L,"计划生产",生产物料推移表!B:B,"852-207000-110")</f>
        <v>0</v>
      </c>
      <c r="N128">
        <f>sumifs(生产物料推移表!n:n,生产物料推移表!L:L,"计划生产",生产物料推移表!B:B,"852-207000-110")</f>
        <v>0</v>
      </c>
      <c r="O128">
        <f>sumifs(生产物料推移表!o:o,生产物料推移表!L:L,"计划生产",生产物料推移表!B:B,"852-207000-110")</f>
        <v>0</v>
      </c>
      <c r="P128">
        <f>sumifs(生产物料推移表!p:p,生产物料推移表!L:L,"计划生产",生产物料推移表!B:B,"852-207000-110")</f>
        <v>0</v>
      </c>
      <c r="Q128">
        <f>sumifs(生产物料推移表!q:q,生产物料推移表!L:L,"计划生产",生产物料推移表!B:B,"852-207000-110")</f>
        <v>0</v>
      </c>
      <c r="R128">
        <f>sumifs(生产物料推移表!r:r,生产物料推移表!L:L,"计划生产",生产物料推移表!B:B,"852-207000-110")</f>
        <v>0</v>
      </c>
      <c r="S128">
        <f>sumifs(生产物料推移表!s:s,生产物料推移表!L:L,"计划生产",生产物料推移表!B:B,"852-207000-110")</f>
        <v>0</v>
      </c>
      <c r="T128">
        <f>sumifs(生产物料推移表!t:t,生产物料推移表!L:L,"计划生产",生产物料推移表!B:B,"852-207000-110")</f>
        <v>0</v>
      </c>
      <c r="U128">
        <f>sumifs(生产物料推移表!u:u,生产物料推移表!L:L,"计划生产",生产物料推移表!B:B,"852-207000-110")</f>
        <v>0</v>
      </c>
      <c r="V128">
        <f>sumifs(生产物料推移表!v:v,生产物料推移表!L:L,"计划生产",生产物料推移表!B:B,"852-207000-110")</f>
        <v>0</v>
      </c>
      <c r="W128">
        <f>sumifs(生产物料推移表!w:w,生产物料推移表!L:L,"计划生产",生产物料推移表!B:B,"852-207000-110")</f>
        <v>0</v>
      </c>
      <c r="X128">
        <f>sumifs(生产物料推移表!x:x,生产物料推移表!L:L,"计划生产",生产物料推移表!B:B,"852-207000-110")</f>
        <v>0</v>
      </c>
      <c r="Y128">
        <f>sumifs(生产物料推移表!y:y,生产物料推移表!L:L,"计划生产",生产物料推移表!B:B,"852-207000-110")</f>
        <v>0</v>
      </c>
      <c r="Z128">
        <f>sumifs(生产物料推移表!z:z,生产物料推移表!L:L,"计划生产",生产物料推移表!B:B,"852-207000-110")</f>
        <v>0</v>
      </c>
      <c r="AA128">
        <f>sumifs(生产物料推移表!aa:aa,生产物料推移表!L:L,"计划生产",生产物料推移表!B:B,"852-207000-110")</f>
        <v>0</v>
      </c>
      <c r="AB128">
        <f>sumifs(生产物料推移表!ab:ab,生产物料推移表!L:L,"计划生产",生产物料推移表!B:B,"852-207000-110")</f>
        <v>0</v>
      </c>
      <c r="AC128">
        <f>sumifs(生产物料推移表!ac:ac,生产物料推移表!L:L,"计划生产",生产物料推移表!B:B,"852-207000-110")</f>
        <v>0</v>
      </c>
      <c r="AD128">
        <f>sumifs(生产物料推移表!ad:ad,生产物料推移表!L:L,"计划生产",生产物料推移表!B:B,"852-207000-110")</f>
        <v>0</v>
      </c>
      <c r="AE128">
        <f>sumifs(生产物料推移表!ae:ae,生产物料推移表!L:L,"计划生产",生产物料推移表!B:B,"852-207000-110")</f>
        <v>0</v>
      </c>
      <c r="AF128">
        <f>sumifs(生产物料推移表!af:af,生产物料推移表!L:L,"计划生产",生产物料推移表!B:B,"852-207000-110")</f>
        <v>0</v>
      </c>
      <c r="AG128">
        <f>sumifs(生产物料推移表!ag:ag,生产物料推移表!L:L,"计划生产",生产物料推移表!B:B,"852-207000-110")</f>
        <v>0</v>
      </c>
      <c r="AH128">
        <f>sumifs(生产物料推移表!ah:ah,生产物料推移表!L:L,"计划生产",生产物料推移表!B:B,"852-207000-110")</f>
        <v>0</v>
      </c>
      <c r="AI128">
        <f>sumifs(生产物料推移表!ai:ai,生产物料推移表!L:L,"计划生产",生产物料推移表!B:B,"852-207000-110")</f>
        <v>0</v>
      </c>
      <c r="AJ128">
        <f>sumifs(生产物料推移表!aj:aj,生产物料推移表!L:L,"计划生产",生产物料推移表!B:B,"852-207000-110")</f>
        <v>0</v>
      </c>
      <c r="AK128">
        <f>sumifs(生产物料推移表!ak:ak,生产物料推移表!L:L,"计划生产",生产物料推移表!B:B,"852-207000-110")</f>
        <v>0</v>
      </c>
      <c r="AL128">
        <f>sumifs(生产物料推移表!al:al,生产物料推移表!L:L,"计划生产",生产物料推移表!B:B,"852-207000-110")</f>
        <v>0</v>
      </c>
      <c r="AM128">
        <f>sumifs(生产物料推移表!am:am,生产物料推移表!L:L,"计划生产",生产物料推移表!B:B,"852-207000-110")</f>
        <v>0</v>
      </c>
      <c r="AN128">
        <f>sumifs(生产物料推移表!an:an,生产物料推移表!L:L,"计划生产",生产物料推移表!B:B,"852-207000-110")</f>
        <v>0</v>
      </c>
      <c r="AO128">
        <f>sumifs(生产物料推移表!ao:ao,生产物料推移表!L:L,"计划生产",生产物料推移表!B:B,"852-207000-110")</f>
        <v>0</v>
      </c>
      <c r="AP128">
        <f>sumifs(生产物料推移表!ap:ap,生产物料推移表!L:L,"计划生产",生产物料推移表!B:B,"852-207000-110")</f>
        <v>0</v>
      </c>
      <c r="AQ128">
        <f>sumifs(生产物料推移表!aq:aq,生产物料推移表!L:L,"计划生产",生产物料推移表!B:B,"852-207000-110")</f>
        <v>0</v>
      </c>
      <c r="AR128">
        <f>sumifs(生产物料推移表!ar:ar,生产物料推移表!L:L,"计划生产",生产物料推移表!B:B,"852-207000-110")</f>
        <v>0</v>
      </c>
      <c r="BY128">
        <f>sum(j128:an128)</f>
        <v>0</v>
      </c>
    </row>
    <row r="129" spans="1:77">
      <c r="A129" t="s">
        <v>14</v>
      </c>
      <c r="B129" t="s">
        <v>569</v>
      </c>
      <c r="C129" t="s">
        <v>570</v>
      </c>
      <c r="D129" t="s">
        <v>480</v>
      </c>
      <c r="E129" t="s">
        <v>444</v>
      </c>
      <c r="F129" t="s">
        <v>574</v>
      </c>
      <c r="K129" t="s">
        <v>590</v>
      </c>
      <c r="L129" t="s">
        <v>37</v>
      </c>
      <c r="M129">
        <f>sumifs(生产物料推移表!m:m,生产物料推移表!L:L,"计划生产",生产物料推移表!B:B,"852-207000-100")</f>
        <v>0</v>
      </c>
      <c r="N129">
        <f>sumifs(生产物料推移表!n:n,生产物料推移表!L:L,"计划生产",生产物料推移表!B:B,"852-207000-100")</f>
        <v>0</v>
      </c>
      <c r="O129">
        <f>sumifs(生产物料推移表!o:o,生产物料推移表!L:L,"计划生产",生产物料推移表!B:B,"852-207000-100")</f>
        <v>0</v>
      </c>
      <c r="P129">
        <f>sumifs(生产物料推移表!p:p,生产物料推移表!L:L,"计划生产",生产物料推移表!B:B,"852-207000-100")</f>
        <v>0</v>
      </c>
      <c r="Q129">
        <f>sumifs(生产物料推移表!q:q,生产物料推移表!L:L,"计划生产",生产物料推移表!B:B,"852-207000-100")</f>
        <v>0</v>
      </c>
      <c r="R129">
        <f>sumifs(生产物料推移表!r:r,生产物料推移表!L:L,"计划生产",生产物料推移表!B:B,"852-207000-100")</f>
        <v>0</v>
      </c>
      <c r="S129">
        <f>sumifs(生产物料推移表!s:s,生产物料推移表!L:L,"计划生产",生产物料推移表!B:B,"852-207000-100")</f>
        <v>0</v>
      </c>
      <c r="T129">
        <f>sumifs(生产物料推移表!t:t,生产物料推移表!L:L,"计划生产",生产物料推移表!B:B,"852-207000-100")</f>
        <v>0</v>
      </c>
      <c r="U129">
        <f>sumifs(生产物料推移表!u:u,生产物料推移表!L:L,"计划生产",生产物料推移表!B:B,"852-207000-100")</f>
        <v>0</v>
      </c>
      <c r="V129">
        <f>sumifs(生产物料推移表!v:v,生产物料推移表!L:L,"计划生产",生产物料推移表!B:B,"852-207000-100")</f>
        <v>0</v>
      </c>
      <c r="W129">
        <f>sumifs(生产物料推移表!w:w,生产物料推移表!L:L,"计划生产",生产物料推移表!B:B,"852-207000-100")</f>
        <v>0</v>
      </c>
      <c r="X129">
        <f>sumifs(生产物料推移表!x:x,生产物料推移表!L:L,"计划生产",生产物料推移表!B:B,"852-207000-100")</f>
        <v>0</v>
      </c>
      <c r="Y129">
        <f>sumifs(生产物料推移表!y:y,生产物料推移表!L:L,"计划生产",生产物料推移表!B:B,"852-207000-100")</f>
        <v>0</v>
      </c>
      <c r="Z129">
        <f>sumifs(生产物料推移表!z:z,生产物料推移表!L:L,"计划生产",生产物料推移表!B:B,"852-207000-100")</f>
        <v>0</v>
      </c>
      <c r="AA129">
        <f>sumifs(生产物料推移表!aa:aa,生产物料推移表!L:L,"计划生产",生产物料推移表!B:B,"852-207000-100")</f>
        <v>0</v>
      </c>
      <c r="AB129">
        <f>sumifs(生产物料推移表!ab:ab,生产物料推移表!L:L,"计划生产",生产物料推移表!B:B,"852-207000-100")</f>
        <v>0</v>
      </c>
      <c r="AC129">
        <f>sumifs(生产物料推移表!ac:ac,生产物料推移表!L:L,"计划生产",生产物料推移表!B:B,"852-207000-100")</f>
        <v>0</v>
      </c>
      <c r="AD129">
        <f>sumifs(生产物料推移表!ad:ad,生产物料推移表!L:L,"计划生产",生产物料推移表!B:B,"852-207000-100")</f>
        <v>0</v>
      </c>
      <c r="AE129">
        <f>sumifs(生产物料推移表!ae:ae,生产物料推移表!L:L,"计划生产",生产物料推移表!B:B,"852-207000-100")</f>
        <v>0</v>
      </c>
      <c r="AF129">
        <f>sumifs(生产物料推移表!af:af,生产物料推移表!L:L,"计划生产",生产物料推移表!B:B,"852-207000-100")</f>
        <v>0</v>
      </c>
      <c r="AG129">
        <f>sumifs(生产物料推移表!ag:ag,生产物料推移表!L:L,"计划生产",生产物料推移表!B:B,"852-207000-100")</f>
        <v>0</v>
      </c>
      <c r="AH129">
        <f>sumifs(生产物料推移表!ah:ah,生产物料推移表!L:L,"计划生产",生产物料推移表!B:B,"852-207000-100")</f>
        <v>0</v>
      </c>
      <c r="AI129">
        <f>sumifs(生产物料推移表!ai:ai,生产物料推移表!L:L,"计划生产",生产物料推移表!B:B,"852-207000-100")</f>
        <v>0</v>
      </c>
      <c r="AJ129">
        <f>sumifs(生产物料推移表!aj:aj,生产物料推移表!L:L,"计划生产",生产物料推移表!B:B,"852-207000-100")</f>
        <v>0</v>
      </c>
      <c r="AK129">
        <f>sumifs(生产物料推移表!ak:ak,生产物料推移表!L:L,"计划生产",生产物料推移表!B:B,"852-207000-100")</f>
        <v>0</v>
      </c>
      <c r="AL129">
        <f>sumifs(生产物料推移表!al:al,生产物料推移表!L:L,"计划生产",生产物料推移表!B:B,"852-207000-100")</f>
        <v>0</v>
      </c>
      <c r="AM129">
        <f>sumifs(生产物料推移表!am:am,生产物料推移表!L:L,"计划生产",生产物料推移表!B:B,"852-207000-100")</f>
        <v>0</v>
      </c>
      <c r="AN129">
        <f>sumifs(生产物料推移表!an:an,生产物料推移表!L:L,"计划生产",生产物料推移表!B:B,"852-207000-100")</f>
        <v>0</v>
      </c>
      <c r="AO129">
        <f>sumifs(生产物料推移表!ao:ao,生产物料推移表!L:L,"计划生产",生产物料推移表!B:B,"852-207000-100")</f>
        <v>0</v>
      </c>
      <c r="AP129">
        <f>sumifs(生产物料推移表!ap:ap,生产物料推移表!L:L,"计划生产",生产物料推移表!B:B,"852-207000-100")</f>
        <v>0</v>
      </c>
      <c r="AQ129">
        <f>sumifs(生产物料推移表!aq:aq,生产物料推移表!L:L,"计划生产",生产物料推移表!B:B,"852-207000-100")</f>
        <v>0</v>
      </c>
      <c r="AR129">
        <f>sumifs(生产物料推移表!ar:ar,生产物料推移表!L:L,"计划生产",生产物料推移表!B:B,"852-207000-100")</f>
        <v>0</v>
      </c>
      <c r="BY129">
        <f>sum(j129:an129)</f>
        <v>0</v>
      </c>
    </row>
    <row r="130" spans="1:77">
      <c r="A130" t="s">
        <v>14</v>
      </c>
      <c r="B130" t="s">
        <v>572</v>
      </c>
      <c r="C130" t="s">
        <v>573</v>
      </c>
      <c r="D130" t="s">
        <v>480</v>
      </c>
      <c r="E130" t="s">
        <v>625</v>
      </c>
      <c r="F130" t="s">
        <v>626</v>
      </c>
      <c r="K130" t="s">
        <v>590</v>
      </c>
      <c r="L130" t="s">
        <v>37</v>
      </c>
      <c r="M130">
        <f>sumifs(生产物料推移表!m:m,生产物料推移表!L:L,"计划生产",生产物料推移表!B:B,"852-209000-100")</f>
        <v>0</v>
      </c>
      <c r="N130">
        <f>sumifs(生产物料推移表!n:n,生产物料推移表!L:L,"计划生产",生产物料推移表!B:B,"852-209000-100")</f>
        <v>0</v>
      </c>
      <c r="O130">
        <f>sumifs(生产物料推移表!o:o,生产物料推移表!L:L,"计划生产",生产物料推移表!B:B,"852-209000-100")</f>
        <v>0</v>
      </c>
      <c r="P130">
        <f>sumifs(生产物料推移表!p:p,生产物料推移表!L:L,"计划生产",生产物料推移表!B:B,"852-209000-100")</f>
        <v>0</v>
      </c>
      <c r="Q130">
        <f>sumifs(生产物料推移表!q:q,生产物料推移表!L:L,"计划生产",生产物料推移表!B:B,"852-209000-100")</f>
        <v>0</v>
      </c>
      <c r="R130">
        <f>sumifs(生产物料推移表!r:r,生产物料推移表!L:L,"计划生产",生产物料推移表!B:B,"852-209000-100")</f>
        <v>0</v>
      </c>
      <c r="S130">
        <f>sumifs(生产物料推移表!s:s,生产物料推移表!L:L,"计划生产",生产物料推移表!B:B,"852-209000-100")</f>
        <v>0</v>
      </c>
      <c r="T130">
        <f>sumifs(生产物料推移表!t:t,生产物料推移表!L:L,"计划生产",生产物料推移表!B:B,"852-209000-100")</f>
        <v>0</v>
      </c>
      <c r="U130">
        <f>sumifs(生产物料推移表!u:u,生产物料推移表!L:L,"计划生产",生产物料推移表!B:B,"852-209000-100")</f>
        <v>0</v>
      </c>
      <c r="V130">
        <f>sumifs(生产物料推移表!v:v,生产物料推移表!L:L,"计划生产",生产物料推移表!B:B,"852-209000-100")</f>
        <v>0</v>
      </c>
      <c r="W130">
        <f>sumifs(生产物料推移表!w:w,生产物料推移表!L:L,"计划生产",生产物料推移表!B:B,"852-209000-100")</f>
        <v>0</v>
      </c>
      <c r="X130">
        <f>sumifs(生产物料推移表!x:x,生产物料推移表!L:L,"计划生产",生产物料推移表!B:B,"852-209000-100")</f>
        <v>0</v>
      </c>
      <c r="Y130">
        <f>sumifs(生产物料推移表!y:y,生产物料推移表!L:L,"计划生产",生产物料推移表!B:B,"852-209000-100")</f>
        <v>0</v>
      </c>
      <c r="Z130">
        <f>sumifs(生产物料推移表!z:z,生产物料推移表!L:L,"计划生产",生产物料推移表!B:B,"852-209000-100")</f>
        <v>0</v>
      </c>
      <c r="AA130">
        <f>sumifs(生产物料推移表!aa:aa,生产物料推移表!L:L,"计划生产",生产物料推移表!B:B,"852-209000-100")</f>
        <v>0</v>
      </c>
      <c r="AB130">
        <f>sumifs(生产物料推移表!ab:ab,生产物料推移表!L:L,"计划生产",生产物料推移表!B:B,"852-209000-100")</f>
        <v>0</v>
      </c>
      <c r="AC130">
        <f>sumifs(生产物料推移表!ac:ac,生产物料推移表!L:L,"计划生产",生产物料推移表!B:B,"852-209000-100")</f>
        <v>0</v>
      </c>
      <c r="AD130">
        <f>sumifs(生产物料推移表!ad:ad,生产物料推移表!L:L,"计划生产",生产物料推移表!B:B,"852-209000-100")</f>
        <v>0</v>
      </c>
      <c r="AE130">
        <f>sumifs(生产物料推移表!ae:ae,生产物料推移表!L:L,"计划生产",生产物料推移表!B:B,"852-209000-100")</f>
        <v>0</v>
      </c>
      <c r="AF130">
        <f>sumifs(生产物料推移表!af:af,生产物料推移表!L:L,"计划生产",生产物料推移表!B:B,"852-209000-100")</f>
        <v>0</v>
      </c>
      <c r="AG130">
        <f>sumifs(生产物料推移表!ag:ag,生产物料推移表!L:L,"计划生产",生产物料推移表!B:B,"852-209000-100")</f>
        <v>0</v>
      </c>
      <c r="AH130">
        <f>sumifs(生产物料推移表!ah:ah,生产物料推移表!L:L,"计划生产",生产物料推移表!B:B,"852-209000-100")</f>
        <v>0</v>
      </c>
      <c r="AI130">
        <f>sumifs(生产物料推移表!ai:ai,生产物料推移表!L:L,"计划生产",生产物料推移表!B:B,"852-209000-100")</f>
        <v>0</v>
      </c>
      <c r="AJ130">
        <f>sumifs(生产物料推移表!aj:aj,生产物料推移表!L:L,"计划生产",生产物料推移表!B:B,"852-209000-100")</f>
        <v>0</v>
      </c>
      <c r="AK130">
        <f>sumifs(生产物料推移表!ak:ak,生产物料推移表!L:L,"计划生产",生产物料推移表!B:B,"852-209000-100")</f>
        <v>0</v>
      </c>
      <c r="AL130">
        <f>sumifs(生产物料推移表!al:al,生产物料推移表!L:L,"计划生产",生产物料推移表!B:B,"852-209000-100")</f>
        <v>0</v>
      </c>
      <c r="AM130">
        <f>sumifs(生产物料推移表!am:am,生产物料推移表!L:L,"计划生产",生产物料推移表!B:B,"852-209000-100")</f>
        <v>0</v>
      </c>
      <c r="AN130">
        <f>sumifs(生产物料推移表!an:an,生产物料推移表!L:L,"计划生产",生产物料推移表!B:B,"852-209000-100")</f>
        <v>0</v>
      </c>
      <c r="AO130">
        <f>sumifs(生产物料推移表!ao:ao,生产物料推移表!L:L,"计划生产",生产物料推移表!B:B,"852-209000-100")</f>
        <v>0</v>
      </c>
      <c r="AP130">
        <f>sumifs(生产物料推移表!ap:ap,生产物料推移表!L:L,"计划生产",生产物料推移表!B:B,"852-209000-100")</f>
        <v>0</v>
      </c>
      <c r="AQ130">
        <f>sumifs(生产物料推移表!aq:aq,生产物料推移表!L:L,"计划生产",生产物料推移表!B:B,"852-209000-100")</f>
        <v>0</v>
      </c>
      <c r="AR130">
        <f>sumifs(生产物料推移表!ar:ar,生产物料推移表!L:L,"计划生产",生产物料推移表!B:B,"852-209000-100")</f>
        <v>0</v>
      </c>
      <c r="BY130">
        <f>sum(j130:an130)</f>
        <v>0</v>
      </c>
    </row>
    <row r="131" spans="1:77">
      <c r="A131" t="s">
        <v>14</v>
      </c>
      <c r="B131" t="s">
        <v>587</v>
      </c>
      <c r="C131" t="s">
        <v>588</v>
      </c>
      <c r="D131" t="s">
        <v>480</v>
      </c>
      <c r="E131" t="s">
        <v>444</v>
      </c>
      <c r="F131" t="s">
        <v>654</v>
      </c>
      <c r="K131" t="s">
        <v>590</v>
      </c>
      <c r="L131" t="s">
        <v>37</v>
      </c>
      <c r="M131">
        <f>sumifs(生产物料推移表!m:m,生产物料推移表!L:L,"计划生产",生产物料推移表!B:B,"852-199000-100")</f>
        <v>0</v>
      </c>
      <c r="N131">
        <f>sumifs(生产物料推移表!n:n,生产物料推移表!L:L,"计划生产",生产物料推移表!B:B,"852-199000-100")</f>
        <v>0</v>
      </c>
      <c r="O131">
        <f>sumifs(生产物料推移表!o:o,生产物料推移表!L:L,"计划生产",生产物料推移表!B:B,"852-199000-100")</f>
        <v>0</v>
      </c>
      <c r="P131">
        <f>sumifs(生产物料推移表!p:p,生产物料推移表!L:L,"计划生产",生产物料推移表!B:B,"852-199000-100")</f>
        <v>0</v>
      </c>
      <c r="Q131">
        <f>sumifs(生产物料推移表!q:q,生产物料推移表!L:L,"计划生产",生产物料推移表!B:B,"852-199000-100")</f>
        <v>0</v>
      </c>
      <c r="R131">
        <f>sumifs(生产物料推移表!r:r,生产物料推移表!L:L,"计划生产",生产物料推移表!B:B,"852-199000-100")</f>
        <v>0</v>
      </c>
      <c r="S131">
        <f>sumifs(生产物料推移表!s:s,生产物料推移表!L:L,"计划生产",生产物料推移表!B:B,"852-199000-100")</f>
        <v>0</v>
      </c>
      <c r="T131">
        <f>sumifs(生产物料推移表!t:t,生产物料推移表!L:L,"计划生产",生产物料推移表!B:B,"852-199000-100")</f>
        <v>0</v>
      </c>
      <c r="U131">
        <f>sumifs(生产物料推移表!u:u,生产物料推移表!L:L,"计划生产",生产物料推移表!B:B,"852-199000-100")</f>
        <v>0</v>
      </c>
      <c r="V131">
        <f>sumifs(生产物料推移表!v:v,生产物料推移表!L:L,"计划生产",生产物料推移表!B:B,"852-199000-100")</f>
        <v>0</v>
      </c>
      <c r="W131">
        <f>sumifs(生产物料推移表!w:w,生产物料推移表!L:L,"计划生产",生产物料推移表!B:B,"852-199000-100")</f>
        <v>0</v>
      </c>
      <c r="X131">
        <f>sumifs(生产物料推移表!x:x,生产物料推移表!L:L,"计划生产",生产物料推移表!B:B,"852-199000-100")</f>
        <v>0</v>
      </c>
      <c r="Y131">
        <f>sumifs(生产物料推移表!y:y,生产物料推移表!L:L,"计划生产",生产物料推移表!B:B,"852-199000-100")</f>
        <v>0</v>
      </c>
      <c r="Z131">
        <f>sumifs(生产物料推移表!z:z,生产物料推移表!L:L,"计划生产",生产物料推移表!B:B,"852-199000-100")</f>
        <v>0</v>
      </c>
      <c r="AA131">
        <f>sumifs(生产物料推移表!aa:aa,生产物料推移表!L:L,"计划生产",生产物料推移表!B:B,"852-199000-100")</f>
        <v>0</v>
      </c>
      <c r="AB131">
        <f>sumifs(生产物料推移表!ab:ab,生产物料推移表!L:L,"计划生产",生产物料推移表!B:B,"852-199000-100")</f>
        <v>0</v>
      </c>
      <c r="AC131">
        <f>sumifs(生产物料推移表!ac:ac,生产物料推移表!L:L,"计划生产",生产物料推移表!B:B,"852-199000-100")</f>
        <v>0</v>
      </c>
      <c r="AD131">
        <f>sumifs(生产物料推移表!ad:ad,生产物料推移表!L:L,"计划生产",生产物料推移表!B:B,"852-199000-100")</f>
        <v>0</v>
      </c>
      <c r="AE131">
        <f>sumifs(生产物料推移表!ae:ae,生产物料推移表!L:L,"计划生产",生产物料推移表!B:B,"852-199000-100")</f>
        <v>0</v>
      </c>
      <c r="AF131">
        <f>sumifs(生产物料推移表!af:af,生产物料推移表!L:L,"计划生产",生产物料推移表!B:B,"852-199000-100")</f>
        <v>0</v>
      </c>
      <c r="AG131">
        <f>sumifs(生产物料推移表!ag:ag,生产物料推移表!L:L,"计划生产",生产物料推移表!B:B,"852-199000-100")</f>
        <v>0</v>
      </c>
      <c r="AH131">
        <f>sumifs(生产物料推移表!ah:ah,生产物料推移表!L:L,"计划生产",生产物料推移表!B:B,"852-199000-100")</f>
        <v>0</v>
      </c>
      <c r="AI131">
        <f>sumifs(生产物料推移表!ai:ai,生产物料推移表!L:L,"计划生产",生产物料推移表!B:B,"852-199000-100")</f>
        <v>0</v>
      </c>
      <c r="AJ131">
        <f>sumifs(生产物料推移表!aj:aj,生产物料推移表!L:L,"计划生产",生产物料推移表!B:B,"852-199000-100")</f>
        <v>0</v>
      </c>
      <c r="AK131">
        <f>sumifs(生产物料推移表!ak:ak,生产物料推移表!L:L,"计划生产",生产物料推移表!B:B,"852-199000-100")</f>
        <v>0</v>
      </c>
      <c r="AL131">
        <f>sumifs(生产物料推移表!al:al,生产物料推移表!L:L,"计划生产",生产物料推移表!B:B,"852-199000-100")</f>
        <v>0</v>
      </c>
      <c r="AM131">
        <f>sumifs(生产物料推移表!am:am,生产物料推移表!L:L,"计划生产",生产物料推移表!B:B,"852-199000-100")</f>
        <v>0</v>
      </c>
      <c r="AN131">
        <f>sumifs(生产物料推移表!an:an,生产物料推移表!L:L,"计划生产",生产物料推移表!B:B,"852-199000-100")</f>
        <v>0</v>
      </c>
      <c r="AO131">
        <f>sumifs(生产物料推移表!ao:ao,生产物料推移表!L:L,"计划生产",生产物料推移表!B:B,"852-199000-100")</f>
        <v>0</v>
      </c>
      <c r="AP131">
        <f>sumifs(生产物料推移表!ap:ap,生产物料推移表!L:L,"计划生产",生产物料推移表!B:B,"852-199000-100")</f>
        <v>0</v>
      </c>
      <c r="AQ131">
        <f>sumifs(生产物料推移表!aq:aq,生产物料推移表!L:L,"计划生产",生产物料推移表!B:B,"852-199000-100")</f>
        <v>0</v>
      </c>
      <c r="AR131">
        <f>sumifs(生产物料推移表!ar:ar,生产物料推移表!L:L,"计划生产",生产物料推移表!B:B,"852-199000-100")</f>
        <v>0</v>
      </c>
      <c r="BY131">
        <f>sum(j131:an131)</f>
        <v>0</v>
      </c>
    </row>
    <row r="132" spans="1:77">
      <c r="A132" t="s">
        <v>14</v>
      </c>
      <c r="B132" t="s">
        <v>593</v>
      </c>
      <c r="C132" t="s">
        <v>594</v>
      </c>
      <c r="E132" t="s">
        <v>591</v>
      </c>
      <c r="F132" t="s">
        <v>592</v>
      </c>
      <c r="K132" t="s">
        <v>657</v>
      </c>
      <c r="L132" t="s">
        <v>37</v>
      </c>
      <c r="M132">
        <f>sumifs(生产物料推移表!m:m,生产物料推移表!L:L,"计划生产",生产物料推移表!B:B,"272-064300-000")</f>
        <v>0</v>
      </c>
      <c r="N132">
        <f>sumifs(生产物料推移表!n:n,生产物料推移表!L:L,"计划生产",生产物料推移表!B:B,"272-064300-000")</f>
        <v>0</v>
      </c>
      <c r="O132">
        <f>sumifs(生产物料推移表!o:o,生产物料推移表!L:L,"计划生产",生产物料推移表!B:B,"272-064300-000")</f>
        <v>0</v>
      </c>
      <c r="P132">
        <f>sumifs(生产物料推移表!p:p,生产物料推移表!L:L,"计划生产",生产物料推移表!B:B,"272-064300-000")</f>
        <v>0</v>
      </c>
      <c r="Q132">
        <f>sumifs(生产物料推移表!q:q,生产物料推移表!L:L,"计划生产",生产物料推移表!B:B,"272-064300-000")</f>
        <v>0</v>
      </c>
      <c r="R132">
        <f>sumifs(生产物料推移表!r:r,生产物料推移表!L:L,"计划生产",生产物料推移表!B:B,"272-064300-000")</f>
        <v>0</v>
      </c>
      <c r="S132">
        <f>sumifs(生产物料推移表!s:s,生产物料推移表!L:L,"计划生产",生产物料推移表!B:B,"272-064300-000")</f>
        <v>0</v>
      </c>
      <c r="T132">
        <f>sumifs(生产物料推移表!t:t,生产物料推移表!L:L,"计划生产",生产物料推移表!B:B,"272-064300-000")</f>
        <v>0</v>
      </c>
      <c r="U132">
        <f>sumifs(生产物料推移表!u:u,生产物料推移表!L:L,"计划生产",生产物料推移表!B:B,"272-064300-000")</f>
        <v>0</v>
      </c>
      <c r="V132">
        <f>sumifs(生产物料推移表!v:v,生产物料推移表!L:L,"计划生产",生产物料推移表!B:B,"272-064300-000")</f>
        <v>0</v>
      </c>
      <c r="W132">
        <f>sumifs(生产物料推移表!w:w,生产物料推移表!L:L,"计划生产",生产物料推移表!B:B,"272-064300-000")</f>
        <v>0</v>
      </c>
      <c r="X132">
        <f>sumifs(生产物料推移表!x:x,生产物料推移表!L:L,"计划生产",生产物料推移表!B:B,"272-064300-000")</f>
        <v>0</v>
      </c>
      <c r="Y132">
        <f>sumifs(生产物料推移表!y:y,生产物料推移表!L:L,"计划生产",生产物料推移表!B:B,"272-064300-000")</f>
        <v>0</v>
      </c>
      <c r="Z132">
        <f>sumifs(生产物料推移表!z:z,生产物料推移表!L:L,"计划生产",生产物料推移表!B:B,"272-064300-000")</f>
        <v>0</v>
      </c>
      <c r="AA132">
        <f>sumifs(生产物料推移表!aa:aa,生产物料推移表!L:L,"计划生产",生产物料推移表!B:B,"272-064300-000")</f>
        <v>0</v>
      </c>
      <c r="AB132">
        <f>sumifs(生产物料推移表!ab:ab,生产物料推移表!L:L,"计划生产",生产物料推移表!B:B,"272-064300-000")</f>
        <v>0</v>
      </c>
      <c r="AC132">
        <f>sumifs(生产物料推移表!ac:ac,生产物料推移表!L:L,"计划生产",生产物料推移表!B:B,"272-064300-000")</f>
        <v>0</v>
      </c>
      <c r="AD132">
        <f>sumifs(生产物料推移表!ad:ad,生产物料推移表!L:L,"计划生产",生产物料推移表!B:B,"272-064300-000")</f>
        <v>0</v>
      </c>
      <c r="AE132">
        <f>sumifs(生产物料推移表!ae:ae,生产物料推移表!L:L,"计划生产",生产物料推移表!B:B,"272-064300-000")</f>
        <v>0</v>
      </c>
      <c r="AF132">
        <f>sumifs(生产物料推移表!af:af,生产物料推移表!L:L,"计划生产",生产物料推移表!B:B,"272-064300-000")</f>
        <v>0</v>
      </c>
      <c r="AG132">
        <f>sumifs(生产物料推移表!ag:ag,生产物料推移表!L:L,"计划生产",生产物料推移表!B:B,"272-064300-000")</f>
        <v>0</v>
      </c>
      <c r="AH132">
        <f>sumifs(生产物料推移表!ah:ah,生产物料推移表!L:L,"计划生产",生产物料推移表!B:B,"272-064300-000")</f>
        <v>0</v>
      </c>
      <c r="AI132">
        <f>sumifs(生产物料推移表!ai:ai,生产物料推移表!L:L,"计划生产",生产物料推移表!B:B,"272-064300-000")</f>
        <v>0</v>
      </c>
      <c r="AJ132">
        <f>sumifs(生产物料推移表!aj:aj,生产物料推移表!L:L,"计划生产",生产物料推移表!B:B,"272-064300-000")</f>
        <v>0</v>
      </c>
      <c r="AK132">
        <f>sumifs(生产物料推移表!ak:ak,生产物料推移表!L:L,"计划生产",生产物料推移表!B:B,"272-064300-000")</f>
        <v>0</v>
      </c>
      <c r="AL132">
        <f>sumifs(生产物料推移表!al:al,生产物料推移表!L:L,"计划生产",生产物料推移表!B:B,"272-064300-000")</f>
        <v>0</v>
      </c>
      <c r="AM132">
        <f>sumifs(生产物料推移表!am:am,生产物料推移表!L:L,"计划生产",生产物料推移表!B:B,"272-064300-000")</f>
        <v>0</v>
      </c>
      <c r="AN132">
        <f>sumifs(生产物料推移表!an:an,生产物料推移表!L:L,"计划生产",生产物料推移表!B:B,"272-064300-000")</f>
        <v>0</v>
      </c>
      <c r="AO132">
        <f>sumifs(生产物料推移表!ao:ao,生产物料推移表!L:L,"计划生产",生产物料推移表!B:B,"272-064300-000")</f>
        <v>0</v>
      </c>
      <c r="AP132">
        <f>sumifs(生产物料推移表!ap:ap,生产物料推移表!L:L,"计划生产",生产物料推移表!B:B,"272-064300-000")</f>
        <v>0</v>
      </c>
      <c r="AQ132">
        <f>sumifs(生产物料推移表!aq:aq,生产物料推移表!L:L,"计划生产",生产物料推移表!B:B,"272-064300-000")</f>
        <v>0</v>
      </c>
      <c r="AR132">
        <f>sumifs(生产物料推移表!ar:ar,生产物料推移表!L:L,"计划生产",生产物料推移表!B:B,"272-064300-000")</f>
        <v>0</v>
      </c>
      <c r="BY132">
        <f>sum(j132:an132)</f>
        <v>0</v>
      </c>
    </row>
    <row r="133" spans="1:77">
      <c r="A133" t="s">
        <v>14</v>
      </c>
      <c r="B133" t="s">
        <v>597</v>
      </c>
      <c r="C133" t="s">
        <v>598</v>
      </c>
      <c r="E133" t="s">
        <v>595</v>
      </c>
      <c r="F133" t="s">
        <v>596</v>
      </c>
      <c r="K133" t="s">
        <v>657</v>
      </c>
      <c r="L133" t="s">
        <v>37</v>
      </c>
      <c r="M133">
        <f>sumifs(生产物料推移表!m:m,生产物料推移表!L:L,"计划生产",生产物料推移表!B:B,"262-002200-000")</f>
        <v>0</v>
      </c>
      <c r="N133">
        <f>sumifs(生产物料推移表!n:n,生产物料推移表!L:L,"计划生产",生产物料推移表!B:B,"262-002200-000")</f>
        <v>0</v>
      </c>
      <c r="O133">
        <f>sumifs(生产物料推移表!o:o,生产物料推移表!L:L,"计划生产",生产物料推移表!B:B,"262-002200-000")</f>
        <v>0</v>
      </c>
      <c r="P133">
        <f>sumifs(生产物料推移表!p:p,生产物料推移表!L:L,"计划生产",生产物料推移表!B:B,"262-002200-000")</f>
        <v>0</v>
      </c>
      <c r="Q133">
        <f>sumifs(生产物料推移表!q:q,生产物料推移表!L:L,"计划生产",生产物料推移表!B:B,"262-002200-000")</f>
        <v>0</v>
      </c>
      <c r="R133">
        <f>sumifs(生产物料推移表!r:r,生产物料推移表!L:L,"计划生产",生产物料推移表!B:B,"262-002200-000")</f>
        <v>0</v>
      </c>
      <c r="S133">
        <f>sumifs(生产物料推移表!s:s,生产物料推移表!L:L,"计划生产",生产物料推移表!B:B,"262-002200-000")</f>
        <v>0</v>
      </c>
      <c r="T133">
        <f>sumifs(生产物料推移表!t:t,生产物料推移表!L:L,"计划生产",生产物料推移表!B:B,"262-002200-000")</f>
        <v>0</v>
      </c>
      <c r="U133">
        <f>sumifs(生产物料推移表!u:u,生产物料推移表!L:L,"计划生产",生产物料推移表!B:B,"262-002200-000")</f>
        <v>0</v>
      </c>
      <c r="V133">
        <f>sumifs(生产物料推移表!v:v,生产物料推移表!L:L,"计划生产",生产物料推移表!B:B,"262-002200-000")</f>
        <v>0</v>
      </c>
      <c r="W133">
        <f>sumifs(生产物料推移表!w:w,生产物料推移表!L:L,"计划生产",生产物料推移表!B:B,"262-002200-000")</f>
        <v>0</v>
      </c>
      <c r="X133">
        <f>sumifs(生产物料推移表!x:x,生产物料推移表!L:L,"计划生产",生产物料推移表!B:B,"262-002200-000")</f>
        <v>0</v>
      </c>
      <c r="Y133">
        <f>sumifs(生产物料推移表!y:y,生产物料推移表!L:L,"计划生产",生产物料推移表!B:B,"262-002200-000")</f>
        <v>0</v>
      </c>
      <c r="Z133">
        <f>sumifs(生产物料推移表!z:z,生产物料推移表!L:L,"计划生产",生产物料推移表!B:B,"262-002200-000")</f>
        <v>0</v>
      </c>
      <c r="AA133">
        <f>sumifs(生产物料推移表!aa:aa,生产物料推移表!L:L,"计划生产",生产物料推移表!B:B,"262-002200-000")</f>
        <v>0</v>
      </c>
      <c r="AB133">
        <f>sumifs(生产物料推移表!ab:ab,生产物料推移表!L:L,"计划生产",生产物料推移表!B:B,"262-002200-000")</f>
        <v>0</v>
      </c>
      <c r="AC133">
        <f>sumifs(生产物料推移表!ac:ac,生产物料推移表!L:L,"计划生产",生产物料推移表!B:B,"262-002200-000")</f>
        <v>0</v>
      </c>
      <c r="AD133">
        <f>sumifs(生产物料推移表!ad:ad,生产物料推移表!L:L,"计划生产",生产物料推移表!B:B,"262-002200-000")</f>
        <v>0</v>
      </c>
      <c r="AE133">
        <f>sumifs(生产物料推移表!ae:ae,生产物料推移表!L:L,"计划生产",生产物料推移表!B:B,"262-002200-000")</f>
        <v>0</v>
      </c>
      <c r="AF133">
        <f>sumifs(生产物料推移表!af:af,生产物料推移表!L:L,"计划生产",生产物料推移表!B:B,"262-002200-000")</f>
        <v>0</v>
      </c>
      <c r="AG133">
        <f>sumifs(生产物料推移表!ag:ag,生产物料推移表!L:L,"计划生产",生产物料推移表!B:B,"262-002200-000")</f>
        <v>0</v>
      </c>
      <c r="AH133">
        <f>sumifs(生产物料推移表!ah:ah,生产物料推移表!L:L,"计划生产",生产物料推移表!B:B,"262-002200-000")</f>
        <v>0</v>
      </c>
      <c r="AI133">
        <f>sumifs(生产物料推移表!ai:ai,生产物料推移表!L:L,"计划生产",生产物料推移表!B:B,"262-002200-000")</f>
        <v>0</v>
      </c>
      <c r="AJ133">
        <f>sumifs(生产物料推移表!aj:aj,生产物料推移表!L:L,"计划生产",生产物料推移表!B:B,"262-002200-000")</f>
        <v>0</v>
      </c>
      <c r="AK133">
        <f>sumifs(生产物料推移表!ak:ak,生产物料推移表!L:L,"计划生产",生产物料推移表!B:B,"262-002200-000")</f>
        <v>0</v>
      </c>
      <c r="AL133">
        <f>sumifs(生产物料推移表!al:al,生产物料推移表!L:L,"计划生产",生产物料推移表!B:B,"262-002200-000")</f>
        <v>0</v>
      </c>
      <c r="AM133">
        <f>sumifs(生产物料推移表!am:am,生产物料推移表!L:L,"计划生产",生产物料推移表!B:B,"262-002200-000")</f>
        <v>0</v>
      </c>
      <c r="AN133">
        <f>sumifs(生产物料推移表!an:an,生产物料推移表!L:L,"计划生产",生产物料推移表!B:B,"262-002200-000")</f>
        <v>0</v>
      </c>
      <c r="AO133">
        <f>sumifs(生产物料推移表!ao:ao,生产物料推移表!L:L,"计划生产",生产物料推移表!B:B,"262-002200-000")</f>
        <v>0</v>
      </c>
      <c r="AP133">
        <f>sumifs(生产物料推移表!ap:ap,生产物料推移表!L:L,"计划生产",生产物料推移表!B:B,"262-002200-000")</f>
        <v>0</v>
      </c>
      <c r="AQ133">
        <f>sumifs(生产物料推移表!aq:aq,生产物料推移表!L:L,"计划生产",生产物料推移表!B:B,"262-002200-000")</f>
        <v>0</v>
      </c>
      <c r="AR133">
        <f>sumifs(生产物料推移表!ar:ar,生产物料推移表!L:L,"计划生产",生产物料推移表!B:B,"262-002200-000")</f>
        <v>0</v>
      </c>
      <c r="BY133">
        <f>sum(j133:an133)</f>
        <v>0</v>
      </c>
    </row>
    <row r="134" spans="1:77">
      <c r="A134" t="s">
        <v>14</v>
      </c>
      <c r="B134" t="s">
        <v>597</v>
      </c>
      <c r="C134" t="s">
        <v>598</v>
      </c>
      <c r="F134" t="s">
        <v>596</v>
      </c>
      <c r="K134" t="s">
        <v>657</v>
      </c>
      <c r="L134" t="s">
        <v>37</v>
      </c>
      <c r="M134">
        <f>sumifs(生产物料推移表!m:m,生产物料推移表!L:L,"计划生产",生产物料推移表!B:B,"262-002200-000")</f>
        <v>0</v>
      </c>
      <c r="N134">
        <f>sumifs(生产物料推移表!n:n,生产物料推移表!L:L,"计划生产",生产物料推移表!B:B,"262-002200-000")</f>
        <v>0</v>
      </c>
      <c r="O134">
        <f>sumifs(生产物料推移表!o:o,生产物料推移表!L:L,"计划生产",生产物料推移表!B:B,"262-002200-000")</f>
        <v>0</v>
      </c>
      <c r="P134">
        <f>sumifs(生产物料推移表!p:p,生产物料推移表!L:L,"计划生产",生产物料推移表!B:B,"262-002200-000")</f>
        <v>0</v>
      </c>
      <c r="Q134">
        <f>sumifs(生产物料推移表!q:q,生产物料推移表!L:L,"计划生产",生产物料推移表!B:B,"262-002200-000")</f>
        <v>0</v>
      </c>
      <c r="R134">
        <f>sumifs(生产物料推移表!r:r,生产物料推移表!L:L,"计划生产",生产物料推移表!B:B,"262-002200-000")</f>
        <v>0</v>
      </c>
      <c r="S134">
        <f>sumifs(生产物料推移表!s:s,生产物料推移表!L:L,"计划生产",生产物料推移表!B:B,"262-002200-000")</f>
        <v>0</v>
      </c>
      <c r="T134">
        <f>sumifs(生产物料推移表!t:t,生产物料推移表!L:L,"计划生产",生产物料推移表!B:B,"262-002200-000")</f>
        <v>0</v>
      </c>
      <c r="U134">
        <f>sumifs(生产物料推移表!u:u,生产物料推移表!L:L,"计划生产",生产物料推移表!B:B,"262-002200-000")</f>
        <v>0</v>
      </c>
      <c r="V134">
        <f>sumifs(生产物料推移表!v:v,生产物料推移表!L:L,"计划生产",生产物料推移表!B:B,"262-002200-000")</f>
        <v>0</v>
      </c>
      <c r="W134">
        <f>sumifs(生产物料推移表!w:w,生产物料推移表!L:L,"计划生产",生产物料推移表!B:B,"262-002200-000")</f>
        <v>0</v>
      </c>
      <c r="X134">
        <f>sumifs(生产物料推移表!x:x,生产物料推移表!L:L,"计划生产",生产物料推移表!B:B,"262-002200-000")</f>
        <v>0</v>
      </c>
      <c r="Y134">
        <f>sumifs(生产物料推移表!y:y,生产物料推移表!L:L,"计划生产",生产物料推移表!B:B,"262-002200-000")</f>
        <v>0</v>
      </c>
      <c r="Z134">
        <f>sumifs(生产物料推移表!z:z,生产物料推移表!L:L,"计划生产",生产物料推移表!B:B,"262-002200-000")</f>
        <v>0</v>
      </c>
      <c r="AA134">
        <f>sumifs(生产物料推移表!aa:aa,生产物料推移表!L:L,"计划生产",生产物料推移表!B:B,"262-002200-000")</f>
        <v>0</v>
      </c>
      <c r="AB134">
        <f>sumifs(生产物料推移表!ab:ab,生产物料推移表!L:L,"计划生产",生产物料推移表!B:B,"262-002200-000")</f>
        <v>0</v>
      </c>
      <c r="AC134">
        <f>sumifs(生产物料推移表!ac:ac,生产物料推移表!L:L,"计划生产",生产物料推移表!B:B,"262-002200-000")</f>
        <v>0</v>
      </c>
      <c r="AD134">
        <f>sumifs(生产物料推移表!ad:ad,生产物料推移表!L:L,"计划生产",生产物料推移表!B:B,"262-002200-000")</f>
        <v>0</v>
      </c>
      <c r="AE134">
        <f>sumifs(生产物料推移表!ae:ae,生产物料推移表!L:L,"计划生产",生产物料推移表!B:B,"262-002200-000")</f>
        <v>0</v>
      </c>
      <c r="AF134">
        <f>sumifs(生产物料推移表!af:af,生产物料推移表!L:L,"计划生产",生产物料推移表!B:B,"262-002200-000")</f>
        <v>0</v>
      </c>
      <c r="AG134">
        <f>sumifs(生产物料推移表!ag:ag,生产物料推移表!L:L,"计划生产",生产物料推移表!B:B,"262-002200-000")</f>
        <v>0</v>
      </c>
      <c r="AH134">
        <f>sumifs(生产物料推移表!ah:ah,生产物料推移表!L:L,"计划生产",生产物料推移表!B:B,"262-002200-000")</f>
        <v>0</v>
      </c>
      <c r="AI134">
        <f>sumifs(生产物料推移表!ai:ai,生产物料推移表!L:L,"计划生产",生产物料推移表!B:B,"262-002200-000")</f>
        <v>0</v>
      </c>
      <c r="AJ134">
        <f>sumifs(生产物料推移表!aj:aj,生产物料推移表!L:L,"计划生产",生产物料推移表!B:B,"262-002200-000")</f>
        <v>0</v>
      </c>
      <c r="AK134">
        <f>sumifs(生产物料推移表!ak:ak,生产物料推移表!L:L,"计划生产",生产物料推移表!B:B,"262-002200-000")</f>
        <v>0</v>
      </c>
      <c r="AL134">
        <f>sumifs(生产物料推移表!al:al,生产物料推移表!L:L,"计划生产",生产物料推移表!B:B,"262-002200-000")</f>
        <v>0</v>
      </c>
      <c r="AM134">
        <f>sumifs(生产物料推移表!am:am,生产物料推移表!L:L,"计划生产",生产物料推移表!B:B,"262-002200-000")</f>
        <v>0</v>
      </c>
      <c r="AN134">
        <f>sumifs(生产物料推移表!an:an,生产物料推移表!L:L,"计划生产",生产物料推移表!B:B,"262-002200-000")</f>
        <v>0</v>
      </c>
      <c r="AO134">
        <f>sumifs(生产物料推移表!ao:ao,生产物料推移表!L:L,"计划生产",生产物料推移表!B:B,"262-002200-000")</f>
        <v>0</v>
      </c>
      <c r="AP134">
        <f>sumifs(生产物料推移表!ap:ap,生产物料推移表!L:L,"计划生产",生产物料推移表!B:B,"262-002200-000")</f>
        <v>0</v>
      </c>
      <c r="AQ134">
        <f>sumifs(生产物料推移表!aq:aq,生产物料推移表!L:L,"计划生产",生产物料推移表!B:B,"262-002200-000")</f>
        <v>0</v>
      </c>
      <c r="AR134">
        <f>sumifs(生产物料推移表!ar:ar,生产物料推移表!L:L,"计划生产",生产物料推移表!B:B,"262-002200-000")</f>
        <v>0</v>
      </c>
      <c r="BY134">
        <f>sum(j134:an134)</f>
        <v>0</v>
      </c>
    </row>
    <row r="135" spans="1:77">
      <c r="A135" t="s">
        <v>14</v>
      </c>
      <c r="B135" t="s">
        <v>600</v>
      </c>
      <c r="C135" t="s">
        <v>601</v>
      </c>
      <c r="E135" t="s">
        <v>444</v>
      </c>
      <c r="F135" t="s">
        <v>599</v>
      </c>
      <c r="K135" t="s">
        <v>657</v>
      </c>
      <c r="L135" t="s">
        <v>37</v>
      </c>
      <c r="M135">
        <f>sumifs(生产物料推移表!m:m,生产物料推移表!L:L,"计划生产",生产物料推移表!B:B,"272-064200-000")</f>
        <v>0</v>
      </c>
      <c r="N135">
        <f>sumifs(生产物料推移表!n:n,生产物料推移表!L:L,"计划生产",生产物料推移表!B:B,"272-064200-000")</f>
        <v>0</v>
      </c>
      <c r="O135">
        <f>sumifs(生产物料推移表!o:o,生产物料推移表!L:L,"计划生产",生产物料推移表!B:B,"272-064200-000")</f>
        <v>0</v>
      </c>
      <c r="P135">
        <f>sumifs(生产物料推移表!p:p,生产物料推移表!L:L,"计划生产",生产物料推移表!B:B,"272-064200-000")</f>
        <v>0</v>
      </c>
      <c r="Q135">
        <f>sumifs(生产物料推移表!q:q,生产物料推移表!L:L,"计划生产",生产物料推移表!B:B,"272-064200-000")</f>
        <v>0</v>
      </c>
      <c r="R135">
        <f>sumifs(生产物料推移表!r:r,生产物料推移表!L:L,"计划生产",生产物料推移表!B:B,"272-064200-000")</f>
        <v>0</v>
      </c>
      <c r="S135">
        <f>sumifs(生产物料推移表!s:s,生产物料推移表!L:L,"计划生产",生产物料推移表!B:B,"272-064200-000")</f>
        <v>0</v>
      </c>
      <c r="T135">
        <f>sumifs(生产物料推移表!t:t,生产物料推移表!L:L,"计划生产",生产物料推移表!B:B,"272-064200-000")</f>
        <v>0</v>
      </c>
      <c r="U135">
        <f>sumifs(生产物料推移表!u:u,生产物料推移表!L:L,"计划生产",生产物料推移表!B:B,"272-064200-000")</f>
        <v>0</v>
      </c>
      <c r="V135">
        <f>sumifs(生产物料推移表!v:v,生产物料推移表!L:L,"计划生产",生产物料推移表!B:B,"272-064200-000")</f>
        <v>0</v>
      </c>
      <c r="W135">
        <f>sumifs(生产物料推移表!w:w,生产物料推移表!L:L,"计划生产",生产物料推移表!B:B,"272-064200-000")</f>
        <v>0</v>
      </c>
      <c r="X135">
        <f>sumifs(生产物料推移表!x:x,生产物料推移表!L:L,"计划生产",生产物料推移表!B:B,"272-064200-000")</f>
        <v>0</v>
      </c>
      <c r="Y135">
        <f>sumifs(生产物料推移表!y:y,生产物料推移表!L:L,"计划生产",生产物料推移表!B:B,"272-064200-000")</f>
        <v>0</v>
      </c>
      <c r="Z135">
        <f>sumifs(生产物料推移表!z:z,生产物料推移表!L:L,"计划生产",生产物料推移表!B:B,"272-064200-000")</f>
        <v>0</v>
      </c>
      <c r="AA135">
        <f>sumifs(生产物料推移表!aa:aa,生产物料推移表!L:L,"计划生产",生产物料推移表!B:B,"272-064200-000")</f>
        <v>0</v>
      </c>
      <c r="AB135">
        <f>sumifs(生产物料推移表!ab:ab,生产物料推移表!L:L,"计划生产",生产物料推移表!B:B,"272-064200-000")</f>
        <v>0</v>
      </c>
      <c r="AC135">
        <f>sumifs(生产物料推移表!ac:ac,生产物料推移表!L:L,"计划生产",生产物料推移表!B:B,"272-064200-000")</f>
        <v>0</v>
      </c>
      <c r="AD135">
        <f>sumifs(生产物料推移表!ad:ad,生产物料推移表!L:L,"计划生产",生产物料推移表!B:B,"272-064200-000")</f>
        <v>0</v>
      </c>
      <c r="AE135">
        <f>sumifs(生产物料推移表!ae:ae,生产物料推移表!L:L,"计划生产",生产物料推移表!B:B,"272-064200-000")</f>
        <v>0</v>
      </c>
      <c r="AF135">
        <f>sumifs(生产物料推移表!af:af,生产物料推移表!L:L,"计划生产",生产物料推移表!B:B,"272-064200-000")</f>
        <v>0</v>
      </c>
      <c r="AG135">
        <f>sumifs(生产物料推移表!ag:ag,生产物料推移表!L:L,"计划生产",生产物料推移表!B:B,"272-064200-000")</f>
        <v>0</v>
      </c>
      <c r="AH135">
        <f>sumifs(生产物料推移表!ah:ah,生产物料推移表!L:L,"计划生产",生产物料推移表!B:B,"272-064200-000")</f>
        <v>0</v>
      </c>
      <c r="AI135">
        <f>sumifs(生产物料推移表!ai:ai,生产物料推移表!L:L,"计划生产",生产物料推移表!B:B,"272-064200-000")</f>
        <v>0</v>
      </c>
      <c r="AJ135">
        <f>sumifs(生产物料推移表!aj:aj,生产物料推移表!L:L,"计划生产",生产物料推移表!B:B,"272-064200-000")</f>
        <v>0</v>
      </c>
      <c r="AK135">
        <f>sumifs(生产物料推移表!ak:ak,生产物料推移表!L:L,"计划生产",生产物料推移表!B:B,"272-064200-000")</f>
        <v>0</v>
      </c>
      <c r="AL135">
        <f>sumifs(生产物料推移表!al:al,生产物料推移表!L:L,"计划生产",生产物料推移表!B:B,"272-064200-000")</f>
        <v>0</v>
      </c>
      <c r="AM135">
        <f>sumifs(生产物料推移表!am:am,生产物料推移表!L:L,"计划生产",生产物料推移表!B:B,"272-064200-000")</f>
        <v>0</v>
      </c>
      <c r="AN135">
        <f>sumifs(生产物料推移表!an:an,生产物料推移表!L:L,"计划生产",生产物料推移表!B:B,"272-064200-000")</f>
        <v>0</v>
      </c>
      <c r="AO135">
        <f>sumifs(生产物料推移表!ao:ao,生产物料推移表!L:L,"计划生产",生产物料推移表!B:B,"272-064200-000")</f>
        <v>0</v>
      </c>
      <c r="AP135">
        <f>sumifs(生产物料推移表!ap:ap,生产物料推移表!L:L,"计划生产",生产物料推移表!B:B,"272-064200-000")</f>
        <v>0</v>
      </c>
      <c r="AQ135">
        <f>sumifs(生产物料推移表!aq:aq,生产物料推移表!L:L,"计划生产",生产物料推移表!B:B,"272-064200-000")</f>
        <v>0</v>
      </c>
      <c r="AR135">
        <f>sumifs(生产物料推移表!ar:ar,生产物料推移表!L:L,"计划生产",生产物料推移表!B:B,"272-064200-000")</f>
        <v>0</v>
      </c>
      <c r="BY135">
        <f>sum(j135:an135)</f>
        <v>0</v>
      </c>
    </row>
    <row r="136" spans="1:77">
      <c r="A136" t="s">
        <v>14</v>
      </c>
      <c r="B136" t="s">
        <v>597</v>
      </c>
      <c r="C136" t="s">
        <v>598</v>
      </c>
      <c r="F136" t="s">
        <v>596</v>
      </c>
      <c r="K136" t="s">
        <v>657</v>
      </c>
      <c r="L136" t="s">
        <v>37</v>
      </c>
      <c r="M136">
        <f>sumifs(生产物料推移表!m:m,生产物料推移表!L:L,"计划生产",生产物料推移表!B:B,"262-002200-000")</f>
        <v>0</v>
      </c>
      <c r="N136">
        <f>sumifs(生产物料推移表!n:n,生产物料推移表!L:L,"计划生产",生产物料推移表!B:B,"262-002200-000")</f>
        <v>0</v>
      </c>
      <c r="O136">
        <f>sumifs(生产物料推移表!o:o,生产物料推移表!L:L,"计划生产",生产物料推移表!B:B,"262-002200-000")</f>
        <v>0</v>
      </c>
      <c r="P136">
        <f>sumifs(生产物料推移表!p:p,生产物料推移表!L:L,"计划生产",生产物料推移表!B:B,"262-002200-000")</f>
        <v>0</v>
      </c>
      <c r="Q136">
        <f>sumifs(生产物料推移表!q:q,生产物料推移表!L:L,"计划生产",生产物料推移表!B:B,"262-002200-000")</f>
        <v>0</v>
      </c>
      <c r="R136">
        <f>sumifs(生产物料推移表!r:r,生产物料推移表!L:L,"计划生产",生产物料推移表!B:B,"262-002200-000")</f>
        <v>0</v>
      </c>
      <c r="S136">
        <f>sumifs(生产物料推移表!s:s,生产物料推移表!L:L,"计划生产",生产物料推移表!B:B,"262-002200-000")</f>
        <v>0</v>
      </c>
      <c r="T136">
        <f>sumifs(生产物料推移表!t:t,生产物料推移表!L:L,"计划生产",生产物料推移表!B:B,"262-002200-000")</f>
        <v>0</v>
      </c>
      <c r="U136">
        <f>sumifs(生产物料推移表!u:u,生产物料推移表!L:L,"计划生产",生产物料推移表!B:B,"262-002200-000")</f>
        <v>0</v>
      </c>
      <c r="V136">
        <f>sumifs(生产物料推移表!v:v,生产物料推移表!L:L,"计划生产",生产物料推移表!B:B,"262-002200-000")</f>
        <v>0</v>
      </c>
      <c r="W136">
        <f>sumifs(生产物料推移表!w:w,生产物料推移表!L:L,"计划生产",生产物料推移表!B:B,"262-002200-000")</f>
        <v>0</v>
      </c>
      <c r="X136">
        <f>sumifs(生产物料推移表!x:x,生产物料推移表!L:L,"计划生产",生产物料推移表!B:B,"262-002200-000")</f>
        <v>0</v>
      </c>
      <c r="Y136">
        <f>sumifs(生产物料推移表!y:y,生产物料推移表!L:L,"计划生产",生产物料推移表!B:B,"262-002200-000")</f>
        <v>0</v>
      </c>
      <c r="Z136">
        <f>sumifs(生产物料推移表!z:z,生产物料推移表!L:L,"计划生产",生产物料推移表!B:B,"262-002200-000")</f>
        <v>0</v>
      </c>
      <c r="AA136">
        <f>sumifs(生产物料推移表!aa:aa,生产物料推移表!L:L,"计划生产",生产物料推移表!B:B,"262-002200-000")</f>
        <v>0</v>
      </c>
      <c r="AB136">
        <f>sumifs(生产物料推移表!ab:ab,生产物料推移表!L:L,"计划生产",生产物料推移表!B:B,"262-002200-000")</f>
        <v>0</v>
      </c>
      <c r="AC136">
        <f>sumifs(生产物料推移表!ac:ac,生产物料推移表!L:L,"计划生产",生产物料推移表!B:B,"262-002200-000")</f>
        <v>0</v>
      </c>
      <c r="AD136">
        <f>sumifs(生产物料推移表!ad:ad,生产物料推移表!L:L,"计划生产",生产物料推移表!B:B,"262-002200-000")</f>
        <v>0</v>
      </c>
      <c r="AE136">
        <f>sumifs(生产物料推移表!ae:ae,生产物料推移表!L:L,"计划生产",生产物料推移表!B:B,"262-002200-000")</f>
        <v>0</v>
      </c>
      <c r="AF136">
        <f>sumifs(生产物料推移表!af:af,生产物料推移表!L:L,"计划生产",生产物料推移表!B:B,"262-002200-000")</f>
        <v>0</v>
      </c>
      <c r="AG136">
        <f>sumifs(生产物料推移表!ag:ag,生产物料推移表!L:L,"计划生产",生产物料推移表!B:B,"262-002200-000")</f>
        <v>0</v>
      </c>
      <c r="AH136">
        <f>sumifs(生产物料推移表!ah:ah,生产物料推移表!L:L,"计划生产",生产物料推移表!B:B,"262-002200-000")</f>
        <v>0</v>
      </c>
      <c r="AI136">
        <f>sumifs(生产物料推移表!ai:ai,生产物料推移表!L:L,"计划生产",生产物料推移表!B:B,"262-002200-000")</f>
        <v>0</v>
      </c>
      <c r="AJ136">
        <f>sumifs(生产物料推移表!aj:aj,生产物料推移表!L:L,"计划生产",生产物料推移表!B:B,"262-002200-000")</f>
        <v>0</v>
      </c>
      <c r="AK136">
        <f>sumifs(生产物料推移表!ak:ak,生产物料推移表!L:L,"计划生产",生产物料推移表!B:B,"262-002200-000")</f>
        <v>0</v>
      </c>
      <c r="AL136">
        <f>sumifs(生产物料推移表!al:al,生产物料推移表!L:L,"计划生产",生产物料推移表!B:B,"262-002200-000")</f>
        <v>0</v>
      </c>
      <c r="AM136">
        <f>sumifs(生产物料推移表!am:am,生产物料推移表!L:L,"计划生产",生产物料推移表!B:B,"262-002200-000")</f>
        <v>0</v>
      </c>
      <c r="AN136">
        <f>sumifs(生产物料推移表!an:an,生产物料推移表!L:L,"计划生产",生产物料推移表!B:B,"262-002200-000")</f>
        <v>0</v>
      </c>
      <c r="AO136">
        <f>sumifs(生产物料推移表!ao:ao,生产物料推移表!L:L,"计划生产",生产物料推移表!B:B,"262-002200-000")</f>
        <v>0</v>
      </c>
      <c r="AP136">
        <f>sumifs(生产物料推移表!ap:ap,生产物料推移表!L:L,"计划生产",生产物料推移表!B:B,"262-002200-000")</f>
        <v>0</v>
      </c>
      <c r="AQ136">
        <f>sumifs(生产物料推移表!aq:aq,生产物料推移表!L:L,"计划生产",生产物料推移表!B:B,"262-002200-000")</f>
        <v>0</v>
      </c>
      <c r="AR136">
        <f>sumifs(生产物料推移表!ar:ar,生产物料推移表!L:L,"计划生产",生产物料推移表!B:B,"262-002200-000")</f>
        <v>0</v>
      </c>
      <c r="BY136">
        <f>sum(j136:an136)</f>
        <v>0</v>
      </c>
    </row>
    <row r="137" spans="1:77">
      <c r="A137" t="s">
        <v>14</v>
      </c>
      <c r="B137" t="s">
        <v>603</v>
      </c>
      <c r="C137" t="s">
        <v>604</v>
      </c>
      <c r="D137" t="s">
        <v>448</v>
      </c>
      <c r="E137">
        <v>1</v>
      </c>
      <c r="F137" t="s">
        <v>602</v>
      </c>
      <c r="K137" t="s">
        <v>657</v>
      </c>
      <c r="L137" t="s">
        <v>37</v>
      </c>
      <c r="M137">
        <f>sumifs(生产物料推移表!m:m,生产物料推移表!L:L,"计划生产",生产物料推移表!B:B,"222-175000-000")</f>
        <v>0</v>
      </c>
      <c r="N137">
        <f>sumifs(生产物料推移表!n:n,生产物料推移表!L:L,"计划生产",生产物料推移表!B:B,"222-175000-000")</f>
        <v>0</v>
      </c>
      <c r="O137">
        <f>sumifs(生产物料推移表!o:o,生产物料推移表!L:L,"计划生产",生产物料推移表!B:B,"222-175000-000")</f>
        <v>0</v>
      </c>
      <c r="P137">
        <f>sumifs(生产物料推移表!p:p,生产物料推移表!L:L,"计划生产",生产物料推移表!B:B,"222-175000-000")</f>
        <v>0</v>
      </c>
      <c r="Q137">
        <f>sumifs(生产物料推移表!q:q,生产物料推移表!L:L,"计划生产",生产物料推移表!B:B,"222-175000-000")</f>
        <v>0</v>
      </c>
      <c r="R137">
        <f>sumifs(生产物料推移表!r:r,生产物料推移表!L:L,"计划生产",生产物料推移表!B:B,"222-175000-000")</f>
        <v>0</v>
      </c>
      <c r="S137">
        <f>sumifs(生产物料推移表!s:s,生产物料推移表!L:L,"计划生产",生产物料推移表!B:B,"222-175000-000")</f>
        <v>0</v>
      </c>
      <c r="T137">
        <f>sumifs(生产物料推移表!t:t,生产物料推移表!L:L,"计划生产",生产物料推移表!B:B,"222-175000-000")</f>
        <v>0</v>
      </c>
      <c r="U137">
        <f>sumifs(生产物料推移表!u:u,生产物料推移表!L:L,"计划生产",生产物料推移表!B:B,"222-175000-000")</f>
        <v>0</v>
      </c>
      <c r="V137">
        <f>sumifs(生产物料推移表!v:v,生产物料推移表!L:L,"计划生产",生产物料推移表!B:B,"222-175000-000")</f>
        <v>0</v>
      </c>
      <c r="W137">
        <f>sumifs(生产物料推移表!w:w,生产物料推移表!L:L,"计划生产",生产物料推移表!B:B,"222-175000-000")</f>
        <v>0</v>
      </c>
      <c r="X137">
        <f>sumifs(生产物料推移表!x:x,生产物料推移表!L:L,"计划生产",生产物料推移表!B:B,"222-175000-000")</f>
        <v>0</v>
      </c>
      <c r="Y137">
        <f>sumifs(生产物料推移表!y:y,生产物料推移表!L:L,"计划生产",生产物料推移表!B:B,"222-175000-000")</f>
        <v>0</v>
      </c>
      <c r="Z137">
        <f>sumifs(生产物料推移表!z:z,生产物料推移表!L:L,"计划生产",生产物料推移表!B:B,"222-175000-000")</f>
        <v>0</v>
      </c>
      <c r="AA137">
        <f>sumifs(生产物料推移表!aa:aa,生产物料推移表!L:L,"计划生产",生产物料推移表!B:B,"222-175000-000")</f>
        <v>0</v>
      </c>
      <c r="AB137">
        <f>sumifs(生产物料推移表!ab:ab,生产物料推移表!L:L,"计划生产",生产物料推移表!B:B,"222-175000-000")</f>
        <v>0</v>
      </c>
      <c r="AC137">
        <f>sumifs(生产物料推移表!ac:ac,生产物料推移表!L:L,"计划生产",生产物料推移表!B:B,"222-175000-000")</f>
        <v>0</v>
      </c>
      <c r="AD137">
        <f>sumifs(生产物料推移表!ad:ad,生产物料推移表!L:L,"计划生产",生产物料推移表!B:B,"222-175000-000")</f>
        <v>0</v>
      </c>
      <c r="AE137">
        <f>sumifs(生产物料推移表!ae:ae,生产物料推移表!L:L,"计划生产",生产物料推移表!B:B,"222-175000-000")</f>
        <v>0</v>
      </c>
      <c r="AF137">
        <f>sumifs(生产物料推移表!af:af,生产物料推移表!L:L,"计划生产",生产物料推移表!B:B,"222-175000-000")</f>
        <v>0</v>
      </c>
      <c r="AG137">
        <f>sumifs(生产物料推移表!ag:ag,生产物料推移表!L:L,"计划生产",生产物料推移表!B:B,"222-175000-000")</f>
        <v>0</v>
      </c>
      <c r="AH137">
        <f>sumifs(生产物料推移表!ah:ah,生产物料推移表!L:L,"计划生产",生产物料推移表!B:B,"222-175000-000")</f>
        <v>0</v>
      </c>
      <c r="AI137">
        <f>sumifs(生产物料推移表!ai:ai,生产物料推移表!L:L,"计划生产",生产物料推移表!B:B,"222-175000-000")</f>
        <v>0</v>
      </c>
      <c r="AJ137">
        <f>sumifs(生产物料推移表!aj:aj,生产物料推移表!L:L,"计划生产",生产物料推移表!B:B,"222-175000-000")</f>
        <v>0</v>
      </c>
      <c r="AK137">
        <f>sumifs(生产物料推移表!ak:ak,生产物料推移表!L:L,"计划生产",生产物料推移表!B:B,"222-175000-000")</f>
        <v>0</v>
      </c>
      <c r="AL137">
        <f>sumifs(生产物料推移表!al:al,生产物料推移表!L:L,"计划生产",生产物料推移表!B:B,"222-175000-000")</f>
        <v>0</v>
      </c>
      <c r="AM137">
        <f>sumifs(生产物料推移表!am:am,生产物料推移表!L:L,"计划生产",生产物料推移表!B:B,"222-175000-000")</f>
        <v>0</v>
      </c>
      <c r="AN137">
        <f>sumifs(生产物料推移表!an:an,生产物料推移表!L:L,"计划生产",生产物料推移表!B:B,"222-175000-000")</f>
        <v>0</v>
      </c>
      <c r="AO137">
        <f>sumifs(生产物料推移表!ao:ao,生产物料推移表!L:L,"计划生产",生产物料推移表!B:B,"222-175000-000")</f>
        <v>0</v>
      </c>
      <c r="AP137">
        <f>sumifs(生产物料推移表!ap:ap,生产物料推移表!L:L,"计划生产",生产物料推移表!B:B,"222-175000-000")</f>
        <v>0</v>
      </c>
      <c r="AQ137">
        <f>sumifs(生产物料推移表!aq:aq,生产物料推移表!L:L,"计划生产",生产物料推移表!B:B,"222-175000-000")</f>
        <v>0</v>
      </c>
      <c r="AR137">
        <f>sumifs(生产物料推移表!ar:ar,生产物料推移表!L:L,"计划生产",生产物料推移表!B:B,"222-175000-000")</f>
        <v>0</v>
      </c>
      <c r="BY137">
        <f>sum(j137:an137)</f>
        <v>0</v>
      </c>
    </row>
    <row r="138" spans="1:77">
      <c r="A138" t="s">
        <v>14</v>
      </c>
      <c r="B138" t="s">
        <v>606</v>
      </c>
      <c r="C138" t="s">
        <v>607</v>
      </c>
      <c r="F138" t="s">
        <v>605</v>
      </c>
      <c r="K138" t="s">
        <v>657</v>
      </c>
      <c r="L138" t="s">
        <v>37</v>
      </c>
      <c r="M138">
        <f>sumifs(生产物料推移表!m:m,生产物料推移表!L:L,"计划生产",生产物料推移表!B:B,"852-189000-112")</f>
        <v>0</v>
      </c>
      <c r="N138">
        <f>sumifs(生产物料推移表!n:n,生产物料推移表!L:L,"计划生产",生产物料推移表!B:B,"852-189000-112")</f>
        <v>0</v>
      </c>
      <c r="O138">
        <f>sumifs(生产物料推移表!o:o,生产物料推移表!L:L,"计划生产",生产物料推移表!B:B,"852-189000-112")</f>
        <v>0</v>
      </c>
      <c r="P138">
        <f>sumifs(生产物料推移表!p:p,生产物料推移表!L:L,"计划生产",生产物料推移表!B:B,"852-189000-112")</f>
        <v>0</v>
      </c>
      <c r="Q138">
        <f>sumifs(生产物料推移表!q:q,生产物料推移表!L:L,"计划生产",生产物料推移表!B:B,"852-189000-112")</f>
        <v>0</v>
      </c>
      <c r="R138">
        <f>sumifs(生产物料推移表!r:r,生产物料推移表!L:L,"计划生产",生产物料推移表!B:B,"852-189000-112")</f>
        <v>0</v>
      </c>
      <c r="S138">
        <f>sumifs(生产物料推移表!s:s,生产物料推移表!L:L,"计划生产",生产物料推移表!B:B,"852-189000-112")</f>
        <v>0</v>
      </c>
      <c r="T138">
        <f>sumifs(生产物料推移表!t:t,生产物料推移表!L:L,"计划生产",生产物料推移表!B:B,"852-189000-112")</f>
        <v>0</v>
      </c>
      <c r="U138">
        <f>sumifs(生产物料推移表!u:u,生产物料推移表!L:L,"计划生产",生产物料推移表!B:B,"852-189000-112")</f>
        <v>0</v>
      </c>
      <c r="V138">
        <f>sumifs(生产物料推移表!v:v,生产物料推移表!L:L,"计划生产",生产物料推移表!B:B,"852-189000-112")</f>
        <v>0</v>
      </c>
      <c r="W138">
        <f>sumifs(生产物料推移表!w:w,生产物料推移表!L:L,"计划生产",生产物料推移表!B:B,"852-189000-112")</f>
        <v>0</v>
      </c>
      <c r="X138">
        <f>sumifs(生产物料推移表!x:x,生产物料推移表!L:L,"计划生产",生产物料推移表!B:B,"852-189000-112")</f>
        <v>0</v>
      </c>
      <c r="Y138">
        <f>sumifs(生产物料推移表!y:y,生产物料推移表!L:L,"计划生产",生产物料推移表!B:B,"852-189000-112")</f>
        <v>0</v>
      </c>
      <c r="Z138">
        <f>sumifs(生产物料推移表!z:z,生产物料推移表!L:L,"计划生产",生产物料推移表!B:B,"852-189000-112")</f>
        <v>0</v>
      </c>
      <c r="AA138">
        <f>sumifs(生产物料推移表!aa:aa,生产物料推移表!L:L,"计划生产",生产物料推移表!B:B,"852-189000-112")</f>
        <v>0</v>
      </c>
      <c r="AB138">
        <f>sumifs(生产物料推移表!ab:ab,生产物料推移表!L:L,"计划生产",生产物料推移表!B:B,"852-189000-112")</f>
        <v>0</v>
      </c>
      <c r="AC138">
        <f>sumifs(生产物料推移表!ac:ac,生产物料推移表!L:L,"计划生产",生产物料推移表!B:B,"852-189000-112")</f>
        <v>0</v>
      </c>
      <c r="AD138">
        <f>sumifs(生产物料推移表!ad:ad,生产物料推移表!L:L,"计划生产",生产物料推移表!B:B,"852-189000-112")</f>
        <v>0</v>
      </c>
      <c r="AE138">
        <f>sumifs(生产物料推移表!ae:ae,生产物料推移表!L:L,"计划生产",生产物料推移表!B:B,"852-189000-112")</f>
        <v>0</v>
      </c>
      <c r="AF138">
        <f>sumifs(生产物料推移表!af:af,生产物料推移表!L:L,"计划生产",生产物料推移表!B:B,"852-189000-112")</f>
        <v>0</v>
      </c>
      <c r="AG138">
        <f>sumifs(生产物料推移表!ag:ag,生产物料推移表!L:L,"计划生产",生产物料推移表!B:B,"852-189000-112")</f>
        <v>0</v>
      </c>
      <c r="AH138">
        <f>sumifs(生产物料推移表!ah:ah,生产物料推移表!L:L,"计划生产",生产物料推移表!B:B,"852-189000-112")</f>
        <v>0</v>
      </c>
      <c r="AI138">
        <f>sumifs(生产物料推移表!ai:ai,生产物料推移表!L:L,"计划生产",生产物料推移表!B:B,"852-189000-112")</f>
        <v>0</v>
      </c>
      <c r="AJ138">
        <f>sumifs(生产物料推移表!aj:aj,生产物料推移表!L:L,"计划生产",生产物料推移表!B:B,"852-189000-112")</f>
        <v>0</v>
      </c>
      <c r="AK138">
        <f>sumifs(生产物料推移表!ak:ak,生产物料推移表!L:L,"计划生产",生产物料推移表!B:B,"852-189000-112")</f>
        <v>0</v>
      </c>
      <c r="AL138">
        <f>sumifs(生产物料推移表!al:al,生产物料推移表!L:L,"计划生产",生产物料推移表!B:B,"852-189000-112")</f>
        <v>0</v>
      </c>
      <c r="AM138">
        <f>sumifs(生产物料推移表!am:am,生产物料推移表!L:L,"计划生产",生产物料推移表!B:B,"852-189000-112")</f>
        <v>0</v>
      </c>
      <c r="AN138">
        <f>sumifs(生产物料推移表!an:an,生产物料推移表!L:L,"计划生产",生产物料推移表!B:B,"852-189000-112")</f>
        <v>0</v>
      </c>
      <c r="AO138">
        <f>sumifs(生产物料推移表!ao:ao,生产物料推移表!L:L,"计划生产",生产物料推移表!B:B,"852-189000-112")</f>
        <v>0</v>
      </c>
      <c r="AP138">
        <f>sumifs(生产物料推移表!ap:ap,生产物料推移表!L:L,"计划生产",生产物料推移表!B:B,"852-189000-112")</f>
        <v>0</v>
      </c>
      <c r="AQ138">
        <f>sumifs(生产物料推移表!aq:aq,生产物料推移表!L:L,"计划生产",生产物料推移表!B:B,"852-189000-112")</f>
        <v>0</v>
      </c>
      <c r="AR138">
        <f>sumifs(生产物料推移表!ar:ar,生产物料推移表!L:L,"计划生产",生产物料推移表!B:B,"852-189000-112")</f>
        <v>0</v>
      </c>
      <c r="BY138">
        <f>sum(j138:an138)</f>
        <v>0</v>
      </c>
    </row>
    <row r="139" spans="1:77">
      <c r="A139" t="s">
        <v>14</v>
      </c>
      <c r="B139" t="s">
        <v>609</v>
      </c>
      <c r="C139" t="s">
        <v>610</v>
      </c>
      <c r="E139" t="s">
        <v>444</v>
      </c>
      <c r="F139" t="s">
        <v>608</v>
      </c>
      <c r="K139" t="s">
        <v>657</v>
      </c>
      <c r="L139" t="s">
        <v>37</v>
      </c>
      <c r="M139">
        <f>sumifs(生产物料推移表!m:m,生产物料推移表!L:L,"计划生产",生产物料推移表!B:B,"222-172000-000")</f>
        <v>0</v>
      </c>
      <c r="N139">
        <f>sumifs(生产物料推移表!n:n,生产物料推移表!L:L,"计划生产",生产物料推移表!B:B,"222-172000-000")</f>
        <v>0</v>
      </c>
      <c r="O139">
        <f>sumifs(生产物料推移表!o:o,生产物料推移表!L:L,"计划生产",生产物料推移表!B:B,"222-172000-000")</f>
        <v>0</v>
      </c>
      <c r="P139">
        <f>sumifs(生产物料推移表!p:p,生产物料推移表!L:L,"计划生产",生产物料推移表!B:B,"222-172000-000")</f>
        <v>0</v>
      </c>
      <c r="Q139">
        <f>sumifs(生产物料推移表!q:q,生产物料推移表!L:L,"计划生产",生产物料推移表!B:B,"222-172000-000")</f>
        <v>0</v>
      </c>
      <c r="R139">
        <f>sumifs(生产物料推移表!r:r,生产物料推移表!L:L,"计划生产",生产物料推移表!B:B,"222-172000-000")</f>
        <v>0</v>
      </c>
      <c r="S139">
        <f>sumifs(生产物料推移表!s:s,生产物料推移表!L:L,"计划生产",生产物料推移表!B:B,"222-172000-000")</f>
        <v>0</v>
      </c>
      <c r="T139">
        <f>sumifs(生产物料推移表!t:t,生产物料推移表!L:L,"计划生产",生产物料推移表!B:B,"222-172000-000")</f>
        <v>0</v>
      </c>
      <c r="U139">
        <f>sumifs(生产物料推移表!u:u,生产物料推移表!L:L,"计划生产",生产物料推移表!B:B,"222-172000-000")</f>
        <v>0</v>
      </c>
      <c r="V139">
        <f>sumifs(生产物料推移表!v:v,生产物料推移表!L:L,"计划生产",生产物料推移表!B:B,"222-172000-000")</f>
        <v>0</v>
      </c>
      <c r="W139">
        <f>sumifs(生产物料推移表!w:w,生产物料推移表!L:L,"计划生产",生产物料推移表!B:B,"222-172000-000")</f>
        <v>0</v>
      </c>
      <c r="X139">
        <f>sumifs(生产物料推移表!x:x,生产物料推移表!L:L,"计划生产",生产物料推移表!B:B,"222-172000-000")</f>
        <v>0</v>
      </c>
      <c r="Y139">
        <f>sumifs(生产物料推移表!y:y,生产物料推移表!L:L,"计划生产",生产物料推移表!B:B,"222-172000-000")</f>
        <v>0</v>
      </c>
      <c r="Z139">
        <f>sumifs(生产物料推移表!z:z,生产物料推移表!L:L,"计划生产",生产物料推移表!B:B,"222-172000-000")</f>
        <v>0</v>
      </c>
      <c r="AA139">
        <f>sumifs(生产物料推移表!aa:aa,生产物料推移表!L:L,"计划生产",生产物料推移表!B:B,"222-172000-000")</f>
        <v>0</v>
      </c>
      <c r="AB139">
        <f>sumifs(生产物料推移表!ab:ab,生产物料推移表!L:L,"计划生产",生产物料推移表!B:B,"222-172000-000")</f>
        <v>0</v>
      </c>
      <c r="AC139">
        <f>sumifs(生产物料推移表!ac:ac,生产物料推移表!L:L,"计划生产",生产物料推移表!B:B,"222-172000-000")</f>
        <v>0</v>
      </c>
      <c r="AD139">
        <f>sumifs(生产物料推移表!ad:ad,生产物料推移表!L:L,"计划生产",生产物料推移表!B:B,"222-172000-000")</f>
        <v>0</v>
      </c>
      <c r="AE139">
        <f>sumifs(生产物料推移表!ae:ae,生产物料推移表!L:L,"计划生产",生产物料推移表!B:B,"222-172000-000")</f>
        <v>0</v>
      </c>
      <c r="AF139">
        <f>sumifs(生产物料推移表!af:af,生产物料推移表!L:L,"计划生产",生产物料推移表!B:B,"222-172000-000")</f>
        <v>0</v>
      </c>
      <c r="AG139">
        <f>sumifs(生产物料推移表!ag:ag,生产物料推移表!L:L,"计划生产",生产物料推移表!B:B,"222-172000-000")</f>
        <v>0</v>
      </c>
      <c r="AH139">
        <f>sumifs(生产物料推移表!ah:ah,生产物料推移表!L:L,"计划生产",生产物料推移表!B:B,"222-172000-000")</f>
        <v>0</v>
      </c>
      <c r="AI139">
        <f>sumifs(生产物料推移表!ai:ai,生产物料推移表!L:L,"计划生产",生产物料推移表!B:B,"222-172000-000")</f>
        <v>0</v>
      </c>
      <c r="AJ139">
        <f>sumifs(生产物料推移表!aj:aj,生产物料推移表!L:L,"计划生产",生产物料推移表!B:B,"222-172000-000")</f>
        <v>0</v>
      </c>
      <c r="AK139">
        <f>sumifs(生产物料推移表!ak:ak,生产物料推移表!L:L,"计划生产",生产物料推移表!B:B,"222-172000-000")</f>
        <v>0</v>
      </c>
      <c r="AL139">
        <f>sumifs(生产物料推移表!al:al,生产物料推移表!L:L,"计划生产",生产物料推移表!B:B,"222-172000-000")</f>
        <v>0</v>
      </c>
      <c r="AM139">
        <f>sumifs(生产物料推移表!am:am,生产物料推移表!L:L,"计划生产",生产物料推移表!B:B,"222-172000-000")</f>
        <v>0</v>
      </c>
      <c r="AN139">
        <f>sumifs(生产物料推移表!an:an,生产物料推移表!L:L,"计划生产",生产物料推移表!B:B,"222-172000-000")</f>
        <v>0</v>
      </c>
      <c r="AO139">
        <f>sumifs(生产物料推移表!ao:ao,生产物料推移表!L:L,"计划生产",生产物料推移表!B:B,"222-172000-000")</f>
        <v>0</v>
      </c>
      <c r="AP139">
        <f>sumifs(生产物料推移表!ap:ap,生产物料推移表!L:L,"计划生产",生产物料推移表!B:B,"222-172000-000")</f>
        <v>0</v>
      </c>
      <c r="AQ139">
        <f>sumifs(生产物料推移表!aq:aq,生产物料推移表!L:L,"计划生产",生产物料推移表!B:B,"222-172000-000")</f>
        <v>0</v>
      </c>
      <c r="AR139">
        <f>sumifs(生产物料推移表!ar:ar,生产物料推移表!L:L,"计划生产",生产物料推移表!B:B,"222-172000-000")</f>
        <v>0</v>
      </c>
      <c r="BY139">
        <f>sum(j139:an139)</f>
        <v>0</v>
      </c>
    </row>
    <row r="140" spans="1:77">
      <c r="A140" t="s">
        <v>14</v>
      </c>
      <c r="B140" t="s">
        <v>612</v>
      </c>
      <c r="C140" t="s">
        <v>613</v>
      </c>
      <c r="E140" t="s">
        <v>444</v>
      </c>
      <c r="F140" t="s">
        <v>611</v>
      </c>
      <c r="K140" t="s">
        <v>657</v>
      </c>
      <c r="L140" t="s">
        <v>37</v>
      </c>
      <c r="M140">
        <f>sumifs(生产物料推移表!m:m,生产物料推移表!L:L,"计划生产",生产物料推移表!B:B,"272-029800-000")</f>
        <v>0</v>
      </c>
      <c r="N140">
        <f>sumifs(生产物料推移表!n:n,生产物料推移表!L:L,"计划生产",生产物料推移表!B:B,"272-029800-000")</f>
        <v>0</v>
      </c>
      <c r="O140">
        <f>sumifs(生产物料推移表!o:o,生产物料推移表!L:L,"计划生产",生产物料推移表!B:B,"272-029800-000")</f>
        <v>0</v>
      </c>
      <c r="P140">
        <f>sumifs(生产物料推移表!p:p,生产物料推移表!L:L,"计划生产",生产物料推移表!B:B,"272-029800-000")</f>
        <v>0</v>
      </c>
      <c r="Q140">
        <f>sumifs(生产物料推移表!q:q,生产物料推移表!L:L,"计划生产",生产物料推移表!B:B,"272-029800-000")</f>
        <v>0</v>
      </c>
      <c r="R140">
        <f>sumifs(生产物料推移表!r:r,生产物料推移表!L:L,"计划生产",生产物料推移表!B:B,"272-029800-000")</f>
        <v>0</v>
      </c>
      <c r="S140">
        <f>sumifs(生产物料推移表!s:s,生产物料推移表!L:L,"计划生产",生产物料推移表!B:B,"272-029800-000")</f>
        <v>0</v>
      </c>
      <c r="T140">
        <f>sumifs(生产物料推移表!t:t,生产物料推移表!L:L,"计划生产",生产物料推移表!B:B,"272-029800-000")</f>
        <v>0</v>
      </c>
      <c r="U140">
        <f>sumifs(生产物料推移表!u:u,生产物料推移表!L:L,"计划生产",生产物料推移表!B:B,"272-029800-000")</f>
        <v>0</v>
      </c>
      <c r="V140">
        <f>sumifs(生产物料推移表!v:v,生产物料推移表!L:L,"计划生产",生产物料推移表!B:B,"272-029800-000")</f>
        <v>0</v>
      </c>
      <c r="W140">
        <f>sumifs(生产物料推移表!w:w,生产物料推移表!L:L,"计划生产",生产物料推移表!B:B,"272-029800-000")</f>
        <v>0</v>
      </c>
      <c r="X140">
        <f>sumifs(生产物料推移表!x:x,生产物料推移表!L:L,"计划生产",生产物料推移表!B:B,"272-029800-000")</f>
        <v>0</v>
      </c>
      <c r="Y140">
        <f>sumifs(生产物料推移表!y:y,生产物料推移表!L:L,"计划生产",生产物料推移表!B:B,"272-029800-000")</f>
        <v>0</v>
      </c>
      <c r="Z140">
        <f>sumifs(生产物料推移表!z:z,生产物料推移表!L:L,"计划生产",生产物料推移表!B:B,"272-029800-000")</f>
        <v>0</v>
      </c>
      <c r="AA140">
        <f>sumifs(生产物料推移表!aa:aa,生产物料推移表!L:L,"计划生产",生产物料推移表!B:B,"272-029800-000")</f>
        <v>0</v>
      </c>
      <c r="AB140">
        <f>sumifs(生产物料推移表!ab:ab,生产物料推移表!L:L,"计划生产",生产物料推移表!B:B,"272-029800-000")</f>
        <v>0</v>
      </c>
      <c r="AC140">
        <f>sumifs(生产物料推移表!ac:ac,生产物料推移表!L:L,"计划生产",生产物料推移表!B:B,"272-029800-000")</f>
        <v>0</v>
      </c>
      <c r="AD140">
        <f>sumifs(生产物料推移表!ad:ad,生产物料推移表!L:L,"计划生产",生产物料推移表!B:B,"272-029800-000")</f>
        <v>0</v>
      </c>
      <c r="AE140">
        <f>sumifs(生产物料推移表!ae:ae,生产物料推移表!L:L,"计划生产",生产物料推移表!B:B,"272-029800-000")</f>
        <v>0</v>
      </c>
      <c r="AF140">
        <f>sumifs(生产物料推移表!af:af,生产物料推移表!L:L,"计划生产",生产物料推移表!B:B,"272-029800-000")</f>
        <v>0</v>
      </c>
      <c r="AG140">
        <f>sumifs(生产物料推移表!ag:ag,生产物料推移表!L:L,"计划生产",生产物料推移表!B:B,"272-029800-000")</f>
        <v>0</v>
      </c>
      <c r="AH140">
        <f>sumifs(生产物料推移表!ah:ah,生产物料推移表!L:L,"计划生产",生产物料推移表!B:B,"272-029800-000")</f>
        <v>0</v>
      </c>
      <c r="AI140">
        <f>sumifs(生产物料推移表!ai:ai,生产物料推移表!L:L,"计划生产",生产物料推移表!B:B,"272-029800-000")</f>
        <v>0</v>
      </c>
      <c r="AJ140">
        <f>sumifs(生产物料推移表!aj:aj,生产物料推移表!L:L,"计划生产",生产物料推移表!B:B,"272-029800-000")</f>
        <v>0</v>
      </c>
      <c r="AK140">
        <f>sumifs(生产物料推移表!ak:ak,生产物料推移表!L:L,"计划生产",生产物料推移表!B:B,"272-029800-000")</f>
        <v>0</v>
      </c>
      <c r="AL140">
        <f>sumifs(生产物料推移表!al:al,生产物料推移表!L:L,"计划生产",生产物料推移表!B:B,"272-029800-000")</f>
        <v>0</v>
      </c>
      <c r="AM140">
        <f>sumifs(生产物料推移表!am:am,生产物料推移表!L:L,"计划生产",生产物料推移表!B:B,"272-029800-000")</f>
        <v>0</v>
      </c>
      <c r="AN140">
        <f>sumifs(生产物料推移表!an:an,生产物料推移表!L:L,"计划生产",生产物料推移表!B:B,"272-029800-000")</f>
        <v>0</v>
      </c>
      <c r="AO140">
        <f>sumifs(生产物料推移表!ao:ao,生产物料推移表!L:L,"计划生产",生产物料推移表!B:B,"272-029800-000")</f>
        <v>0</v>
      </c>
      <c r="AP140">
        <f>sumifs(生产物料推移表!ap:ap,生产物料推移表!L:L,"计划生产",生产物料推移表!B:B,"272-029800-000")</f>
        <v>0</v>
      </c>
      <c r="AQ140">
        <f>sumifs(生产物料推移表!aq:aq,生产物料推移表!L:L,"计划生产",生产物料推移表!B:B,"272-029800-000")</f>
        <v>0</v>
      </c>
      <c r="AR140">
        <f>sumifs(生产物料推移表!ar:ar,生产物料推移表!L:L,"计划生产",生产物料推移表!B:B,"272-029800-000")</f>
        <v>0</v>
      </c>
      <c r="BY140">
        <f>sum(j140:an140)</f>
        <v>0</v>
      </c>
    </row>
    <row r="141" spans="1:77">
      <c r="A141" t="s">
        <v>14</v>
      </c>
      <c r="B141" t="s">
        <v>597</v>
      </c>
      <c r="C141" t="s">
        <v>598</v>
      </c>
      <c r="F141" t="s">
        <v>596</v>
      </c>
      <c r="K141" t="s">
        <v>657</v>
      </c>
      <c r="L141" t="s">
        <v>37</v>
      </c>
      <c r="M141">
        <f>sumifs(生产物料推移表!m:m,生产物料推移表!L:L,"计划生产",生产物料推移表!B:B,"262-002200-000")</f>
        <v>0</v>
      </c>
      <c r="N141">
        <f>sumifs(生产物料推移表!n:n,生产物料推移表!L:L,"计划生产",生产物料推移表!B:B,"262-002200-000")</f>
        <v>0</v>
      </c>
      <c r="O141">
        <f>sumifs(生产物料推移表!o:o,生产物料推移表!L:L,"计划生产",生产物料推移表!B:B,"262-002200-000")</f>
        <v>0</v>
      </c>
      <c r="P141">
        <f>sumifs(生产物料推移表!p:p,生产物料推移表!L:L,"计划生产",生产物料推移表!B:B,"262-002200-000")</f>
        <v>0</v>
      </c>
      <c r="Q141">
        <f>sumifs(生产物料推移表!q:q,生产物料推移表!L:L,"计划生产",生产物料推移表!B:B,"262-002200-000")</f>
        <v>0</v>
      </c>
      <c r="R141">
        <f>sumifs(生产物料推移表!r:r,生产物料推移表!L:L,"计划生产",生产物料推移表!B:B,"262-002200-000")</f>
        <v>0</v>
      </c>
      <c r="S141">
        <f>sumifs(生产物料推移表!s:s,生产物料推移表!L:L,"计划生产",生产物料推移表!B:B,"262-002200-000")</f>
        <v>0</v>
      </c>
      <c r="T141">
        <f>sumifs(生产物料推移表!t:t,生产物料推移表!L:L,"计划生产",生产物料推移表!B:B,"262-002200-000")</f>
        <v>0</v>
      </c>
      <c r="U141">
        <f>sumifs(生产物料推移表!u:u,生产物料推移表!L:L,"计划生产",生产物料推移表!B:B,"262-002200-000")</f>
        <v>0</v>
      </c>
      <c r="V141">
        <f>sumifs(生产物料推移表!v:v,生产物料推移表!L:L,"计划生产",生产物料推移表!B:B,"262-002200-000")</f>
        <v>0</v>
      </c>
      <c r="W141">
        <f>sumifs(生产物料推移表!w:w,生产物料推移表!L:L,"计划生产",生产物料推移表!B:B,"262-002200-000")</f>
        <v>0</v>
      </c>
      <c r="X141">
        <f>sumifs(生产物料推移表!x:x,生产物料推移表!L:L,"计划生产",生产物料推移表!B:B,"262-002200-000")</f>
        <v>0</v>
      </c>
      <c r="Y141">
        <f>sumifs(生产物料推移表!y:y,生产物料推移表!L:L,"计划生产",生产物料推移表!B:B,"262-002200-000")</f>
        <v>0</v>
      </c>
      <c r="Z141">
        <f>sumifs(生产物料推移表!z:z,生产物料推移表!L:L,"计划生产",生产物料推移表!B:B,"262-002200-000")</f>
        <v>0</v>
      </c>
      <c r="AA141">
        <f>sumifs(生产物料推移表!aa:aa,生产物料推移表!L:L,"计划生产",生产物料推移表!B:B,"262-002200-000")</f>
        <v>0</v>
      </c>
      <c r="AB141">
        <f>sumifs(生产物料推移表!ab:ab,生产物料推移表!L:L,"计划生产",生产物料推移表!B:B,"262-002200-000")</f>
        <v>0</v>
      </c>
      <c r="AC141">
        <f>sumifs(生产物料推移表!ac:ac,生产物料推移表!L:L,"计划生产",生产物料推移表!B:B,"262-002200-000")</f>
        <v>0</v>
      </c>
      <c r="AD141">
        <f>sumifs(生产物料推移表!ad:ad,生产物料推移表!L:L,"计划生产",生产物料推移表!B:B,"262-002200-000")</f>
        <v>0</v>
      </c>
      <c r="AE141">
        <f>sumifs(生产物料推移表!ae:ae,生产物料推移表!L:L,"计划生产",生产物料推移表!B:B,"262-002200-000")</f>
        <v>0</v>
      </c>
      <c r="AF141">
        <f>sumifs(生产物料推移表!af:af,生产物料推移表!L:L,"计划生产",生产物料推移表!B:B,"262-002200-000")</f>
        <v>0</v>
      </c>
      <c r="AG141">
        <f>sumifs(生产物料推移表!ag:ag,生产物料推移表!L:L,"计划生产",生产物料推移表!B:B,"262-002200-000")</f>
        <v>0</v>
      </c>
      <c r="AH141">
        <f>sumifs(生产物料推移表!ah:ah,生产物料推移表!L:L,"计划生产",生产物料推移表!B:B,"262-002200-000")</f>
        <v>0</v>
      </c>
      <c r="AI141">
        <f>sumifs(生产物料推移表!ai:ai,生产物料推移表!L:L,"计划生产",生产物料推移表!B:B,"262-002200-000")</f>
        <v>0</v>
      </c>
      <c r="AJ141">
        <f>sumifs(生产物料推移表!aj:aj,生产物料推移表!L:L,"计划生产",生产物料推移表!B:B,"262-002200-000")</f>
        <v>0</v>
      </c>
      <c r="AK141">
        <f>sumifs(生产物料推移表!ak:ak,生产物料推移表!L:L,"计划生产",生产物料推移表!B:B,"262-002200-000")</f>
        <v>0</v>
      </c>
      <c r="AL141">
        <f>sumifs(生产物料推移表!al:al,生产物料推移表!L:L,"计划生产",生产物料推移表!B:B,"262-002200-000")</f>
        <v>0</v>
      </c>
      <c r="AM141">
        <f>sumifs(生产物料推移表!am:am,生产物料推移表!L:L,"计划生产",生产物料推移表!B:B,"262-002200-000")</f>
        <v>0</v>
      </c>
      <c r="AN141">
        <f>sumifs(生产物料推移表!an:an,生产物料推移表!L:L,"计划生产",生产物料推移表!B:B,"262-002200-000")</f>
        <v>0</v>
      </c>
      <c r="AO141">
        <f>sumifs(生产物料推移表!ao:ao,生产物料推移表!L:L,"计划生产",生产物料推移表!B:B,"262-002200-000")</f>
        <v>0</v>
      </c>
      <c r="AP141">
        <f>sumifs(生产物料推移表!ap:ap,生产物料推移表!L:L,"计划生产",生产物料推移表!B:B,"262-002200-000")</f>
        <v>0</v>
      </c>
      <c r="AQ141">
        <f>sumifs(生产物料推移表!aq:aq,生产物料推移表!L:L,"计划生产",生产物料推移表!B:B,"262-002200-000")</f>
        <v>0</v>
      </c>
      <c r="AR141">
        <f>sumifs(生产物料推移表!ar:ar,生产物料推移表!L:L,"计划生产",生产物料推移表!B:B,"262-002200-000")</f>
        <v>0</v>
      </c>
      <c r="BY141">
        <f>sum(j141:an141)</f>
        <v>0</v>
      </c>
    </row>
    <row r="142" spans="1:77">
      <c r="A142" t="s">
        <v>14</v>
      </c>
      <c r="B142" t="s">
        <v>615</v>
      </c>
      <c r="C142" t="s">
        <v>616</v>
      </c>
      <c r="E142" t="s">
        <v>444</v>
      </c>
      <c r="F142" t="s">
        <v>614</v>
      </c>
      <c r="K142" t="s">
        <v>657</v>
      </c>
      <c r="L142" t="s">
        <v>37</v>
      </c>
      <c r="M142">
        <f>sumifs(生产物料推移表!m:m,生产物料推移表!L:L,"计划生产",生产物料推移表!B:B,"222-176000-000")</f>
        <v>0</v>
      </c>
      <c r="N142">
        <f>sumifs(生产物料推移表!n:n,生产物料推移表!L:L,"计划生产",生产物料推移表!B:B,"222-176000-000")</f>
        <v>0</v>
      </c>
      <c r="O142">
        <f>sumifs(生产物料推移表!o:o,生产物料推移表!L:L,"计划生产",生产物料推移表!B:B,"222-176000-000")</f>
        <v>0</v>
      </c>
      <c r="P142">
        <f>sumifs(生产物料推移表!p:p,生产物料推移表!L:L,"计划生产",生产物料推移表!B:B,"222-176000-000")</f>
        <v>0</v>
      </c>
      <c r="Q142">
        <f>sumifs(生产物料推移表!q:q,生产物料推移表!L:L,"计划生产",生产物料推移表!B:B,"222-176000-000")</f>
        <v>0</v>
      </c>
      <c r="R142">
        <f>sumifs(生产物料推移表!r:r,生产物料推移表!L:L,"计划生产",生产物料推移表!B:B,"222-176000-000")</f>
        <v>0</v>
      </c>
      <c r="S142">
        <f>sumifs(生产物料推移表!s:s,生产物料推移表!L:L,"计划生产",生产物料推移表!B:B,"222-176000-000")</f>
        <v>0</v>
      </c>
      <c r="T142">
        <f>sumifs(生产物料推移表!t:t,生产物料推移表!L:L,"计划生产",生产物料推移表!B:B,"222-176000-000")</f>
        <v>0</v>
      </c>
      <c r="U142">
        <f>sumifs(生产物料推移表!u:u,生产物料推移表!L:L,"计划生产",生产物料推移表!B:B,"222-176000-000")</f>
        <v>0</v>
      </c>
      <c r="V142">
        <f>sumifs(生产物料推移表!v:v,生产物料推移表!L:L,"计划生产",生产物料推移表!B:B,"222-176000-000")</f>
        <v>0</v>
      </c>
      <c r="W142">
        <f>sumifs(生产物料推移表!w:w,生产物料推移表!L:L,"计划生产",生产物料推移表!B:B,"222-176000-000")</f>
        <v>0</v>
      </c>
      <c r="X142">
        <f>sumifs(生产物料推移表!x:x,生产物料推移表!L:L,"计划生产",生产物料推移表!B:B,"222-176000-000")</f>
        <v>0</v>
      </c>
      <c r="Y142">
        <f>sumifs(生产物料推移表!y:y,生产物料推移表!L:L,"计划生产",生产物料推移表!B:B,"222-176000-000")</f>
        <v>0</v>
      </c>
      <c r="Z142">
        <f>sumifs(生产物料推移表!z:z,生产物料推移表!L:L,"计划生产",生产物料推移表!B:B,"222-176000-000")</f>
        <v>0</v>
      </c>
      <c r="AA142">
        <f>sumifs(生产物料推移表!aa:aa,生产物料推移表!L:L,"计划生产",生产物料推移表!B:B,"222-176000-000")</f>
        <v>0</v>
      </c>
      <c r="AB142">
        <f>sumifs(生产物料推移表!ab:ab,生产物料推移表!L:L,"计划生产",生产物料推移表!B:B,"222-176000-000")</f>
        <v>0</v>
      </c>
      <c r="AC142">
        <f>sumifs(生产物料推移表!ac:ac,生产物料推移表!L:L,"计划生产",生产物料推移表!B:B,"222-176000-000")</f>
        <v>0</v>
      </c>
      <c r="AD142">
        <f>sumifs(生产物料推移表!ad:ad,生产物料推移表!L:L,"计划生产",生产物料推移表!B:B,"222-176000-000")</f>
        <v>0</v>
      </c>
      <c r="AE142">
        <f>sumifs(生产物料推移表!ae:ae,生产物料推移表!L:L,"计划生产",生产物料推移表!B:B,"222-176000-000")</f>
        <v>0</v>
      </c>
      <c r="AF142">
        <f>sumifs(生产物料推移表!af:af,生产物料推移表!L:L,"计划生产",生产物料推移表!B:B,"222-176000-000")</f>
        <v>0</v>
      </c>
      <c r="AG142">
        <f>sumifs(生产物料推移表!ag:ag,生产物料推移表!L:L,"计划生产",生产物料推移表!B:B,"222-176000-000")</f>
        <v>0</v>
      </c>
      <c r="AH142">
        <f>sumifs(生产物料推移表!ah:ah,生产物料推移表!L:L,"计划生产",生产物料推移表!B:B,"222-176000-000")</f>
        <v>0</v>
      </c>
      <c r="AI142">
        <f>sumifs(生产物料推移表!ai:ai,生产物料推移表!L:L,"计划生产",生产物料推移表!B:B,"222-176000-000")</f>
        <v>0</v>
      </c>
      <c r="AJ142">
        <f>sumifs(生产物料推移表!aj:aj,生产物料推移表!L:L,"计划生产",生产物料推移表!B:B,"222-176000-000")</f>
        <v>0</v>
      </c>
      <c r="AK142">
        <f>sumifs(生产物料推移表!ak:ak,生产物料推移表!L:L,"计划生产",生产物料推移表!B:B,"222-176000-000")</f>
        <v>0</v>
      </c>
      <c r="AL142">
        <f>sumifs(生产物料推移表!al:al,生产物料推移表!L:L,"计划生产",生产物料推移表!B:B,"222-176000-000")</f>
        <v>0</v>
      </c>
      <c r="AM142">
        <f>sumifs(生产物料推移表!am:am,生产物料推移表!L:L,"计划生产",生产物料推移表!B:B,"222-176000-000")</f>
        <v>0</v>
      </c>
      <c r="AN142">
        <f>sumifs(生产物料推移表!an:an,生产物料推移表!L:L,"计划生产",生产物料推移表!B:B,"222-176000-000")</f>
        <v>0</v>
      </c>
      <c r="AO142">
        <f>sumifs(生产物料推移表!ao:ao,生产物料推移表!L:L,"计划生产",生产物料推移表!B:B,"222-176000-000")</f>
        <v>0</v>
      </c>
      <c r="AP142">
        <f>sumifs(生产物料推移表!ap:ap,生产物料推移表!L:L,"计划生产",生产物料推移表!B:B,"222-176000-000")</f>
        <v>0</v>
      </c>
      <c r="AQ142">
        <f>sumifs(生产物料推移表!aq:aq,生产物料推移表!L:L,"计划生产",生产物料推移表!B:B,"222-176000-000")</f>
        <v>0</v>
      </c>
      <c r="AR142">
        <f>sumifs(生产物料推移表!ar:ar,生产物料推移表!L:L,"计划生产",生产物料推移表!B:B,"222-176000-000")</f>
        <v>0</v>
      </c>
      <c r="BY142">
        <f>sum(j142:an142)</f>
        <v>0</v>
      </c>
    </row>
    <row r="143" spans="1:77">
      <c r="A143" t="s">
        <v>14</v>
      </c>
      <c r="B143" t="s">
        <v>618</v>
      </c>
      <c r="C143" t="s">
        <v>619</v>
      </c>
      <c r="E143" t="s">
        <v>444</v>
      </c>
      <c r="F143" t="s">
        <v>617</v>
      </c>
      <c r="K143" t="s">
        <v>657</v>
      </c>
      <c r="L143" t="s">
        <v>37</v>
      </c>
      <c r="M143">
        <f>sumifs(生产物料推移表!m:m,生产物料推移表!L:L,"计划生产",生产物料推移表!B:B,"222-177000-000")</f>
        <v>0</v>
      </c>
      <c r="N143">
        <f>sumifs(生产物料推移表!n:n,生产物料推移表!L:L,"计划生产",生产物料推移表!B:B,"222-177000-000")</f>
        <v>0</v>
      </c>
      <c r="O143">
        <f>sumifs(生产物料推移表!o:o,生产物料推移表!L:L,"计划生产",生产物料推移表!B:B,"222-177000-000")</f>
        <v>0</v>
      </c>
      <c r="P143">
        <f>sumifs(生产物料推移表!p:p,生产物料推移表!L:L,"计划生产",生产物料推移表!B:B,"222-177000-000")</f>
        <v>0</v>
      </c>
      <c r="Q143">
        <f>sumifs(生产物料推移表!q:q,生产物料推移表!L:L,"计划生产",生产物料推移表!B:B,"222-177000-000")</f>
        <v>0</v>
      </c>
      <c r="R143">
        <f>sumifs(生产物料推移表!r:r,生产物料推移表!L:L,"计划生产",生产物料推移表!B:B,"222-177000-000")</f>
        <v>0</v>
      </c>
      <c r="S143">
        <f>sumifs(生产物料推移表!s:s,生产物料推移表!L:L,"计划生产",生产物料推移表!B:B,"222-177000-000")</f>
        <v>0</v>
      </c>
      <c r="T143">
        <f>sumifs(生产物料推移表!t:t,生产物料推移表!L:L,"计划生产",生产物料推移表!B:B,"222-177000-000")</f>
        <v>0</v>
      </c>
      <c r="U143">
        <f>sumifs(生产物料推移表!u:u,生产物料推移表!L:L,"计划生产",生产物料推移表!B:B,"222-177000-000")</f>
        <v>0</v>
      </c>
      <c r="V143">
        <f>sumifs(生产物料推移表!v:v,生产物料推移表!L:L,"计划生产",生产物料推移表!B:B,"222-177000-000")</f>
        <v>0</v>
      </c>
      <c r="W143">
        <f>sumifs(生产物料推移表!w:w,生产物料推移表!L:L,"计划生产",生产物料推移表!B:B,"222-177000-000")</f>
        <v>0</v>
      </c>
      <c r="X143">
        <f>sumifs(生产物料推移表!x:x,生产物料推移表!L:L,"计划生产",生产物料推移表!B:B,"222-177000-000")</f>
        <v>0</v>
      </c>
      <c r="Y143">
        <f>sumifs(生产物料推移表!y:y,生产物料推移表!L:L,"计划生产",生产物料推移表!B:B,"222-177000-000")</f>
        <v>0</v>
      </c>
      <c r="Z143">
        <f>sumifs(生产物料推移表!z:z,生产物料推移表!L:L,"计划生产",生产物料推移表!B:B,"222-177000-000")</f>
        <v>0</v>
      </c>
      <c r="AA143">
        <f>sumifs(生产物料推移表!aa:aa,生产物料推移表!L:L,"计划生产",生产物料推移表!B:B,"222-177000-000")</f>
        <v>0</v>
      </c>
      <c r="AB143">
        <f>sumifs(生产物料推移表!ab:ab,生产物料推移表!L:L,"计划生产",生产物料推移表!B:B,"222-177000-000")</f>
        <v>0</v>
      </c>
      <c r="AC143">
        <f>sumifs(生产物料推移表!ac:ac,生产物料推移表!L:L,"计划生产",生产物料推移表!B:B,"222-177000-000")</f>
        <v>0</v>
      </c>
      <c r="AD143">
        <f>sumifs(生产物料推移表!ad:ad,生产物料推移表!L:L,"计划生产",生产物料推移表!B:B,"222-177000-000")</f>
        <v>0</v>
      </c>
      <c r="AE143">
        <f>sumifs(生产物料推移表!ae:ae,生产物料推移表!L:L,"计划生产",生产物料推移表!B:B,"222-177000-000")</f>
        <v>0</v>
      </c>
      <c r="AF143">
        <f>sumifs(生产物料推移表!af:af,生产物料推移表!L:L,"计划生产",生产物料推移表!B:B,"222-177000-000")</f>
        <v>0</v>
      </c>
      <c r="AG143">
        <f>sumifs(生产物料推移表!ag:ag,生产物料推移表!L:L,"计划生产",生产物料推移表!B:B,"222-177000-000")</f>
        <v>0</v>
      </c>
      <c r="AH143">
        <f>sumifs(生产物料推移表!ah:ah,生产物料推移表!L:L,"计划生产",生产物料推移表!B:B,"222-177000-000")</f>
        <v>0</v>
      </c>
      <c r="AI143">
        <f>sumifs(生产物料推移表!ai:ai,生产物料推移表!L:L,"计划生产",生产物料推移表!B:B,"222-177000-000")</f>
        <v>0</v>
      </c>
      <c r="AJ143">
        <f>sumifs(生产物料推移表!aj:aj,生产物料推移表!L:L,"计划生产",生产物料推移表!B:B,"222-177000-000")</f>
        <v>0</v>
      </c>
      <c r="AK143">
        <f>sumifs(生产物料推移表!ak:ak,生产物料推移表!L:L,"计划生产",生产物料推移表!B:B,"222-177000-000")</f>
        <v>0</v>
      </c>
      <c r="AL143">
        <f>sumifs(生产物料推移表!al:al,生产物料推移表!L:L,"计划生产",生产物料推移表!B:B,"222-177000-000")</f>
        <v>0</v>
      </c>
      <c r="AM143">
        <f>sumifs(生产物料推移表!am:am,生产物料推移表!L:L,"计划生产",生产物料推移表!B:B,"222-177000-000")</f>
        <v>0</v>
      </c>
      <c r="AN143">
        <f>sumifs(生产物料推移表!an:an,生产物料推移表!L:L,"计划生产",生产物料推移表!B:B,"222-177000-000")</f>
        <v>0</v>
      </c>
      <c r="AO143">
        <f>sumifs(生产物料推移表!ao:ao,生产物料推移表!L:L,"计划生产",生产物料推移表!B:B,"222-177000-000")</f>
        <v>0</v>
      </c>
      <c r="AP143">
        <f>sumifs(生产物料推移表!ap:ap,生产物料推移表!L:L,"计划生产",生产物料推移表!B:B,"222-177000-000")</f>
        <v>0</v>
      </c>
      <c r="AQ143">
        <f>sumifs(生产物料推移表!aq:aq,生产物料推移表!L:L,"计划生产",生产物料推移表!B:B,"222-177000-000")</f>
        <v>0</v>
      </c>
      <c r="AR143">
        <f>sumifs(生产物料推移表!ar:ar,生产物料推移表!L:L,"计划生产",生产物料推移表!B:B,"222-177000-000")</f>
        <v>0</v>
      </c>
      <c r="BY143">
        <f>sum(j143:an143)</f>
        <v>0</v>
      </c>
    </row>
    <row r="144" spans="1:77">
      <c r="A144" t="s">
        <v>14</v>
      </c>
      <c r="B144" t="s">
        <v>352</v>
      </c>
      <c r="C144" t="s">
        <v>353</v>
      </c>
      <c r="E144" t="s">
        <v>620</v>
      </c>
      <c r="F144" t="s">
        <v>621</v>
      </c>
      <c r="K144" t="s">
        <v>657</v>
      </c>
      <c r="L144" t="s">
        <v>37</v>
      </c>
      <c r="M144">
        <f>sumifs(生产物料推移表!m:m,生产物料推移表!L:L,"计划生产",生产物料推移表!B:B,"262-000200-000")</f>
        <v>0</v>
      </c>
      <c r="N144">
        <f>sumifs(生产物料推移表!n:n,生产物料推移表!L:L,"计划生产",生产物料推移表!B:B,"262-000200-000")</f>
        <v>0</v>
      </c>
      <c r="O144">
        <f>sumifs(生产物料推移表!o:o,生产物料推移表!L:L,"计划生产",生产物料推移表!B:B,"262-000200-000")</f>
        <v>0</v>
      </c>
      <c r="P144">
        <f>sumifs(生产物料推移表!p:p,生产物料推移表!L:L,"计划生产",生产物料推移表!B:B,"262-000200-000")</f>
        <v>0</v>
      </c>
      <c r="Q144">
        <f>sumifs(生产物料推移表!q:q,生产物料推移表!L:L,"计划生产",生产物料推移表!B:B,"262-000200-000")</f>
        <v>0</v>
      </c>
      <c r="R144">
        <f>sumifs(生产物料推移表!r:r,生产物料推移表!L:L,"计划生产",生产物料推移表!B:B,"262-000200-000")</f>
        <v>0</v>
      </c>
      <c r="S144">
        <f>sumifs(生产物料推移表!s:s,生产物料推移表!L:L,"计划生产",生产物料推移表!B:B,"262-000200-000")</f>
        <v>0</v>
      </c>
      <c r="T144">
        <f>sumifs(生产物料推移表!t:t,生产物料推移表!L:L,"计划生产",生产物料推移表!B:B,"262-000200-000")</f>
        <v>0</v>
      </c>
      <c r="U144">
        <f>sumifs(生产物料推移表!u:u,生产物料推移表!L:L,"计划生产",生产物料推移表!B:B,"262-000200-000")</f>
        <v>0</v>
      </c>
      <c r="V144">
        <f>sumifs(生产物料推移表!v:v,生产物料推移表!L:L,"计划生产",生产物料推移表!B:B,"262-000200-000")</f>
        <v>0</v>
      </c>
      <c r="W144">
        <f>sumifs(生产物料推移表!w:w,生产物料推移表!L:L,"计划生产",生产物料推移表!B:B,"262-000200-000")</f>
        <v>0</v>
      </c>
      <c r="X144">
        <f>sumifs(生产物料推移表!x:x,生产物料推移表!L:L,"计划生产",生产物料推移表!B:B,"262-000200-000")</f>
        <v>0</v>
      </c>
      <c r="Y144">
        <f>sumifs(生产物料推移表!y:y,生产物料推移表!L:L,"计划生产",生产物料推移表!B:B,"262-000200-000")</f>
        <v>0</v>
      </c>
      <c r="Z144">
        <f>sumifs(生产物料推移表!z:z,生产物料推移表!L:L,"计划生产",生产物料推移表!B:B,"262-000200-000")</f>
        <v>0</v>
      </c>
      <c r="AA144">
        <f>sumifs(生产物料推移表!aa:aa,生产物料推移表!L:L,"计划生产",生产物料推移表!B:B,"262-000200-000")</f>
        <v>0</v>
      </c>
      <c r="AB144">
        <f>sumifs(生产物料推移表!ab:ab,生产物料推移表!L:L,"计划生产",生产物料推移表!B:B,"262-000200-000")</f>
        <v>0</v>
      </c>
      <c r="AC144">
        <f>sumifs(生产物料推移表!ac:ac,生产物料推移表!L:L,"计划生产",生产物料推移表!B:B,"262-000200-000")</f>
        <v>0</v>
      </c>
      <c r="AD144">
        <f>sumifs(生产物料推移表!ad:ad,生产物料推移表!L:L,"计划生产",生产物料推移表!B:B,"262-000200-000")</f>
        <v>0</v>
      </c>
      <c r="AE144">
        <f>sumifs(生产物料推移表!ae:ae,生产物料推移表!L:L,"计划生产",生产物料推移表!B:B,"262-000200-000")</f>
        <v>0</v>
      </c>
      <c r="AF144">
        <f>sumifs(生产物料推移表!af:af,生产物料推移表!L:L,"计划生产",生产物料推移表!B:B,"262-000200-000")</f>
        <v>0</v>
      </c>
      <c r="AG144">
        <f>sumifs(生产物料推移表!ag:ag,生产物料推移表!L:L,"计划生产",生产物料推移表!B:B,"262-000200-000")</f>
        <v>0</v>
      </c>
      <c r="AH144">
        <f>sumifs(生产物料推移表!ah:ah,生产物料推移表!L:L,"计划生产",生产物料推移表!B:B,"262-000200-000")</f>
        <v>0</v>
      </c>
      <c r="AI144">
        <f>sumifs(生产物料推移表!ai:ai,生产物料推移表!L:L,"计划生产",生产物料推移表!B:B,"262-000200-000")</f>
        <v>0</v>
      </c>
      <c r="AJ144">
        <f>sumifs(生产物料推移表!aj:aj,生产物料推移表!L:L,"计划生产",生产物料推移表!B:B,"262-000200-000")</f>
        <v>0</v>
      </c>
      <c r="AK144">
        <f>sumifs(生产物料推移表!ak:ak,生产物料推移表!L:L,"计划生产",生产物料推移表!B:B,"262-000200-000")</f>
        <v>0</v>
      </c>
      <c r="AL144">
        <f>sumifs(生产物料推移表!al:al,生产物料推移表!L:L,"计划生产",生产物料推移表!B:B,"262-000200-000")</f>
        <v>0</v>
      </c>
      <c r="AM144">
        <f>sumifs(生产物料推移表!am:am,生产物料推移表!L:L,"计划生产",生产物料推移表!B:B,"262-000200-000")</f>
        <v>0</v>
      </c>
      <c r="AN144">
        <f>sumifs(生产物料推移表!an:an,生产物料推移表!L:L,"计划生产",生产物料推移表!B:B,"262-000200-000")</f>
        <v>0</v>
      </c>
      <c r="AO144">
        <f>sumifs(生产物料推移表!ao:ao,生产物料推移表!L:L,"计划生产",生产物料推移表!B:B,"262-000200-000")</f>
        <v>0</v>
      </c>
      <c r="AP144">
        <f>sumifs(生产物料推移表!ap:ap,生产物料推移表!L:L,"计划生产",生产物料推移表!B:B,"262-000200-000")</f>
        <v>0</v>
      </c>
      <c r="AQ144">
        <f>sumifs(生产物料推移表!aq:aq,生产物料推移表!L:L,"计划生产",生产物料推移表!B:B,"262-000200-000")</f>
        <v>0</v>
      </c>
      <c r="AR144">
        <f>sumifs(生产物料推移表!ar:ar,生产物料推移表!L:L,"计划生产",生产物料推移表!B:B,"262-000200-000")</f>
        <v>0</v>
      </c>
      <c r="BY144">
        <f>sum(j144:an144)</f>
        <v>0</v>
      </c>
    </row>
    <row r="145" spans="1:77">
      <c r="A145" t="s">
        <v>14</v>
      </c>
      <c r="B145" t="s">
        <v>623</v>
      </c>
      <c r="C145" t="s">
        <v>624</v>
      </c>
      <c r="E145">
        <v>1</v>
      </c>
      <c r="F145" t="s">
        <v>622</v>
      </c>
      <c r="K145" t="s">
        <v>657</v>
      </c>
      <c r="L145" t="s">
        <v>37</v>
      </c>
      <c r="M145">
        <f>sumifs(生产物料推移表!m:m,生产物料推移表!L:L,"计划生产",生产物料推移表!B:B,"272-064000-000")</f>
        <v>0</v>
      </c>
      <c r="N145">
        <f>sumifs(生产物料推移表!n:n,生产物料推移表!L:L,"计划生产",生产物料推移表!B:B,"272-064000-000")</f>
        <v>0</v>
      </c>
      <c r="O145">
        <f>sumifs(生产物料推移表!o:o,生产物料推移表!L:L,"计划生产",生产物料推移表!B:B,"272-064000-000")</f>
        <v>0</v>
      </c>
      <c r="P145">
        <f>sumifs(生产物料推移表!p:p,生产物料推移表!L:L,"计划生产",生产物料推移表!B:B,"272-064000-000")</f>
        <v>0</v>
      </c>
      <c r="Q145">
        <f>sumifs(生产物料推移表!q:q,生产物料推移表!L:L,"计划生产",生产物料推移表!B:B,"272-064000-000")</f>
        <v>0</v>
      </c>
      <c r="R145">
        <f>sumifs(生产物料推移表!r:r,生产物料推移表!L:L,"计划生产",生产物料推移表!B:B,"272-064000-000")</f>
        <v>0</v>
      </c>
      <c r="S145">
        <f>sumifs(生产物料推移表!s:s,生产物料推移表!L:L,"计划生产",生产物料推移表!B:B,"272-064000-000")</f>
        <v>0</v>
      </c>
      <c r="T145">
        <f>sumifs(生产物料推移表!t:t,生产物料推移表!L:L,"计划生产",生产物料推移表!B:B,"272-064000-000")</f>
        <v>0</v>
      </c>
      <c r="U145">
        <f>sumifs(生产物料推移表!u:u,生产物料推移表!L:L,"计划生产",生产物料推移表!B:B,"272-064000-000")</f>
        <v>0</v>
      </c>
      <c r="V145">
        <f>sumifs(生产物料推移表!v:v,生产物料推移表!L:L,"计划生产",生产物料推移表!B:B,"272-064000-000")</f>
        <v>0</v>
      </c>
      <c r="W145">
        <f>sumifs(生产物料推移表!w:w,生产物料推移表!L:L,"计划生产",生产物料推移表!B:B,"272-064000-000")</f>
        <v>0</v>
      </c>
      <c r="X145">
        <f>sumifs(生产物料推移表!x:x,生产物料推移表!L:L,"计划生产",生产物料推移表!B:B,"272-064000-000")</f>
        <v>0</v>
      </c>
      <c r="Y145">
        <f>sumifs(生产物料推移表!y:y,生产物料推移表!L:L,"计划生产",生产物料推移表!B:B,"272-064000-000")</f>
        <v>0</v>
      </c>
      <c r="Z145">
        <f>sumifs(生产物料推移表!z:z,生产物料推移表!L:L,"计划生产",生产物料推移表!B:B,"272-064000-000")</f>
        <v>0</v>
      </c>
      <c r="AA145">
        <f>sumifs(生产物料推移表!aa:aa,生产物料推移表!L:L,"计划生产",生产物料推移表!B:B,"272-064000-000")</f>
        <v>0</v>
      </c>
      <c r="AB145">
        <f>sumifs(生产物料推移表!ab:ab,生产物料推移表!L:L,"计划生产",生产物料推移表!B:B,"272-064000-000")</f>
        <v>0</v>
      </c>
      <c r="AC145">
        <f>sumifs(生产物料推移表!ac:ac,生产物料推移表!L:L,"计划生产",生产物料推移表!B:B,"272-064000-000")</f>
        <v>0</v>
      </c>
      <c r="AD145">
        <f>sumifs(生产物料推移表!ad:ad,生产物料推移表!L:L,"计划生产",生产物料推移表!B:B,"272-064000-000")</f>
        <v>0</v>
      </c>
      <c r="AE145">
        <f>sumifs(生产物料推移表!ae:ae,生产物料推移表!L:L,"计划生产",生产物料推移表!B:B,"272-064000-000")</f>
        <v>0</v>
      </c>
      <c r="AF145">
        <f>sumifs(生产物料推移表!af:af,生产物料推移表!L:L,"计划生产",生产物料推移表!B:B,"272-064000-000")</f>
        <v>0</v>
      </c>
      <c r="AG145">
        <f>sumifs(生产物料推移表!ag:ag,生产物料推移表!L:L,"计划生产",生产物料推移表!B:B,"272-064000-000")</f>
        <v>0</v>
      </c>
      <c r="AH145">
        <f>sumifs(生产物料推移表!ah:ah,生产物料推移表!L:L,"计划生产",生产物料推移表!B:B,"272-064000-000")</f>
        <v>0</v>
      </c>
      <c r="AI145">
        <f>sumifs(生产物料推移表!ai:ai,生产物料推移表!L:L,"计划生产",生产物料推移表!B:B,"272-064000-000")</f>
        <v>0</v>
      </c>
      <c r="AJ145">
        <f>sumifs(生产物料推移表!aj:aj,生产物料推移表!L:L,"计划生产",生产物料推移表!B:B,"272-064000-000")</f>
        <v>0</v>
      </c>
      <c r="AK145">
        <f>sumifs(生产物料推移表!ak:ak,生产物料推移表!L:L,"计划生产",生产物料推移表!B:B,"272-064000-000")</f>
        <v>0</v>
      </c>
      <c r="AL145">
        <f>sumifs(生产物料推移表!al:al,生产物料推移表!L:L,"计划生产",生产物料推移表!B:B,"272-064000-000")</f>
        <v>0</v>
      </c>
      <c r="AM145">
        <f>sumifs(生产物料推移表!am:am,生产物料推移表!L:L,"计划生产",生产物料推移表!B:B,"272-064000-000")</f>
        <v>0</v>
      </c>
      <c r="AN145">
        <f>sumifs(生产物料推移表!an:an,生产物料推移表!L:L,"计划生产",生产物料推移表!B:B,"272-064000-000")</f>
        <v>0</v>
      </c>
      <c r="AO145">
        <f>sumifs(生产物料推移表!ao:ao,生产物料推移表!L:L,"计划生产",生产物料推移表!B:B,"272-064000-000")</f>
        <v>0</v>
      </c>
      <c r="AP145">
        <f>sumifs(生产物料推移表!ap:ap,生产物料推移表!L:L,"计划生产",生产物料推移表!B:B,"272-064000-000")</f>
        <v>0</v>
      </c>
      <c r="AQ145">
        <f>sumifs(生产物料推移表!aq:aq,生产物料推移表!L:L,"计划生产",生产物料推移表!B:B,"272-064000-000")</f>
        <v>0</v>
      </c>
      <c r="AR145">
        <f>sumifs(生产物料推移表!ar:ar,生产物料推移表!L:L,"计划生产",生产物料推移表!B:B,"272-064000-000")</f>
        <v>0</v>
      </c>
      <c r="BY145">
        <f>sum(j145:an145)</f>
        <v>0</v>
      </c>
    </row>
    <row r="146" spans="1:77">
      <c r="A146" t="s">
        <v>14</v>
      </c>
      <c r="B146" t="s">
        <v>627</v>
      </c>
      <c r="C146" t="s">
        <v>628</v>
      </c>
      <c r="E146" t="s">
        <v>625</v>
      </c>
      <c r="F146" t="s">
        <v>626</v>
      </c>
      <c r="K146" t="s">
        <v>657</v>
      </c>
      <c r="L146" t="s">
        <v>37</v>
      </c>
      <c r="M146">
        <f>sumifs(生产物料推移表!m:m,生产物料推移表!L:L,"计划生产",生产物料推移表!B:B,"232-006500-000")</f>
        <v>0</v>
      </c>
      <c r="N146">
        <f>sumifs(生产物料推移表!n:n,生产物料推移表!L:L,"计划生产",生产物料推移表!B:B,"232-006500-000")</f>
        <v>0</v>
      </c>
      <c r="O146">
        <f>sumifs(生产物料推移表!o:o,生产物料推移表!L:L,"计划生产",生产物料推移表!B:B,"232-006500-000")</f>
        <v>0</v>
      </c>
      <c r="P146">
        <f>sumifs(生产物料推移表!p:p,生产物料推移表!L:L,"计划生产",生产物料推移表!B:B,"232-006500-000")</f>
        <v>0</v>
      </c>
      <c r="Q146">
        <f>sumifs(生产物料推移表!q:q,生产物料推移表!L:L,"计划生产",生产物料推移表!B:B,"232-006500-000")</f>
        <v>0</v>
      </c>
      <c r="R146">
        <f>sumifs(生产物料推移表!r:r,生产物料推移表!L:L,"计划生产",生产物料推移表!B:B,"232-006500-000")</f>
        <v>0</v>
      </c>
      <c r="S146">
        <f>sumifs(生产物料推移表!s:s,生产物料推移表!L:L,"计划生产",生产物料推移表!B:B,"232-006500-000")</f>
        <v>0</v>
      </c>
      <c r="T146">
        <f>sumifs(生产物料推移表!t:t,生产物料推移表!L:L,"计划生产",生产物料推移表!B:B,"232-006500-000")</f>
        <v>0</v>
      </c>
      <c r="U146">
        <f>sumifs(生产物料推移表!u:u,生产物料推移表!L:L,"计划生产",生产物料推移表!B:B,"232-006500-000")</f>
        <v>0</v>
      </c>
      <c r="V146">
        <f>sumifs(生产物料推移表!v:v,生产物料推移表!L:L,"计划生产",生产物料推移表!B:B,"232-006500-000")</f>
        <v>0</v>
      </c>
      <c r="W146">
        <f>sumifs(生产物料推移表!w:w,生产物料推移表!L:L,"计划生产",生产物料推移表!B:B,"232-006500-000")</f>
        <v>0</v>
      </c>
      <c r="X146">
        <f>sumifs(生产物料推移表!x:x,生产物料推移表!L:L,"计划生产",生产物料推移表!B:B,"232-006500-000")</f>
        <v>0</v>
      </c>
      <c r="Y146">
        <f>sumifs(生产物料推移表!y:y,生产物料推移表!L:L,"计划生产",生产物料推移表!B:B,"232-006500-000")</f>
        <v>0</v>
      </c>
      <c r="Z146">
        <f>sumifs(生产物料推移表!z:z,生产物料推移表!L:L,"计划生产",生产物料推移表!B:B,"232-006500-000")</f>
        <v>0</v>
      </c>
      <c r="AA146">
        <f>sumifs(生产物料推移表!aa:aa,生产物料推移表!L:L,"计划生产",生产物料推移表!B:B,"232-006500-000")</f>
        <v>0</v>
      </c>
      <c r="AB146">
        <f>sumifs(生产物料推移表!ab:ab,生产物料推移表!L:L,"计划生产",生产物料推移表!B:B,"232-006500-000")</f>
        <v>0</v>
      </c>
      <c r="AC146">
        <f>sumifs(生产物料推移表!ac:ac,生产物料推移表!L:L,"计划生产",生产物料推移表!B:B,"232-006500-000")</f>
        <v>0</v>
      </c>
      <c r="AD146">
        <f>sumifs(生产物料推移表!ad:ad,生产物料推移表!L:L,"计划生产",生产物料推移表!B:B,"232-006500-000")</f>
        <v>0</v>
      </c>
      <c r="AE146">
        <f>sumifs(生产物料推移表!ae:ae,生产物料推移表!L:L,"计划生产",生产物料推移表!B:B,"232-006500-000")</f>
        <v>0</v>
      </c>
      <c r="AF146">
        <f>sumifs(生产物料推移表!af:af,生产物料推移表!L:L,"计划生产",生产物料推移表!B:B,"232-006500-000")</f>
        <v>0</v>
      </c>
      <c r="AG146">
        <f>sumifs(生产物料推移表!ag:ag,生产物料推移表!L:L,"计划生产",生产物料推移表!B:B,"232-006500-000")</f>
        <v>0</v>
      </c>
      <c r="AH146">
        <f>sumifs(生产物料推移表!ah:ah,生产物料推移表!L:L,"计划生产",生产物料推移表!B:B,"232-006500-000")</f>
        <v>0</v>
      </c>
      <c r="AI146">
        <f>sumifs(生产物料推移表!ai:ai,生产物料推移表!L:L,"计划生产",生产物料推移表!B:B,"232-006500-000")</f>
        <v>0</v>
      </c>
      <c r="AJ146">
        <f>sumifs(生产物料推移表!aj:aj,生产物料推移表!L:L,"计划生产",生产物料推移表!B:B,"232-006500-000")</f>
        <v>0</v>
      </c>
      <c r="AK146">
        <f>sumifs(生产物料推移表!ak:ak,生产物料推移表!L:L,"计划生产",生产物料推移表!B:B,"232-006500-000")</f>
        <v>0</v>
      </c>
      <c r="AL146">
        <f>sumifs(生产物料推移表!al:al,生产物料推移表!L:L,"计划生产",生产物料推移表!B:B,"232-006500-000")</f>
        <v>0</v>
      </c>
      <c r="AM146">
        <f>sumifs(生产物料推移表!am:am,生产物料推移表!L:L,"计划生产",生产物料推移表!B:B,"232-006500-000")</f>
        <v>0</v>
      </c>
      <c r="AN146">
        <f>sumifs(生产物料推移表!an:an,生产物料推移表!L:L,"计划生产",生产物料推移表!B:B,"232-006500-000")</f>
        <v>0</v>
      </c>
      <c r="AO146">
        <f>sumifs(生产物料推移表!ao:ao,生产物料推移表!L:L,"计划生产",生产物料推移表!B:B,"232-006500-000")</f>
        <v>0</v>
      </c>
      <c r="AP146">
        <f>sumifs(生产物料推移表!ap:ap,生产物料推移表!L:L,"计划生产",生产物料推移表!B:B,"232-006500-000")</f>
        <v>0</v>
      </c>
      <c r="AQ146">
        <f>sumifs(生产物料推移表!aq:aq,生产物料推移表!L:L,"计划生产",生产物料推移表!B:B,"232-006500-000")</f>
        <v>0</v>
      </c>
      <c r="AR146">
        <f>sumifs(生产物料推移表!ar:ar,生产物料推移表!L:L,"计划生产",生产物料推移表!B:B,"232-006500-000")</f>
        <v>0</v>
      </c>
      <c r="BY146">
        <f>sum(j146:an146)</f>
        <v>0</v>
      </c>
    </row>
    <row r="147" spans="1:77">
      <c r="A147" t="s">
        <v>14</v>
      </c>
      <c r="B147" t="s">
        <v>321</v>
      </c>
      <c r="C147" t="s">
        <v>629</v>
      </c>
      <c r="E147" t="s">
        <v>30</v>
      </c>
      <c r="F147" t="s">
        <v>323</v>
      </c>
      <c r="K147" t="s">
        <v>657</v>
      </c>
      <c r="L147" t="s">
        <v>37</v>
      </c>
      <c r="M147">
        <f>sumifs(生产物料推移表!m:m,生产物料推移表!L:L,"计划生产",生产物料推移表!B:B,"222-014500-000")</f>
        <v>0</v>
      </c>
      <c r="N147">
        <f>sumifs(生产物料推移表!n:n,生产物料推移表!L:L,"计划生产",生产物料推移表!B:B,"222-014500-000")</f>
        <v>0</v>
      </c>
      <c r="O147">
        <f>sumifs(生产物料推移表!o:o,生产物料推移表!L:L,"计划生产",生产物料推移表!B:B,"222-014500-000")</f>
        <v>0</v>
      </c>
      <c r="P147">
        <f>sumifs(生产物料推移表!p:p,生产物料推移表!L:L,"计划生产",生产物料推移表!B:B,"222-014500-000")</f>
        <v>0</v>
      </c>
      <c r="Q147">
        <f>sumifs(生产物料推移表!q:q,生产物料推移表!L:L,"计划生产",生产物料推移表!B:B,"222-014500-000")</f>
        <v>0</v>
      </c>
      <c r="R147">
        <f>sumifs(生产物料推移表!r:r,生产物料推移表!L:L,"计划生产",生产物料推移表!B:B,"222-014500-000")</f>
        <v>0</v>
      </c>
      <c r="S147">
        <f>sumifs(生产物料推移表!s:s,生产物料推移表!L:L,"计划生产",生产物料推移表!B:B,"222-014500-000")</f>
        <v>0</v>
      </c>
      <c r="T147">
        <f>sumifs(生产物料推移表!t:t,生产物料推移表!L:L,"计划生产",生产物料推移表!B:B,"222-014500-000")</f>
        <v>0</v>
      </c>
      <c r="U147">
        <f>sumifs(生产物料推移表!u:u,生产物料推移表!L:L,"计划生产",生产物料推移表!B:B,"222-014500-000")</f>
        <v>0</v>
      </c>
      <c r="V147">
        <f>sumifs(生产物料推移表!v:v,生产物料推移表!L:L,"计划生产",生产物料推移表!B:B,"222-014500-000")</f>
        <v>0</v>
      </c>
      <c r="W147">
        <f>sumifs(生产物料推移表!w:w,生产物料推移表!L:L,"计划生产",生产物料推移表!B:B,"222-014500-000")</f>
        <v>0</v>
      </c>
      <c r="X147">
        <f>sumifs(生产物料推移表!x:x,生产物料推移表!L:L,"计划生产",生产物料推移表!B:B,"222-014500-000")</f>
        <v>0</v>
      </c>
      <c r="Y147">
        <f>sumifs(生产物料推移表!y:y,生产物料推移表!L:L,"计划生产",生产物料推移表!B:B,"222-014500-000")</f>
        <v>0</v>
      </c>
      <c r="Z147">
        <f>sumifs(生产物料推移表!z:z,生产物料推移表!L:L,"计划生产",生产物料推移表!B:B,"222-014500-000")</f>
        <v>0</v>
      </c>
      <c r="AA147">
        <f>sumifs(生产物料推移表!aa:aa,生产物料推移表!L:L,"计划生产",生产物料推移表!B:B,"222-014500-000")</f>
        <v>0</v>
      </c>
      <c r="AB147">
        <f>sumifs(生产物料推移表!ab:ab,生产物料推移表!L:L,"计划生产",生产物料推移表!B:B,"222-014500-000")</f>
        <v>0</v>
      </c>
      <c r="AC147">
        <f>sumifs(生产物料推移表!ac:ac,生产物料推移表!L:L,"计划生产",生产物料推移表!B:B,"222-014500-000")</f>
        <v>0</v>
      </c>
      <c r="AD147">
        <f>sumifs(生产物料推移表!ad:ad,生产物料推移表!L:L,"计划生产",生产物料推移表!B:B,"222-014500-000")</f>
        <v>0</v>
      </c>
      <c r="AE147">
        <f>sumifs(生产物料推移表!ae:ae,生产物料推移表!L:L,"计划生产",生产物料推移表!B:B,"222-014500-000")</f>
        <v>0</v>
      </c>
      <c r="AF147">
        <f>sumifs(生产物料推移表!af:af,生产物料推移表!L:L,"计划生产",生产物料推移表!B:B,"222-014500-000")</f>
        <v>0</v>
      </c>
      <c r="AG147">
        <f>sumifs(生产物料推移表!ag:ag,生产物料推移表!L:L,"计划生产",生产物料推移表!B:B,"222-014500-000")</f>
        <v>0</v>
      </c>
      <c r="AH147">
        <f>sumifs(生产物料推移表!ah:ah,生产物料推移表!L:L,"计划生产",生产物料推移表!B:B,"222-014500-000")</f>
        <v>0</v>
      </c>
      <c r="AI147">
        <f>sumifs(生产物料推移表!ai:ai,生产物料推移表!L:L,"计划生产",生产物料推移表!B:B,"222-014500-000")</f>
        <v>0</v>
      </c>
      <c r="AJ147">
        <f>sumifs(生产物料推移表!aj:aj,生产物料推移表!L:L,"计划生产",生产物料推移表!B:B,"222-014500-000")</f>
        <v>0</v>
      </c>
      <c r="AK147">
        <f>sumifs(生产物料推移表!ak:ak,生产物料推移表!L:L,"计划生产",生产物料推移表!B:B,"222-014500-000")</f>
        <v>0</v>
      </c>
      <c r="AL147">
        <f>sumifs(生产物料推移表!al:al,生产物料推移表!L:L,"计划生产",生产物料推移表!B:B,"222-014500-000")</f>
        <v>0</v>
      </c>
      <c r="AM147">
        <f>sumifs(生产物料推移表!am:am,生产物料推移表!L:L,"计划生产",生产物料推移表!B:B,"222-014500-000")</f>
        <v>0</v>
      </c>
      <c r="AN147">
        <f>sumifs(生产物料推移表!an:an,生产物料推移表!L:L,"计划生产",生产物料推移表!B:B,"222-014500-000")</f>
        <v>0</v>
      </c>
      <c r="AO147">
        <f>sumifs(生产物料推移表!ao:ao,生产物料推移表!L:L,"计划生产",生产物料推移表!B:B,"222-014500-000")</f>
        <v>0</v>
      </c>
      <c r="AP147">
        <f>sumifs(生产物料推移表!ap:ap,生产物料推移表!L:L,"计划生产",生产物料推移表!B:B,"222-014500-000")</f>
        <v>0</v>
      </c>
      <c r="AQ147">
        <f>sumifs(生产物料推移表!aq:aq,生产物料推移表!L:L,"计划生产",生产物料推移表!B:B,"222-014500-000")</f>
        <v>0</v>
      </c>
      <c r="AR147">
        <f>sumifs(生产物料推移表!ar:ar,生产物料推移表!L:L,"计划生产",生产物料推移表!B:B,"222-014500-000")</f>
        <v>0</v>
      </c>
      <c r="BY147">
        <f>sum(j147:an147)</f>
        <v>0</v>
      </c>
    </row>
    <row r="148" spans="1:77">
      <c r="A148" t="s">
        <v>14</v>
      </c>
      <c r="B148" t="s">
        <v>631</v>
      </c>
      <c r="C148" t="s">
        <v>632</v>
      </c>
      <c r="E148" t="s">
        <v>238</v>
      </c>
      <c r="F148" t="s">
        <v>630</v>
      </c>
      <c r="K148" t="s">
        <v>657</v>
      </c>
      <c r="L148" t="s">
        <v>37</v>
      </c>
      <c r="M148">
        <f>sumifs(生产物料推移表!m:m,生产物料推移表!L:L,"计划生产",生产物料推移表!B:B,"211-016500-000")</f>
        <v>0</v>
      </c>
      <c r="N148">
        <f>sumifs(生产物料推移表!n:n,生产物料推移表!L:L,"计划生产",生产物料推移表!B:B,"211-016500-000")</f>
        <v>0</v>
      </c>
      <c r="O148">
        <f>sumifs(生产物料推移表!o:o,生产物料推移表!L:L,"计划生产",生产物料推移表!B:B,"211-016500-000")</f>
        <v>0</v>
      </c>
      <c r="P148">
        <f>sumifs(生产物料推移表!p:p,生产物料推移表!L:L,"计划生产",生产物料推移表!B:B,"211-016500-000")</f>
        <v>0</v>
      </c>
      <c r="Q148">
        <f>sumifs(生产物料推移表!q:q,生产物料推移表!L:L,"计划生产",生产物料推移表!B:B,"211-016500-000")</f>
        <v>0</v>
      </c>
      <c r="R148">
        <f>sumifs(生产物料推移表!r:r,生产物料推移表!L:L,"计划生产",生产物料推移表!B:B,"211-016500-000")</f>
        <v>0</v>
      </c>
      <c r="S148">
        <f>sumifs(生产物料推移表!s:s,生产物料推移表!L:L,"计划生产",生产物料推移表!B:B,"211-016500-000")</f>
        <v>0</v>
      </c>
      <c r="T148">
        <f>sumifs(生产物料推移表!t:t,生产物料推移表!L:L,"计划生产",生产物料推移表!B:B,"211-016500-000")</f>
        <v>0</v>
      </c>
      <c r="U148">
        <f>sumifs(生产物料推移表!u:u,生产物料推移表!L:L,"计划生产",生产物料推移表!B:B,"211-016500-000")</f>
        <v>0</v>
      </c>
      <c r="V148">
        <f>sumifs(生产物料推移表!v:v,生产物料推移表!L:L,"计划生产",生产物料推移表!B:B,"211-016500-000")</f>
        <v>0</v>
      </c>
      <c r="W148">
        <f>sumifs(生产物料推移表!w:w,生产物料推移表!L:L,"计划生产",生产物料推移表!B:B,"211-016500-000")</f>
        <v>0</v>
      </c>
      <c r="X148">
        <f>sumifs(生产物料推移表!x:x,生产物料推移表!L:L,"计划生产",生产物料推移表!B:B,"211-016500-000")</f>
        <v>0</v>
      </c>
      <c r="Y148">
        <f>sumifs(生产物料推移表!y:y,生产物料推移表!L:L,"计划生产",生产物料推移表!B:B,"211-016500-000")</f>
        <v>0</v>
      </c>
      <c r="Z148">
        <f>sumifs(生产物料推移表!z:z,生产物料推移表!L:L,"计划生产",生产物料推移表!B:B,"211-016500-000")</f>
        <v>0</v>
      </c>
      <c r="AA148">
        <f>sumifs(生产物料推移表!aa:aa,生产物料推移表!L:L,"计划生产",生产物料推移表!B:B,"211-016500-000")</f>
        <v>0</v>
      </c>
      <c r="AB148">
        <f>sumifs(生产物料推移表!ab:ab,生产物料推移表!L:L,"计划生产",生产物料推移表!B:B,"211-016500-000")</f>
        <v>0</v>
      </c>
      <c r="AC148">
        <f>sumifs(生产物料推移表!ac:ac,生产物料推移表!L:L,"计划生产",生产物料推移表!B:B,"211-016500-000")</f>
        <v>0</v>
      </c>
      <c r="AD148">
        <f>sumifs(生产物料推移表!ad:ad,生产物料推移表!L:L,"计划生产",生产物料推移表!B:B,"211-016500-000")</f>
        <v>0</v>
      </c>
      <c r="AE148">
        <f>sumifs(生产物料推移表!ae:ae,生产物料推移表!L:L,"计划生产",生产物料推移表!B:B,"211-016500-000")</f>
        <v>0</v>
      </c>
      <c r="AF148">
        <f>sumifs(生产物料推移表!af:af,生产物料推移表!L:L,"计划生产",生产物料推移表!B:B,"211-016500-000")</f>
        <v>0</v>
      </c>
      <c r="AG148">
        <f>sumifs(生产物料推移表!ag:ag,生产物料推移表!L:L,"计划生产",生产物料推移表!B:B,"211-016500-000")</f>
        <v>0</v>
      </c>
      <c r="AH148">
        <f>sumifs(生产物料推移表!ah:ah,生产物料推移表!L:L,"计划生产",生产物料推移表!B:B,"211-016500-000")</f>
        <v>0</v>
      </c>
      <c r="AI148">
        <f>sumifs(生产物料推移表!ai:ai,生产物料推移表!L:L,"计划生产",生产物料推移表!B:B,"211-016500-000")</f>
        <v>0</v>
      </c>
      <c r="AJ148">
        <f>sumifs(生产物料推移表!aj:aj,生产物料推移表!L:L,"计划生产",生产物料推移表!B:B,"211-016500-000")</f>
        <v>0</v>
      </c>
      <c r="AK148">
        <f>sumifs(生产物料推移表!ak:ak,生产物料推移表!L:L,"计划生产",生产物料推移表!B:B,"211-016500-000")</f>
        <v>0</v>
      </c>
      <c r="AL148">
        <f>sumifs(生产物料推移表!al:al,生产物料推移表!L:L,"计划生产",生产物料推移表!B:B,"211-016500-000")</f>
        <v>0</v>
      </c>
      <c r="AM148">
        <f>sumifs(生产物料推移表!am:am,生产物料推移表!L:L,"计划生产",生产物料推移表!B:B,"211-016500-000")</f>
        <v>0</v>
      </c>
      <c r="AN148">
        <f>sumifs(生产物料推移表!an:an,生产物料推移表!L:L,"计划生产",生产物料推移表!B:B,"211-016500-000")</f>
        <v>0</v>
      </c>
      <c r="AO148">
        <f>sumifs(生产物料推移表!ao:ao,生产物料推移表!L:L,"计划生产",生产物料推移表!B:B,"211-016500-000")</f>
        <v>0</v>
      </c>
      <c r="AP148">
        <f>sumifs(生产物料推移表!ap:ap,生产物料推移表!L:L,"计划生产",生产物料推移表!B:B,"211-016500-000")</f>
        <v>0</v>
      </c>
      <c r="AQ148">
        <f>sumifs(生产物料推移表!aq:aq,生产物料推移表!L:L,"计划生产",生产物料推移表!B:B,"211-016500-000")</f>
        <v>0</v>
      </c>
      <c r="AR148">
        <f>sumifs(生产物料推移表!ar:ar,生产物料推移表!L:L,"计划生产",生产物料推移表!B:B,"211-016500-000")</f>
        <v>0</v>
      </c>
      <c r="BY148">
        <f>sum(j148:an148)</f>
        <v>0</v>
      </c>
    </row>
    <row r="149" spans="1:77">
      <c r="A149" t="s">
        <v>14</v>
      </c>
      <c r="B149" t="s">
        <v>634</v>
      </c>
      <c r="C149" t="s">
        <v>635</v>
      </c>
      <c r="E149" t="s">
        <v>444</v>
      </c>
      <c r="F149" t="s">
        <v>633</v>
      </c>
      <c r="K149" t="s">
        <v>657</v>
      </c>
      <c r="L149" t="s">
        <v>37</v>
      </c>
      <c r="M149">
        <f>sumifs(生产物料推移表!m:m,生产物料推移表!L:L,"计划生产",生产物料推移表!B:B,"212-037000-000")</f>
        <v>0</v>
      </c>
      <c r="N149">
        <f>sumifs(生产物料推移表!n:n,生产物料推移表!L:L,"计划生产",生产物料推移表!B:B,"212-037000-000")</f>
        <v>0</v>
      </c>
      <c r="O149">
        <f>sumifs(生产物料推移表!o:o,生产物料推移表!L:L,"计划生产",生产物料推移表!B:B,"212-037000-000")</f>
        <v>0</v>
      </c>
      <c r="P149">
        <f>sumifs(生产物料推移表!p:p,生产物料推移表!L:L,"计划生产",生产物料推移表!B:B,"212-037000-000")</f>
        <v>0</v>
      </c>
      <c r="Q149">
        <f>sumifs(生产物料推移表!q:q,生产物料推移表!L:L,"计划生产",生产物料推移表!B:B,"212-037000-000")</f>
        <v>0</v>
      </c>
      <c r="R149">
        <f>sumifs(生产物料推移表!r:r,生产物料推移表!L:L,"计划生产",生产物料推移表!B:B,"212-037000-000")</f>
        <v>0</v>
      </c>
      <c r="S149">
        <f>sumifs(生产物料推移表!s:s,生产物料推移表!L:L,"计划生产",生产物料推移表!B:B,"212-037000-000")</f>
        <v>0</v>
      </c>
      <c r="T149">
        <f>sumifs(生产物料推移表!t:t,生产物料推移表!L:L,"计划生产",生产物料推移表!B:B,"212-037000-000")</f>
        <v>0</v>
      </c>
      <c r="U149">
        <f>sumifs(生产物料推移表!u:u,生产物料推移表!L:L,"计划生产",生产物料推移表!B:B,"212-037000-000")</f>
        <v>0</v>
      </c>
      <c r="V149">
        <f>sumifs(生产物料推移表!v:v,生产物料推移表!L:L,"计划生产",生产物料推移表!B:B,"212-037000-000")</f>
        <v>0</v>
      </c>
      <c r="W149">
        <f>sumifs(生产物料推移表!w:w,生产物料推移表!L:L,"计划生产",生产物料推移表!B:B,"212-037000-000")</f>
        <v>0</v>
      </c>
      <c r="X149">
        <f>sumifs(生产物料推移表!x:x,生产物料推移表!L:L,"计划生产",生产物料推移表!B:B,"212-037000-000")</f>
        <v>0</v>
      </c>
      <c r="Y149">
        <f>sumifs(生产物料推移表!y:y,生产物料推移表!L:L,"计划生产",生产物料推移表!B:B,"212-037000-000")</f>
        <v>0</v>
      </c>
      <c r="Z149">
        <f>sumifs(生产物料推移表!z:z,生产物料推移表!L:L,"计划生产",生产物料推移表!B:B,"212-037000-000")</f>
        <v>0</v>
      </c>
      <c r="AA149">
        <f>sumifs(生产物料推移表!aa:aa,生产物料推移表!L:L,"计划生产",生产物料推移表!B:B,"212-037000-000")</f>
        <v>0</v>
      </c>
      <c r="AB149">
        <f>sumifs(生产物料推移表!ab:ab,生产物料推移表!L:L,"计划生产",生产物料推移表!B:B,"212-037000-000")</f>
        <v>0</v>
      </c>
      <c r="AC149">
        <f>sumifs(生产物料推移表!ac:ac,生产物料推移表!L:L,"计划生产",生产物料推移表!B:B,"212-037000-000")</f>
        <v>0</v>
      </c>
      <c r="AD149">
        <f>sumifs(生产物料推移表!ad:ad,生产物料推移表!L:L,"计划生产",生产物料推移表!B:B,"212-037000-000")</f>
        <v>0</v>
      </c>
      <c r="AE149">
        <f>sumifs(生产物料推移表!ae:ae,生产物料推移表!L:L,"计划生产",生产物料推移表!B:B,"212-037000-000")</f>
        <v>0</v>
      </c>
      <c r="AF149">
        <f>sumifs(生产物料推移表!af:af,生产物料推移表!L:L,"计划生产",生产物料推移表!B:B,"212-037000-000")</f>
        <v>0</v>
      </c>
      <c r="AG149">
        <f>sumifs(生产物料推移表!ag:ag,生产物料推移表!L:L,"计划生产",生产物料推移表!B:B,"212-037000-000")</f>
        <v>0</v>
      </c>
      <c r="AH149">
        <f>sumifs(生产物料推移表!ah:ah,生产物料推移表!L:L,"计划生产",生产物料推移表!B:B,"212-037000-000")</f>
        <v>0</v>
      </c>
      <c r="AI149">
        <f>sumifs(生产物料推移表!ai:ai,生产物料推移表!L:L,"计划生产",生产物料推移表!B:B,"212-037000-000")</f>
        <v>0</v>
      </c>
      <c r="AJ149">
        <f>sumifs(生产物料推移表!aj:aj,生产物料推移表!L:L,"计划生产",生产物料推移表!B:B,"212-037000-000")</f>
        <v>0</v>
      </c>
      <c r="AK149">
        <f>sumifs(生产物料推移表!ak:ak,生产物料推移表!L:L,"计划生产",生产物料推移表!B:B,"212-037000-000")</f>
        <v>0</v>
      </c>
      <c r="AL149">
        <f>sumifs(生产物料推移表!al:al,生产物料推移表!L:L,"计划生产",生产物料推移表!B:B,"212-037000-000")</f>
        <v>0</v>
      </c>
      <c r="AM149">
        <f>sumifs(生产物料推移表!am:am,生产物料推移表!L:L,"计划生产",生产物料推移表!B:B,"212-037000-000")</f>
        <v>0</v>
      </c>
      <c r="AN149">
        <f>sumifs(生产物料推移表!an:an,生产物料推移表!L:L,"计划生产",生产物料推移表!B:B,"212-037000-000")</f>
        <v>0</v>
      </c>
      <c r="AO149">
        <f>sumifs(生产物料推移表!ao:ao,生产物料推移表!L:L,"计划生产",生产物料推移表!B:B,"212-037000-000")</f>
        <v>0</v>
      </c>
      <c r="AP149">
        <f>sumifs(生产物料推移表!ap:ap,生产物料推移表!L:L,"计划生产",生产物料推移表!B:B,"212-037000-000")</f>
        <v>0</v>
      </c>
      <c r="AQ149">
        <f>sumifs(生产物料推移表!aq:aq,生产物料推移表!L:L,"计划生产",生产物料推移表!B:B,"212-037000-000")</f>
        <v>0</v>
      </c>
      <c r="AR149">
        <f>sumifs(生产物料推移表!ar:ar,生产物料推移表!L:L,"计划生产",生产物料推移表!B:B,"212-037000-000")</f>
        <v>0</v>
      </c>
      <c r="BY149">
        <f>sum(j149:an149)</f>
        <v>0</v>
      </c>
    </row>
    <row r="150" spans="1:77">
      <c r="A150" t="s">
        <v>14</v>
      </c>
      <c r="B150" t="s">
        <v>637</v>
      </c>
      <c r="C150" t="s">
        <v>638</v>
      </c>
      <c r="E150" t="s">
        <v>444</v>
      </c>
      <c r="F150" t="s">
        <v>636</v>
      </c>
      <c r="K150" t="s">
        <v>657</v>
      </c>
      <c r="L150" t="s">
        <v>37</v>
      </c>
      <c r="M150">
        <f>sumifs(生产物料推移表!m:m,生产物料推移表!L:L,"计划生产",生产物料推移表!B:B,"272-014100-000")</f>
        <v>0</v>
      </c>
      <c r="N150">
        <f>sumifs(生产物料推移表!n:n,生产物料推移表!L:L,"计划生产",生产物料推移表!B:B,"272-014100-000")</f>
        <v>0</v>
      </c>
      <c r="O150">
        <f>sumifs(生产物料推移表!o:o,生产物料推移表!L:L,"计划生产",生产物料推移表!B:B,"272-014100-000")</f>
        <v>0</v>
      </c>
      <c r="P150">
        <f>sumifs(生产物料推移表!p:p,生产物料推移表!L:L,"计划生产",生产物料推移表!B:B,"272-014100-000")</f>
        <v>0</v>
      </c>
      <c r="Q150">
        <f>sumifs(生产物料推移表!q:q,生产物料推移表!L:L,"计划生产",生产物料推移表!B:B,"272-014100-000")</f>
        <v>0</v>
      </c>
      <c r="R150">
        <f>sumifs(生产物料推移表!r:r,生产物料推移表!L:L,"计划生产",生产物料推移表!B:B,"272-014100-000")</f>
        <v>0</v>
      </c>
      <c r="S150">
        <f>sumifs(生产物料推移表!s:s,生产物料推移表!L:L,"计划生产",生产物料推移表!B:B,"272-014100-000")</f>
        <v>0</v>
      </c>
      <c r="T150">
        <f>sumifs(生产物料推移表!t:t,生产物料推移表!L:L,"计划生产",生产物料推移表!B:B,"272-014100-000")</f>
        <v>0</v>
      </c>
      <c r="U150">
        <f>sumifs(生产物料推移表!u:u,生产物料推移表!L:L,"计划生产",生产物料推移表!B:B,"272-014100-000")</f>
        <v>0</v>
      </c>
      <c r="V150">
        <f>sumifs(生产物料推移表!v:v,生产物料推移表!L:L,"计划生产",生产物料推移表!B:B,"272-014100-000")</f>
        <v>0</v>
      </c>
      <c r="W150">
        <f>sumifs(生产物料推移表!w:w,生产物料推移表!L:L,"计划生产",生产物料推移表!B:B,"272-014100-000")</f>
        <v>0</v>
      </c>
      <c r="X150">
        <f>sumifs(生产物料推移表!x:x,生产物料推移表!L:L,"计划生产",生产物料推移表!B:B,"272-014100-000")</f>
        <v>0</v>
      </c>
      <c r="Y150">
        <f>sumifs(生产物料推移表!y:y,生产物料推移表!L:L,"计划生产",生产物料推移表!B:B,"272-014100-000")</f>
        <v>0</v>
      </c>
      <c r="Z150">
        <f>sumifs(生产物料推移表!z:z,生产物料推移表!L:L,"计划生产",生产物料推移表!B:B,"272-014100-000")</f>
        <v>0</v>
      </c>
      <c r="AA150">
        <f>sumifs(生产物料推移表!aa:aa,生产物料推移表!L:L,"计划生产",生产物料推移表!B:B,"272-014100-000")</f>
        <v>0</v>
      </c>
      <c r="AB150">
        <f>sumifs(生产物料推移表!ab:ab,生产物料推移表!L:L,"计划生产",生产物料推移表!B:B,"272-014100-000")</f>
        <v>0</v>
      </c>
      <c r="AC150">
        <f>sumifs(生产物料推移表!ac:ac,生产物料推移表!L:L,"计划生产",生产物料推移表!B:B,"272-014100-000")</f>
        <v>0</v>
      </c>
      <c r="AD150">
        <f>sumifs(生产物料推移表!ad:ad,生产物料推移表!L:L,"计划生产",生产物料推移表!B:B,"272-014100-000")</f>
        <v>0</v>
      </c>
      <c r="AE150">
        <f>sumifs(生产物料推移表!ae:ae,生产物料推移表!L:L,"计划生产",生产物料推移表!B:B,"272-014100-000")</f>
        <v>0</v>
      </c>
      <c r="AF150">
        <f>sumifs(生产物料推移表!af:af,生产物料推移表!L:L,"计划生产",生产物料推移表!B:B,"272-014100-000")</f>
        <v>0</v>
      </c>
      <c r="AG150">
        <f>sumifs(生产物料推移表!ag:ag,生产物料推移表!L:L,"计划生产",生产物料推移表!B:B,"272-014100-000")</f>
        <v>0</v>
      </c>
      <c r="AH150">
        <f>sumifs(生产物料推移表!ah:ah,生产物料推移表!L:L,"计划生产",生产物料推移表!B:B,"272-014100-000")</f>
        <v>0</v>
      </c>
      <c r="AI150">
        <f>sumifs(生产物料推移表!ai:ai,生产物料推移表!L:L,"计划生产",生产物料推移表!B:B,"272-014100-000")</f>
        <v>0</v>
      </c>
      <c r="AJ150">
        <f>sumifs(生产物料推移表!aj:aj,生产物料推移表!L:L,"计划生产",生产物料推移表!B:B,"272-014100-000")</f>
        <v>0</v>
      </c>
      <c r="AK150">
        <f>sumifs(生产物料推移表!ak:ak,生产物料推移表!L:L,"计划生产",生产物料推移表!B:B,"272-014100-000")</f>
        <v>0</v>
      </c>
      <c r="AL150">
        <f>sumifs(生产物料推移表!al:al,生产物料推移表!L:L,"计划生产",生产物料推移表!B:B,"272-014100-000")</f>
        <v>0</v>
      </c>
      <c r="AM150">
        <f>sumifs(生产物料推移表!am:am,生产物料推移表!L:L,"计划生产",生产物料推移表!B:B,"272-014100-000")</f>
        <v>0</v>
      </c>
      <c r="AN150">
        <f>sumifs(生产物料推移表!an:an,生产物料推移表!L:L,"计划生产",生产物料推移表!B:B,"272-014100-000")</f>
        <v>0</v>
      </c>
      <c r="AO150">
        <f>sumifs(生产物料推移表!ao:ao,生产物料推移表!L:L,"计划生产",生产物料推移表!B:B,"272-014100-000")</f>
        <v>0</v>
      </c>
      <c r="AP150">
        <f>sumifs(生产物料推移表!ap:ap,生产物料推移表!L:L,"计划生产",生产物料推移表!B:B,"272-014100-000")</f>
        <v>0</v>
      </c>
      <c r="AQ150">
        <f>sumifs(生产物料推移表!aq:aq,生产物料推移表!L:L,"计划生产",生产物料推移表!B:B,"272-014100-000")</f>
        <v>0</v>
      </c>
      <c r="AR150">
        <f>sumifs(生产物料推移表!ar:ar,生产物料推移表!L:L,"计划生产",生产物料推移表!B:B,"272-014100-000")</f>
        <v>0</v>
      </c>
      <c r="BY150">
        <f>sum(j150:an150)</f>
        <v>0</v>
      </c>
    </row>
    <row r="151" spans="1:77">
      <c r="A151" t="s">
        <v>14</v>
      </c>
      <c r="B151" t="s">
        <v>640</v>
      </c>
      <c r="C151" t="s">
        <v>641</v>
      </c>
      <c r="D151" t="s">
        <v>480</v>
      </c>
      <c r="E151" t="s">
        <v>444</v>
      </c>
      <c r="F151" t="s">
        <v>639</v>
      </c>
      <c r="K151" t="s">
        <v>657</v>
      </c>
      <c r="L151" t="s">
        <v>37</v>
      </c>
      <c r="M151">
        <f>sumifs(生产物料推移表!m:m,生产物料推移表!L:L,"计划生产",生产物料推移表!B:B,"222-178000-000")</f>
        <v>0</v>
      </c>
      <c r="N151">
        <f>sumifs(生产物料推移表!n:n,生产物料推移表!L:L,"计划生产",生产物料推移表!B:B,"222-178000-000")</f>
        <v>0</v>
      </c>
      <c r="O151">
        <f>sumifs(生产物料推移表!o:o,生产物料推移表!L:L,"计划生产",生产物料推移表!B:B,"222-178000-000")</f>
        <v>0</v>
      </c>
      <c r="P151">
        <f>sumifs(生产物料推移表!p:p,生产物料推移表!L:L,"计划生产",生产物料推移表!B:B,"222-178000-000")</f>
        <v>0</v>
      </c>
      <c r="Q151">
        <f>sumifs(生产物料推移表!q:q,生产物料推移表!L:L,"计划生产",生产物料推移表!B:B,"222-178000-000")</f>
        <v>0</v>
      </c>
      <c r="R151">
        <f>sumifs(生产物料推移表!r:r,生产物料推移表!L:L,"计划生产",生产物料推移表!B:B,"222-178000-000")</f>
        <v>0</v>
      </c>
      <c r="S151">
        <f>sumifs(生产物料推移表!s:s,生产物料推移表!L:L,"计划生产",生产物料推移表!B:B,"222-178000-000")</f>
        <v>0</v>
      </c>
      <c r="T151">
        <f>sumifs(生产物料推移表!t:t,生产物料推移表!L:L,"计划生产",生产物料推移表!B:B,"222-178000-000")</f>
        <v>0</v>
      </c>
      <c r="U151">
        <f>sumifs(生产物料推移表!u:u,生产物料推移表!L:L,"计划生产",生产物料推移表!B:B,"222-178000-000")</f>
        <v>0</v>
      </c>
      <c r="V151">
        <f>sumifs(生产物料推移表!v:v,生产物料推移表!L:L,"计划生产",生产物料推移表!B:B,"222-178000-000")</f>
        <v>0</v>
      </c>
      <c r="W151">
        <f>sumifs(生产物料推移表!w:w,生产物料推移表!L:L,"计划生产",生产物料推移表!B:B,"222-178000-000")</f>
        <v>0</v>
      </c>
      <c r="X151">
        <f>sumifs(生产物料推移表!x:x,生产物料推移表!L:L,"计划生产",生产物料推移表!B:B,"222-178000-000")</f>
        <v>0</v>
      </c>
      <c r="Y151">
        <f>sumifs(生产物料推移表!y:y,生产物料推移表!L:L,"计划生产",生产物料推移表!B:B,"222-178000-000")</f>
        <v>0</v>
      </c>
      <c r="Z151">
        <f>sumifs(生产物料推移表!z:z,生产物料推移表!L:L,"计划生产",生产物料推移表!B:B,"222-178000-000")</f>
        <v>0</v>
      </c>
      <c r="AA151">
        <f>sumifs(生产物料推移表!aa:aa,生产物料推移表!L:L,"计划生产",生产物料推移表!B:B,"222-178000-000")</f>
        <v>0</v>
      </c>
      <c r="AB151">
        <f>sumifs(生产物料推移表!ab:ab,生产物料推移表!L:L,"计划生产",生产物料推移表!B:B,"222-178000-000")</f>
        <v>0</v>
      </c>
      <c r="AC151">
        <f>sumifs(生产物料推移表!ac:ac,生产物料推移表!L:L,"计划生产",生产物料推移表!B:B,"222-178000-000")</f>
        <v>0</v>
      </c>
      <c r="AD151">
        <f>sumifs(生产物料推移表!ad:ad,生产物料推移表!L:L,"计划生产",生产物料推移表!B:B,"222-178000-000")</f>
        <v>0</v>
      </c>
      <c r="AE151">
        <f>sumifs(生产物料推移表!ae:ae,生产物料推移表!L:L,"计划生产",生产物料推移表!B:B,"222-178000-000")</f>
        <v>0</v>
      </c>
      <c r="AF151">
        <f>sumifs(生产物料推移表!af:af,生产物料推移表!L:L,"计划生产",生产物料推移表!B:B,"222-178000-000")</f>
        <v>0</v>
      </c>
      <c r="AG151">
        <f>sumifs(生产物料推移表!ag:ag,生产物料推移表!L:L,"计划生产",生产物料推移表!B:B,"222-178000-000")</f>
        <v>0</v>
      </c>
      <c r="AH151">
        <f>sumifs(生产物料推移表!ah:ah,生产物料推移表!L:L,"计划生产",生产物料推移表!B:B,"222-178000-000")</f>
        <v>0</v>
      </c>
      <c r="AI151">
        <f>sumifs(生产物料推移表!ai:ai,生产物料推移表!L:L,"计划生产",生产物料推移表!B:B,"222-178000-000")</f>
        <v>0</v>
      </c>
      <c r="AJ151">
        <f>sumifs(生产物料推移表!aj:aj,生产物料推移表!L:L,"计划生产",生产物料推移表!B:B,"222-178000-000")</f>
        <v>0</v>
      </c>
      <c r="AK151">
        <f>sumifs(生产物料推移表!ak:ak,生产物料推移表!L:L,"计划生产",生产物料推移表!B:B,"222-178000-000")</f>
        <v>0</v>
      </c>
      <c r="AL151">
        <f>sumifs(生产物料推移表!al:al,生产物料推移表!L:L,"计划生产",生产物料推移表!B:B,"222-178000-000")</f>
        <v>0</v>
      </c>
      <c r="AM151">
        <f>sumifs(生产物料推移表!am:am,生产物料推移表!L:L,"计划生产",生产物料推移表!B:B,"222-178000-000")</f>
        <v>0</v>
      </c>
      <c r="AN151">
        <f>sumifs(生产物料推移表!an:an,生产物料推移表!L:L,"计划生产",生产物料推移表!B:B,"222-178000-000")</f>
        <v>0</v>
      </c>
      <c r="AO151">
        <f>sumifs(生产物料推移表!ao:ao,生产物料推移表!L:L,"计划生产",生产物料推移表!B:B,"222-178000-000")</f>
        <v>0</v>
      </c>
      <c r="AP151">
        <f>sumifs(生产物料推移表!ap:ap,生产物料推移表!L:L,"计划生产",生产物料推移表!B:B,"222-178000-000")</f>
        <v>0</v>
      </c>
      <c r="AQ151">
        <f>sumifs(生产物料推移表!aq:aq,生产物料推移表!L:L,"计划生产",生产物料推移表!B:B,"222-178000-000")</f>
        <v>0</v>
      </c>
      <c r="AR151">
        <f>sumifs(生产物料推移表!ar:ar,生产物料推移表!L:L,"计划生产",生产物料推移表!B:B,"222-178000-000")</f>
        <v>0</v>
      </c>
      <c r="BY151">
        <f>sum(j151:an151)</f>
        <v>0</v>
      </c>
    </row>
    <row r="152" spans="1:77">
      <c r="A152" t="s">
        <v>14</v>
      </c>
      <c r="B152" t="s">
        <v>643</v>
      </c>
      <c r="C152" t="s">
        <v>644</v>
      </c>
      <c r="D152" t="s">
        <v>480</v>
      </c>
      <c r="E152" t="s">
        <v>444</v>
      </c>
      <c r="F152" t="s">
        <v>642</v>
      </c>
      <c r="K152" t="s">
        <v>657</v>
      </c>
      <c r="L152" t="s">
        <v>37</v>
      </c>
      <c r="M152">
        <f>sumifs(生产物料推移表!m:m,生产物料推移表!L:L,"计划生产",生产物料推移表!B:B,"222-179000-000")</f>
        <v>0</v>
      </c>
      <c r="N152">
        <f>sumifs(生产物料推移表!n:n,生产物料推移表!L:L,"计划生产",生产物料推移表!B:B,"222-179000-000")</f>
        <v>0</v>
      </c>
      <c r="O152">
        <f>sumifs(生产物料推移表!o:o,生产物料推移表!L:L,"计划生产",生产物料推移表!B:B,"222-179000-000")</f>
        <v>0</v>
      </c>
      <c r="P152">
        <f>sumifs(生产物料推移表!p:p,生产物料推移表!L:L,"计划生产",生产物料推移表!B:B,"222-179000-000")</f>
        <v>0</v>
      </c>
      <c r="Q152">
        <f>sumifs(生产物料推移表!q:q,生产物料推移表!L:L,"计划生产",生产物料推移表!B:B,"222-179000-000")</f>
        <v>0</v>
      </c>
      <c r="R152">
        <f>sumifs(生产物料推移表!r:r,生产物料推移表!L:L,"计划生产",生产物料推移表!B:B,"222-179000-000")</f>
        <v>0</v>
      </c>
      <c r="S152">
        <f>sumifs(生产物料推移表!s:s,生产物料推移表!L:L,"计划生产",生产物料推移表!B:B,"222-179000-000")</f>
        <v>0</v>
      </c>
      <c r="T152">
        <f>sumifs(生产物料推移表!t:t,生产物料推移表!L:L,"计划生产",生产物料推移表!B:B,"222-179000-000")</f>
        <v>0</v>
      </c>
      <c r="U152">
        <f>sumifs(生产物料推移表!u:u,生产物料推移表!L:L,"计划生产",生产物料推移表!B:B,"222-179000-000")</f>
        <v>0</v>
      </c>
      <c r="V152">
        <f>sumifs(生产物料推移表!v:v,生产物料推移表!L:L,"计划生产",生产物料推移表!B:B,"222-179000-000")</f>
        <v>0</v>
      </c>
      <c r="W152">
        <f>sumifs(生产物料推移表!w:w,生产物料推移表!L:L,"计划生产",生产物料推移表!B:B,"222-179000-000")</f>
        <v>0</v>
      </c>
      <c r="X152">
        <f>sumifs(生产物料推移表!x:x,生产物料推移表!L:L,"计划生产",生产物料推移表!B:B,"222-179000-000")</f>
        <v>0</v>
      </c>
      <c r="Y152">
        <f>sumifs(生产物料推移表!y:y,生产物料推移表!L:L,"计划生产",生产物料推移表!B:B,"222-179000-000")</f>
        <v>0</v>
      </c>
      <c r="Z152">
        <f>sumifs(生产物料推移表!z:z,生产物料推移表!L:L,"计划生产",生产物料推移表!B:B,"222-179000-000")</f>
        <v>0</v>
      </c>
      <c r="AA152">
        <f>sumifs(生产物料推移表!aa:aa,生产物料推移表!L:L,"计划生产",生产物料推移表!B:B,"222-179000-000")</f>
        <v>0</v>
      </c>
      <c r="AB152">
        <f>sumifs(生产物料推移表!ab:ab,生产物料推移表!L:L,"计划生产",生产物料推移表!B:B,"222-179000-000")</f>
        <v>0</v>
      </c>
      <c r="AC152">
        <f>sumifs(生产物料推移表!ac:ac,生产物料推移表!L:L,"计划生产",生产物料推移表!B:B,"222-179000-000")</f>
        <v>0</v>
      </c>
      <c r="AD152">
        <f>sumifs(生产物料推移表!ad:ad,生产物料推移表!L:L,"计划生产",生产物料推移表!B:B,"222-179000-000")</f>
        <v>0</v>
      </c>
      <c r="AE152">
        <f>sumifs(生产物料推移表!ae:ae,生产物料推移表!L:L,"计划生产",生产物料推移表!B:B,"222-179000-000")</f>
        <v>0</v>
      </c>
      <c r="AF152">
        <f>sumifs(生产物料推移表!af:af,生产物料推移表!L:L,"计划生产",生产物料推移表!B:B,"222-179000-000")</f>
        <v>0</v>
      </c>
      <c r="AG152">
        <f>sumifs(生产物料推移表!ag:ag,生产物料推移表!L:L,"计划生产",生产物料推移表!B:B,"222-179000-000")</f>
        <v>0</v>
      </c>
      <c r="AH152">
        <f>sumifs(生产物料推移表!ah:ah,生产物料推移表!L:L,"计划生产",生产物料推移表!B:B,"222-179000-000")</f>
        <v>0</v>
      </c>
      <c r="AI152">
        <f>sumifs(生产物料推移表!ai:ai,生产物料推移表!L:L,"计划生产",生产物料推移表!B:B,"222-179000-000")</f>
        <v>0</v>
      </c>
      <c r="AJ152">
        <f>sumifs(生产物料推移表!aj:aj,生产物料推移表!L:L,"计划生产",生产物料推移表!B:B,"222-179000-000")</f>
        <v>0</v>
      </c>
      <c r="AK152">
        <f>sumifs(生产物料推移表!ak:ak,生产物料推移表!L:L,"计划生产",生产物料推移表!B:B,"222-179000-000")</f>
        <v>0</v>
      </c>
      <c r="AL152">
        <f>sumifs(生产物料推移表!al:al,生产物料推移表!L:L,"计划生产",生产物料推移表!B:B,"222-179000-000")</f>
        <v>0</v>
      </c>
      <c r="AM152">
        <f>sumifs(生产物料推移表!am:am,生产物料推移表!L:L,"计划生产",生产物料推移表!B:B,"222-179000-000")</f>
        <v>0</v>
      </c>
      <c r="AN152">
        <f>sumifs(生产物料推移表!an:an,生产物料推移表!L:L,"计划生产",生产物料推移表!B:B,"222-179000-000")</f>
        <v>0</v>
      </c>
      <c r="AO152">
        <f>sumifs(生产物料推移表!ao:ao,生产物料推移表!L:L,"计划生产",生产物料推移表!B:B,"222-179000-000")</f>
        <v>0</v>
      </c>
      <c r="AP152">
        <f>sumifs(生产物料推移表!ap:ap,生产物料推移表!L:L,"计划生产",生产物料推移表!B:B,"222-179000-000")</f>
        <v>0</v>
      </c>
      <c r="AQ152">
        <f>sumifs(生产物料推移表!aq:aq,生产物料推移表!L:L,"计划生产",生产物料推移表!B:B,"222-179000-000")</f>
        <v>0</v>
      </c>
      <c r="AR152">
        <f>sumifs(生产物料推移表!ar:ar,生产物料推移表!L:L,"计划生产",生产物料推移表!B:B,"222-179000-000")</f>
        <v>0</v>
      </c>
      <c r="BY152">
        <f>sum(j152:an152)</f>
        <v>0</v>
      </c>
    </row>
    <row r="153" spans="1:77">
      <c r="A153" t="s">
        <v>14</v>
      </c>
      <c r="B153" t="s">
        <v>646</v>
      </c>
      <c r="C153" t="s">
        <v>647</v>
      </c>
      <c r="E153" t="s">
        <v>498</v>
      </c>
      <c r="F153" t="s">
        <v>645</v>
      </c>
      <c r="K153" t="s">
        <v>657</v>
      </c>
      <c r="L153" t="s">
        <v>37</v>
      </c>
      <c r="M153">
        <f>sumifs(生产物料推移表!m:m,生产物料推移表!L:L,"计划生产",生产物料推移表!B:B,"232-012000-000")</f>
        <v>0</v>
      </c>
      <c r="N153">
        <f>sumifs(生产物料推移表!n:n,生产物料推移表!L:L,"计划生产",生产物料推移表!B:B,"232-012000-000")</f>
        <v>0</v>
      </c>
      <c r="O153">
        <f>sumifs(生产物料推移表!o:o,生产物料推移表!L:L,"计划生产",生产物料推移表!B:B,"232-012000-000")</f>
        <v>0</v>
      </c>
      <c r="P153">
        <f>sumifs(生产物料推移表!p:p,生产物料推移表!L:L,"计划生产",生产物料推移表!B:B,"232-012000-000")</f>
        <v>0</v>
      </c>
      <c r="Q153">
        <f>sumifs(生产物料推移表!q:q,生产物料推移表!L:L,"计划生产",生产物料推移表!B:B,"232-012000-000")</f>
        <v>0</v>
      </c>
      <c r="R153">
        <f>sumifs(生产物料推移表!r:r,生产物料推移表!L:L,"计划生产",生产物料推移表!B:B,"232-012000-000")</f>
        <v>0</v>
      </c>
      <c r="S153">
        <f>sumifs(生产物料推移表!s:s,生产物料推移表!L:L,"计划生产",生产物料推移表!B:B,"232-012000-000")</f>
        <v>0</v>
      </c>
      <c r="T153">
        <f>sumifs(生产物料推移表!t:t,生产物料推移表!L:L,"计划生产",生产物料推移表!B:B,"232-012000-000")</f>
        <v>0</v>
      </c>
      <c r="U153">
        <f>sumifs(生产物料推移表!u:u,生产物料推移表!L:L,"计划生产",生产物料推移表!B:B,"232-012000-000")</f>
        <v>0</v>
      </c>
      <c r="V153">
        <f>sumifs(生产物料推移表!v:v,生产物料推移表!L:L,"计划生产",生产物料推移表!B:B,"232-012000-000")</f>
        <v>0</v>
      </c>
      <c r="W153">
        <f>sumifs(生产物料推移表!w:w,生产物料推移表!L:L,"计划生产",生产物料推移表!B:B,"232-012000-000")</f>
        <v>0</v>
      </c>
      <c r="X153">
        <f>sumifs(生产物料推移表!x:x,生产物料推移表!L:L,"计划生产",生产物料推移表!B:B,"232-012000-000")</f>
        <v>0</v>
      </c>
      <c r="Y153">
        <f>sumifs(生产物料推移表!y:y,生产物料推移表!L:L,"计划生产",生产物料推移表!B:B,"232-012000-000")</f>
        <v>0</v>
      </c>
      <c r="Z153">
        <f>sumifs(生产物料推移表!z:z,生产物料推移表!L:L,"计划生产",生产物料推移表!B:B,"232-012000-000")</f>
        <v>0</v>
      </c>
      <c r="AA153">
        <f>sumifs(生产物料推移表!aa:aa,生产物料推移表!L:L,"计划生产",生产物料推移表!B:B,"232-012000-000")</f>
        <v>0</v>
      </c>
      <c r="AB153">
        <f>sumifs(生产物料推移表!ab:ab,生产物料推移表!L:L,"计划生产",生产物料推移表!B:B,"232-012000-000")</f>
        <v>0</v>
      </c>
      <c r="AC153">
        <f>sumifs(生产物料推移表!ac:ac,生产物料推移表!L:L,"计划生产",生产物料推移表!B:B,"232-012000-000")</f>
        <v>0</v>
      </c>
      <c r="AD153">
        <f>sumifs(生产物料推移表!ad:ad,生产物料推移表!L:L,"计划生产",生产物料推移表!B:B,"232-012000-000")</f>
        <v>0</v>
      </c>
      <c r="AE153">
        <f>sumifs(生产物料推移表!ae:ae,生产物料推移表!L:L,"计划生产",生产物料推移表!B:B,"232-012000-000")</f>
        <v>0</v>
      </c>
      <c r="AF153">
        <f>sumifs(生产物料推移表!af:af,生产物料推移表!L:L,"计划生产",生产物料推移表!B:B,"232-012000-000")</f>
        <v>0</v>
      </c>
      <c r="AG153">
        <f>sumifs(生产物料推移表!ag:ag,生产物料推移表!L:L,"计划生产",生产物料推移表!B:B,"232-012000-000")</f>
        <v>0</v>
      </c>
      <c r="AH153">
        <f>sumifs(生产物料推移表!ah:ah,生产物料推移表!L:L,"计划生产",生产物料推移表!B:B,"232-012000-000")</f>
        <v>0</v>
      </c>
      <c r="AI153">
        <f>sumifs(生产物料推移表!ai:ai,生产物料推移表!L:L,"计划生产",生产物料推移表!B:B,"232-012000-000")</f>
        <v>0</v>
      </c>
      <c r="AJ153">
        <f>sumifs(生产物料推移表!aj:aj,生产物料推移表!L:L,"计划生产",生产物料推移表!B:B,"232-012000-000")</f>
        <v>0</v>
      </c>
      <c r="AK153">
        <f>sumifs(生产物料推移表!ak:ak,生产物料推移表!L:L,"计划生产",生产物料推移表!B:B,"232-012000-000")</f>
        <v>0</v>
      </c>
      <c r="AL153">
        <f>sumifs(生产物料推移表!al:al,生产物料推移表!L:L,"计划生产",生产物料推移表!B:B,"232-012000-000")</f>
        <v>0</v>
      </c>
      <c r="AM153">
        <f>sumifs(生产物料推移表!am:am,生产物料推移表!L:L,"计划生产",生产物料推移表!B:B,"232-012000-000")</f>
        <v>0</v>
      </c>
      <c r="AN153">
        <f>sumifs(生产物料推移表!an:an,生产物料推移表!L:L,"计划生产",生产物料推移表!B:B,"232-012000-000")</f>
        <v>0</v>
      </c>
      <c r="AO153">
        <f>sumifs(生产物料推移表!ao:ao,生产物料推移表!L:L,"计划生产",生产物料推移表!B:B,"232-012000-000")</f>
        <v>0</v>
      </c>
      <c r="AP153">
        <f>sumifs(生产物料推移表!ap:ap,生产物料推移表!L:L,"计划生产",生产物料推移表!B:B,"232-012000-000")</f>
        <v>0</v>
      </c>
      <c r="AQ153">
        <f>sumifs(生产物料推移表!aq:aq,生产物料推移表!L:L,"计划生产",生产物料推移表!B:B,"232-012000-000")</f>
        <v>0</v>
      </c>
      <c r="AR153">
        <f>sumifs(生产物料推移表!ar:ar,生产物料推移表!L:L,"计划生产",生产物料推移表!B:B,"232-012000-000")</f>
        <v>0</v>
      </c>
      <c r="BY153">
        <f>sum(j153:an153)</f>
        <v>0</v>
      </c>
    </row>
    <row r="154" spans="1:77">
      <c r="A154" t="s">
        <v>14</v>
      </c>
      <c r="B154" t="s">
        <v>649</v>
      </c>
      <c r="C154" t="s">
        <v>650</v>
      </c>
      <c r="E154" t="s">
        <v>444</v>
      </c>
      <c r="F154" t="s">
        <v>648</v>
      </c>
      <c r="K154" t="s">
        <v>657</v>
      </c>
      <c r="L154" t="s">
        <v>37</v>
      </c>
      <c r="M154">
        <f>sumifs(生产物料推移表!m:m,生产物料推移表!L:L,"计划生产",生产物料推移表!B:B,"272-005800-000")</f>
        <v>0</v>
      </c>
      <c r="N154">
        <f>sumifs(生产物料推移表!n:n,生产物料推移表!L:L,"计划生产",生产物料推移表!B:B,"272-005800-000")</f>
        <v>0</v>
      </c>
      <c r="O154">
        <f>sumifs(生产物料推移表!o:o,生产物料推移表!L:L,"计划生产",生产物料推移表!B:B,"272-005800-000")</f>
        <v>0</v>
      </c>
      <c r="P154">
        <f>sumifs(生产物料推移表!p:p,生产物料推移表!L:L,"计划生产",生产物料推移表!B:B,"272-005800-000")</f>
        <v>0</v>
      </c>
      <c r="Q154">
        <f>sumifs(生产物料推移表!q:q,生产物料推移表!L:L,"计划生产",生产物料推移表!B:B,"272-005800-000")</f>
        <v>0</v>
      </c>
      <c r="R154">
        <f>sumifs(生产物料推移表!r:r,生产物料推移表!L:L,"计划生产",生产物料推移表!B:B,"272-005800-000")</f>
        <v>0</v>
      </c>
      <c r="S154">
        <f>sumifs(生产物料推移表!s:s,生产物料推移表!L:L,"计划生产",生产物料推移表!B:B,"272-005800-000")</f>
        <v>0</v>
      </c>
      <c r="T154">
        <f>sumifs(生产物料推移表!t:t,生产物料推移表!L:L,"计划生产",生产物料推移表!B:B,"272-005800-000")</f>
        <v>0</v>
      </c>
      <c r="U154">
        <f>sumifs(生产物料推移表!u:u,生产物料推移表!L:L,"计划生产",生产物料推移表!B:B,"272-005800-000")</f>
        <v>0</v>
      </c>
      <c r="V154">
        <f>sumifs(生产物料推移表!v:v,生产物料推移表!L:L,"计划生产",生产物料推移表!B:B,"272-005800-000")</f>
        <v>0</v>
      </c>
      <c r="W154">
        <f>sumifs(生产物料推移表!w:w,生产物料推移表!L:L,"计划生产",生产物料推移表!B:B,"272-005800-000")</f>
        <v>0</v>
      </c>
      <c r="X154">
        <f>sumifs(生产物料推移表!x:x,生产物料推移表!L:L,"计划生产",生产物料推移表!B:B,"272-005800-000")</f>
        <v>0</v>
      </c>
      <c r="Y154">
        <f>sumifs(生产物料推移表!y:y,生产物料推移表!L:L,"计划生产",生产物料推移表!B:B,"272-005800-000")</f>
        <v>0</v>
      </c>
      <c r="Z154">
        <f>sumifs(生产物料推移表!z:z,生产物料推移表!L:L,"计划生产",生产物料推移表!B:B,"272-005800-000")</f>
        <v>0</v>
      </c>
      <c r="AA154">
        <f>sumifs(生产物料推移表!aa:aa,生产物料推移表!L:L,"计划生产",生产物料推移表!B:B,"272-005800-000")</f>
        <v>0</v>
      </c>
      <c r="AB154">
        <f>sumifs(生产物料推移表!ab:ab,生产物料推移表!L:L,"计划生产",生产物料推移表!B:B,"272-005800-000")</f>
        <v>0</v>
      </c>
      <c r="AC154">
        <f>sumifs(生产物料推移表!ac:ac,生产物料推移表!L:L,"计划生产",生产物料推移表!B:B,"272-005800-000")</f>
        <v>0</v>
      </c>
      <c r="AD154">
        <f>sumifs(生产物料推移表!ad:ad,生产物料推移表!L:L,"计划生产",生产物料推移表!B:B,"272-005800-000")</f>
        <v>0</v>
      </c>
      <c r="AE154">
        <f>sumifs(生产物料推移表!ae:ae,生产物料推移表!L:L,"计划生产",生产物料推移表!B:B,"272-005800-000")</f>
        <v>0</v>
      </c>
      <c r="AF154">
        <f>sumifs(生产物料推移表!af:af,生产物料推移表!L:L,"计划生产",生产物料推移表!B:B,"272-005800-000")</f>
        <v>0</v>
      </c>
      <c r="AG154">
        <f>sumifs(生产物料推移表!ag:ag,生产物料推移表!L:L,"计划生产",生产物料推移表!B:B,"272-005800-000")</f>
        <v>0</v>
      </c>
      <c r="AH154">
        <f>sumifs(生产物料推移表!ah:ah,生产物料推移表!L:L,"计划生产",生产物料推移表!B:B,"272-005800-000")</f>
        <v>0</v>
      </c>
      <c r="AI154">
        <f>sumifs(生产物料推移表!ai:ai,生产物料推移表!L:L,"计划生产",生产物料推移表!B:B,"272-005800-000")</f>
        <v>0</v>
      </c>
      <c r="AJ154">
        <f>sumifs(生产物料推移表!aj:aj,生产物料推移表!L:L,"计划生产",生产物料推移表!B:B,"272-005800-000")</f>
        <v>0</v>
      </c>
      <c r="AK154">
        <f>sumifs(生产物料推移表!ak:ak,生产物料推移表!L:L,"计划生产",生产物料推移表!B:B,"272-005800-000")</f>
        <v>0</v>
      </c>
      <c r="AL154">
        <f>sumifs(生产物料推移表!al:al,生产物料推移表!L:L,"计划生产",生产物料推移表!B:B,"272-005800-000")</f>
        <v>0</v>
      </c>
      <c r="AM154">
        <f>sumifs(生产物料推移表!am:am,生产物料推移表!L:L,"计划生产",生产物料推移表!B:B,"272-005800-000")</f>
        <v>0</v>
      </c>
      <c r="AN154">
        <f>sumifs(生产物料推移表!an:an,生产物料推移表!L:L,"计划生产",生产物料推移表!B:B,"272-005800-000")</f>
        <v>0</v>
      </c>
      <c r="AO154">
        <f>sumifs(生产物料推移表!ao:ao,生产物料推移表!L:L,"计划生产",生产物料推移表!B:B,"272-005800-000")</f>
        <v>0</v>
      </c>
      <c r="AP154">
        <f>sumifs(生产物料推移表!ap:ap,生产物料推移表!L:L,"计划生产",生产物料推移表!B:B,"272-005800-000")</f>
        <v>0</v>
      </c>
      <c r="AQ154">
        <f>sumifs(生产物料推移表!aq:aq,生产物料推移表!L:L,"计划生产",生产物料推移表!B:B,"272-005800-000")</f>
        <v>0</v>
      </c>
      <c r="AR154">
        <f>sumifs(生产物料推移表!ar:ar,生产物料推移表!L:L,"计划生产",生产物料推移表!B:B,"272-005800-000")</f>
        <v>0</v>
      </c>
      <c r="BY154">
        <f>sum(j154:an154)</f>
        <v>0</v>
      </c>
    </row>
    <row r="155" spans="1:77">
      <c r="A155" t="s">
        <v>14</v>
      </c>
      <c r="B155" t="s">
        <v>652</v>
      </c>
      <c r="C155" t="s">
        <v>653</v>
      </c>
      <c r="F155" t="s">
        <v>651</v>
      </c>
      <c r="K155" t="s">
        <v>657</v>
      </c>
      <c r="L155" t="s">
        <v>37</v>
      </c>
      <c r="M155">
        <f>sumifs(生产物料推移表!m:m,生产物料推移表!L:L,"计划生产",生产物料推移表!B:B,"272-015200-000")</f>
        <v>0</v>
      </c>
      <c r="N155">
        <f>sumifs(生产物料推移表!n:n,生产物料推移表!L:L,"计划生产",生产物料推移表!B:B,"272-015200-000")</f>
        <v>0</v>
      </c>
      <c r="O155">
        <f>sumifs(生产物料推移表!o:o,生产物料推移表!L:L,"计划生产",生产物料推移表!B:B,"272-015200-000")</f>
        <v>0</v>
      </c>
      <c r="P155">
        <f>sumifs(生产物料推移表!p:p,生产物料推移表!L:L,"计划生产",生产物料推移表!B:B,"272-015200-000")</f>
        <v>0</v>
      </c>
      <c r="Q155">
        <f>sumifs(生产物料推移表!q:q,生产物料推移表!L:L,"计划生产",生产物料推移表!B:B,"272-015200-000")</f>
        <v>0</v>
      </c>
      <c r="R155">
        <f>sumifs(生产物料推移表!r:r,生产物料推移表!L:L,"计划生产",生产物料推移表!B:B,"272-015200-000")</f>
        <v>0</v>
      </c>
      <c r="S155">
        <f>sumifs(生产物料推移表!s:s,生产物料推移表!L:L,"计划生产",生产物料推移表!B:B,"272-015200-000")</f>
        <v>0</v>
      </c>
      <c r="T155">
        <f>sumifs(生产物料推移表!t:t,生产物料推移表!L:L,"计划生产",生产物料推移表!B:B,"272-015200-000")</f>
        <v>0</v>
      </c>
      <c r="U155">
        <f>sumifs(生产物料推移表!u:u,生产物料推移表!L:L,"计划生产",生产物料推移表!B:B,"272-015200-000")</f>
        <v>0</v>
      </c>
      <c r="V155">
        <f>sumifs(生产物料推移表!v:v,生产物料推移表!L:L,"计划生产",生产物料推移表!B:B,"272-015200-000")</f>
        <v>0</v>
      </c>
      <c r="W155">
        <f>sumifs(生产物料推移表!w:w,生产物料推移表!L:L,"计划生产",生产物料推移表!B:B,"272-015200-000")</f>
        <v>0</v>
      </c>
      <c r="X155">
        <f>sumifs(生产物料推移表!x:x,生产物料推移表!L:L,"计划生产",生产物料推移表!B:B,"272-015200-000")</f>
        <v>0</v>
      </c>
      <c r="Y155">
        <f>sumifs(生产物料推移表!y:y,生产物料推移表!L:L,"计划生产",生产物料推移表!B:B,"272-015200-000")</f>
        <v>0</v>
      </c>
      <c r="Z155">
        <f>sumifs(生产物料推移表!z:z,生产物料推移表!L:L,"计划生产",生产物料推移表!B:B,"272-015200-000")</f>
        <v>0</v>
      </c>
      <c r="AA155">
        <f>sumifs(生产物料推移表!aa:aa,生产物料推移表!L:L,"计划生产",生产物料推移表!B:B,"272-015200-000")</f>
        <v>0</v>
      </c>
      <c r="AB155">
        <f>sumifs(生产物料推移表!ab:ab,生产物料推移表!L:L,"计划生产",生产物料推移表!B:B,"272-015200-000")</f>
        <v>0</v>
      </c>
      <c r="AC155">
        <f>sumifs(生产物料推移表!ac:ac,生产物料推移表!L:L,"计划生产",生产物料推移表!B:B,"272-015200-000")</f>
        <v>0</v>
      </c>
      <c r="AD155">
        <f>sumifs(生产物料推移表!ad:ad,生产物料推移表!L:L,"计划生产",生产物料推移表!B:B,"272-015200-000")</f>
        <v>0</v>
      </c>
      <c r="AE155">
        <f>sumifs(生产物料推移表!ae:ae,生产物料推移表!L:L,"计划生产",生产物料推移表!B:B,"272-015200-000")</f>
        <v>0</v>
      </c>
      <c r="AF155">
        <f>sumifs(生产物料推移表!af:af,生产物料推移表!L:L,"计划生产",生产物料推移表!B:B,"272-015200-000")</f>
        <v>0</v>
      </c>
      <c r="AG155">
        <f>sumifs(生产物料推移表!ag:ag,生产物料推移表!L:L,"计划生产",生产物料推移表!B:B,"272-015200-000")</f>
        <v>0</v>
      </c>
      <c r="AH155">
        <f>sumifs(生产物料推移表!ah:ah,生产物料推移表!L:L,"计划生产",生产物料推移表!B:B,"272-015200-000")</f>
        <v>0</v>
      </c>
      <c r="AI155">
        <f>sumifs(生产物料推移表!ai:ai,生产物料推移表!L:L,"计划生产",生产物料推移表!B:B,"272-015200-000")</f>
        <v>0</v>
      </c>
      <c r="AJ155">
        <f>sumifs(生产物料推移表!aj:aj,生产物料推移表!L:L,"计划生产",生产物料推移表!B:B,"272-015200-000")</f>
        <v>0</v>
      </c>
      <c r="AK155">
        <f>sumifs(生产物料推移表!ak:ak,生产物料推移表!L:L,"计划生产",生产物料推移表!B:B,"272-015200-000")</f>
        <v>0</v>
      </c>
      <c r="AL155">
        <f>sumifs(生产物料推移表!al:al,生产物料推移表!L:L,"计划生产",生产物料推移表!B:B,"272-015200-000")</f>
        <v>0</v>
      </c>
      <c r="AM155">
        <f>sumifs(生产物料推移表!am:am,生产物料推移表!L:L,"计划生产",生产物料推移表!B:B,"272-015200-000")</f>
        <v>0</v>
      </c>
      <c r="AN155">
        <f>sumifs(生产物料推移表!an:an,生产物料推移表!L:L,"计划生产",生产物料推移表!B:B,"272-015200-000")</f>
        <v>0</v>
      </c>
      <c r="AO155">
        <f>sumifs(生产物料推移表!ao:ao,生产物料推移表!L:L,"计划生产",生产物料推移表!B:B,"272-015200-000")</f>
        <v>0</v>
      </c>
      <c r="AP155">
        <f>sumifs(生产物料推移表!ap:ap,生产物料推移表!L:L,"计划生产",生产物料推移表!B:B,"272-015200-000")</f>
        <v>0</v>
      </c>
      <c r="AQ155">
        <f>sumifs(生产物料推移表!aq:aq,生产物料推移表!L:L,"计划生产",生产物料推移表!B:B,"272-015200-000")</f>
        <v>0</v>
      </c>
      <c r="AR155">
        <f>sumifs(生产物料推移表!ar:ar,生产物料推移表!L:L,"计划生产",生产物料推移表!B:B,"272-015200-000")</f>
        <v>0</v>
      </c>
      <c r="BY155">
        <f>sum(j155:an155)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1833"/>
  <sheetViews>
    <sheetView workbookViewId="0"/>
  </sheetViews>
  <sheetFormatPr defaultRowHeight="15"/>
  <sheetData>
    <row r="1" spans="1:76">
      <c r="A1" t="s">
        <v>660</v>
      </c>
    </row>
    <row r="2" spans="1:76">
      <c r="A2" t="s">
        <v>661</v>
      </c>
    </row>
    <row r="3" spans="1:7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  <c r="AB3">
        <v>16</v>
      </c>
      <c r="AC3">
        <v>17</v>
      </c>
      <c r="AD3">
        <v>18</v>
      </c>
      <c r="AE3">
        <v>19</v>
      </c>
      <c r="AF3">
        <v>20</v>
      </c>
      <c r="AG3">
        <v>21</v>
      </c>
      <c r="AH3">
        <v>22</v>
      </c>
      <c r="AI3">
        <v>23</v>
      </c>
      <c r="AJ3">
        <v>24</v>
      </c>
      <c r="AK3">
        <v>25</v>
      </c>
      <c r="AL3">
        <v>26</v>
      </c>
      <c r="AM3">
        <v>27</v>
      </c>
      <c r="AN3">
        <v>28</v>
      </c>
      <c r="AO3">
        <v>29</v>
      </c>
      <c r="AP3">
        <v>30</v>
      </c>
      <c r="AQ3">
        <v>31</v>
      </c>
      <c r="AR3" t="s">
        <v>13</v>
      </c>
    </row>
    <row r="4" spans="1:76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H4" t="s">
        <v>19</v>
      </c>
      <c r="I4">
        <v>12</v>
      </c>
      <c r="K4" t="s">
        <v>20</v>
      </c>
      <c r="L4" t="s">
        <v>21</v>
      </c>
      <c r="BX4">
        <f>sum(j4:an4)</f>
        <v>0</v>
      </c>
    </row>
    <row r="5" spans="1:76">
      <c r="A5" t="s">
        <v>14</v>
      </c>
      <c r="B5" t="s">
        <v>15</v>
      </c>
      <c r="C5" t="s">
        <v>16</v>
      </c>
      <c r="D5" t="s">
        <v>17</v>
      </c>
      <c r="E5">
        <v>1</v>
      </c>
      <c r="F5" t="s">
        <v>18</v>
      </c>
      <c r="H5" t="s">
        <v>19</v>
      </c>
      <c r="I5">
        <v>12</v>
      </c>
      <c r="K5" t="s">
        <v>20</v>
      </c>
      <c r="L5" t="s">
        <v>37</v>
      </c>
    </row>
    <row r="6" spans="1:76">
      <c r="L6" t="s">
        <v>662</v>
      </c>
    </row>
    <row r="7" spans="1:76">
      <c r="L7" t="s">
        <v>663</v>
      </c>
    </row>
    <row r="8" spans="1:76">
      <c r="L8" t="s">
        <v>664</v>
      </c>
    </row>
    <row r="9" spans="1:76">
      <c r="L9" t="s">
        <v>665</v>
      </c>
      <c r="M9">
        <f>IF(DAY(NOW())&lt;M3,INDIRECT(ADDRESS(9,7))-INDIRECT(ADDRESS(4,13))+INDIRECT(ADDRESS(5,13))-INDIRECT(ADDRESS(8,13)),INDIRECT(ADDRESS(9,7))-INDIRECT(ADDRESS(4,13))+INDIRECT(ADDRESS(7,13))-INDIRECT(ADDRESS(8,13)))</f>
        <v>0</v>
      </c>
      <c r="N9">
        <f>IF(DAY(NOW())&lt;M3,INDIRECT(ADDRESS(9,13))-INDIRECT(ADDRESS(4,14))+INDIRECT(ADDRESS(5,14))-INDIRECT(ADDRESS(8,14)),INDIRECT(ADDRESS(9,13))-INDIRECT(ADDRESS(4,14))+INDIRECT(ADDRESS(7,14))-INDIRECT(ADDRESS(8,14)))</f>
        <v>0</v>
      </c>
      <c r="O9">
        <f>IF(DAY(NOW())&lt;M3,INDIRECT(ADDRESS(9,14))-INDIRECT(ADDRESS(4,15))+INDIRECT(ADDRESS(5,15))-INDIRECT(ADDRESS(8,15)),INDIRECT(ADDRESS(9,14))-INDIRECT(ADDRESS(4,15))+INDIRECT(ADDRESS(7,15))-INDIRECT(ADDRESS(8,15)))</f>
        <v>0</v>
      </c>
      <c r="P9">
        <f>IF(DAY(NOW())&lt;M3,INDIRECT(ADDRESS(9,15))-INDIRECT(ADDRESS(4,16))+INDIRECT(ADDRESS(5,16))-INDIRECT(ADDRESS(8,16)),INDIRECT(ADDRESS(9,15))-INDIRECT(ADDRESS(4,16))+INDIRECT(ADDRESS(7,16))-INDIRECT(ADDRESS(8,16)))</f>
        <v>0</v>
      </c>
      <c r="Q9">
        <f>IF(DAY(NOW())&lt;M3,INDIRECT(ADDRESS(9,16))-INDIRECT(ADDRESS(4,17))+INDIRECT(ADDRESS(5,17))-INDIRECT(ADDRESS(8,17)),INDIRECT(ADDRESS(9,16))-INDIRECT(ADDRESS(4,17))+INDIRECT(ADDRESS(7,17))-INDIRECT(ADDRESS(8,17)))</f>
        <v>0</v>
      </c>
      <c r="R9">
        <f>IF(DAY(NOW())&lt;M3,INDIRECT(ADDRESS(9,17))-INDIRECT(ADDRESS(4,18))+INDIRECT(ADDRESS(5,18))-INDIRECT(ADDRESS(8,18)),INDIRECT(ADDRESS(9,17))-INDIRECT(ADDRESS(4,18))+INDIRECT(ADDRESS(7,18))-INDIRECT(ADDRESS(8,18)))</f>
        <v>0</v>
      </c>
      <c r="S9">
        <f>IF(DAY(NOW())&lt;M3,INDIRECT(ADDRESS(9,18))-INDIRECT(ADDRESS(4,19))+INDIRECT(ADDRESS(5,19))-INDIRECT(ADDRESS(8,19)),INDIRECT(ADDRESS(9,18))-INDIRECT(ADDRESS(4,19))+INDIRECT(ADDRESS(7,19))-INDIRECT(ADDRESS(8,19)))</f>
        <v>0</v>
      </c>
      <c r="T9">
        <f>IF(DAY(NOW())&lt;M3,INDIRECT(ADDRESS(9,19))-INDIRECT(ADDRESS(4,20))+INDIRECT(ADDRESS(5,20))-INDIRECT(ADDRESS(8,20)),INDIRECT(ADDRESS(9,19))-INDIRECT(ADDRESS(4,20))+INDIRECT(ADDRESS(7,20))-INDIRECT(ADDRESS(8,20)))</f>
        <v>0</v>
      </c>
      <c r="U9">
        <f>IF(DAY(NOW())&lt;M3,INDIRECT(ADDRESS(9,20))-INDIRECT(ADDRESS(4,21))+INDIRECT(ADDRESS(5,21))-INDIRECT(ADDRESS(8,21)),INDIRECT(ADDRESS(9,20))-INDIRECT(ADDRESS(4,21))+INDIRECT(ADDRESS(7,21))-INDIRECT(ADDRESS(8,21)))</f>
        <v>0</v>
      </c>
      <c r="V9">
        <f>IF(DAY(NOW())&lt;M3,INDIRECT(ADDRESS(9,21))-INDIRECT(ADDRESS(4,22))+INDIRECT(ADDRESS(5,22))-INDIRECT(ADDRESS(8,22)),INDIRECT(ADDRESS(9,21))-INDIRECT(ADDRESS(4,22))+INDIRECT(ADDRESS(7,22))-INDIRECT(ADDRESS(8,22)))</f>
        <v>0</v>
      </c>
      <c r="W9">
        <f>IF(DAY(NOW())&lt;M3,INDIRECT(ADDRESS(9,22))-INDIRECT(ADDRESS(4,23))+INDIRECT(ADDRESS(5,23))-INDIRECT(ADDRESS(8,23)),INDIRECT(ADDRESS(9,22))-INDIRECT(ADDRESS(4,23))+INDIRECT(ADDRESS(7,23))-INDIRECT(ADDRESS(8,23)))</f>
        <v>0</v>
      </c>
      <c r="X9">
        <f>IF(DAY(NOW())&lt;M3,INDIRECT(ADDRESS(9,23))-INDIRECT(ADDRESS(4,24))+INDIRECT(ADDRESS(5,24))-INDIRECT(ADDRESS(8,24)),INDIRECT(ADDRESS(9,23))-INDIRECT(ADDRESS(4,24))+INDIRECT(ADDRESS(7,24))-INDIRECT(ADDRESS(8,24)))</f>
        <v>0</v>
      </c>
      <c r="Y9">
        <f>IF(DAY(NOW())&lt;M3,INDIRECT(ADDRESS(9,24))-INDIRECT(ADDRESS(4,25))+INDIRECT(ADDRESS(5,25))-INDIRECT(ADDRESS(8,25)),INDIRECT(ADDRESS(9,24))-INDIRECT(ADDRESS(4,25))+INDIRECT(ADDRESS(7,25))-INDIRECT(ADDRESS(8,25)))</f>
        <v>0</v>
      </c>
      <c r="Z9">
        <f>IF(DAY(NOW())&lt;M3,INDIRECT(ADDRESS(9,25))-INDIRECT(ADDRESS(4,26))+INDIRECT(ADDRESS(5,26))-INDIRECT(ADDRESS(8,26)),INDIRECT(ADDRESS(9,25))-INDIRECT(ADDRESS(4,26))+INDIRECT(ADDRESS(7,26))-INDIRECT(ADDRESS(8,26)))</f>
        <v>0</v>
      </c>
      <c r="AA9">
        <f>IF(DAY(NOW())&lt;M3,INDIRECT(ADDRESS(9,26))-INDIRECT(ADDRESS(4,27))+INDIRECT(ADDRESS(5,27))-INDIRECT(ADDRESS(8,27)),INDIRECT(ADDRESS(9,26))-INDIRECT(ADDRESS(4,27))+INDIRECT(ADDRESS(7,27))-INDIRECT(ADDRESS(8,27)))</f>
        <v>0</v>
      </c>
      <c r="AB9">
        <f>IF(DAY(NOW())&lt;M3,INDIRECT(ADDRESS(9,27))-INDIRECT(ADDRESS(4,28))+INDIRECT(ADDRESS(5,28))-INDIRECT(ADDRESS(8,28)),INDIRECT(ADDRESS(9,27))-INDIRECT(ADDRESS(4,28))+INDIRECT(ADDRESS(7,28))-INDIRECT(ADDRESS(8,28)))</f>
        <v>0</v>
      </c>
      <c r="AC9">
        <f>IF(DAY(NOW())&lt;M3,INDIRECT(ADDRESS(9,28))-INDIRECT(ADDRESS(4,29))+INDIRECT(ADDRESS(5,29))-INDIRECT(ADDRESS(8,29)),INDIRECT(ADDRESS(9,28))-INDIRECT(ADDRESS(4,29))+INDIRECT(ADDRESS(7,29))-INDIRECT(ADDRESS(8,29)))</f>
        <v>0</v>
      </c>
      <c r="AD9">
        <f>IF(DAY(NOW())&lt;M3,INDIRECT(ADDRESS(9,29))-INDIRECT(ADDRESS(4,30))+INDIRECT(ADDRESS(5,30))-INDIRECT(ADDRESS(8,30)),INDIRECT(ADDRESS(9,29))-INDIRECT(ADDRESS(4,30))+INDIRECT(ADDRESS(7,30))-INDIRECT(ADDRESS(8,30)))</f>
        <v>0</v>
      </c>
      <c r="AE9">
        <f>IF(DAY(NOW())&lt;M3,INDIRECT(ADDRESS(9,30))-INDIRECT(ADDRESS(4,31))+INDIRECT(ADDRESS(5,31))-INDIRECT(ADDRESS(8,31)),INDIRECT(ADDRESS(9,30))-INDIRECT(ADDRESS(4,31))+INDIRECT(ADDRESS(7,31))-INDIRECT(ADDRESS(8,31)))</f>
        <v>0</v>
      </c>
      <c r="AF9">
        <f>IF(DAY(NOW())&lt;M3,INDIRECT(ADDRESS(9,31))-INDIRECT(ADDRESS(4,32))+INDIRECT(ADDRESS(5,32))-INDIRECT(ADDRESS(8,32)),INDIRECT(ADDRESS(9,31))-INDIRECT(ADDRESS(4,32))+INDIRECT(ADDRESS(7,32))-INDIRECT(ADDRESS(8,32)))</f>
        <v>0</v>
      </c>
      <c r="AG9">
        <f>IF(DAY(NOW())&lt;M3,INDIRECT(ADDRESS(9,32))-INDIRECT(ADDRESS(4,33))+INDIRECT(ADDRESS(5,33))-INDIRECT(ADDRESS(8,33)),INDIRECT(ADDRESS(9,32))-INDIRECT(ADDRESS(4,33))+INDIRECT(ADDRESS(7,33))-INDIRECT(ADDRESS(8,33)))</f>
        <v>0</v>
      </c>
      <c r="AH9">
        <f>IF(DAY(NOW())&lt;M3,INDIRECT(ADDRESS(9,33))-INDIRECT(ADDRESS(4,34))+INDIRECT(ADDRESS(5,34))-INDIRECT(ADDRESS(8,34)),INDIRECT(ADDRESS(9,33))-INDIRECT(ADDRESS(4,34))+INDIRECT(ADDRESS(7,34))-INDIRECT(ADDRESS(8,34)))</f>
        <v>0</v>
      </c>
      <c r="AI9">
        <f>IF(DAY(NOW())&lt;M3,INDIRECT(ADDRESS(9,34))-INDIRECT(ADDRESS(4,35))+INDIRECT(ADDRESS(5,35))-INDIRECT(ADDRESS(8,35)),INDIRECT(ADDRESS(9,34))-INDIRECT(ADDRESS(4,35))+INDIRECT(ADDRESS(7,35))-INDIRECT(ADDRESS(8,35)))</f>
        <v>0</v>
      </c>
      <c r="AJ9">
        <f>IF(DAY(NOW())&lt;M3,INDIRECT(ADDRESS(9,35))-INDIRECT(ADDRESS(4,36))+INDIRECT(ADDRESS(5,36))-INDIRECT(ADDRESS(8,36)),INDIRECT(ADDRESS(9,35))-INDIRECT(ADDRESS(4,36))+INDIRECT(ADDRESS(7,36))-INDIRECT(ADDRESS(8,36)))</f>
        <v>0</v>
      </c>
      <c r="AK9">
        <f>IF(DAY(NOW())&lt;M3,INDIRECT(ADDRESS(9,36))-INDIRECT(ADDRESS(4,37))+INDIRECT(ADDRESS(5,37))-INDIRECT(ADDRESS(8,37)),INDIRECT(ADDRESS(9,36))-INDIRECT(ADDRESS(4,37))+INDIRECT(ADDRESS(7,37))-INDIRECT(ADDRESS(8,37)))</f>
        <v>0</v>
      </c>
      <c r="AL9">
        <f>IF(DAY(NOW())&lt;M3,INDIRECT(ADDRESS(9,37))-INDIRECT(ADDRESS(4,38))+INDIRECT(ADDRESS(5,38))-INDIRECT(ADDRESS(8,38)),INDIRECT(ADDRESS(9,37))-INDIRECT(ADDRESS(4,38))+INDIRECT(ADDRESS(7,38))-INDIRECT(ADDRESS(8,38)))</f>
        <v>0</v>
      </c>
      <c r="AM9">
        <f>IF(DAY(NOW())&lt;M3,INDIRECT(ADDRESS(9,38))-INDIRECT(ADDRESS(4,39))+INDIRECT(ADDRESS(5,39))-INDIRECT(ADDRESS(8,39)),INDIRECT(ADDRESS(9,38))-INDIRECT(ADDRESS(4,39))+INDIRECT(ADDRESS(7,39))-INDIRECT(ADDRESS(8,39)))</f>
        <v>0</v>
      </c>
      <c r="AN9">
        <f>IF(DAY(NOW())&lt;M3,INDIRECT(ADDRESS(9,39))-INDIRECT(ADDRESS(4,40))+INDIRECT(ADDRESS(5,40))-INDIRECT(ADDRESS(8,40)),INDIRECT(ADDRESS(9,39))-INDIRECT(ADDRESS(4,40))+INDIRECT(ADDRESS(7,40))-INDIRECT(ADDRESS(8,40)))</f>
        <v>0</v>
      </c>
      <c r="AO9">
        <f>IF(DAY(NOW())&lt;M3,INDIRECT(ADDRESS(9,40))-INDIRECT(ADDRESS(4,41))+INDIRECT(ADDRESS(5,41))-INDIRECT(ADDRESS(8,41)),INDIRECT(ADDRESS(9,40))-INDIRECT(ADDRESS(4,41))+INDIRECT(ADDRESS(7,41))-INDIRECT(ADDRESS(8,41)))</f>
        <v>0</v>
      </c>
      <c r="AP9">
        <f>IF(DAY(NOW())&lt;M3,INDIRECT(ADDRESS(9,41))-INDIRECT(ADDRESS(4,42))+INDIRECT(ADDRESS(5,42))-INDIRECT(ADDRESS(8,42)),INDIRECT(ADDRESS(9,41))-INDIRECT(ADDRESS(4,42))+INDIRECT(ADDRESS(7,42))-INDIRECT(ADDRESS(8,42)))</f>
        <v>0</v>
      </c>
      <c r="AQ9">
        <f>IF(DAY(NOW())&lt;M3,INDIRECT(ADDRESS(9,42))-INDIRECT(ADDRESS(4,43))+INDIRECT(ADDRESS(5,43))-INDIRECT(ADDRESS(8,43)),INDIRECT(ADDRESS(9,42))-INDIRECT(ADDRESS(4,43))+INDIRECT(ADDRESS(7,43))-INDIRECT(ADDRESS(8,43)))</f>
        <v>0</v>
      </c>
      <c r="AR9">
        <f>IF(DAY(NOW())&lt;M3,INDIRECT(ADDRESS(9,43))-INDIRECT(ADDRESS(4,44))+INDIRECT(ADDRESS(5,44))-INDIRECT(ADDRESS(8,44)),INDIRECT(ADDRESS(9,43))-INDIRECT(ADDRESS(4,44))+INDIRECT(ADDRESS(7,44))-INDIRECT(ADDRESS(8,44)))</f>
        <v>0</v>
      </c>
    </row>
    <row r="10" spans="1:76">
      <c r="A10" t="s">
        <v>14</v>
      </c>
      <c r="B10" t="s">
        <v>22</v>
      </c>
      <c r="C10" t="s">
        <v>23</v>
      </c>
      <c r="D10" t="s">
        <v>17</v>
      </c>
      <c r="E10">
        <v>1</v>
      </c>
      <c r="F10" t="s">
        <v>24</v>
      </c>
      <c r="H10" t="s">
        <v>19</v>
      </c>
      <c r="I10">
        <v>12</v>
      </c>
      <c r="K10" t="s">
        <v>20</v>
      </c>
      <c r="L10" t="s">
        <v>21</v>
      </c>
      <c r="BX10">
        <f>sum(j10:an10)</f>
        <v>0</v>
      </c>
    </row>
    <row r="11" spans="1:76">
      <c r="A11" t="s">
        <v>14</v>
      </c>
      <c r="B11" t="s">
        <v>22</v>
      </c>
      <c r="C11" t="s">
        <v>23</v>
      </c>
      <c r="D11" t="s">
        <v>17</v>
      </c>
      <c r="E11">
        <v>1</v>
      </c>
      <c r="F11" t="s">
        <v>24</v>
      </c>
      <c r="H11" t="s">
        <v>19</v>
      </c>
      <c r="I11">
        <v>12</v>
      </c>
      <c r="K11" t="s">
        <v>20</v>
      </c>
      <c r="L11" t="s">
        <v>37</v>
      </c>
    </row>
    <row r="12" spans="1:76">
      <c r="L12" t="s">
        <v>662</v>
      </c>
    </row>
    <row r="13" spans="1:76">
      <c r="L13" t="s">
        <v>663</v>
      </c>
    </row>
    <row r="14" spans="1:76">
      <c r="L14" t="s">
        <v>664</v>
      </c>
    </row>
    <row r="15" spans="1:76">
      <c r="L15" t="s">
        <v>665</v>
      </c>
      <c r="M15">
        <f>IF(DAY(NOW())&lt;M3,INDIRECT(ADDRESS(15,7))-INDIRECT(ADDRESS(10,13))+INDIRECT(ADDRESS(11,13))-INDIRECT(ADDRESS(14,13)),INDIRECT(ADDRESS(15,7))-INDIRECT(ADDRESS(10,13))+INDIRECT(ADDRESS(13,13))-INDIRECT(ADDRESS(14,13)))</f>
        <v>0</v>
      </c>
      <c r="N15">
        <f>IF(DAY(NOW())&lt;M3,INDIRECT(ADDRESS(15,13))-INDIRECT(ADDRESS(10,14))+INDIRECT(ADDRESS(11,14))-INDIRECT(ADDRESS(14,14)),INDIRECT(ADDRESS(15,13))-INDIRECT(ADDRESS(10,14))+INDIRECT(ADDRESS(13,14))-INDIRECT(ADDRESS(14,14)))</f>
        <v>0</v>
      </c>
      <c r="O15">
        <f>IF(DAY(NOW())&lt;M3,INDIRECT(ADDRESS(15,14))-INDIRECT(ADDRESS(10,15))+INDIRECT(ADDRESS(11,15))-INDIRECT(ADDRESS(14,15)),INDIRECT(ADDRESS(15,14))-INDIRECT(ADDRESS(10,15))+INDIRECT(ADDRESS(13,15))-INDIRECT(ADDRESS(14,15)))</f>
        <v>0</v>
      </c>
      <c r="P15">
        <f>IF(DAY(NOW())&lt;M3,INDIRECT(ADDRESS(15,15))-INDIRECT(ADDRESS(10,16))+INDIRECT(ADDRESS(11,16))-INDIRECT(ADDRESS(14,16)),INDIRECT(ADDRESS(15,15))-INDIRECT(ADDRESS(10,16))+INDIRECT(ADDRESS(13,16))-INDIRECT(ADDRESS(14,16)))</f>
        <v>0</v>
      </c>
      <c r="Q15">
        <f>IF(DAY(NOW())&lt;M3,INDIRECT(ADDRESS(15,16))-INDIRECT(ADDRESS(10,17))+INDIRECT(ADDRESS(11,17))-INDIRECT(ADDRESS(14,17)),INDIRECT(ADDRESS(15,16))-INDIRECT(ADDRESS(10,17))+INDIRECT(ADDRESS(13,17))-INDIRECT(ADDRESS(14,17)))</f>
        <v>0</v>
      </c>
      <c r="R15">
        <f>IF(DAY(NOW())&lt;M3,INDIRECT(ADDRESS(15,17))-INDIRECT(ADDRESS(10,18))+INDIRECT(ADDRESS(11,18))-INDIRECT(ADDRESS(14,18)),INDIRECT(ADDRESS(15,17))-INDIRECT(ADDRESS(10,18))+INDIRECT(ADDRESS(13,18))-INDIRECT(ADDRESS(14,18)))</f>
        <v>0</v>
      </c>
      <c r="S15">
        <f>IF(DAY(NOW())&lt;M3,INDIRECT(ADDRESS(15,18))-INDIRECT(ADDRESS(10,19))+INDIRECT(ADDRESS(11,19))-INDIRECT(ADDRESS(14,19)),INDIRECT(ADDRESS(15,18))-INDIRECT(ADDRESS(10,19))+INDIRECT(ADDRESS(13,19))-INDIRECT(ADDRESS(14,19)))</f>
        <v>0</v>
      </c>
      <c r="T15">
        <f>IF(DAY(NOW())&lt;M3,INDIRECT(ADDRESS(15,19))-INDIRECT(ADDRESS(10,20))+INDIRECT(ADDRESS(11,20))-INDIRECT(ADDRESS(14,20)),INDIRECT(ADDRESS(15,19))-INDIRECT(ADDRESS(10,20))+INDIRECT(ADDRESS(13,20))-INDIRECT(ADDRESS(14,20)))</f>
        <v>0</v>
      </c>
      <c r="U15">
        <f>IF(DAY(NOW())&lt;M3,INDIRECT(ADDRESS(15,20))-INDIRECT(ADDRESS(10,21))+INDIRECT(ADDRESS(11,21))-INDIRECT(ADDRESS(14,21)),INDIRECT(ADDRESS(15,20))-INDIRECT(ADDRESS(10,21))+INDIRECT(ADDRESS(13,21))-INDIRECT(ADDRESS(14,21)))</f>
        <v>0</v>
      </c>
      <c r="V15">
        <f>IF(DAY(NOW())&lt;M3,INDIRECT(ADDRESS(15,21))-INDIRECT(ADDRESS(10,22))+INDIRECT(ADDRESS(11,22))-INDIRECT(ADDRESS(14,22)),INDIRECT(ADDRESS(15,21))-INDIRECT(ADDRESS(10,22))+INDIRECT(ADDRESS(13,22))-INDIRECT(ADDRESS(14,22)))</f>
        <v>0</v>
      </c>
      <c r="W15">
        <f>IF(DAY(NOW())&lt;M3,INDIRECT(ADDRESS(15,22))-INDIRECT(ADDRESS(10,23))+INDIRECT(ADDRESS(11,23))-INDIRECT(ADDRESS(14,23)),INDIRECT(ADDRESS(15,22))-INDIRECT(ADDRESS(10,23))+INDIRECT(ADDRESS(13,23))-INDIRECT(ADDRESS(14,23)))</f>
        <v>0</v>
      </c>
      <c r="X15">
        <f>IF(DAY(NOW())&lt;M3,INDIRECT(ADDRESS(15,23))-INDIRECT(ADDRESS(10,24))+INDIRECT(ADDRESS(11,24))-INDIRECT(ADDRESS(14,24)),INDIRECT(ADDRESS(15,23))-INDIRECT(ADDRESS(10,24))+INDIRECT(ADDRESS(13,24))-INDIRECT(ADDRESS(14,24)))</f>
        <v>0</v>
      </c>
      <c r="Y15">
        <f>IF(DAY(NOW())&lt;M3,INDIRECT(ADDRESS(15,24))-INDIRECT(ADDRESS(10,25))+INDIRECT(ADDRESS(11,25))-INDIRECT(ADDRESS(14,25)),INDIRECT(ADDRESS(15,24))-INDIRECT(ADDRESS(10,25))+INDIRECT(ADDRESS(13,25))-INDIRECT(ADDRESS(14,25)))</f>
        <v>0</v>
      </c>
      <c r="Z15">
        <f>IF(DAY(NOW())&lt;M3,INDIRECT(ADDRESS(15,25))-INDIRECT(ADDRESS(10,26))+INDIRECT(ADDRESS(11,26))-INDIRECT(ADDRESS(14,26)),INDIRECT(ADDRESS(15,25))-INDIRECT(ADDRESS(10,26))+INDIRECT(ADDRESS(13,26))-INDIRECT(ADDRESS(14,26)))</f>
        <v>0</v>
      </c>
      <c r="AA15">
        <f>IF(DAY(NOW())&lt;M3,INDIRECT(ADDRESS(15,26))-INDIRECT(ADDRESS(10,27))+INDIRECT(ADDRESS(11,27))-INDIRECT(ADDRESS(14,27)),INDIRECT(ADDRESS(15,26))-INDIRECT(ADDRESS(10,27))+INDIRECT(ADDRESS(13,27))-INDIRECT(ADDRESS(14,27)))</f>
        <v>0</v>
      </c>
      <c r="AB15">
        <f>IF(DAY(NOW())&lt;M3,INDIRECT(ADDRESS(15,27))-INDIRECT(ADDRESS(10,28))+INDIRECT(ADDRESS(11,28))-INDIRECT(ADDRESS(14,28)),INDIRECT(ADDRESS(15,27))-INDIRECT(ADDRESS(10,28))+INDIRECT(ADDRESS(13,28))-INDIRECT(ADDRESS(14,28)))</f>
        <v>0</v>
      </c>
      <c r="AC15">
        <f>IF(DAY(NOW())&lt;M3,INDIRECT(ADDRESS(15,28))-INDIRECT(ADDRESS(10,29))+INDIRECT(ADDRESS(11,29))-INDIRECT(ADDRESS(14,29)),INDIRECT(ADDRESS(15,28))-INDIRECT(ADDRESS(10,29))+INDIRECT(ADDRESS(13,29))-INDIRECT(ADDRESS(14,29)))</f>
        <v>0</v>
      </c>
      <c r="AD15">
        <f>IF(DAY(NOW())&lt;M3,INDIRECT(ADDRESS(15,29))-INDIRECT(ADDRESS(10,30))+INDIRECT(ADDRESS(11,30))-INDIRECT(ADDRESS(14,30)),INDIRECT(ADDRESS(15,29))-INDIRECT(ADDRESS(10,30))+INDIRECT(ADDRESS(13,30))-INDIRECT(ADDRESS(14,30)))</f>
        <v>0</v>
      </c>
      <c r="AE15">
        <f>IF(DAY(NOW())&lt;M3,INDIRECT(ADDRESS(15,30))-INDIRECT(ADDRESS(10,31))+INDIRECT(ADDRESS(11,31))-INDIRECT(ADDRESS(14,31)),INDIRECT(ADDRESS(15,30))-INDIRECT(ADDRESS(10,31))+INDIRECT(ADDRESS(13,31))-INDIRECT(ADDRESS(14,31)))</f>
        <v>0</v>
      </c>
      <c r="AF15">
        <f>IF(DAY(NOW())&lt;M3,INDIRECT(ADDRESS(15,31))-INDIRECT(ADDRESS(10,32))+INDIRECT(ADDRESS(11,32))-INDIRECT(ADDRESS(14,32)),INDIRECT(ADDRESS(15,31))-INDIRECT(ADDRESS(10,32))+INDIRECT(ADDRESS(13,32))-INDIRECT(ADDRESS(14,32)))</f>
        <v>0</v>
      </c>
      <c r="AG15">
        <f>IF(DAY(NOW())&lt;M3,INDIRECT(ADDRESS(15,32))-INDIRECT(ADDRESS(10,33))+INDIRECT(ADDRESS(11,33))-INDIRECT(ADDRESS(14,33)),INDIRECT(ADDRESS(15,32))-INDIRECT(ADDRESS(10,33))+INDIRECT(ADDRESS(13,33))-INDIRECT(ADDRESS(14,33)))</f>
        <v>0</v>
      </c>
      <c r="AH15">
        <f>IF(DAY(NOW())&lt;M3,INDIRECT(ADDRESS(15,33))-INDIRECT(ADDRESS(10,34))+INDIRECT(ADDRESS(11,34))-INDIRECT(ADDRESS(14,34)),INDIRECT(ADDRESS(15,33))-INDIRECT(ADDRESS(10,34))+INDIRECT(ADDRESS(13,34))-INDIRECT(ADDRESS(14,34)))</f>
        <v>0</v>
      </c>
      <c r="AI15">
        <f>IF(DAY(NOW())&lt;M3,INDIRECT(ADDRESS(15,34))-INDIRECT(ADDRESS(10,35))+INDIRECT(ADDRESS(11,35))-INDIRECT(ADDRESS(14,35)),INDIRECT(ADDRESS(15,34))-INDIRECT(ADDRESS(10,35))+INDIRECT(ADDRESS(13,35))-INDIRECT(ADDRESS(14,35)))</f>
        <v>0</v>
      </c>
      <c r="AJ15">
        <f>IF(DAY(NOW())&lt;M3,INDIRECT(ADDRESS(15,35))-INDIRECT(ADDRESS(10,36))+INDIRECT(ADDRESS(11,36))-INDIRECT(ADDRESS(14,36)),INDIRECT(ADDRESS(15,35))-INDIRECT(ADDRESS(10,36))+INDIRECT(ADDRESS(13,36))-INDIRECT(ADDRESS(14,36)))</f>
        <v>0</v>
      </c>
      <c r="AK15">
        <f>IF(DAY(NOW())&lt;M3,INDIRECT(ADDRESS(15,36))-INDIRECT(ADDRESS(10,37))+INDIRECT(ADDRESS(11,37))-INDIRECT(ADDRESS(14,37)),INDIRECT(ADDRESS(15,36))-INDIRECT(ADDRESS(10,37))+INDIRECT(ADDRESS(13,37))-INDIRECT(ADDRESS(14,37)))</f>
        <v>0</v>
      </c>
      <c r="AL15">
        <f>IF(DAY(NOW())&lt;M3,INDIRECT(ADDRESS(15,37))-INDIRECT(ADDRESS(10,38))+INDIRECT(ADDRESS(11,38))-INDIRECT(ADDRESS(14,38)),INDIRECT(ADDRESS(15,37))-INDIRECT(ADDRESS(10,38))+INDIRECT(ADDRESS(13,38))-INDIRECT(ADDRESS(14,38)))</f>
        <v>0</v>
      </c>
      <c r="AM15">
        <f>IF(DAY(NOW())&lt;M3,INDIRECT(ADDRESS(15,38))-INDIRECT(ADDRESS(10,39))+INDIRECT(ADDRESS(11,39))-INDIRECT(ADDRESS(14,39)),INDIRECT(ADDRESS(15,38))-INDIRECT(ADDRESS(10,39))+INDIRECT(ADDRESS(13,39))-INDIRECT(ADDRESS(14,39)))</f>
        <v>0</v>
      </c>
      <c r="AN15">
        <f>IF(DAY(NOW())&lt;M3,INDIRECT(ADDRESS(15,39))-INDIRECT(ADDRESS(10,40))+INDIRECT(ADDRESS(11,40))-INDIRECT(ADDRESS(14,40)),INDIRECT(ADDRESS(15,39))-INDIRECT(ADDRESS(10,40))+INDIRECT(ADDRESS(13,40))-INDIRECT(ADDRESS(14,40)))</f>
        <v>0</v>
      </c>
      <c r="AO15">
        <f>IF(DAY(NOW())&lt;M3,INDIRECT(ADDRESS(15,40))-INDIRECT(ADDRESS(10,41))+INDIRECT(ADDRESS(11,41))-INDIRECT(ADDRESS(14,41)),INDIRECT(ADDRESS(15,40))-INDIRECT(ADDRESS(10,41))+INDIRECT(ADDRESS(13,41))-INDIRECT(ADDRESS(14,41)))</f>
        <v>0</v>
      </c>
      <c r="AP15">
        <f>IF(DAY(NOW())&lt;M3,INDIRECT(ADDRESS(15,41))-INDIRECT(ADDRESS(10,42))+INDIRECT(ADDRESS(11,42))-INDIRECT(ADDRESS(14,42)),INDIRECT(ADDRESS(15,41))-INDIRECT(ADDRESS(10,42))+INDIRECT(ADDRESS(13,42))-INDIRECT(ADDRESS(14,42)))</f>
        <v>0</v>
      </c>
      <c r="AQ15">
        <f>IF(DAY(NOW())&lt;M3,INDIRECT(ADDRESS(15,42))-INDIRECT(ADDRESS(10,43))+INDIRECT(ADDRESS(11,43))-INDIRECT(ADDRESS(14,43)),INDIRECT(ADDRESS(15,42))-INDIRECT(ADDRESS(10,43))+INDIRECT(ADDRESS(13,43))-INDIRECT(ADDRESS(14,43)))</f>
        <v>0</v>
      </c>
      <c r="AR15">
        <f>IF(DAY(NOW())&lt;M3,INDIRECT(ADDRESS(15,43))-INDIRECT(ADDRESS(10,44))+INDIRECT(ADDRESS(11,44))-INDIRECT(ADDRESS(14,44)),INDIRECT(ADDRESS(15,43))-INDIRECT(ADDRESS(10,44))+INDIRECT(ADDRESS(13,44))-INDIRECT(ADDRESS(14,44)))</f>
        <v>0</v>
      </c>
    </row>
    <row r="16" spans="1:76">
      <c r="A16" t="s">
        <v>14</v>
      </c>
      <c r="B16" t="s">
        <v>25</v>
      </c>
      <c r="C16" t="s">
        <v>26</v>
      </c>
      <c r="D16" t="s">
        <v>27</v>
      </c>
      <c r="E16">
        <v>1</v>
      </c>
      <c r="F16" t="s">
        <v>28</v>
      </c>
      <c r="H16" t="s">
        <v>29</v>
      </c>
      <c r="I16" t="s">
        <v>30</v>
      </c>
      <c r="K16" t="s">
        <v>20</v>
      </c>
      <c r="L16" t="s">
        <v>21</v>
      </c>
      <c r="BX16">
        <f>sum(j16:an16)</f>
        <v>0</v>
      </c>
    </row>
    <row r="17" spans="1:76">
      <c r="A17" t="s">
        <v>14</v>
      </c>
      <c r="B17" t="s">
        <v>25</v>
      </c>
      <c r="C17" t="s">
        <v>26</v>
      </c>
      <c r="D17" t="s">
        <v>27</v>
      </c>
      <c r="E17">
        <v>1</v>
      </c>
      <c r="F17" t="s">
        <v>28</v>
      </c>
      <c r="H17" t="s">
        <v>29</v>
      </c>
      <c r="I17" t="s">
        <v>30</v>
      </c>
      <c r="K17" t="s">
        <v>20</v>
      </c>
      <c r="L17" t="s">
        <v>37</v>
      </c>
    </row>
    <row r="18" spans="1:76">
      <c r="L18" t="s">
        <v>662</v>
      </c>
    </row>
    <row r="19" spans="1:76">
      <c r="L19" t="s">
        <v>663</v>
      </c>
    </row>
    <row r="20" spans="1:76">
      <c r="L20" t="s">
        <v>664</v>
      </c>
    </row>
    <row r="21" spans="1:76">
      <c r="L21" t="s">
        <v>665</v>
      </c>
      <c r="M21">
        <f>IF(DAY(NOW())&lt;M3,INDIRECT(ADDRESS(21,7))-INDIRECT(ADDRESS(16,13))+INDIRECT(ADDRESS(17,13))-INDIRECT(ADDRESS(20,13)),INDIRECT(ADDRESS(21,7))-INDIRECT(ADDRESS(16,13))+INDIRECT(ADDRESS(19,13))-INDIRECT(ADDRESS(20,13)))</f>
        <v>0</v>
      </c>
      <c r="N21">
        <f>IF(DAY(NOW())&lt;M3,INDIRECT(ADDRESS(21,13))-INDIRECT(ADDRESS(16,14))+INDIRECT(ADDRESS(17,14))-INDIRECT(ADDRESS(20,14)),INDIRECT(ADDRESS(21,13))-INDIRECT(ADDRESS(16,14))+INDIRECT(ADDRESS(19,14))-INDIRECT(ADDRESS(20,14)))</f>
        <v>0</v>
      </c>
      <c r="O21">
        <f>IF(DAY(NOW())&lt;M3,INDIRECT(ADDRESS(21,14))-INDIRECT(ADDRESS(16,15))+INDIRECT(ADDRESS(17,15))-INDIRECT(ADDRESS(20,15)),INDIRECT(ADDRESS(21,14))-INDIRECT(ADDRESS(16,15))+INDIRECT(ADDRESS(19,15))-INDIRECT(ADDRESS(20,15)))</f>
        <v>0</v>
      </c>
      <c r="P21">
        <f>IF(DAY(NOW())&lt;M3,INDIRECT(ADDRESS(21,15))-INDIRECT(ADDRESS(16,16))+INDIRECT(ADDRESS(17,16))-INDIRECT(ADDRESS(20,16)),INDIRECT(ADDRESS(21,15))-INDIRECT(ADDRESS(16,16))+INDIRECT(ADDRESS(19,16))-INDIRECT(ADDRESS(20,16)))</f>
        <v>0</v>
      </c>
      <c r="Q21">
        <f>IF(DAY(NOW())&lt;M3,INDIRECT(ADDRESS(21,16))-INDIRECT(ADDRESS(16,17))+INDIRECT(ADDRESS(17,17))-INDIRECT(ADDRESS(20,17)),INDIRECT(ADDRESS(21,16))-INDIRECT(ADDRESS(16,17))+INDIRECT(ADDRESS(19,17))-INDIRECT(ADDRESS(20,17)))</f>
        <v>0</v>
      </c>
      <c r="R21">
        <f>IF(DAY(NOW())&lt;M3,INDIRECT(ADDRESS(21,17))-INDIRECT(ADDRESS(16,18))+INDIRECT(ADDRESS(17,18))-INDIRECT(ADDRESS(20,18)),INDIRECT(ADDRESS(21,17))-INDIRECT(ADDRESS(16,18))+INDIRECT(ADDRESS(19,18))-INDIRECT(ADDRESS(20,18)))</f>
        <v>0</v>
      </c>
      <c r="S21">
        <f>IF(DAY(NOW())&lt;M3,INDIRECT(ADDRESS(21,18))-INDIRECT(ADDRESS(16,19))+INDIRECT(ADDRESS(17,19))-INDIRECT(ADDRESS(20,19)),INDIRECT(ADDRESS(21,18))-INDIRECT(ADDRESS(16,19))+INDIRECT(ADDRESS(19,19))-INDIRECT(ADDRESS(20,19)))</f>
        <v>0</v>
      </c>
      <c r="T21">
        <f>IF(DAY(NOW())&lt;M3,INDIRECT(ADDRESS(21,19))-INDIRECT(ADDRESS(16,20))+INDIRECT(ADDRESS(17,20))-INDIRECT(ADDRESS(20,20)),INDIRECT(ADDRESS(21,19))-INDIRECT(ADDRESS(16,20))+INDIRECT(ADDRESS(19,20))-INDIRECT(ADDRESS(20,20)))</f>
        <v>0</v>
      </c>
      <c r="U21">
        <f>IF(DAY(NOW())&lt;M3,INDIRECT(ADDRESS(21,20))-INDIRECT(ADDRESS(16,21))+INDIRECT(ADDRESS(17,21))-INDIRECT(ADDRESS(20,21)),INDIRECT(ADDRESS(21,20))-INDIRECT(ADDRESS(16,21))+INDIRECT(ADDRESS(19,21))-INDIRECT(ADDRESS(20,21)))</f>
        <v>0</v>
      </c>
      <c r="V21">
        <f>IF(DAY(NOW())&lt;M3,INDIRECT(ADDRESS(21,21))-INDIRECT(ADDRESS(16,22))+INDIRECT(ADDRESS(17,22))-INDIRECT(ADDRESS(20,22)),INDIRECT(ADDRESS(21,21))-INDIRECT(ADDRESS(16,22))+INDIRECT(ADDRESS(19,22))-INDIRECT(ADDRESS(20,22)))</f>
        <v>0</v>
      </c>
      <c r="W21">
        <f>IF(DAY(NOW())&lt;M3,INDIRECT(ADDRESS(21,22))-INDIRECT(ADDRESS(16,23))+INDIRECT(ADDRESS(17,23))-INDIRECT(ADDRESS(20,23)),INDIRECT(ADDRESS(21,22))-INDIRECT(ADDRESS(16,23))+INDIRECT(ADDRESS(19,23))-INDIRECT(ADDRESS(20,23)))</f>
        <v>0</v>
      </c>
      <c r="X21">
        <f>IF(DAY(NOW())&lt;M3,INDIRECT(ADDRESS(21,23))-INDIRECT(ADDRESS(16,24))+INDIRECT(ADDRESS(17,24))-INDIRECT(ADDRESS(20,24)),INDIRECT(ADDRESS(21,23))-INDIRECT(ADDRESS(16,24))+INDIRECT(ADDRESS(19,24))-INDIRECT(ADDRESS(20,24)))</f>
        <v>0</v>
      </c>
      <c r="Y21">
        <f>IF(DAY(NOW())&lt;M3,INDIRECT(ADDRESS(21,24))-INDIRECT(ADDRESS(16,25))+INDIRECT(ADDRESS(17,25))-INDIRECT(ADDRESS(20,25)),INDIRECT(ADDRESS(21,24))-INDIRECT(ADDRESS(16,25))+INDIRECT(ADDRESS(19,25))-INDIRECT(ADDRESS(20,25)))</f>
        <v>0</v>
      </c>
      <c r="Z21">
        <f>IF(DAY(NOW())&lt;M3,INDIRECT(ADDRESS(21,25))-INDIRECT(ADDRESS(16,26))+INDIRECT(ADDRESS(17,26))-INDIRECT(ADDRESS(20,26)),INDIRECT(ADDRESS(21,25))-INDIRECT(ADDRESS(16,26))+INDIRECT(ADDRESS(19,26))-INDIRECT(ADDRESS(20,26)))</f>
        <v>0</v>
      </c>
      <c r="AA21">
        <f>IF(DAY(NOW())&lt;M3,INDIRECT(ADDRESS(21,26))-INDIRECT(ADDRESS(16,27))+INDIRECT(ADDRESS(17,27))-INDIRECT(ADDRESS(20,27)),INDIRECT(ADDRESS(21,26))-INDIRECT(ADDRESS(16,27))+INDIRECT(ADDRESS(19,27))-INDIRECT(ADDRESS(20,27)))</f>
        <v>0</v>
      </c>
      <c r="AB21">
        <f>IF(DAY(NOW())&lt;M3,INDIRECT(ADDRESS(21,27))-INDIRECT(ADDRESS(16,28))+INDIRECT(ADDRESS(17,28))-INDIRECT(ADDRESS(20,28)),INDIRECT(ADDRESS(21,27))-INDIRECT(ADDRESS(16,28))+INDIRECT(ADDRESS(19,28))-INDIRECT(ADDRESS(20,28)))</f>
        <v>0</v>
      </c>
      <c r="AC21">
        <f>IF(DAY(NOW())&lt;M3,INDIRECT(ADDRESS(21,28))-INDIRECT(ADDRESS(16,29))+INDIRECT(ADDRESS(17,29))-INDIRECT(ADDRESS(20,29)),INDIRECT(ADDRESS(21,28))-INDIRECT(ADDRESS(16,29))+INDIRECT(ADDRESS(19,29))-INDIRECT(ADDRESS(20,29)))</f>
        <v>0</v>
      </c>
      <c r="AD21">
        <f>IF(DAY(NOW())&lt;M3,INDIRECT(ADDRESS(21,29))-INDIRECT(ADDRESS(16,30))+INDIRECT(ADDRESS(17,30))-INDIRECT(ADDRESS(20,30)),INDIRECT(ADDRESS(21,29))-INDIRECT(ADDRESS(16,30))+INDIRECT(ADDRESS(19,30))-INDIRECT(ADDRESS(20,30)))</f>
        <v>0</v>
      </c>
      <c r="AE21">
        <f>IF(DAY(NOW())&lt;M3,INDIRECT(ADDRESS(21,30))-INDIRECT(ADDRESS(16,31))+INDIRECT(ADDRESS(17,31))-INDIRECT(ADDRESS(20,31)),INDIRECT(ADDRESS(21,30))-INDIRECT(ADDRESS(16,31))+INDIRECT(ADDRESS(19,31))-INDIRECT(ADDRESS(20,31)))</f>
        <v>0</v>
      </c>
      <c r="AF21">
        <f>IF(DAY(NOW())&lt;M3,INDIRECT(ADDRESS(21,31))-INDIRECT(ADDRESS(16,32))+INDIRECT(ADDRESS(17,32))-INDIRECT(ADDRESS(20,32)),INDIRECT(ADDRESS(21,31))-INDIRECT(ADDRESS(16,32))+INDIRECT(ADDRESS(19,32))-INDIRECT(ADDRESS(20,32)))</f>
        <v>0</v>
      </c>
      <c r="AG21">
        <f>IF(DAY(NOW())&lt;M3,INDIRECT(ADDRESS(21,32))-INDIRECT(ADDRESS(16,33))+INDIRECT(ADDRESS(17,33))-INDIRECT(ADDRESS(20,33)),INDIRECT(ADDRESS(21,32))-INDIRECT(ADDRESS(16,33))+INDIRECT(ADDRESS(19,33))-INDIRECT(ADDRESS(20,33)))</f>
        <v>0</v>
      </c>
      <c r="AH21">
        <f>IF(DAY(NOW())&lt;M3,INDIRECT(ADDRESS(21,33))-INDIRECT(ADDRESS(16,34))+INDIRECT(ADDRESS(17,34))-INDIRECT(ADDRESS(20,34)),INDIRECT(ADDRESS(21,33))-INDIRECT(ADDRESS(16,34))+INDIRECT(ADDRESS(19,34))-INDIRECT(ADDRESS(20,34)))</f>
        <v>0</v>
      </c>
      <c r="AI21">
        <f>IF(DAY(NOW())&lt;M3,INDIRECT(ADDRESS(21,34))-INDIRECT(ADDRESS(16,35))+INDIRECT(ADDRESS(17,35))-INDIRECT(ADDRESS(20,35)),INDIRECT(ADDRESS(21,34))-INDIRECT(ADDRESS(16,35))+INDIRECT(ADDRESS(19,35))-INDIRECT(ADDRESS(20,35)))</f>
        <v>0</v>
      </c>
      <c r="AJ21">
        <f>IF(DAY(NOW())&lt;M3,INDIRECT(ADDRESS(21,35))-INDIRECT(ADDRESS(16,36))+INDIRECT(ADDRESS(17,36))-INDIRECT(ADDRESS(20,36)),INDIRECT(ADDRESS(21,35))-INDIRECT(ADDRESS(16,36))+INDIRECT(ADDRESS(19,36))-INDIRECT(ADDRESS(20,36)))</f>
        <v>0</v>
      </c>
      <c r="AK21">
        <f>IF(DAY(NOW())&lt;M3,INDIRECT(ADDRESS(21,36))-INDIRECT(ADDRESS(16,37))+INDIRECT(ADDRESS(17,37))-INDIRECT(ADDRESS(20,37)),INDIRECT(ADDRESS(21,36))-INDIRECT(ADDRESS(16,37))+INDIRECT(ADDRESS(19,37))-INDIRECT(ADDRESS(20,37)))</f>
        <v>0</v>
      </c>
      <c r="AL21">
        <f>IF(DAY(NOW())&lt;M3,INDIRECT(ADDRESS(21,37))-INDIRECT(ADDRESS(16,38))+INDIRECT(ADDRESS(17,38))-INDIRECT(ADDRESS(20,38)),INDIRECT(ADDRESS(21,37))-INDIRECT(ADDRESS(16,38))+INDIRECT(ADDRESS(19,38))-INDIRECT(ADDRESS(20,38)))</f>
        <v>0</v>
      </c>
      <c r="AM21">
        <f>IF(DAY(NOW())&lt;M3,INDIRECT(ADDRESS(21,38))-INDIRECT(ADDRESS(16,39))+INDIRECT(ADDRESS(17,39))-INDIRECT(ADDRESS(20,39)),INDIRECT(ADDRESS(21,38))-INDIRECT(ADDRESS(16,39))+INDIRECT(ADDRESS(19,39))-INDIRECT(ADDRESS(20,39)))</f>
        <v>0</v>
      </c>
      <c r="AN21">
        <f>IF(DAY(NOW())&lt;M3,INDIRECT(ADDRESS(21,39))-INDIRECT(ADDRESS(16,40))+INDIRECT(ADDRESS(17,40))-INDIRECT(ADDRESS(20,40)),INDIRECT(ADDRESS(21,39))-INDIRECT(ADDRESS(16,40))+INDIRECT(ADDRESS(19,40))-INDIRECT(ADDRESS(20,40)))</f>
        <v>0</v>
      </c>
      <c r="AO21">
        <f>IF(DAY(NOW())&lt;M3,INDIRECT(ADDRESS(21,40))-INDIRECT(ADDRESS(16,41))+INDIRECT(ADDRESS(17,41))-INDIRECT(ADDRESS(20,41)),INDIRECT(ADDRESS(21,40))-INDIRECT(ADDRESS(16,41))+INDIRECT(ADDRESS(19,41))-INDIRECT(ADDRESS(20,41)))</f>
        <v>0</v>
      </c>
      <c r="AP21">
        <f>IF(DAY(NOW())&lt;M3,INDIRECT(ADDRESS(21,41))-INDIRECT(ADDRESS(16,42))+INDIRECT(ADDRESS(17,42))-INDIRECT(ADDRESS(20,42)),INDIRECT(ADDRESS(21,41))-INDIRECT(ADDRESS(16,42))+INDIRECT(ADDRESS(19,42))-INDIRECT(ADDRESS(20,42)))</f>
        <v>0</v>
      </c>
      <c r="AQ21">
        <f>IF(DAY(NOW())&lt;M3,INDIRECT(ADDRESS(21,42))-INDIRECT(ADDRESS(16,43))+INDIRECT(ADDRESS(17,43))-INDIRECT(ADDRESS(20,43)),INDIRECT(ADDRESS(21,42))-INDIRECT(ADDRESS(16,43))+INDIRECT(ADDRESS(19,43))-INDIRECT(ADDRESS(20,43)))</f>
        <v>0</v>
      </c>
      <c r="AR21">
        <f>IF(DAY(NOW())&lt;M3,INDIRECT(ADDRESS(21,43))-INDIRECT(ADDRESS(16,44))+INDIRECT(ADDRESS(17,44))-INDIRECT(ADDRESS(20,44)),INDIRECT(ADDRESS(21,43))-INDIRECT(ADDRESS(16,44))+INDIRECT(ADDRESS(19,44))-INDIRECT(ADDRESS(20,44)))</f>
        <v>0</v>
      </c>
    </row>
    <row r="22" spans="1:76">
      <c r="A22" t="s">
        <v>31</v>
      </c>
      <c r="B22" t="s">
        <v>32</v>
      </c>
      <c r="C22" t="s">
        <v>33</v>
      </c>
      <c r="D22" t="s">
        <v>17</v>
      </c>
      <c r="E22">
        <v>1</v>
      </c>
      <c r="F22" t="s">
        <v>34</v>
      </c>
      <c r="H22" t="s">
        <v>35</v>
      </c>
      <c r="I22" t="s">
        <v>36</v>
      </c>
      <c r="K22" t="s">
        <v>20</v>
      </c>
      <c r="L22" t="s">
        <v>21</v>
      </c>
      <c r="M22">
        <f>sumifs(BOM!m:m,BOM!A:A,".1",BOM!B:B,"852-229000-100")</f>
        <v>0</v>
      </c>
      <c r="N22">
        <f>sumifs(BOM!n:n,BOM!A:A,".1",BOM!B:B,"852-229000-100")</f>
        <v>0</v>
      </c>
      <c r="O22">
        <f>sumifs(BOM!o:o,BOM!A:A,".1",BOM!B:B,"852-229000-100")</f>
        <v>0</v>
      </c>
      <c r="P22">
        <f>sumifs(BOM!p:p,BOM!A:A,".1",BOM!B:B,"852-229000-100")</f>
        <v>0</v>
      </c>
      <c r="Q22">
        <f>sumifs(BOM!q:q,BOM!A:A,".1",BOM!B:B,"852-229000-100")</f>
        <v>0</v>
      </c>
      <c r="R22">
        <f>sumifs(BOM!r:r,BOM!A:A,".1",BOM!B:B,"852-229000-100")</f>
        <v>0</v>
      </c>
      <c r="S22">
        <f>sumifs(BOM!s:s,BOM!A:A,".1",BOM!B:B,"852-229000-100")</f>
        <v>0</v>
      </c>
      <c r="T22">
        <f>sumifs(BOM!t:t,BOM!A:A,".1",BOM!B:B,"852-229000-100")</f>
        <v>0</v>
      </c>
      <c r="U22">
        <f>sumifs(BOM!u:u,BOM!A:A,".1",BOM!B:B,"852-229000-100")</f>
        <v>0</v>
      </c>
      <c r="V22">
        <f>sumifs(BOM!v:v,BOM!A:A,".1",BOM!B:B,"852-229000-100")</f>
        <v>0</v>
      </c>
      <c r="W22">
        <f>sumifs(BOM!w:w,BOM!A:A,".1",BOM!B:B,"852-229000-100")</f>
        <v>0</v>
      </c>
      <c r="X22">
        <f>sumifs(BOM!x:x,BOM!A:A,".1",BOM!B:B,"852-229000-100")</f>
        <v>0</v>
      </c>
      <c r="Y22">
        <f>sumifs(BOM!y:y,BOM!A:A,".1",BOM!B:B,"852-229000-100")</f>
        <v>0</v>
      </c>
      <c r="Z22">
        <f>sumifs(BOM!z:z,BOM!A:A,".1",BOM!B:B,"852-229000-100")</f>
        <v>0</v>
      </c>
      <c r="AA22">
        <f>sumifs(BOM!aa:aa,BOM!A:A,".1",BOM!B:B,"852-229000-100")</f>
        <v>0</v>
      </c>
      <c r="AB22">
        <f>sumifs(BOM!ab:ab,BOM!A:A,".1",BOM!B:B,"852-229000-100")</f>
        <v>0</v>
      </c>
      <c r="AC22">
        <f>sumifs(BOM!ac:ac,BOM!A:A,".1",BOM!B:B,"852-229000-100")</f>
        <v>0</v>
      </c>
      <c r="AD22">
        <f>sumifs(BOM!ad:ad,BOM!A:A,".1",BOM!B:B,"852-229000-100")</f>
        <v>0</v>
      </c>
      <c r="AE22">
        <f>sumifs(BOM!ae:ae,BOM!A:A,".1",BOM!B:B,"852-229000-100")</f>
        <v>0</v>
      </c>
      <c r="AF22">
        <f>sumifs(BOM!af:af,BOM!A:A,".1",BOM!B:B,"852-229000-100")</f>
        <v>0</v>
      </c>
      <c r="AG22">
        <f>sumifs(BOM!ag:ag,BOM!A:A,".1",BOM!B:B,"852-229000-100")</f>
        <v>0</v>
      </c>
      <c r="AH22">
        <f>sumifs(BOM!ah:ah,BOM!A:A,".1",BOM!B:B,"852-229000-100")</f>
        <v>0</v>
      </c>
      <c r="AI22">
        <f>sumifs(BOM!ai:ai,BOM!A:A,".1",BOM!B:B,"852-229000-100")</f>
        <v>0</v>
      </c>
      <c r="AJ22">
        <f>sumifs(BOM!aj:aj,BOM!A:A,".1",BOM!B:B,"852-229000-100")</f>
        <v>0</v>
      </c>
      <c r="AK22">
        <f>sumifs(BOM!ak:ak,BOM!A:A,".1",BOM!B:B,"852-229000-100")</f>
        <v>0</v>
      </c>
      <c r="AL22">
        <f>sumifs(BOM!al:al,BOM!A:A,".1",BOM!B:B,"852-229000-100")</f>
        <v>0</v>
      </c>
      <c r="AM22">
        <f>sumifs(BOM!am:am,BOM!A:A,".1",BOM!B:B,"852-229000-100")</f>
        <v>0</v>
      </c>
      <c r="AN22">
        <f>sumifs(BOM!an:an,BOM!A:A,".1",BOM!B:B,"852-229000-100")</f>
        <v>0</v>
      </c>
      <c r="AO22">
        <f>sumifs(BOM!ao:ao,BOM!A:A,".1",BOM!B:B,"852-229000-100")</f>
        <v>0</v>
      </c>
      <c r="AP22">
        <f>sumifs(BOM!ap:ap,BOM!A:A,".1",BOM!B:B,"852-229000-100")</f>
        <v>0</v>
      </c>
      <c r="AQ22">
        <f>sumifs(BOM!aq:aq,BOM!A:A,".1",BOM!B:B,"852-229000-100")</f>
        <v>0</v>
      </c>
      <c r="AR22">
        <f>sumifs(BOM!ar:ar,BOM!A:A,".1",BOM!B:B,"852-229000-100")</f>
        <v>0</v>
      </c>
      <c r="BX22">
        <f>sum(j22:an22)</f>
        <v>0</v>
      </c>
    </row>
    <row r="23" spans="1:76">
      <c r="A23" t="s">
        <v>31</v>
      </c>
      <c r="B23" t="s">
        <v>32</v>
      </c>
      <c r="C23" t="s">
        <v>33</v>
      </c>
      <c r="D23" t="s">
        <v>17</v>
      </c>
      <c r="E23">
        <v>1</v>
      </c>
      <c r="F23" t="s">
        <v>34</v>
      </c>
      <c r="H23" t="s">
        <v>35</v>
      </c>
      <c r="I23" t="s">
        <v>36</v>
      </c>
      <c r="K23" t="s">
        <v>20</v>
      </c>
      <c r="L23" t="s">
        <v>37</v>
      </c>
    </row>
    <row r="24" spans="1:76">
      <c r="L24" t="s">
        <v>662</v>
      </c>
    </row>
    <row r="25" spans="1:76">
      <c r="L25" t="s">
        <v>663</v>
      </c>
    </row>
    <row r="26" spans="1:76">
      <c r="L26" t="s">
        <v>664</v>
      </c>
    </row>
    <row r="27" spans="1:76">
      <c r="L27" t="s">
        <v>665</v>
      </c>
      <c r="M27">
        <f>IF(DAY(NOW())&lt;M3,INDIRECT(ADDRESS(27,7))-INDIRECT(ADDRESS(22,13))+INDIRECT(ADDRESS(23,13))-INDIRECT(ADDRESS(26,13)),INDIRECT(ADDRESS(27,7))-INDIRECT(ADDRESS(22,13))+INDIRECT(ADDRESS(25,13))-INDIRECT(ADDRESS(26,13)))</f>
        <v>0</v>
      </c>
      <c r="N27">
        <f>IF(DAY(NOW())&lt;M3,INDIRECT(ADDRESS(27,13))-INDIRECT(ADDRESS(22,14))+INDIRECT(ADDRESS(23,14))-INDIRECT(ADDRESS(26,14)),INDIRECT(ADDRESS(27,13))-INDIRECT(ADDRESS(22,14))+INDIRECT(ADDRESS(25,14))-INDIRECT(ADDRESS(26,14)))</f>
        <v>0</v>
      </c>
      <c r="O27">
        <f>IF(DAY(NOW())&lt;M3,INDIRECT(ADDRESS(27,14))-INDIRECT(ADDRESS(22,15))+INDIRECT(ADDRESS(23,15))-INDIRECT(ADDRESS(26,15)),INDIRECT(ADDRESS(27,14))-INDIRECT(ADDRESS(22,15))+INDIRECT(ADDRESS(25,15))-INDIRECT(ADDRESS(26,15)))</f>
        <v>0</v>
      </c>
      <c r="P27">
        <f>IF(DAY(NOW())&lt;M3,INDIRECT(ADDRESS(27,15))-INDIRECT(ADDRESS(22,16))+INDIRECT(ADDRESS(23,16))-INDIRECT(ADDRESS(26,16)),INDIRECT(ADDRESS(27,15))-INDIRECT(ADDRESS(22,16))+INDIRECT(ADDRESS(25,16))-INDIRECT(ADDRESS(26,16)))</f>
        <v>0</v>
      </c>
      <c r="Q27">
        <f>IF(DAY(NOW())&lt;M3,INDIRECT(ADDRESS(27,16))-INDIRECT(ADDRESS(22,17))+INDIRECT(ADDRESS(23,17))-INDIRECT(ADDRESS(26,17)),INDIRECT(ADDRESS(27,16))-INDIRECT(ADDRESS(22,17))+INDIRECT(ADDRESS(25,17))-INDIRECT(ADDRESS(26,17)))</f>
        <v>0</v>
      </c>
      <c r="R27">
        <f>IF(DAY(NOW())&lt;M3,INDIRECT(ADDRESS(27,17))-INDIRECT(ADDRESS(22,18))+INDIRECT(ADDRESS(23,18))-INDIRECT(ADDRESS(26,18)),INDIRECT(ADDRESS(27,17))-INDIRECT(ADDRESS(22,18))+INDIRECT(ADDRESS(25,18))-INDIRECT(ADDRESS(26,18)))</f>
        <v>0</v>
      </c>
      <c r="S27">
        <f>IF(DAY(NOW())&lt;M3,INDIRECT(ADDRESS(27,18))-INDIRECT(ADDRESS(22,19))+INDIRECT(ADDRESS(23,19))-INDIRECT(ADDRESS(26,19)),INDIRECT(ADDRESS(27,18))-INDIRECT(ADDRESS(22,19))+INDIRECT(ADDRESS(25,19))-INDIRECT(ADDRESS(26,19)))</f>
        <v>0</v>
      </c>
      <c r="T27">
        <f>IF(DAY(NOW())&lt;M3,INDIRECT(ADDRESS(27,19))-INDIRECT(ADDRESS(22,20))+INDIRECT(ADDRESS(23,20))-INDIRECT(ADDRESS(26,20)),INDIRECT(ADDRESS(27,19))-INDIRECT(ADDRESS(22,20))+INDIRECT(ADDRESS(25,20))-INDIRECT(ADDRESS(26,20)))</f>
        <v>0</v>
      </c>
      <c r="U27">
        <f>IF(DAY(NOW())&lt;M3,INDIRECT(ADDRESS(27,20))-INDIRECT(ADDRESS(22,21))+INDIRECT(ADDRESS(23,21))-INDIRECT(ADDRESS(26,21)),INDIRECT(ADDRESS(27,20))-INDIRECT(ADDRESS(22,21))+INDIRECT(ADDRESS(25,21))-INDIRECT(ADDRESS(26,21)))</f>
        <v>0</v>
      </c>
      <c r="V27">
        <f>IF(DAY(NOW())&lt;M3,INDIRECT(ADDRESS(27,21))-INDIRECT(ADDRESS(22,22))+INDIRECT(ADDRESS(23,22))-INDIRECT(ADDRESS(26,22)),INDIRECT(ADDRESS(27,21))-INDIRECT(ADDRESS(22,22))+INDIRECT(ADDRESS(25,22))-INDIRECT(ADDRESS(26,22)))</f>
        <v>0</v>
      </c>
      <c r="W27">
        <f>IF(DAY(NOW())&lt;M3,INDIRECT(ADDRESS(27,22))-INDIRECT(ADDRESS(22,23))+INDIRECT(ADDRESS(23,23))-INDIRECT(ADDRESS(26,23)),INDIRECT(ADDRESS(27,22))-INDIRECT(ADDRESS(22,23))+INDIRECT(ADDRESS(25,23))-INDIRECT(ADDRESS(26,23)))</f>
        <v>0</v>
      </c>
      <c r="X27">
        <f>IF(DAY(NOW())&lt;M3,INDIRECT(ADDRESS(27,23))-INDIRECT(ADDRESS(22,24))+INDIRECT(ADDRESS(23,24))-INDIRECT(ADDRESS(26,24)),INDIRECT(ADDRESS(27,23))-INDIRECT(ADDRESS(22,24))+INDIRECT(ADDRESS(25,24))-INDIRECT(ADDRESS(26,24)))</f>
        <v>0</v>
      </c>
      <c r="Y27">
        <f>IF(DAY(NOW())&lt;M3,INDIRECT(ADDRESS(27,24))-INDIRECT(ADDRESS(22,25))+INDIRECT(ADDRESS(23,25))-INDIRECT(ADDRESS(26,25)),INDIRECT(ADDRESS(27,24))-INDIRECT(ADDRESS(22,25))+INDIRECT(ADDRESS(25,25))-INDIRECT(ADDRESS(26,25)))</f>
        <v>0</v>
      </c>
      <c r="Z27">
        <f>IF(DAY(NOW())&lt;M3,INDIRECT(ADDRESS(27,25))-INDIRECT(ADDRESS(22,26))+INDIRECT(ADDRESS(23,26))-INDIRECT(ADDRESS(26,26)),INDIRECT(ADDRESS(27,25))-INDIRECT(ADDRESS(22,26))+INDIRECT(ADDRESS(25,26))-INDIRECT(ADDRESS(26,26)))</f>
        <v>0</v>
      </c>
      <c r="AA27">
        <f>IF(DAY(NOW())&lt;M3,INDIRECT(ADDRESS(27,26))-INDIRECT(ADDRESS(22,27))+INDIRECT(ADDRESS(23,27))-INDIRECT(ADDRESS(26,27)),INDIRECT(ADDRESS(27,26))-INDIRECT(ADDRESS(22,27))+INDIRECT(ADDRESS(25,27))-INDIRECT(ADDRESS(26,27)))</f>
        <v>0</v>
      </c>
      <c r="AB27">
        <f>IF(DAY(NOW())&lt;M3,INDIRECT(ADDRESS(27,27))-INDIRECT(ADDRESS(22,28))+INDIRECT(ADDRESS(23,28))-INDIRECT(ADDRESS(26,28)),INDIRECT(ADDRESS(27,27))-INDIRECT(ADDRESS(22,28))+INDIRECT(ADDRESS(25,28))-INDIRECT(ADDRESS(26,28)))</f>
        <v>0</v>
      </c>
      <c r="AC27">
        <f>IF(DAY(NOW())&lt;M3,INDIRECT(ADDRESS(27,28))-INDIRECT(ADDRESS(22,29))+INDIRECT(ADDRESS(23,29))-INDIRECT(ADDRESS(26,29)),INDIRECT(ADDRESS(27,28))-INDIRECT(ADDRESS(22,29))+INDIRECT(ADDRESS(25,29))-INDIRECT(ADDRESS(26,29)))</f>
        <v>0</v>
      </c>
      <c r="AD27">
        <f>IF(DAY(NOW())&lt;M3,INDIRECT(ADDRESS(27,29))-INDIRECT(ADDRESS(22,30))+INDIRECT(ADDRESS(23,30))-INDIRECT(ADDRESS(26,30)),INDIRECT(ADDRESS(27,29))-INDIRECT(ADDRESS(22,30))+INDIRECT(ADDRESS(25,30))-INDIRECT(ADDRESS(26,30)))</f>
        <v>0</v>
      </c>
      <c r="AE27">
        <f>IF(DAY(NOW())&lt;M3,INDIRECT(ADDRESS(27,30))-INDIRECT(ADDRESS(22,31))+INDIRECT(ADDRESS(23,31))-INDIRECT(ADDRESS(26,31)),INDIRECT(ADDRESS(27,30))-INDIRECT(ADDRESS(22,31))+INDIRECT(ADDRESS(25,31))-INDIRECT(ADDRESS(26,31)))</f>
        <v>0</v>
      </c>
      <c r="AF27">
        <f>IF(DAY(NOW())&lt;M3,INDIRECT(ADDRESS(27,31))-INDIRECT(ADDRESS(22,32))+INDIRECT(ADDRESS(23,32))-INDIRECT(ADDRESS(26,32)),INDIRECT(ADDRESS(27,31))-INDIRECT(ADDRESS(22,32))+INDIRECT(ADDRESS(25,32))-INDIRECT(ADDRESS(26,32)))</f>
        <v>0</v>
      </c>
      <c r="AG27">
        <f>IF(DAY(NOW())&lt;M3,INDIRECT(ADDRESS(27,32))-INDIRECT(ADDRESS(22,33))+INDIRECT(ADDRESS(23,33))-INDIRECT(ADDRESS(26,33)),INDIRECT(ADDRESS(27,32))-INDIRECT(ADDRESS(22,33))+INDIRECT(ADDRESS(25,33))-INDIRECT(ADDRESS(26,33)))</f>
        <v>0</v>
      </c>
      <c r="AH27">
        <f>IF(DAY(NOW())&lt;M3,INDIRECT(ADDRESS(27,33))-INDIRECT(ADDRESS(22,34))+INDIRECT(ADDRESS(23,34))-INDIRECT(ADDRESS(26,34)),INDIRECT(ADDRESS(27,33))-INDIRECT(ADDRESS(22,34))+INDIRECT(ADDRESS(25,34))-INDIRECT(ADDRESS(26,34)))</f>
        <v>0</v>
      </c>
      <c r="AI27">
        <f>IF(DAY(NOW())&lt;M3,INDIRECT(ADDRESS(27,34))-INDIRECT(ADDRESS(22,35))+INDIRECT(ADDRESS(23,35))-INDIRECT(ADDRESS(26,35)),INDIRECT(ADDRESS(27,34))-INDIRECT(ADDRESS(22,35))+INDIRECT(ADDRESS(25,35))-INDIRECT(ADDRESS(26,35)))</f>
        <v>0</v>
      </c>
      <c r="AJ27">
        <f>IF(DAY(NOW())&lt;M3,INDIRECT(ADDRESS(27,35))-INDIRECT(ADDRESS(22,36))+INDIRECT(ADDRESS(23,36))-INDIRECT(ADDRESS(26,36)),INDIRECT(ADDRESS(27,35))-INDIRECT(ADDRESS(22,36))+INDIRECT(ADDRESS(25,36))-INDIRECT(ADDRESS(26,36)))</f>
        <v>0</v>
      </c>
      <c r="AK27">
        <f>IF(DAY(NOW())&lt;M3,INDIRECT(ADDRESS(27,36))-INDIRECT(ADDRESS(22,37))+INDIRECT(ADDRESS(23,37))-INDIRECT(ADDRESS(26,37)),INDIRECT(ADDRESS(27,36))-INDIRECT(ADDRESS(22,37))+INDIRECT(ADDRESS(25,37))-INDIRECT(ADDRESS(26,37)))</f>
        <v>0</v>
      </c>
      <c r="AL27">
        <f>IF(DAY(NOW())&lt;M3,INDIRECT(ADDRESS(27,37))-INDIRECT(ADDRESS(22,38))+INDIRECT(ADDRESS(23,38))-INDIRECT(ADDRESS(26,38)),INDIRECT(ADDRESS(27,37))-INDIRECT(ADDRESS(22,38))+INDIRECT(ADDRESS(25,38))-INDIRECT(ADDRESS(26,38)))</f>
        <v>0</v>
      </c>
      <c r="AM27">
        <f>IF(DAY(NOW())&lt;M3,INDIRECT(ADDRESS(27,38))-INDIRECT(ADDRESS(22,39))+INDIRECT(ADDRESS(23,39))-INDIRECT(ADDRESS(26,39)),INDIRECT(ADDRESS(27,38))-INDIRECT(ADDRESS(22,39))+INDIRECT(ADDRESS(25,39))-INDIRECT(ADDRESS(26,39)))</f>
        <v>0</v>
      </c>
      <c r="AN27">
        <f>IF(DAY(NOW())&lt;M3,INDIRECT(ADDRESS(27,39))-INDIRECT(ADDRESS(22,40))+INDIRECT(ADDRESS(23,40))-INDIRECT(ADDRESS(26,40)),INDIRECT(ADDRESS(27,39))-INDIRECT(ADDRESS(22,40))+INDIRECT(ADDRESS(25,40))-INDIRECT(ADDRESS(26,40)))</f>
        <v>0</v>
      </c>
      <c r="AO27">
        <f>IF(DAY(NOW())&lt;M3,INDIRECT(ADDRESS(27,40))-INDIRECT(ADDRESS(22,41))+INDIRECT(ADDRESS(23,41))-INDIRECT(ADDRESS(26,41)),INDIRECT(ADDRESS(27,40))-INDIRECT(ADDRESS(22,41))+INDIRECT(ADDRESS(25,41))-INDIRECT(ADDRESS(26,41)))</f>
        <v>0</v>
      </c>
      <c r="AP27">
        <f>IF(DAY(NOW())&lt;M3,INDIRECT(ADDRESS(27,41))-INDIRECT(ADDRESS(22,42))+INDIRECT(ADDRESS(23,42))-INDIRECT(ADDRESS(26,42)),INDIRECT(ADDRESS(27,41))-INDIRECT(ADDRESS(22,42))+INDIRECT(ADDRESS(25,42))-INDIRECT(ADDRESS(26,42)))</f>
        <v>0</v>
      </c>
      <c r="AQ27">
        <f>IF(DAY(NOW())&lt;M3,INDIRECT(ADDRESS(27,42))-INDIRECT(ADDRESS(22,43))+INDIRECT(ADDRESS(23,43))-INDIRECT(ADDRESS(26,43)),INDIRECT(ADDRESS(27,42))-INDIRECT(ADDRESS(22,43))+INDIRECT(ADDRESS(25,43))-INDIRECT(ADDRESS(26,43)))</f>
        <v>0</v>
      </c>
      <c r="AR27">
        <f>IF(DAY(NOW())&lt;M3,INDIRECT(ADDRESS(27,43))-INDIRECT(ADDRESS(22,44))+INDIRECT(ADDRESS(23,44))-INDIRECT(ADDRESS(26,44)),INDIRECT(ADDRESS(27,43))-INDIRECT(ADDRESS(22,44))+INDIRECT(ADDRESS(25,44))-INDIRECT(ADDRESS(26,44)))</f>
        <v>0</v>
      </c>
    </row>
    <row r="28" spans="1:76">
      <c r="A28" t="s">
        <v>14</v>
      </c>
      <c r="B28" t="s">
        <v>38</v>
      </c>
      <c r="C28" t="s">
        <v>39</v>
      </c>
      <c r="D28" t="s">
        <v>27</v>
      </c>
      <c r="E28">
        <v>1</v>
      </c>
      <c r="F28" t="s">
        <v>40</v>
      </c>
      <c r="H28" t="s">
        <v>29</v>
      </c>
      <c r="I28" t="s">
        <v>30</v>
      </c>
      <c r="K28" t="s">
        <v>20</v>
      </c>
      <c r="L28" t="s">
        <v>21</v>
      </c>
      <c r="BX28">
        <f>sum(j28:an28)</f>
        <v>0</v>
      </c>
    </row>
    <row r="29" spans="1:76">
      <c r="A29" t="s">
        <v>14</v>
      </c>
      <c r="B29" t="s">
        <v>38</v>
      </c>
      <c r="C29" t="s">
        <v>39</v>
      </c>
      <c r="D29" t="s">
        <v>27</v>
      </c>
      <c r="E29">
        <v>1</v>
      </c>
      <c r="F29" t="s">
        <v>40</v>
      </c>
      <c r="H29" t="s">
        <v>29</v>
      </c>
      <c r="I29" t="s">
        <v>30</v>
      </c>
      <c r="K29" t="s">
        <v>20</v>
      </c>
      <c r="L29" t="s">
        <v>37</v>
      </c>
    </row>
    <row r="30" spans="1:76">
      <c r="L30" t="s">
        <v>662</v>
      </c>
    </row>
    <row r="31" spans="1:76">
      <c r="L31" t="s">
        <v>663</v>
      </c>
    </row>
    <row r="32" spans="1:76">
      <c r="L32" t="s">
        <v>664</v>
      </c>
    </row>
    <row r="33" spans="1:76">
      <c r="L33" t="s">
        <v>665</v>
      </c>
      <c r="M33">
        <f>IF(DAY(NOW())&lt;M3,INDIRECT(ADDRESS(33,7))-INDIRECT(ADDRESS(28,13))+INDIRECT(ADDRESS(29,13))-INDIRECT(ADDRESS(32,13)),INDIRECT(ADDRESS(33,7))-INDIRECT(ADDRESS(28,13))+INDIRECT(ADDRESS(31,13))-INDIRECT(ADDRESS(32,13)))</f>
        <v>0</v>
      </c>
      <c r="N33">
        <f>IF(DAY(NOW())&lt;M3,INDIRECT(ADDRESS(33,13))-INDIRECT(ADDRESS(28,14))+INDIRECT(ADDRESS(29,14))-INDIRECT(ADDRESS(32,14)),INDIRECT(ADDRESS(33,13))-INDIRECT(ADDRESS(28,14))+INDIRECT(ADDRESS(31,14))-INDIRECT(ADDRESS(32,14)))</f>
        <v>0</v>
      </c>
      <c r="O33">
        <f>IF(DAY(NOW())&lt;M3,INDIRECT(ADDRESS(33,14))-INDIRECT(ADDRESS(28,15))+INDIRECT(ADDRESS(29,15))-INDIRECT(ADDRESS(32,15)),INDIRECT(ADDRESS(33,14))-INDIRECT(ADDRESS(28,15))+INDIRECT(ADDRESS(31,15))-INDIRECT(ADDRESS(32,15)))</f>
        <v>0</v>
      </c>
      <c r="P33">
        <f>IF(DAY(NOW())&lt;M3,INDIRECT(ADDRESS(33,15))-INDIRECT(ADDRESS(28,16))+INDIRECT(ADDRESS(29,16))-INDIRECT(ADDRESS(32,16)),INDIRECT(ADDRESS(33,15))-INDIRECT(ADDRESS(28,16))+INDIRECT(ADDRESS(31,16))-INDIRECT(ADDRESS(32,16)))</f>
        <v>0</v>
      </c>
      <c r="Q33">
        <f>IF(DAY(NOW())&lt;M3,INDIRECT(ADDRESS(33,16))-INDIRECT(ADDRESS(28,17))+INDIRECT(ADDRESS(29,17))-INDIRECT(ADDRESS(32,17)),INDIRECT(ADDRESS(33,16))-INDIRECT(ADDRESS(28,17))+INDIRECT(ADDRESS(31,17))-INDIRECT(ADDRESS(32,17)))</f>
        <v>0</v>
      </c>
      <c r="R33">
        <f>IF(DAY(NOW())&lt;M3,INDIRECT(ADDRESS(33,17))-INDIRECT(ADDRESS(28,18))+INDIRECT(ADDRESS(29,18))-INDIRECT(ADDRESS(32,18)),INDIRECT(ADDRESS(33,17))-INDIRECT(ADDRESS(28,18))+INDIRECT(ADDRESS(31,18))-INDIRECT(ADDRESS(32,18)))</f>
        <v>0</v>
      </c>
      <c r="S33">
        <f>IF(DAY(NOW())&lt;M3,INDIRECT(ADDRESS(33,18))-INDIRECT(ADDRESS(28,19))+INDIRECT(ADDRESS(29,19))-INDIRECT(ADDRESS(32,19)),INDIRECT(ADDRESS(33,18))-INDIRECT(ADDRESS(28,19))+INDIRECT(ADDRESS(31,19))-INDIRECT(ADDRESS(32,19)))</f>
        <v>0</v>
      </c>
      <c r="T33">
        <f>IF(DAY(NOW())&lt;M3,INDIRECT(ADDRESS(33,19))-INDIRECT(ADDRESS(28,20))+INDIRECT(ADDRESS(29,20))-INDIRECT(ADDRESS(32,20)),INDIRECT(ADDRESS(33,19))-INDIRECT(ADDRESS(28,20))+INDIRECT(ADDRESS(31,20))-INDIRECT(ADDRESS(32,20)))</f>
        <v>0</v>
      </c>
      <c r="U33">
        <f>IF(DAY(NOW())&lt;M3,INDIRECT(ADDRESS(33,20))-INDIRECT(ADDRESS(28,21))+INDIRECT(ADDRESS(29,21))-INDIRECT(ADDRESS(32,21)),INDIRECT(ADDRESS(33,20))-INDIRECT(ADDRESS(28,21))+INDIRECT(ADDRESS(31,21))-INDIRECT(ADDRESS(32,21)))</f>
        <v>0</v>
      </c>
      <c r="V33">
        <f>IF(DAY(NOW())&lt;M3,INDIRECT(ADDRESS(33,21))-INDIRECT(ADDRESS(28,22))+INDIRECT(ADDRESS(29,22))-INDIRECT(ADDRESS(32,22)),INDIRECT(ADDRESS(33,21))-INDIRECT(ADDRESS(28,22))+INDIRECT(ADDRESS(31,22))-INDIRECT(ADDRESS(32,22)))</f>
        <v>0</v>
      </c>
      <c r="W33">
        <f>IF(DAY(NOW())&lt;M3,INDIRECT(ADDRESS(33,22))-INDIRECT(ADDRESS(28,23))+INDIRECT(ADDRESS(29,23))-INDIRECT(ADDRESS(32,23)),INDIRECT(ADDRESS(33,22))-INDIRECT(ADDRESS(28,23))+INDIRECT(ADDRESS(31,23))-INDIRECT(ADDRESS(32,23)))</f>
        <v>0</v>
      </c>
      <c r="X33">
        <f>IF(DAY(NOW())&lt;M3,INDIRECT(ADDRESS(33,23))-INDIRECT(ADDRESS(28,24))+INDIRECT(ADDRESS(29,24))-INDIRECT(ADDRESS(32,24)),INDIRECT(ADDRESS(33,23))-INDIRECT(ADDRESS(28,24))+INDIRECT(ADDRESS(31,24))-INDIRECT(ADDRESS(32,24)))</f>
        <v>0</v>
      </c>
      <c r="Y33">
        <f>IF(DAY(NOW())&lt;M3,INDIRECT(ADDRESS(33,24))-INDIRECT(ADDRESS(28,25))+INDIRECT(ADDRESS(29,25))-INDIRECT(ADDRESS(32,25)),INDIRECT(ADDRESS(33,24))-INDIRECT(ADDRESS(28,25))+INDIRECT(ADDRESS(31,25))-INDIRECT(ADDRESS(32,25)))</f>
        <v>0</v>
      </c>
      <c r="Z33">
        <f>IF(DAY(NOW())&lt;M3,INDIRECT(ADDRESS(33,25))-INDIRECT(ADDRESS(28,26))+INDIRECT(ADDRESS(29,26))-INDIRECT(ADDRESS(32,26)),INDIRECT(ADDRESS(33,25))-INDIRECT(ADDRESS(28,26))+INDIRECT(ADDRESS(31,26))-INDIRECT(ADDRESS(32,26)))</f>
        <v>0</v>
      </c>
      <c r="AA33">
        <f>IF(DAY(NOW())&lt;M3,INDIRECT(ADDRESS(33,26))-INDIRECT(ADDRESS(28,27))+INDIRECT(ADDRESS(29,27))-INDIRECT(ADDRESS(32,27)),INDIRECT(ADDRESS(33,26))-INDIRECT(ADDRESS(28,27))+INDIRECT(ADDRESS(31,27))-INDIRECT(ADDRESS(32,27)))</f>
        <v>0</v>
      </c>
      <c r="AB33">
        <f>IF(DAY(NOW())&lt;M3,INDIRECT(ADDRESS(33,27))-INDIRECT(ADDRESS(28,28))+INDIRECT(ADDRESS(29,28))-INDIRECT(ADDRESS(32,28)),INDIRECT(ADDRESS(33,27))-INDIRECT(ADDRESS(28,28))+INDIRECT(ADDRESS(31,28))-INDIRECT(ADDRESS(32,28)))</f>
        <v>0</v>
      </c>
      <c r="AC33">
        <f>IF(DAY(NOW())&lt;M3,INDIRECT(ADDRESS(33,28))-INDIRECT(ADDRESS(28,29))+INDIRECT(ADDRESS(29,29))-INDIRECT(ADDRESS(32,29)),INDIRECT(ADDRESS(33,28))-INDIRECT(ADDRESS(28,29))+INDIRECT(ADDRESS(31,29))-INDIRECT(ADDRESS(32,29)))</f>
        <v>0</v>
      </c>
      <c r="AD33">
        <f>IF(DAY(NOW())&lt;M3,INDIRECT(ADDRESS(33,29))-INDIRECT(ADDRESS(28,30))+INDIRECT(ADDRESS(29,30))-INDIRECT(ADDRESS(32,30)),INDIRECT(ADDRESS(33,29))-INDIRECT(ADDRESS(28,30))+INDIRECT(ADDRESS(31,30))-INDIRECT(ADDRESS(32,30)))</f>
        <v>0</v>
      </c>
      <c r="AE33">
        <f>IF(DAY(NOW())&lt;M3,INDIRECT(ADDRESS(33,30))-INDIRECT(ADDRESS(28,31))+INDIRECT(ADDRESS(29,31))-INDIRECT(ADDRESS(32,31)),INDIRECT(ADDRESS(33,30))-INDIRECT(ADDRESS(28,31))+INDIRECT(ADDRESS(31,31))-INDIRECT(ADDRESS(32,31)))</f>
        <v>0</v>
      </c>
      <c r="AF33">
        <f>IF(DAY(NOW())&lt;M3,INDIRECT(ADDRESS(33,31))-INDIRECT(ADDRESS(28,32))+INDIRECT(ADDRESS(29,32))-INDIRECT(ADDRESS(32,32)),INDIRECT(ADDRESS(33,31))-INDIRECT(ADDRESS(28,32))+INDIRECT(ADDRESS(31,32))-INDIRECT(ADDRESS(32,32)))</f>
        <v>0</v>
      </c>
      <c r="AG33">
        <f>IF(DAY(NOW())&lt;M3,INDIRECT(ADDRESS(33,32))-INDIRECT(ADDRESS(28,33))+INDIRECT(ADDRESS(29,33))-INDIRECT(ADDRESS(32,33)),INDIRECT(ADDRESS(33,32))-INDIRECT(ADDRESS(28,33))+INDIRECT(ADDRESS(31,33))-INDIRECT(ADDRESS(32,33)))</f>
        <v>0</v>
      </c>
      <c r="AH33">
        <f>IF(DAY(NOW())&lt;M3,INDIRECT(ADDRESS(33,33))-INDIRECT(ADDRESS(28,34))+INDIRECT(ADDRESS(29,34))-INDIRECT(ADDRESS(32,34)),INDIRECT(ADDRESS(33,33))-INDIRECT(ADDRESS(28,34))+INDIRECT(ADDRESS(31,34))-INDIRECT(ADDRESS(32,34)))</f>
        <v>0</v>
      </c>
      <c r="AI33">
        <f>IF(DAY(NOW())&lt;M3,INDIRECT(ADDRESS(33,34))-INDIRECT(ADDRESS(28,35))+INDIRECT(ADDRESS(29,35))-INDIRECT(ADDRESS(32,35)),INDIRECT(ADDRESS(33,34))-INDIRECT(ADDRESS(28,35))+INDIRECT(ADDRESS(31,35))-INDIRECT(ADDRESS(32,35)))</f>
        <v>0</v>
      </c>
      <c r="AJ33">
        <f>IF(DAY(NOW())&lt;M3,INDIRECT(ADDRESS(33,35))-INDIRECT(ADDRESS(28,36))+INDIRECT(ADDRESS(29,36))-INDIRECT(ADDRESS(32,36)),INDIRECT(ADDRESS(33,35))-INDIRECT(ADDRESS(28,36))+INDIRECT(ADDRESS(31,36))-INDIRECT(ADDRESS(32,36)))</f>
        <v>0</v>
      </c>
      <c r="AK33">
        <f>IF(DAY(NOW())&lt;M3,INDIRECT(ADDRESS(33,36))-INDIRECT(ADDRESS(28,37))+INDIRECT(ADDRESS(29,37))-INDIRECT(ADDRESS(32,37)),INDIRECT(ADDRESS(33,36))-INDIRECT(ADDRESS(28,37))+INDIRECT(ADDRESS(31,37))-INDIRECT(ADDRESS(32,37)))</f>
        <v>0</v>
      </c>
      <c r="AL33">
        <f>IF(DAY(NOW())&lt;M3,INDIRECT(ADDRESS(33,37))-INDIRECT(ADDRESS(28,38))+INDIRECT(ADDRESS(29,38))-INDIRECT(ADDRESS(32,38)),INDIRECT(ADDRESS(33,37))-INDIRECT(ADDRESS(28,38))+INDIRECT(ADDRESS(31,38))-INDIRECT(ADDRESS(32,38)))</f>
        <v>0</v>
      </c>
      <c r="AM33">
        <f>IF(DAY(NOW())&lt;M3,INDIRECT(ADDRESS(33,38))-INDIRECT(ADDRESS(28,39))+INDIRECT(ADDRESS(29,39))-INDIRECT(ADDRESS(32,39)),INDIRECT(ADDRESS(33,38))-INDIRECT(ADDRESS(28,39))+INDIRECT(ADDRESS(31,39))-INDIRECT(ADDRESS(32,39)))</f>
        <v>0</v>
      </c>
      <c r="AN33">
        <f>IF(DAY(NOW())&lt;M3,INDIRECT(ADDRESS(33,39))-INDIRECT(ADDRESS(28,40))+INDIRECT(ADDRESS(29,40))-INDIRECT(ADDRESS(32,40)),INDIRECT(ADDRESS(33,39))-INDIRECT(ADDRESS(28,40))+INDIRECT(ADDRESS(31,40))-INDIRECT(ADDRESS(32,40)))</f>
        <v>0</v>
      </c>
      <c r="AO33">
        <f>IF(DAY(NOW())&lt;M3,INDIRECT(ADDRESS(33,40))-INDIRECT(ADDRESS(28,41))+INDIRECT(ADDRESS(29,41))-INDIRECT(ADDRESS(32,41)),INDIRECT(ADDRESS(33,40))-INDIRECT(ADDRESS(28,41))+INDIRECT(ADDRESS(31,41))-INDIRECT(ADDRESS(32,41)))</f>
        <v>0</v>
      </c>
      <c r="AP33">
        <f>IF(DAY(NOW())&lt;M3,INDIRECT(ADDRESS(33,41))-INDIRECT(ADDRESS(28,42))+INDIRECT(ADDRESS(29,42))-INDIRECT(ADDRESS(32,42)),INDIRECT(ADDRESS(33,41))-INDIRECT(ADDRESS(28,42))+INDIRECT(ADDRESS(31,42))-INDIRECT(ADDRESS(32,42)))</f>
        <v>0</v>
      </c>
      <c r="AQ33">
        <f>IF(DAY(NOW())&lt;M3,INDIRECT(ADDRESS(33,42))-INDIRECT(ADDRESS(28,43))+INDIRECT(ADDRESS(29,43))-INDIRECT(ADDRESS(32,43)),INDIRECT(ADDRESS(33,42))-INDIRECT(ADDRESS(28,43))+INDIRECT(ADDRESS(31,43))-INDIRECT(ADDRESS(32,43)))</f>
        <v>0</v>
      </c>
      <c r="AR33">
        <f>IF(DAY(NOW())&lt;M3,INDIRECT(ADDRESS(33,43))-INDIRECT(ADDRESS(28,44))+INDIRECT(ADDRESS(29,44))-INDIRECT(ADDRESS(32,44)),INDIRECT(ADDRESS(33,43))-INDIRECT(ADDRESS(28,44))+INDIRECT(ADDRESS(31,44))-INDIRECT(ADDRESS(32,44)))</f>
        <v>0</v>
      </c>
    </row>
    <row r="34" spans="1:76">
      <c r="A34" t="s">
        <v>31</v>
      </c>
      <c r="B34" t="s">
        <v>41</v>
      </c>
      <c r="C34" t="s">
        <v>42</v>
      </c>
      <c r="D34" t="s">
        <v>17</v>
      </c>
      <c r="E34">
        <v>1</v>
      </c>
      <c r="F34" t="s">
        <v>43</v>
      </c>
      <c r="H34" t="s">
        <v>35</v>
      </c>
      <c r="I34" t="s">
        <v>36</v>
      </c>
      <c r="K34" t="s">
        <v>20</v>
      </c>
      <c r="L34" t="s">
        <v>21</v>
      </c>
      <c r="M34">
        <f>sumifs(BOM!m:m,BOM!A:A,".1",BOM!B:B,"852-229000-200")</f>
        <v>0</v>
      </c>
      <c r="N34">
        <f>sumifs(BOM!n:n,BOM!A:A,".1",BOM!B:B,"852-229000-200")</f>
        <v>0</v>
      </c>
      <c r="O34">
        <f>sumifs(BOM!o:o,BOM!A:A,".1",BOM!B:B,"852-229000-200")</f>
        <v>0</v>
      </c>
      <c r="P34">
        <f>sumifs(BOM!p:p,BOM!A:A,".1",BOM!B:B,"852-229000-200")</f>
        <v>0</v>
      </c>
      <c r="Q34">
        <f>sumifs(BOM!q:q,BOM!A:A,".1",BOM!B:B,"852-229000-200")</f>
        <v>0</v>
      </c>
      <c r="R34">
        <f>sumifs(BOM!r:r,BOM!A:A,".1",BOM!B:B,"852-229000-200")</f>
        <v>0</v>
      </c>
      <c r="S34">
        <f>sumifs(BOM!s:s,BOM!A:A,".1",BOM!B:B,"852-229000-200")</f>
        <v>0</v>
      </c>
      <c r="T34">
        <f>sumifs(BOM!t:t,BOM!A:A,".1",BOM!B:B,"852-229000-200")</f>
        <v>0</v>
      </c>
      <c r="U34">
        <f>sumifs(BOM!u:u,BOM!A:A,".1",BOM!B:B,"852-229000-200")</f>
        <v>0</v>
      </c>
      <c r="V34">
        <f>sumifs(BOM!v:v,BOM!A:A,".1",BOM!B:B,"852-229000-200")</f>
        <v>0</v>
      </c>
      <c r="W34">
        <f>sumifs(BOM!w:w,BOM!A:A,".1",BOM!B:B,"852-229000-200")</f>
        <v>0</v>
      </c>
      <c r="X34">
        <f>sumifs(BOM!x:x,BOM!A:A,".1",BOM!B:B,"852-229000-200")</f>
        <v>0</v>
      </c>
      <c r="Y34">
        <f>sumifs(BOM!y:y,BOM!A:A,".1",BOM!B:B,"852-229000-200")</f>
        <v>0</v>
      </c>
      <c r="Z34">
        <f>sumifs(BOM!z:z,BOM!A:A,".1",BOM!B:B,"852-229000-200")</f>
        <v>0</v>
      </c>
      <c r="AA34">
        <f>sumifs(BOM!aa:aa,BOM!A:A,".1",BOM!B:B,"852-229000-200")</f>
        <v>0</v>
      </c>
      <c r="AB34">
        <f>sumifs(BOM!ab:ab,BOM!A:A,".1",BOM!B:B,"852-229000-200")</f>
        <v>0</v>
      </c>
      <c r="AC34">
        <f>sumifs(BOM!ac:ac,BOM!A:A,".1",BOM!B:B,"852-229000-200")</f>
        <v>0</v>
      </c>
      <c r="AD34">
        <f>sumifs(BOM!ad:ad,BOM!A:A,".1",BOM!B:B,"852-229000-200")</f>
        <v>0</v>
      </c>
      <c r="AE34">
        <f>sumifs(BOM!ae:ae,BOM!A:A,".1",BOM!B:B,"852-229000-200")</f>
        <v>0</v>
      </c>
      <c r="AF34">
        <f>sumifs(BOM!af:af,BOM!A:A,".1",BOM!B:B,"852-229000-200")</f>
        <v>0</v>
      </c>
      <c r="AG34">
        <f>sumifs(BOM!ag:ag,BOM!A:A,".1",BOM!B:B,"852-229000-200")</f>
        <v>0</v>
      </c>
      <c r="AH34">
        <f>sumifs(BOM!ah:ah,BOM!A:A,".1",BOM!B:B,"852-229000-200")</f>
        <v>0</v>
      </c>
      <c r="AI34">
        <f>sumifs(BOM!ai:ai,BOM!A:A,".1",BOM!B:B,"852-229000-200")</f>
        <v>0</v>
      </c>
      <c r="AJ34">
        <f>sumifs(BOM!aj:aj,BOM!A:A,".1",BOM!B:B,"852-229000-200")</f>
        <v>0</v>
      </c>
      <c r="AK34">
        <f>sumifs(BOM!ak:ak,BOM!A:A,".1",BOM!B:B,"852-229000-200")</f>
        <v>0</v>
      </c>
      <c r="AL34">
        <f>sumifs(BOM!al:al,BOM!A:A,".1",BOM!B:B,"852-229000-200")</f>
        <v>0</v>
      </c>
      <c r="AM34">
        <f>sumifs(BOM!am:am,BOM!A:A,".1",BOM!B:B,"852-229000-200")</f>
        <v>0</v>
      </c>
      <c r="AN34">
        <f>sumifs(BOM!an:an,BOM!A:A,".1",BOM!B:B,"852-229000-200")</f>
        <v>0</v>
      </c>
      <c r="AO34">
        <f>sumifs(BOM!ao:ao,BOM!A:A,".1",BOM!B:B,"852-229000-200")</f>
        <v>0</v>
      </c>
      <c r="AP34">
        <f>sumifs(BOM!ap:ap,BOM!A:A,".1",BOM!B:B,"852-229000-200")</f>
        <v>0</v>
      </c>
      <c r="AQ34">
        <f>sumifs(BOM!aq:aq,BOM!A:A,".1",BOM!B:B,"852-229000-200")</f>
        <v>0</v>
      </c>
      <c r="AR34">
        <f>sumifs(BOM!ar:ar,BOM!A:A,".1",BOM!B:B,"852-229000-200")</f>
        <v>0</v>
      </c>
      <c r="BX34">
        <f>sum(j34:an34)</f>
        <v>0</v>
      </c>
    </row>
    <row r="35" spans="1:76">
      <c r="A35" t="s">
        <v>31</v>
      </c>
      <c r="B35" t="s">
        <v>41</v>
      </c>
      <c r="C35" t="s">
        <v>42</v>
      </c>
      <c r="D35" t="s">
        <v>17</v>
      </c>
      <c r="E35">
        <v>1</v>
      </c>
      <c r="F35" t="s">
        <v>43</v>
      </c>
      <c r="H35" t="s">
        <v>35</v>
      </c>
      <c r="I35" t="s">
        <v>36</v>
      </c>
      <c r="K35" t="s">
        <v>20</v>
      </c>
      <c r="L35" t="s">
        <v>37</v>
      </c>
    </row>
    <row r="36" spans="1:76">
      <c r="L36" t="s">
        <v>662</v>
      </c>
    </row>
    <row r="37" spans="1:76">
      <c r="L37" t="s">
        <v>663</v>
      </c>
    </row>
    <row r="38" spans="1:76">
      <c r="L38" t="s">
        <v>664</v>
      </c>
    </row>
    <row r="39" spans="1:76">
      <c r="L39" t="s">
        <v>665</v>
      </c>
      <c r="M39">
        <f>IF(DAY(NOW())&lt;M3,INDIRECT(ADDRESS(39,7))-INDIRECT(ADDRESS(34,13))+INDIRECT(ADDRESS(35,13))-INDIRECT(ADDRESS(38,13)),INDIRECT(ADDRESS(39,7))-INDIRECT(ADDRESS(34,13))+INDIRECT(ADDRESS(37,13))-INDIRECT(ADDRESS(38,13)))</f>
        <v>0</v>
      </c>
      <c r="N39">
        <f>IF(DAY(NOW())&lt;M3,INDIRECT(ADDRESS(39,13))-INDIRECT(ADDRESS(34,14))+INDIRECT(ADDRESS(35,14))-INDIRECT(ADDRESS(38,14)),INDIRECT(ADDRESS(39,13))-INDIRECT(ADDRESS(34,14))+INDIRECT(ADDRESS(37,14))-INDIRECT(ADDRESS(38,14)))</f>
        <v>0</v>
      </c>
      <c r="O39">
        <f>IF(DAY(NOW())&lt;M3,INDIRECT(ADDRESS(39,14))-INDIRECT(ADDRESS(34,15))+INDIRECT(ADDRESS(35,15))-INDIRECT(ADDRESS(38,15)),INDIRECT(ADDRESS(39,14))-INDIRECT(ADDRESS(34,15))+INDIRECT(ADDRESS(37,15))-INDIRECT(ADDRESS(38,15)))</f>
        <v>0</v>
      </c>
      <c r="P39">
        <f>IF(DAY(NOW())&lt;M3,INDIRECT(ADDRESS(39,15))-INDIRECT(ADDRESS(34,16))+INDIRECT(ADDRESS(35,16))-INDIRECT(ADDRESS(38,16)),INDIRECT(ADDRESS(39,15))-INDIRECT(ADDRESS(34,16))+INDIRECT(ADDRESS(37,16))-INDIRECT(ADDRESS(38,16)))</f>
        <v>0</v>
      </c>
      <c r="Q39">
        <f>IF(DAY(NOW())&lt;M3,INDIRECT(ADDRESS(39,16))-INDIRECT(ADDRESS(34,17))+INDIRECT(ADDRESS(35,17))-INDIRECT(ADDRESS(38,17)),INDIRECT(ADDRESS(39,16))-INDIRECT(ADDRESS(34,17))+INDIRECT(ADDRESS(37,17))-INDIRECT(ADDRESS(38,17)))</f>
        <v>0</v>
      </c>
      <c r="R39">
        <f>IF(DAY(NOW())&lt;M3,INDIRECT(ADDRESS(39,17))-INDIRECT(ADDRESS(34,18))+INDIRECT(ADDRESS(35,18))-INDIRECT(ADDRESS(38,18)),INDIRECT(ADDRESS(39,17))-INDIRECT(ADDRESS(34,18))+INDIRECT(ADDRESS(37,18))-INDIRECT(ADDRESS(38,18)))</f>
        <v>0</v>
      </c>
      <c r="S39">
        <f>IF(DAY(NOW())&lt;M3,INDIRECT(ADDRESS(39,18))-INDIRECT(ADDRESS(34,19))+INDIRECT(ADDRESS(35,19))-INDIRECT(ADDRESS(38,19)),INDIRECT(ADDRESS(39,18))-INDIRECT(ADDRESS(34,19))+INDIRECT(ADDRESS(37,19))-INDIRECT(ADDRESS(38,19)))</f>
        <v>0</v>
      </c>
      <c r="T39">
        <f>IF(DAY(NOW())&lt;M3,INDIRECT(ADDRESS(39,19))-INDIRECT(ADDRESS(34,20))+INDIRECT(ADDRESS(35,20))-INDIRECT(ADDRESS(38,20)),INDIRECT(ADDRESS(39,19))-INDIRECT(ADDRESS(34,20))+INDIRECT(ADDRESS(37,20))-INDIRECT(ADDRESS(38,20)))</f>
        <v>0</v>
      </c>
      <c r="U39">
        <f>IF(DAY(NOW())&lt;M3,INDIRECT(ADDRESS(39,20))-INDIRECT(ADDRESS(34,21))+INDIRECT(ADDRESS(35,21))-INDIRECT(ADDRESS(38,21)),INDIRECT(ADDRESS(39,20))-INDIRECT(ADDRESS(34,21))+INDIRECT(ADDRESS(37,21))-INDIRECT(ADDRESS(38,21)))</f>
        <v>0</v>
      </c>
      <c r="V39">
        <f>IF(DAY(NOW())&lt;M3,INDIRECT(ADDRESS(39,21))-INDIRECT(ADDRESS(34,22))+INDIRECT(ADDRESS(35,22))-INDIRECT(ADDRESS(38,22)),INDIRECT(ADDRESS(39,21))-INDIRECT(ADDRESS(34,22))+INDIRECT(ADDRESS(37,22))-INDIRECT(ADDRESS(38,22)))</f>
        <v>0</v>
      </c>
      <c r="W39">
        <f>IF(DAY(NOW())&lt;M3,INDIRECT(ADDRESS(39,22))-INDIRECT(ADDRESS(34,23))+INDIRECT(ADDRESS(35,23))-INDIRECT(ADDRESS(38,23)),INDIRECT(ADDRESS(39,22))-INDIRECT(ADDRESS(34,23))+INDIRECT(ADDRESS(37,23))-INDIRECT(ADDRESS(38,23)))</f>
        <v>0</v>
      </c>
      <c r="X39">
        <f>IF(DAY(NOW())&lt;M3,INDIRECT(ADDRESS(39,23))-INDIRECT(ADDRESS(34,24))+INDIRECT(ADDRESS(35,24))-INDIRECT(ADDRESS(38,24)),INDIRECT(ADDRESS(39,23))-INDIRECT(ADDRESS(34,24))+INDIRECT(ADDRESS(37,24))-INDIRECT(ADDRESS(38,24)))</f>
        <v>0</v>
      </c>
      <c r="Y39">
        <f>IF(DAY(NOW())&lt;M3,INDIRECT(ADDRESS(39,24))-INDIRECT(ADDRESS(34,25))+INDIRECT(ADDRESS(35,25))-INDIRECT(ADDRESS(38,25)),INDIRECT(ADDRESS(39,24))-INDIRECT(ADDRESS(34,25))+INDIRECT(ADDRESS(37,25))-INDIRECT(ADDRESS(38,25)))</f>
        <v>0</v>
      </c>
      <c r="Z39">
        <f>IF(DAY(NOW())&lt;M3,INDIRECT(ADDRESS(39,25))-INDIRECT(ADDRESS(34,26))+INDIRECT(ADDRESS(35,26))-INDIRECT(ADDRESS(38,26)),INDIRECT(ADDRESS(39,25))-INDIRECT(ADDRESS(34,26))+INDIRECT(ADDRESS(37,26))-INDIRECT(ADDRESS(38,26)))</f>
        <v>0</v>
      </c>
      <c r="AA39">
        <f>IF(DAY(NOW())&lt;M3,INDIRECT(ADDRESS(39,26))-INDIRECT(ADDRESS(34,27))+INDIRECT(ADDRESS(35,27))-INDIRECT(ADDRESS(38,27)),INDIRECT(ADDRESS(39,26))-INDIRECT(ADDRESS(34,27))+INDIRECT(ADDRESS(37,27))-INDIRECT(ADDRESS(38,27)))</f>
        <v>0</v>
      </c>
      <c r="AB39">
        <f>IF(DAY(NOW())&lt;M3,INDIRECT(ADDRESS(39,27))-INDIRECT(ADDRESS(34,28))+INDIRECT(ADDRESS(35,28))-INDIRECT(ADDRESS(38,28)),INDIRECT(ADDRESS(39,27))-INDIRECT(ADDRESS(34,28))+INDIRECT(ADDRESS(37,28))-INDIRECT(ADDRESS(38,28)))</f>
        <v>0</v>
      </c>
      <c r="AC39">
        <f>IF(DAY(NOW())&lt;M3,INDIRECT(ADDRESS(39,28))-INDIRECT(ADDRESS(34,29))+INDIRECT(ADDRESS(35,29))-INDIRECT(ADDRESS(38,29)),INDIRECT(ADDRESS(39,28))-INDIRECT(ADDRESS(34,29))+INDIRECT(ADDRESS(37,29))-INDIRECT(ADDRESS(38,29)))</f>
        <v>0</v>
      </c>
      <c r="AD39">
        <f>IF(DAY(NOW())&lt;M3,INDIRECT(ADDRESS(39,29))-INDIRECT(ADDRESS(34,30))+INDIRECT(ADDRESS(35,30))-INDIRECT(ADDRESS(38,30)),INDIRECT(ADDRESS(39,29))-INDIRECT(ADDRESS(34,30))+INDIRECT(ADDRESS(37,30))-INDIRECT(ADDRESS(38,30)))</f>
        <v>0</v>
      </c>
      <c r="AE39">
        <f>IF(DAY(NOW())&lt;M3,INDIRECT(ADDRESS(39,30))-INDIRECT(ADDRESS(34,31))+INDIRECT(ADDRESS(35,31))-INDIRECT(ADDRESS(38,31)),INDIRECT(ADDRESS(39,30))-INDIRECT(ADDRESS(34,31))+INDIRECT(ADDRESS(37,31))-INDIRECT(ADDRESS(38,31)))</f>
        <v>0</v>
      </c>
      <c r="AF39">
        <f>IF(DAY(NOW())&lt;M3,INDIRECT(ADDRESS(39,31))-INDIRECT(ADDRESS(34,32))+INDIRECT(ADDRESS(35,32))-INDIRECT(ADDRESS(38,32)),INDIRECT(ADDRESS(39,31))-INDIRECT(ADDRESS(34,32))+INDIRECT(ADDRESS(37,32))-INDIRECT(ADDRESS(38,32)))</f>
        <v>0</v>
      </c>
      <c r="AG39">
        <f>IF(DAY(NOW())&lt;M3,INDIRECT(ADDRESS(39,32))-INDIRECT(ADDRESS(34,33))+INDIRECT(ADDRESS(35,33))-INDIRECT(ADDRESS(38,33)),INDIRECT(ADDRESS(39,32))-INDIRECT(ADDRESS(34,33))+INDIRECT(ADDRESS(37,33))-INDIRECT(ADDRESS(38,33)))</f>
        <v>0</v>
      </c>
      <c r="AH39">
        <f>IF(DAY(NOW())&lt;M3,INDIRECT(ADDRESS(39,33))-INDIRECT(ADDRESS(34,34))+INDIRECT(ADDRESS(35,34))-INDIRECT(ADDRESS(38,34)),INDIRECT(ADDRESS(39,33))-INDIRECT(ADDRESS(34,34))+INDIRECT(ADDRESS(37,34))-INDIRECT(ADDRESS(38,34)))</f>
        <v>0</v>
      </c>
      <c r="AI39">
        <f>IF(DAY(NOW())&lt;M3,INDIRECT(ADDRESS(39,34))-INDIRECT(ADDRESS(34,35))+INDIRECT(ADDRESS(35,35))-INDIRECT(ADDRESS(38,35)),INDIRECT(ADDRESS(39,34))-INDIRECT(ADDRESS(34,35))+INDIRECT(ADDRESS(37,35))-INDIRECT(ADDRESS(38,35)))</f>
        <v>0</v>
      </c>
      <c r="AJ39">
        <f>IF(DAY(NOW())&lt;M3,INDIRECT(ADDRESS(39,35))-INDIRECT(ADDRESS(34,36))+INDIRECT(ADDRESS(35,36))-INDIRECT(ADDRESS(38,36)),INDIRECT(ADDRESS(39,35))-INDIRECT(ADDRESS(34,36))+INDIRECT(ADDRESS(37,36))-INDIRECT(ADDRESS(38,36)))</f>
        <v>0</v>
      </c>
      <c r="AK39">
        <f>IF(DAY(NOW())&lt;M3,INDIRECT(ADDRESS(39,36))-INDIRECT(ADDRESS(34,37))+INDIRECT(ADDRESS(35,37))-INDIRECT(ADDRESS(38,37)),INDIRECT(ADDRESS(39,36))-INDIRECT(ADDRESS(34,37))+INDIRECT(ADDRESS(37,37))-INDIRECT(ADDRESS(38,37)))</f>
        <v>0</v>
      </c>
      <c r="AL39">
        <f>IF(DAY(NOW())&lt;M3,INDIRECT(ADDRESS(39,37))-INDIRECT(ADDRESS(34,38))+INDIRECT(ADDRESS(35,38))-INDIRECT(ADDRESS(38,38)),INDIRECT(ADDRESS(39,37))-INDIRECT(ADDRESS(34,38))+INDIRECT(ADDRESS(37,38))-INDIRECT(ADDRESS(38,38)))</f>
        <v>0</v>
      </c>
      <c r="AM39">
        <f>IF(DAY(NOW())&lt;M3,INDIRECT(ADDRESS(39,38))-INDIRECT(ADDRESS(34,39))+INDIRECT(ADDRESS(35,39))-INDIRECT(ADDRESS(38,39)),INDIRECT(ADDRESS(39,38))-INDIRECT(ADDRESS(34,39))+INDIRECT(ADDRESS(37,39))-INDIRECT(ADDRESS(38,39)))</f>
        <v>0</v>
      </c>
      <c r="AN39">
        <f>IF(DAY(NOW())&lt;M3,INDIRECT(ADDRESS(39,39))-INDIRECT(ADDRESS(34,40))+INDIRECT(ADDRESS(35,40))-INDIRECT(ADDRESS(38,40)),INDIRECT(ADDRESS(39,39))-INDIRECT(ADDRESS(34,40))+INDIRECT(ADDRESS(37,40))-INDIRECT(ADDRESS(38,40)))</f>
        <v>0</v>
      </c>
      <c r="AO39">
        <f>IF(DAY(NOW())&lt;M3,INDIRECT(ADDRESS(39,40))-INDIRECT(ADDRESS(34,41))+INDIRECT(ADDRESS(35,41))-INDIRECT(ADDRESS(38,41)),INDIRECT(ADDRESS(39,40))-INDIRECT(ADDRESS(34,41))+INDIRECT(ADDRESS(37,41))-INDIRECT(ADDRESS(38,41)))</f>
        <v>0</v>
      </c>
      <c r="AP39">
        <f>IF(DAY(NOW())&lt;M3,INDIRECT(ADDRESS(39,41))-INDIRECT(ADDRESS(34,42))+INDIRECT(ADDRESS(35,42))-INDIRECT(ADDRESS(38,42)),INDIRECT(ADDRESS(39,41))-INDIRECT(ADDRESS(34,42))+INDIRECT(ADDRESS(37,42))-INDIRECT(ADDRESS(38,42)))</f>
        <v>0</v>
      </c>
      <c r="AQ39">
        <f>IF(DAY(NOW())&lt;M3,INDIRECT(ADDRESS(39,42))-INDIRECT(ADDRESS(34,43))+INDIRECT(ADDRESS(35,43))-INDIRECT(ADDRESS(38,43)),INDIRECT(ADDRESS(39,42))-INDIRECT(ADDRESS(34,43))+INDIRECT(ADDRESS(37,43))-INDIRECT(ADDRESS(38,43)))</f>
        <v>0</v>
      </c>
      <c r="AR39">
        <f>IF(DAY(NOW())&lt;M3,INDIRECT(ADDRESS(39,43))-INDIRECT(ADDRESS(34,44))+INDIRECT(ADDRESS(35,44))-INDIRECT(ADDRESS(38,44)),INDIRECT(ADDRESS(39,43))-INDIRECT(ADDRESS(34,44))+INDIRECT(ADDRESS(37,44))-INDIRECT(ADDRESS(38,44)))</f>
        <v>0</v>
      </c>
    </row>
    <row r="40" spans="1:76">
      <c r="A40" t="s">
        <v>14</v>
      </c>
      <c r="B40" t="s">
        <v>44</v>
      </c>
      <c r="C40" t="s">
        <v>45</v>
      </c>
      <c r="D40" t="s">
        <v>46</v>
      </c>
      <c r="E40">
        <v>1</v>
      </c>
      <c r="F40" t="s">
        <v>47</v>
      </c>
      <c r="H40" t="s">
        <v>48</v>
      </c>
      <c r="I40" t="s">
        <v>49</v>
      </c>
      <c r="K40" t="s">
        <v>20</v>
      </c>
      <c r="L40" t="s">
        <v>21</v>
      </c>
      <c r="BX40">
        <f>sum(j40:an40)</f>
        <v>0</v>
      </c>
    </row>
    <row r="41" spans="1:76">
      <c r="A41" t="s">
        <v>14</v>
      </c>
      <c r="B41" t="s">
        <v>44</v>
      </c>
      <c r="C41" t="s">
        <v>45</v>
      </c>
      <c r="D41" t="s">
        <v>46</v>
      </c>
      <c r="E41">
        <v>1</v>
      </c>
      <c r="F41" t="s">
        <v>47</v>
      </c>
      <c r="H41" t="s">
        <v>48</v>
      </c>
      <c r="I41" t="s">
        <v>49</v>
      </c>
      <c r="K41" t="s">
        <v>20</v>
      </c>
      <c r="L41" t="s">
        <v>37</v>
      </c>
    </row>
    <row r="42" spans="1:76">
      <c r="L42" t="s">
        <v>662</v>
      </c>
    </row>
    <row r="43" spans="1:76">
      <c r="L43" t="s">
        <v>663</v>
      </c>
    </row>
    <row r="44" spans="1:76">
      <c r="L44" t="s">
        <v>664</v>
      </c>
    </row>
    <row r="45" spans="1:76">
      <c r="L45" t="s">
        <v>665</v>
      </c>
      <c r="M45">
        <f>IF(DAY(NOW())&lt;M3,INDIRECT(ADDRESS(45,7))-INDIRECT(ADDRESS(40,13))+INDIRECT(ADDRESS(41,13))-INDIRECT(ADDRESS(44,13)),INDIRECT(ADDRESS(45,7))-INDIRECT(ADDRESS(40,13))+INDIRECT(ADDRESS(43,13))-INDIRECT(ADDRESS(44,13)))</f>
        <v>0</v>
      </c>
      <c r="N45">
        <f>IF(DAY(NOW())&lt;M3,INDIRECT(ADDRESS(45,13))-INDIRECT(ADDRESS(40,14))+INDIRECT(ADDRESS(41,14))-INDIRECT(ADDRESS(44,14)),INDIRECT(ADDRESS(45,13))-INDIRECT(ADDRESS(40,14))+INDIRECT(ADDRESS(43,14))-INDIRECT(ADDRESS(44,14)))</f>
        <v>0</v>
      </c>
      <c r="O45">
        <f>IF(DAY(NOW())&lt;M3,INDIRECT(ADDRESS(45,14))-INDIRECT(ADDRESS(40,15))+INDIRECT(ADDRESS(41,15))-INDIRECT(ADDRESS(44,15)),INDIRECT(ADDRESS(45,14))-INDIRECT(ADDRESS(40,15))+INDIRECT(ADDRESS(43,15))-INDIRECT(ADDRESS(44,15)))</f>
        <v>0</v>
      </c>
      <c r="P45">
        <f>IF(DAY(NOW())&lt;M3,INDIRECT(ADDRESS(45,15))-INDIRECT(ADDRESS(40,16))+INDIRECT(ADDRESS(41,16))-INDIRECT(ADDRESS(44,16)),INDIRECT(ADDRESS(45,15))-INDIRECT(ADDRESS(40,16))+INDIRECT(ADDRESS(43,16))-INDIRECT(ADDRESS(44,16)))</f>
        <v>0</v>
      </c>
      <c r="Q45">
        <f>IF(DAY(NOW())&lt;M3,INDIRECT(ADDRESS(45,16))-INDIRECT(ADDRESS(40,17))+INDIRECT(ADDRESS(41,17))-INDIRECT(ADDRESS(44,17)),INDIRECT(ADDRESS(45,16))-INDIRECT(ADDRESS(40,17))+INDIRECT(ADDRESS(43,17))-INDIRECT(ADDRESS(44,17)))</f>
        <v>0</v>
      </c>
      <c r="R45">
        <f>IF(DAY(NOW())&lt;M3,INDIRECT(ADDRESS(45,17))-INDIRECT(ADDRESS(40,18))+INDIRECT(ADDRESS(41,18))-INDIRECT(ADDRESS(44,18)),INDIRECT(ADDRESS(45,17))-INDIRECT(ADDRESS(40,18))+INDIRECT(ADDRESS(43,18))-INDIRECT(ADDRESS(44,18)))</f>
        <v>0</v>
      </c>
      <c r="S45">
        <f>IF(DAY(NOW())&lt;M3,INDIRECT(ADDRESS(45,18))-INDIRECT(ADDRESS(40,19))+INDIRECT(ADDRESS(41,19))-INDIRECT(ADDRESS(44,19)),INDIRECT(ADDRESS(45,18))-INDIRECT(ADDRESS(40,19))+INDIRECT(ADDRESS(43,19))-INDIRECT(ADDRESS(44,19)))</f>
        <v>0</v>
      </c>
      <c r="T45">
        <f>IF(DAY(NOW())&lt;M3,INDIRECT(ADDRESS(45,19))-INDIRECT(ADDRESS(40,20))+INDIRECT(ADDRESS(41,20))-INDIRECT(ADDRESS(44,20)),INDIRECT(ADDRESS(45,19))-INDIRECT(ADDRESS(40,20))+INDIRECT(ADDRESS(43,20))-INDIRECT(ADDRESS(44,20)))</f>
        <v>0</v>
      </c>
      <c r="U45">
        <f>IF(DAY(NOW())&lt;M3,INDIRECT(ADDRESS(45,20))-INDIRECT(ADDRESS(40,21))+INDIRECT(ADDRESS(41,21))-INDIRECT(ADDRESS(44,21)),INDIRECT(ADDRESS(45,20))-INDIRECT(ADDRESS(40,21))+INDIRECT(ADDRESS(43,21))-INDIRECT(ADDRESS(44,21)))</f>
        <v>0</v>
      </c>
      <c r="V45">
        <f>IF(DAY(NOW())&lt;M3,INDIRECT(ADDRESS(45,21))-INDIRECT(ADDRESS(40,22))+INDIRECT(ADDRESS(41,22))-INDIRECT(ADDRESS(44,22)),INDIRECT(ADDRESS(45,21))-INDIRECT(ADDRESS(40,22))+INDIRECT(ADDRESS(43,22))-INDIRECT(ADDRESS(44,22)))</f>
        <v>0</v>
      </c>
      <c r="W45">
        <f>IF(DAY(NOW())&lt;M3,INDIRECT(ADDRESS(45,22))-INDIRECT(ADDRESS(40,23))+INDIRECT(ADDRESS(41,23))-INDIRECT(ADDRESS(44,23)),INDIRECT(ADDRESS(45,22))-INDIRECT(ADDRESS(40,23))+INDIRECT(ADDRESS(43,23))-INDIRECT(ADDRESS(44,23)))</f>
        <v>0</v>
      </c>
      <c r="X45">
        <f>IF(DAY(NOW())&lt;M3,INDIRECT(ADDRESS(45,23))-INDIRECT(ADDRESS(40,24))+INDIRECT(ADDRESS(41,24))-INDIRECT(ADDRESS(44,24)),INDIRECT(ADDRESS(45,23))-INDIRECT(ADDRESS(40,24))+INDIRECT(ADDRESS(43,24))-INDIRECT(ADDRESS(44,24)))</f>
        <v>0</v>
      </c>
      <c r="Y45">
        <f>IF(DAY(NOW())&lt;M3,INDIRECT(ADDRESS(45,24))-INDIRECT(ADDRESS(40,25))+INDIRECT(ADDRESS(41,25))-INDIRECT(ADDRESS(44,25)),INDIRECT(ADDRESS(45,24))-INDIRECT(ADDRESS(40,25))+INDIRECT(ADDRESS(43,25))-INDIRECT(ADDRESS(44,25)))</f>
        <v>0</v>
      </c>
      <c r="Z45">
        <f>IF(DAY(NOW())&lt;M3,INDIRECT(ADDRESS(45,25))-INDIRECT(ADDRESS(40,26))+INDIRECT(ADDRESS(41,26))-INDIRECT(ADDRESS(44,26)),INDIRECT(ADDRESS(45,25))-INDIRECT(ADDRESS(40,26))+INDIRECT(ADDRESS(43,26))-INDIRECT(ADDRESS(44,26)))</f>
        <v>0</v>
      </c>
      <c r="AA45">
        <f>IF(DAY(NOW())&lt;M3,INDIRECT(ADDRESS(45,26))-INDIRECT(ADDRESS(40,27))+INDIRECT(ADDRESS(41,27))-INDIRECT(ADDRESS(44,27)),INDIRECT(ADDRESS(45,26))-INDIRECT(ADDRESS(40,27))+INDIRECT(ADDRESS(43,27))-INDIRECT(ADDRESS(44,27)))</f>
        <v>0</v>
      </c>
      <c r="AB45">
        <f>IF(DAY(NOW())&lt;M3,INDIRECT(ADDRESS(45,27))-INDIRECT(ADDRESS(40,28))+INDIRECT(ADDRESS(41,28))-INDIRECT(ADDRESS(44,28)),INDIRECT(ADDRESS(45,27))-INDIRECT(ADDRESS(40,28))+INDIRECT(ADDRESS(43,28))-INDIRECT(ADDRESS(44,28)))</f>
        <v>0</v>
      </c>
      <c r="AC45">
        <f>IF(DAY(NOW())&lt;M3,INDIRECT(ADDRESS(45,28))-INDIRECT(ADDRESS(40,29))+INDIRECT(ADDRESS(41,29))-INDIRECT(ADDRESS(44,29)),INDIRECT(ADDRESS(45,28))-INDIRECT(ADDRESS(40,29))+INDIRECT(ADDRESS(43,29))-INDIRECT(ADDRESS(44,29)))</f>
        <v>0</v>
      </c>
      <c r="AD45">
        <f>IF(DAY(NOW())&lt;M3,INDIRECT(ADDRESS(45,29))-INDIRECT(ADDRESS(40,30))+INDIRECT(ADDRESS(41,30))-INDIRECT(ADDRESS(44,30)),INDIRECT(ADDRESS(45,29))-INDIRECT(ADDRESS(40,30))+INDIRECT(ADDRESS(43,30))-INDIRECT(ADDRESS(44,30)))</f>
        <v>0</v>
      </c>
      <c r="AE45">
        <f>IF(DAY(NOW())&lt;M3,INDIRECT(ADDRESS(45,30))-INDIRECT(ADDRESS(40,31))+INDIRECT(ADDRESS(41,31))-INDIRECT(ADDRESS(44,31)),INDIRECT(ADDRESS(45,30))-INDIRECT(ADDRESS(40,31))+INDIRECT(ADDRESS(43,31))-INDIRECT(ADDRESS(44,31)))</f>
        <v>0</v>
      </c>
      <c r="AF45">
        <f>IF(DAY(NOW())&lt;M3,INDIRECT(ADDRESS(45,31))-INDIRECT(ADDRESS(40,32))+INDIRECT(ADDRESS(41,32))-INDIRECT(ADDRESS(44,32)),INDIRECT(ADDRESS(45,31))-INDIRECT(ADDRESS(40,32))+INDIRECT(ADDRESS(43,32))-INDIRECT(ADDRESS(44,32)))</f>
        <v>0</v>
      </c>
      <c r="AG45">
        <f>IF(DAY(NOW())&lt;M3,INDIRECT(ADDRESS(45,32))-INDIRECT(ADDRESS(40,33))+INDIRECT(ADDRESS(41,33))-INDIRECT(ADDRESS(44,33)),INDIRECT(ADDRESS(45,32))-INDIRECT(ADDRESS(40,33))+INDIRECT(ADDRESS(43,33))-INDIRECT(ADDRESS(44,33)))</f>
        <v>0</v>
      </c>
      <c r="AH45">
        <f>IF(DAY(NOW())&lt;M3,INDIRECT(ADDRESS(45,33))-INDIRECT(ADDRESS(40,34))+INDIRECT(ADDRESS(41,34))-INDIRECT(ADDRESS(44,34)),INDIRECT(ADDRESS(45,33))-INDIRECT(ADDRESS(40,34))+INDIRECT(ADDRESS(43,34))-INDIRECT(ADDRESS(44,34)))</f>
        <v>0</v>
      </c>
      <c r="AI45">
        <f>IF(DAY(NOW())&lt;M3,INDIRECT(ADDRESS(45,34))-INDIRECT(ADDRESS(40,35))+INDIRECT(ADDRESS(41,35))-INDIRECT(ADDRESS(44,35)),INDIRECT(ADDRESS(45,34))-INDIRECT(ADDRESS(40,35))+INDIRECT(ADDRESS(43,35))-INDIRECT(ADDRESS(44,35)))</f>
        <v>0</v>
      </c>
      <c r="AJ45">
        <f>IF(DAY(NOW())&lt;M3,INDIRECT(ADDRESS(45,35))-INDIRECT(ADDRESS(40,36))+INDIRECT(ADDRESS(41,36))-INDIRECT(ADDRESS(44,36)),INDIRECT(ADDRESS(45,35))-INDIRECT(ADDRESS(40,36))+INDIRECT(ADDRESS(43,36))-INDIRECT(ADDRESS(44,36)))</f>
        <v>0</v>
      </c>
      <c r="AK45">
        <f>IF(DAY(NOW())&lt;M3,INDIRECT(ADDRESS(45,36))-INDIRECT(ADDRESS(40,37))+INDIRECT(ADDRESS(41,37))-INDIRECT(ADDRESS(44,37)),INDIRECT(ADDRESS(45,36))-INDIRECT(ADDRESS(40,37))+INDIRECT(ADDRESS(43,37))-INDIRECT(ADDRESS(44,37)))</f>
        <v>0</v>
      </c>
      <c r="AL45">
        <f>IF(DAY(NOW())&lt;M3,INDIRECT(ADDRESS(45,37))-INDIRECT(ADDRESS(40,38))+INDIRECT(ADDRESS(41,38))-INDIRECT(ADDRESS(44,38)),INDIRECT(ADDRESS(45,37))-INDIRECT(ADDRESS(40,38))+INDIRECT(ADDRESS(43,38))-INDIRECT(ADDRESS(44,38)))</f>
        <v>0</v>
      </c>
      <c r="AM45">
        <f>IF(DAY(NOW())&lt;M3,INDIRECT(ADDRESS(45,38))-INDIRECT(ADDRESS(40,39))+INDIRECT(ADDRESS(41,39))-INDIRECT(ADDRESS(44,39)),INDIRECT(ADDRESS(45,38))-INDIRECT(ADDRESS(40,39))+INDIRECT(ADDRESS(43,39))-INDIRECT(ADDRESS(44,39)))</f>
        <v>0</v>
      </c>
      <c r="AN45">
        <f>IF(DAY(NOW())&lt;M3,INDIRECT(ADDRESS(45,39))-INDIRECT(ADDRESS(40,40))+INDIRECT(ADDRESS(41,40))-INDIRECT(ADDRESS(44,40)),INDIRECT(ADDRESS(45,39))-INDIRECT(ADDRESS(40,40))+INDIRECT(ADDRESS(43,40))-INDIRECT(ADDRESS(44,40)))</f>
        <v>0</v>
      </c>
      <c r="AO45">
        <f>IF(DAY(NOW())&lt;M3,INDIRECT(ADDRESS(45,40))-INDIRECT(ADDRESS(40,41))+INDIRECT(ADDRESS(41,41))-INDIRECT(ADDRESS(44,41)),INDIRECT(ADDRESS(45,40))-INDIRECT(ADDRESS(40,41))+INDIRECT(ADDRESS(43,41))-INDIRECT(ADDRESS(44,41)))</f>
        <v>0</v>
      </c>
      <c r="AP45">
        <f>IF(DAY(NOW())&lt;M3,INDIRECT(ADDRESS(45,41))-INDIRECT(ADDRESS(40,42))+INDIRECT(ADDRESS(41,42))-INDIRECT(ADDRESS(44,42)),INDIRECT(ADDRESS(45,41))-INDIRECT(ADDRESS(40,42))+INDIRECT(ADDRESS(43,42))-INDIRECT(ADDRESS(44,42)))</f>
        <v>0</v>
      </c>
      <c r="AQ45">
        <f>IF(DAY(NOW())&lt;M3,INDIRECT(ADDRESS(45,42))-INDIRECT(ADDRESS(40,43))+INDIRECT(ADDRESS(41,43))-INDIRECT(ADDRESS(44,43)),INDIRECT(ADDRESS(45,42))-INDIRECT(ADDRESS(40,43))+INDIRECT(ADDRESS(43,43))-INDIRECT(ADDRESS(44,43)))</f>
        <v>0</v>
      </c>
      <c r="AR45">
        <f>IF(DAY(NOW())&lt;M3,INDIRECT(ADDRESS(45,43))-INDIRECT(ADDRESS(40,44))+INDIRECT(ADDRESS(41,44))-INDIRECT(ADDRESS(44,44)),INDIRECT(ADDRESS(45,43))-INDIRECT(ADDRESS(40,44))+INDIRECT(ADDRESS(43,44))-INDIRECT(ADDRESS(44,44)))</f>
        <v>0</v>
      </c>
    </row>
    <row r="46" spans="1:76">
      <c r="A46" t="s">
        <v>31</v>
      </c>
      <c r="B46" t="s">
        <v>50</v>
      </c>
      <c r="C46" t="s">
        <v>51</v>
      </c>
      <c r="D46" t="s">
        <v>17</v>
      </c>
      <c r="E46">
        <v>1</v>
      </c>
      <c r="F46" t="s">
        <v>52</v>
      </c>
      <c r="H46" t="s">
        <v>35</v>
      </c>
      <c r="I46" t="s">
        <v>36</v>
      </c>
      <c r="K46" t="s">
        <v>20</v>
      </c>
      <c r="L46" t="s">
        <v>21</v>
      </c>
      <c r="M46">
        <f>sumifs(BOM!m:m,BOM!A:A,".1",BOM!B:B,"852-230000-100")</f>
        <v>0</v>
      </c>
      <c r="N46">
        <f>sumifs(BOM!n:n,BOM!A:A,".1",BOM!B:B,"852-230000-100")</f>
        <v>0</v>
      </c>
      <c r="O46">
        <f>sumifs(BOM!o:o,BOM!A:A,".1",BOM!B:B,"852-230000-100")</f>
        <v>0</v>
      </c>
      <c r="P46">
        <f>sumifs(BOM!p:p,BOM!A:A,".1",BOM!B:B,"852-230000-100")</f>
        <v>0</v>
      </c>
      <c r="Q46">
        <f>sumifs(BOM!q:q,BOM!A:A,".1",BOM!B:B,"852-230000-100")</f>
        <v>0</v>
      </c>
      <c r="R46">
        <f>sumifs(BOM!r:r,BOM!A:A,".1",BOM!B:B,"852-230000-100")</f>
        <v>0</v>
      </c>
      <c r="S46">
        <f>sumifs(BOM!s:s,BOM!A:A,".1",BOM!B:B,"852-230000-100")</f>
        <v>0</v>
      </c>
      <c r="T46">
        <f>sumifs(BOM!t:t,BOM!A:A,".1",BOM!B:B,"852-230000-100")</f>
        <v>0</v>
      </c>
      <c r="U46">
        <f>sumifs(BOM!u:u,BOM!A:A,".1",BOM!B:B,"852-230000-100")</f>
        <v>0</v>
      </c>
      <c r="V46">
        <f>sumifs(BOM!v:v,BOM!A:A,".1",BOM!B:B,"852-230000-100")</f>
        <v>0</v>
      </c>
      <c r="W46">
        <f>sumifs(BOM!w:w,BOM!A:A,".1",BOM!B:B,"852-230000-100")</f>
        <v>0</v>
      </c>
      <c r="X46">
        <f>sumifs(BOM!x:x,BOM!A:A,".1",BOM!B:B,"852-230000-100")</f>
        <v>0</v>
      </c>
      <c r="Y46">
        <f>sumifs(BOM!y:y,BOM!A:A,".1",BOM!B:B,"852-230000-100")</f>
        <v>0</v>
      </c>
      <c r="Z46">
        <f>sumifs(BOM!z:z,BOM!A:A,".1",BOM!B:B,"852-230000-100")</f>
        <v>0</v>
      </c>
      <c r="AA46">
        <f>sumifs(BOM!aa:aa,BOM!A:A,".1",BOM!B:B,"852-230000-100")</f>
        <v>0</v>
      </c>
      <c r="AB46">
        <f>sumifs(BOM!ab:ab,BOM!A:A,".1",BOM!B:B,"852-230000-100")</f>
        <v>0</v>
      </c>
      <c r="AC46">
        <f>sumifs(BOM!ac:ac,BOM!A:A,".1",BOM!B:B,"852-230000-100")</f>
        <v>0</v>
      </c>
      <c r="AD46">
        <f>sumifs(BOM!ad:ad,BOM!A:A,".1",BOM!B:B,"852-230000-100")</f>
        <v>0</v>
      </c>
      <c r="AE46">
        <f>sumifs(BOM!ae:ae,BOM!A:A,".1",BOM!B:B,"852-230000-100")</f>
        <v>0</v>
      </c>
      <c r="AF46">
        <f>sumifs(BOM!af:af,BOM!A:A,".1",BOM!B:B,"852-230000-100")</f>
        <v>0</v>
      </c>
      <c r="AG46">
        <f>sumifs(BOM!ag:ag,BOM!A:A,".1",BOM!B:B,"852-230000-100")</f>
        <v>0</v>
      </c>
      <c r="AH46">
        <f>sumifs(BOM!ah:ah,BOM!A:A,".1",BOM!B:B,"852-230000-100")</f>
        <v>0</v>
      </c>
      <c r="AI46">
        <f>sumifs(BOM!ai:ai,BOM!A:A,".1",BOM!B:B,"852-230000-100")</f>
        <v>0</v>
      </c>
      <c r="AJ46">
        <f>sumifs(BOM!aj:aj,BOM!A:A,".1",BOM!B:B,"852-230000-100")</f>
        <v>0</v>
      </c>
      <c r="AK46">
        <f>sumifs(BOM!ak:ak,BOM!A:A,".1",BOM!B:B,"852-230000-100")</f>
        <v>0</v>
      </c>
      <c r="AL46">
        <f>sumifs(BOM!al:al,BOM!A:A,".1",BOM!B:B,"852-230000-100")</f>
        <v>0</v>
      </c>
      <c r="AM46">
        <f>sumifs(BOM!am:am,BOM!A:A,".1",BOM!B:B,"852-230000-100")</f>
        <v>0</v>
      </c>
      <c r="AN46">
        <f>sumifs(BOM!an:an,BOM!A:A,".1",BOM!B:B,"852-230000-100")</f>
        <v>0</v>
      </c>
      <c r="AO46">
        <f>sumifs(BOM!ao:ao,BOM!A:A,".1",BOM!B:B,"852-230000-100")</f>
        <v>0</v>
      </c>
      <c r="AP46">
        <f>sumifs(BOM!ap:ap,BOM!A:A,".1",BOM!B:B,"852-230000-100")</f>
        <v>0</v>
      </c>
      <c r="AQ46">
        <f>sumifs(BOM!aq:aq,BOM!A:A,".1",BOM!B:B,"852-230000-100")</f>
        <v>0</v>
      </c>
      <c r="AR46">
        <f>sumifs(BOM!ar:ar,BOM!A:A,".1",BOM!B:B,"852-230000-100")</f>
        <v>0</v>
      </c>
      <c r="BX46">
        <f>sum(j46:an46)</f>
        <v>0</v>
      </c>
    </row>
    <row r="47" spans="1:76">
      <c r="A47" t="s">
        <v>31</v>
      </c>
      <c r="B47" t="s">
        <v>50</v>
      </c>
      <c r="C47" t="s">
        <v>51</v>
      </c>
      <c r="D47" t="s">
        <v>17</v>
      </c>
      <c r="E47">
        <v>1</v>
      </c>
      <c r="F47" t="s">
        <v>52</v>
      </c>
      <c r="H47" t="s">
        <v>35</v>
      </c>
      <c r="I47" t="s">
        <v>36</v>
      </c>
      <c r="K47" t="s">
        <v>20</v>
      </c>
      <c r="L47" t="s">
        <v>37</v>
      </c>
    </row>
    <row r="48" spans="1:76">
      <c r="L48" t="s">
        <v>662</v>
      </c>
    </row>
    <row r="49" spans="1:76">
      <c r="L49" t="s">
        <v>663</v>
      </c>
    </row>
    <row r="50" spans="1:76">
      <c r="L50" t="s">
        <v>664</v>
      </c>
    </row>
    <row r="51" spans="1:76">
      <c r="L51" t="s">
        <v>665</v>
      </c>
      <c r="M51">
        <f>IF(DAY(NOW())&lt;M3,INDIRECT(ADDRESS(51,7))-INDIRECT(ADDRESS(46,13))+INDIRECT(ADDRESS(47,13))-INDIRECT(ADDRESS(50,13)),INDIRECT(ADDRESS(51,7))-INDIRECT(ADDRESS(46,13))+INDIRECT(ADDRESS(49,13))-INDIRECT(ADDRESS(50,13)))</f>
        <v>0</v>
      </c>
      <c r="N51">
        <f>IF(DAY(NOW())&lt;M3,INDIRECT(ADDRESS(51,13))-INDIRECT(ADDRESS(46,14))+INDIRECT(ADDRESS(47,14))-INDIRECT(ADDRESS(50,14)),INDIRECT(ADDRESS(51,13))-INDIRECT(ADDRESS(46,14))+INDIRECT(ADDRESS(49,14))-INDIRECT(ADDRESS(50,14)))</f>
        <v>0</v>
      </c>
      <c r="O51">
        <f>IF(DAY(NOW())&lt;M3,INDIRECT(ADDRESS(51,14))-INDIRECT(ADDRESS(46,15))+INDIRECT(ADDRESS(47,15))-INDIRECT(ADDRESS(50,15)),INDIRECT(ADDRESS(51,14))-INDIRECT(ADDRESS(46,15))+INDIRECT(ADDRESS(49,15))-INDIRECT(ADDRESS(50,15)))</f>
        <v>0</v>
      </c>
      <c r="P51">
        <f>IF(DAY(NOW())&lt;M3,INDIRECT(ADDRESS(51,15))-INDIRECT(ADDRESS(46,16))+INDIRECT(ADDRESS(47,16))-INDIRECT(ADDRESS(50,16)),INDIRECT(ADDRESS(51,15))-INDIRECT(ADDRESS(46,16))+INDIRECT(ADDRESS(49,16))-INDIRECT(ADDRESS(50,16)))</f>
        <v>0</v>
      </c>
      <c r="Q51">
        <f>IF(DAY(NOW())&lt;M3,INDIRECT(ADDRESS(51,16))-INDIRECT(ADDRESS(46,17))+INDIRECT(ADDRESS(47,17))-INDIRECT(ADDRESS(50,17)),INDIRECT(ADDRESS(51,16))-INDIRECT(ADDRESS(46,17))+INDIRECT(ADDRESS(49,17))-INDIRECT(ADDRESS(50,17)))</f>
        <v>0</v>
      </c>
      <c r="R51">
        <f>IF(DAY(NOW())&lt;M3,INDIRECT(ADDRESS(51,17))-INDIRECT(ADDRESS(46,18))+INDIRECT(ADDRESS(47,18))-INDIRECT(ADDRESS(50,18)),INDIRECT(ADDRESS(51,17))-INDIRECT(ADDRESS(46,18))+INDIRECT(ADDRESS(49,18))-INDIRECT(ADDRESS(50,18)))</f>
        <v>0</v>
      </c>
      <c r="S51">
        <f>IF(DAY(NOW())&lt;M3,INDIRECT(ADDRESS(51,18))-INDIRECT(ADDRESS(46,19))+INDIRECT(ADDRESS(47,19))-INDIRECT(ADDRESS(50,19)),INDIRECT(ADDRESS(51,18))-INDIRECT(ADDRESS(46,19))+INDIRECT(ADDRESS(49,19))-INDIRECT(ADDRESS(50,19)))</f>
        <v>0</v>
      </c>
      <c r="T51">
        <f>IF(DAY(NOW())&lt;M3,INDIRECT(ADDRESS(51,19))-INDIRECT(ADDRESS(46,20))+INDIRECT(ADDRESS(47,20))-INDIRECT(ADDRESS(50,20)),INDIRECT(ADDRESS(51,19))-INDIRECT(ADDRESS(46,20))+INDIRECT(ADDRESS(49,20))-INDIRECT(ADDRESS(50,20)))</f>
        <v>0</v>
      </c>
      <c r="U51">
        <f>IF(DAY(NOW())&lt;M3,INDIRECT(ADDRESS(51,20))-INDIRECT(ADDRESS(46,21))+INDIRECT(ADDRESS(47,21))-INDIRECT(ADDRESS(50,21)),INDIRECT(ADDRESS(51,20))-INDIRECT(ADDRESS(46,21))+INDIRECT(ADDRESS(49,21))-INDIRECT(ADDRESS(50,21)))</f>
        <v>0</v>
      </c>
      <c r="V51">
        <f>IF(DAY(NOW())&lt;M3,INDIRECT(ADDRESS(51,21))-INDIRECT(ADDRESS(46,22))+INDIRECT(ADDRESS(47,22))-INDIRECT(ADDRESS(50,22)),INDIRECT(ADDRESS(51,21))-INDIRECT(ADDRESS(46,22))+INDIRECT(ADDRESS(49,22))-INDIRECT(ADDRESS(50,22)))</f>
        <v>0</v>
      </c>
      <c r="W51">
        <f>IF(DAY(NOW())&lt;M3,INDIRECT(ADDRESS(51,22))-INDIRECT(ADDRESS(46,23))+INDIRECT(ADDRESS(47,23))-INDIRECT(ADDRESS(50,23)),INDIRECT(ADDRESS(51,22))-INDIRECT(ADDRESS(46,23))+INDIRECT(ADDRESS(49,23))-INDIRECT(ADDRESS(50,23)))</f>
        <v>0</v>
      </c>
      <c r="X51">
        <f>IF(DAY(NOW())&lt;M3,INDIRECT(ADDRESS(51,23))-INDIRECT(ADDRESS(46,24))+INDIRECT(ADDRESS(47,24))-INDIRECT(ADDRESS(50,24)),INDIRECT(ADDRESS(51,23))-INDIRECT(ADDRESS(46,24))+INDIRECT(ADDRESS(49,24))-INDIRECT(ADDRESS(50,24)))</f>
        <v>0</v>
      </c>
      <c r="Y51">
        <f>IF(DAY(NOW())&lt;M3,INDIRECT(ADDRESS(51,24))-INDIRECT(ADDRESS(46,25))+INDIRECT(ADDRESS(47,25))-INDIRECT(ADDRESS(50,25)),INDIRECT(ADDRESS(51,24))-INDIRECT(ADDRESS(46,25))+INDIRECT(ADDRESS(49,25))-INDIRECT(ADDRESS(50,25)))</f>
        <v>0</v>
      </c>
      <c r="Z51">
        <f>IF(DAY(NOW())&lt;M3,INDIRECT(ADDRESS(51,25))-INDIRECT(ADDRESS(46,26))+INDIRECT(ADDRESS(47,26))-INDIRECT(ADDRESS(50,26)),INDIRECT(ADDRESS(51,25))-INDIRECT(ADDRESS(46,26))+INDIRECT(ADDRESS(49,26))-INDIRECT(ADDRESS(50,26)))</f>
        <v>0</v>
      </c>
      <c r="AA51">
        <f>IF(DAY(NOW())&lt;M3,INDIRECT(ADDRESS(51,26))-INDIRECT(ADDRESS(46,27))+INDIRECT(ADDRESS(47,27))-INDIRECT(ADDRESS(50,27)),INDIRECT(ADDRESS(51,26))-INDIRECT(ADDRESS(46,27))+INDIRECT(ADDRESS(49,27))-INDIRECT(ADDRESS(50,27)))</f>
        <v>0</v>
      </c>
      <c r="AB51">
        <f>IF(DAY(NOW())&lt;M3,INDIRECT(ADDRESS(51,27))-INDIRECT(ADDRESS(46,28))+INDIRECT(ADDRESS(47,28))-INDIRECT(ADDRESS(50,28)),INDIRECT(ADDRESS(51,27))-INDIRECT(ADDRESS(46,28))+INDIRECT(ADDRESS(49,28))-INDIRECT(ADDRESS(50,28)))</f>
        <v>0</v>
      </c>
      <c r="AC51">
        <f>IF(DAY(NOW())&lt;M3,INDIRECT(ADDRESS(51,28))-INDIRECT(ADDRESS(46,29))+INDIRECT(ADDRESS(47,29))-INDIRECT(ADDRESS(50,29)),INDIRECT(ADDRESS(51,28))-INDIRECT(ADDRESS(46,29))+INDIRECT(ADDRESS(49,29))-INDIRECT(ADDRESS(50,29)))</f>
        <v>0</v>
      </c>
      <c r="AD51">
        <f>IF(DAY(NOW())&lt;M3,INDIRECT(ADDRESS(51,29))-INDIRECT(ADDRESS(46,30))+INDIRECT(ADDRESS(47,30))-INDIRECT(ADDRESS(50,30)),INDIRECT(ADDRESS(51,29))-INDIRECT(ADDRESS(46,30))+INDIRECT(ADDRESS(49,30))-INDIRECT(ADDRESS(50,30)))</f>
        <v>0</v>
      </c>
      <c r="AE51">
        <f>IF(DAY(NOW())&lt;M3,INDIRECT(ADDRESS(51,30))-INDIRECT(ADDRESS(46,31))+INDIRECT(ADDRESS(47,31))-INDIRECT(ADDRESS(50,31)),INDIRECT(ADDRESS(51,30))-INDIRECT(ADDRESS(46,31))+INDIRECT(ADDRESS(49,31))-INDIRECT(ADDRESS(50,31)))</f>
        <v>0</v>
      </c>
      <c r="AF51">
        <f>IF(DAY(NOW())&lt;M3,INDIRECT(ADDRESS(51,31))-INDIRECT(ADDRESS(46,32))+INDIRECT(ADDRESS(47,32))-INDIRECT(ADDRESS(50,32)),INDIRECT(ADDRESS(51,31))-INDIRECT(ADDRESS(46,32))+INDIRECT(ADDRESS(49,32))-INDIRECT(ADDRESS(50,32)))</f>
        <v>0</v>
      </c>
      <c r="AG51">
        <f>IF(DAY(NOW())&lt;M3,INDIRECT(ADDRESS(51,32))-INDIRECT(ADDRESS(46,33))+INDIRECT(ADDRESS(47,33))-INDIRECT(ADDRESS(50,33)),INDIRECT(ADDRESS(51,32))-INDIRECT(ADDRESS(46,33))+INDIRECT(ADDRESS(49,33))-INDIRECT(ADDRESS(50,33)))</f>
        <v>0</v>
      </c>
      <c r="AH51">
        <f>IF(DAY(NOW())&lt;M3,INDIRECT(ADDRESS(51,33))-INDIRECT(ADDRESS(46,34))+INDIRECT(ADDRESS(47,34))-INDIRECT(ADDRESS(50,34)),INDIRECT(ADDRESS(51,33))-INDIRECT(ADDRESS(46,34))+INDIRECT(ADDRESS(49,34))-INDIRECT(ADDRESS(50,34)))</f>
        <v>0</v>
      </c>
      <c r="AI51">
        <f>IF(DAY(NOW())&lt;M3,INDIRECT(ADDRESS(51,34))-INDIRECT(ADDRESS(46,35))+INDIRECT(ADDRESS(47,35))-INDIRECT(ADDRESS(50,35)),INDIRECT(ADDRESS(51,34))-INDIRECT(ADDRESS(46,35))+INDIRECT(ADDRESS(49,35))-INDIRECT(ADDRESS(50,35)))</f>
        <v>0</v>
      </c>
      <c r="AJ51">
        <f>IF(DAY(NOW())&lt;M3,INDIRECT(ADDRESS(51,35))-INDIRECT(ADDRESS(46,36))+INDIRECT(ADDRESS(47,36))-INDIRECT(ADDRESS(50,36)),INDIRECT(ADDRESS(51,35))-INDIRECT(ADDRESS(46,36))+INDIRECT(ADDRESS(49,36))-INDIRECT(ADDRESS(50,36)))</f>
        <v>0</v>
      </c>
      <c r="AK51">
        <f>IF(DAY(NOW())&lt;M3,INDIRECT(ADDRESS(51,36))-INDIRECT(ADDRESS(46,37))+INDIRECT(ADDRESS(47,37))-INDIRECT(ADDRESS(50,37)),INDIRECT(ADDRESS(51,36))-INDIRECT(ADDRESS(46,37))+INDIRECT(ADDRESS(49,37))-INDIRECT(ADDRESS(50,37)))</f>
        <v>0</v>
      </c>
      <c r="AL51">
        <f>IF(DAY(NOW())&lt;M3,INDIRECT(ADDRESS(51,37))-INDIRECT(ADDRESS(46,38))+INDIRECT(ADDRESS(47,38))-INDIRECT(ADDRESS(50,38)),INDIRECT(ADDRESS(51,37))-INDIRECT(ADDRESS(46,38))+INDIRECT(ADDRESS(49,38))-INDIRECT(ADDRESS(50,38)))</f>
        <v>0</v>
      </c>
      <c r="AM51">
        <f>IF(DAY(NOW())&lt;M3,INDIRECT(ADDRESS(51,38))-INDIRECT(ADDRESS(46,39))+INDIRECT(ADDRESS(47,39))-INDIRECT(ADDRESS(50,39)),INDIRECT(ADDRESS(51,38))-INDIRECT(ADDRESS(46,39))+INDIRECT(ADDRESS(49,39))-INDIRECT(ADDRESS(50,39)))</f>
        <v>0</v>
      </c>
      <c r="AN51">
        <f>IF(DAY(NOW())&lt;M3,INDIRECT(ADDRESS(51,39))-INDIRECT(ADDRESS(46,40))+INDIRECT(ADDRESS(47,40))-INDIRECT(ADDRESS(50,40)),INDIRECT(ADDRESS(51,39))-INDIRECT(ADDRESS(46,40))+INDIRECT(ADDRESS(49,40))-INDIRECT(ADDRESS(50,40)))</f>
        <v>0</v>
      </c>
      <c r="AO51">
        <f>IF(DAY(NOW())&lt;M3,INDIRECT(ADDRESS(51,40))-INDIRECT(ADDRESS(46,41))+INDIRECT(ADDRESS(47,41))-INDIRECT(ADDRESS(50,41)),INDIRECT(ADDRESS(51,40))-INDIRECT(ADDRESS(46,41))+INDIRECT(ADDRESS(49,41))-INDIRECT(ADDRESS(50,41)))</f>
        <v>0</v>
      </c>
      <c r="AP51">
        <f>IF(DAY(NOW())&lt;M3,INDIRECT(ADDRESS(51,41))-INDIRECT(ADDRESS(46,42))+INDIRECT(ADDRESS(47,42))-INDIRECT(ADDRESS(50,42)),INDIRECT(ADDRESS(51,41))-INDIRECT(ADDRESS(46,42))+INDIRECT(ADDRESS(49,42))-INDIRECT(ADDRESS(50,42)))</f>
        <v>0</v>
      </c>
      <c r="AQ51">
        <f>IF(DAY(NOW())&lt;M3,INDIRECT(ADDRESS(51,42))-INDIRECT(ADDRESS(46,43))+INDIRECT(ADDRESS(47,43))-INDIRECT(ADDRESS(50,43)),INDIRECT(ADDRESS(51,42))-INDIRECT(ADDRESS(46,43))+INDIRECT(ADDRESS(49,43))-INDIRECT(ADDRESS(50,43)))</f>
        <v>0</v>
      </c>
      <c r="AR51">
        <f>IF(DAY(NOW())&lt;M3,INDIRECT(ADDRESS(51,43))-INDIRECT(ADDRESS(46,44))+INDIRECT(ADDRESS(47,44))-INDIRECT(ADDRESS(50,44)),INDIRECT(ADDRESS(51,43))-INDIRECT(ADDRESS(46,44))+INDIRECT(ADDRESS(49,44))-INDIRECT(ADDRESS(50,44)))</f>
        <v>0</v>
      </c>
    </row>
    <row r="52" spans="1:76">
      <c r="A52" t="s">
        <v>31</v>
      </c>
      <c r="B52" t="s">
        <v>53</v>
      </c>
      <c r="C52" t="s">
        <v>54</v>
      </c>
      <c r="D52" t="s">
        <v>27</v>
      </c>
      <c r="E52">
        <v>1</v>
      </c>
      <c r="F52" t="s">
        <v>55</v>
      </c>
      <c r="H52" t="s">
        <v>35</v>
      </c>
      <c r="I52" t="s">
        <v>36</v>
      </c>
      <c r="K52" t="s">
        <v>20</v>
      </c>
      <c r="L52" t="s">
        <v>21</v>
      </c>
      <c r="M52">
        <f>sumifs(BOM!m:m,BOM!A:A,".1",BOM!B:B,"852-231000-110")</f>
        <v>0</v>
      </c>
      <c r="N52">
        <f>sumifs(BOM!n:n,BOM!A:A,".1",BOM!B:B,"852-231000-110")</f>
        <v>0</v>
      </c>
      <c r="O52">
        <f>sumifs(BOM!o:o,BOM!A:A,".1",BOM!B:B,"852-231000-110")</f>
        <v>0</v>
      </c>
      <c r="P52">
        <f>sumifs(BOM!p:p,BOM!A:A,".1",BOM!B:B,"852-231000-110")</f>
        <v>0</v>
      </c>
      <c r="Q52">
        <f>sumifs(BOM!q:q,BOM!A:A,".1",BOM!B:B,"852-231000-110")</f>
        <v>0</v>
      </c>
      <c r="R52">
        <f>sumifs(BOM!r:r,BOM!A:A,".1",BOM!B:B,"852-231000-110")</f>
        <v>0</v>
      </c>
      <c r="S52">
        <f>sumifs(BOM!s:s,BOM!A:A,".1",BOM!B:B,"852-231000-110")</f>
        <v>0</v>
      </c>
      <c r="T52">
        <f>sumifs(BOM!t:t,BOM!A:A,".1",BOM!B:B,"852-231000-110")</f>
        <v>0</v>
      </c>
      <c r="U52">
        <f>sumifs(BOM!u:u,BOM!A:A,".1",BOM!B:B,"852-231000-110")</f>
        <v>0</v>
      </c>
      <c r="V52">
        <f>sumifs(BOM!v:v,BOM!A:A,".1",BOM!B:B,"852-231000-110")</f>
        <v>0</v>
      </c>
      <c r="W52">
        <f>sumifs(BOM!w:w,BOM!A:A,".1",BOM!B:B,"852-231000-110")</f>
        <v>0</v>
      </c>
      <c r="X52">
        <f>sumifs(BOM!x:x,BOM!A:A,".1",BOM!B:B,"852-231000-110")</f>
        <v>0</v>
      </c>
      <c r="Y52">
        <f>sumifs(BOM!y:y,BOM!A:A,".1",BOM!B:B,"852-231000-110")</f>
        <v>0</v>
      </c>
      <c r="Z52">
        <f>sumifs(BOM!z:z,BOM!A:A,".1",BOM!B:B,"852-231000-110")</f>
        <v>0</v>
      </c>
      <c r="AA52">
        <f>sumifs(BOM!aa:aa,BOM!A:A,".1",BOM!B:B,"852-231000-110")</f>
        <v>0</v>
      </c>
      <c r="AB52">
        <f>sumifs(BOM!ab:ab,BOM!A:A,".1",BOM!B:B,"852-231000-110")</f>
        <v>0</v>
      </c>
      <c r="AC52">
        <f>sumifs(BOM!ac:ac,BOM!A:A,".1",BOM!B:B,"852-231000-110")</f>
        <v>0</v>
      </c>
      <c r="AD52">
        <f>sumifs(BOM!ad:ad,BOM!A:A,".1",BOM!B:B,"852-231000-110")</f>
        <v>0</v>
      </c>
      <c r="AE52">
        <f>sumifs(BOM!ae:ae,BOM!A:A,".1",BOM!B:B,"852-231000-110")</f>
        <v>0</v>
      </c>
      <c r="AF52">
        <f>sumifs(BOM!af:af,BOM!A:A,".1",BOM!B:B,"852-231000-110")</f>
        <v>0</v>
      </c>
      <c r="AG52">
        <f>sumifs(BOM!ag:ag,BOM!A:A,".1",BOM!B:B,"852-231000-110")</f>
        <v>0</v>
      </c>
      <c r="AH52">
        <f>sumifs(BOM!ah:ah,BOM!A:A,".1",BOM!B:B,"852-231000-110")</f>
        <v>0</v>
      </c>
      <c r="AI52">
        <f>sumifs(BOM!ai:ai,BOM!A:A,".1",BOM!B:B,"852-231000-110")</f>
        <v>0</v>
      </c>
      <c r="AJ52">
        <f>sumifs(BOM!aj:aj,BOM!A:A,".1",BOM!B:B,"852-231000-110")</f>
        <v>0</v>
      </c>
      <c r="AK52">
        <f>sumifs(BOM!ak:ak,BOM!A:A,".1",BOM!B:B,"852-231000-110")</f>
        <v>0</v>
      </c>
      <c r="AL52">
        <f>sumifs(BOM!al:al,BOM!A:A,".1",BOM!B:B,"852-231000-110")</f>
        <v>0</v>
      </c>
      <c r="AM52">
        <f>sumifs(BOM!am:am,BOM!A:A,".1",BOM!B:B,"852-231000-110")</f>
        <v>0</v>
      </c>
      <c r="AN52">
        <f>sumifs(BOM!an:an,BOM!A:A,".1",BOM!B:B,"852-231000-110")</f>
        <v>0</v>
      </c>
      <c r="AO52">
        <f>sumifs(BOM!ao:ao,BOM!A:A,".1",BOM!B:B,"852-231000-110")</f>
        <v>0</v>
      </c>
      <c r="AP52">
        <f>sumifs(BOM!ap:ap,BOM!A:A,".1",BOM!B:B,"852-231000-110")</f>
        <v>0</v>
      </c>
      <c r="AQ52">
        <f>sumifs(BOM!aq:aq,BOM!A:A,".1",BOM!B:B,"852-231000-110")</f>
        <v>0</v>
      </c>
      <c r="AR52">
        <f>sumifs(BOM!ar:ar,BOM!A:A,".1",BOM!B:B,"852-231000-110")</f>
        <v>0</v>
      </c>
      <c r="BX52">
        <f>sum(j52:an52)</f>
        <v>0</v>
      </c>
    </row>
    <row r="53" spans="1:76">
      <c r="A53" t="s">
        <v>31</v>
      </c>
      <c r="B53" t="s">
        <v>53</v>
      </c>
      <c r="C53" t="s">
        <v>54</v>
      </c>
      <c r="D53" t="s">
        <v>27</v>
      </c>
      <c r="E53">
        <v>1</v>
      </c>
      <c r="F53" t="s">
        <v>55</v>
      </c>
      <c r="H53" t="s">
        <v>35</v>
      </c>
      <c r="I53" t="s">
        <v>36</v>
      </c>
      <c r="K53" t="s">
        <v>20</v>
      </c>
      <c r="L53" t="s">
        <v>37</v>
      </c>
    </row>
    <row r="54" spans="1:76">
      <c r="L54" t="s">
        <v>662</v>
      </c>
    </row>
    <row r="55" spans="1:76">
      <c r="L55" t="s">
        <v>663</v>
      </c>
    </row>
    <row r="56" spans="1:76">
      <c r="L56" t="s">
        <v>664</v>
      </c>
    </row>
    <row r="57" spans="1:76">
      <c r="L57" t="s">
        <v>665</v>
      </c>
      <c r="M57">
        <f>IF(DAY(NOW())&lt;M3,INDIRECT(ADDRESS(57,7))-INDIRECT(ADDRESS(52,13))+INDIRECT(ADDRESS(53,13))-INDIRECT(ADDRESS(56,13)),INDIRECT(ADDRESS(57,7))-INDIRECT(ADDRESS(52,13))+INDIRECT(ADDRESS(55,13))-INDIRECT(ADDRESS(56,13)))</f>
        <v>0</v>
      </c>
      <c r="N57">
        <f>IF(DAY(NOW())&lt;M3,INDIRECT(ADDRESS(57,13))-INDIRECT(ADDRESS(52,14))+INDIRECT(ADDRESS(53,14))-INDIRECT(ADDRESS(56,14)),INDIRECT(ADDRESS(57,13))-INDIRECT(ADDRESS(52,14))+INDIRECT(ADDRESS(55,14))-INDIRECT(ADDRESS(56,14)))</f>
        <v>0</v>
      </c>
      <c r="O57">
        <f>IF(DAY(NOW())&lt;M3,INDIRECT(ADDRESS(57,14))-INDIRECT(ADDRESS(52,15))+INDIRECT(ADDRESS(53,15))-INDIRECT(ADDRESS(56,15)),INDIRECT(ADDRESS(57,14))-INDIRECT(ADDRESS(52,15))+INDIRECT(ADDRESS(55,15))-INDIRECT(ADDRESS(56,15)))</f>
        <v>0</v>
      </c>
      <c r="P57">
        <f>IF(DAY(NOW())&lt;M3,INDIRECT(ADDRESS(57,15))-INDIRECT(ADDRESS(52,16))+INDIRECT(ADDRESS(53,16))-INDIRECT(ADDRESS(56,16)),INDIRECT(ADDRESS(57,15))-INDIRECT(ADDRESS(52,16))+INDIRECT(ADDRESS(55,16))-INDIRECT(ADDRESS(56,16)))</f>
        <v>0</v>
      </c>
      <c r="Q57">
        <f>IF(DAY(NOW())&lt;M3,INDIRECT(ADDRESS(57,16))-INDIRECT(ADDRESS(52,17))+INDIRECT(ADDRESS(53,17))-INDIRECT(ADDRESS(56,17)),INDIRECT(ADDRESS(57,16))-INDIRECT(ADDRESS(52,17))+INDIRECT(ADDRESS(55,17))-INDIRECT(ADDRESS(56,17)))</f>
        <v>0</v>
      </c>
      <c r="R57">
        <f>IF(DAY(NOW())&lt;M3,INDIRECT(ADDRESS(57,17))-INDIRECT(ADDRESS(52,18))+INDIRECT(ADDRESS(53,18))-INDIRECT(ADDRESS(56,18)),INDIRECT(ADDRESS(57,17))-INDIRECT(ADDRESS(52,18))+INDIRECT(ADDRESS(55,18))-INDIRECT(ADDRESS(56,18)))</f>
        <v>0</v>
      </c>
      <c r="S57">
        <f>IF(DAY(NOW())&lt;M3,INDIRECT(ADDRESS(57,18))-INDIRECT(ADDRESS(52,19))+INDIRECT(ADDRESS(53,19))-INDIRECT(ADDRESS(56,19)),INDIRECT(ADDRESS(57,18))-INDIRECT(ADDRESS(52,19))+INDIRECT(ADDRESS(55,19))-INDIRECT(ADDRESS(56,19)))</f>
        <v>0</v>
      </c>
      <c r="T57">
        <f>IF(DAY(NOW())&lt;M3,INDIRECT(ADDRESS(57,19))-INDIRECT(ADDRESS(52,20))+INDIRECT(ADDRESS(53,20))-INDIRECT(ADDRESS(56,20)),INDIRECT(ADDRESS(57,19))-INDIRECT(ADDRESS(52,20))+INDIRECT(ADDRESS(55,20))-INDIRECT(ADDRESS(56,20)))</f>
        <v>0</v>
      </c>
      <c r="U57">
        <f>IF(DAY(NOW())&lt;M3,INDIRECT(ADDRESS(57,20))-INDIRECT(ADDRESS(52,21))+INDIRECT(ADDRESS(53,21))-INDIRECT(ADDRESS(56,21)),INDIRECT(ADDRESS(57,20))-INDIRECT(ADDRESS(52,21))+INDIRECT(ADDRESS(55,21))-INDIRECT(ADDRESS(56,21)))</f>
        <v>0</v>
      </c>
      <c r="V57">
        <f>IF(DAY(NOW())&lt;M3,INDIRECT(ADDRESS(57,21))-INDIRECT(ADDRESS(52,22))+INDIRECT(ADDRESS(53,22))-INDIRECT(ADDRESS(56,22)),INDIRECT(ADDRESS(57,21))-INDIRECT(ADDRESS(52,22))+INDIRECT(ADDRESS(55,22))-INDIRECT(ADDRESS(56,22)))</f>
        <v>0</v>
      </c>
      <c r="W57">
        <f>IF(DAY(NOW())&lt;M3,INDIRECT(ADDRESS(57,22))-INDIRECT(ADDRESS(52,23))+INDIRECT(ADDRESS(53,23))-INDIRECT(ADDRESS(56,23)),INDIRECT(ADDRESS(57,22))-INDIRECT(ADDRESS(52,23))+INDIRECT(ADDRESS(55,23))-INDIRECT(ADDRESS(56,23)))</f>
        <v>0</v>
      </c>
      <c r="X57">
        <f>IF(DAY(NOW())&lt;M3,INDIRECT(ADDRESS(57,23))-INDIRECT(ADDRESS(52,24))+INDIRECT(ADDRESS(53,24))-INDIRECT(ADDRESS(56,24)),INDIRECT(ADDRESS(57,23))-INDIRECT(ADDRESS(52,24))+INDIRECT(ADDRESS(55,24))-INDIRECT(ADDRESS(56,24)))</f>
        <v>0</v>
      </c>
      <c r="Y57">
        <f>IF(DAY(NOW())&lt;M3,INDIRECT(ADDRESS(57,24))-INDIRECT(ADDRESS(52,25))+INDIRECT(ADDRESS(53,25))-INDIRECT(ADDRESS(56,25)),INDIRECT(ADDRESS(57,24))-INDIRECT(ADDRESS(52,25))+INDIRECT(ADDRESS(55,25))-INDIRECT(ADDRESS(56,25)))</f>
        <v>0</v>
      </c>
      <c r="Z57">
        <f>IF(DAY(NOW())&lt;M3,INDIRECT(ADDRESS(57,25))-INDIRECT(ADDRESS(52,26))+INDIRECT(ADDRESS(53,26))-INDIRECT(ADDRESS(56,26)),INDIRECT(ADDRESS(57,25))-INDIRECT(ADDRESS(52,26))+INDIRECT(ADDRESS(55,26))-INDIRECT(ADDRESS(56,26)))</f>
        <v>0</v>
      </c>
      <c r="AA57">
        <f>IF(DAY(NOW())&lt;M3,INDIRECT(ADDRESS(57,26))-INDIRECT(ADDRESS(52,27))+INDIRECT(ADDRESS(53,27))-INDIRECT(ADDRESS(56,27)),INDIRECT(ADDRESS(57,26))-INDIRECT(ADDRESS(52,27))+INDIRECT(ADDRESS(55,27))-INDIRECT(ADDRESS(56,27)))</f>
        <v>0</v>
      </c>
      <c r="AB57">
        <f>IF(DAY(NOW())&lt;M3,INDIRECT(ADDRESS(57,27))-INDIRECT(ADDRESS(52,28))+INDIRECT(ADDRESS(53,28))-INDIRECT(ADDRESS(56,28)),INDIRECT(ADDRESS(57,27))-INDIRECT(ADDRESS(52,28))+INDIRECT(ADDRESS(55,28))-INDIRECT(ADDRESS(56,28)))</f>
        <v>0</v>
      </c>
      <c r="AC57">
        <f>IF(DAY(NOW())&lt;M3,INDIRECT(ADDRESS(57,28))-INDIRECT(ADDRESS(52,29))+INDIRECT(ADDRESS(53,29))-INDIRECT(ADDRESS(56,29)),INDIRECT(ADDRESS(57,28))-INDIRECT(ADDRESS(52,29))+INDIRECT(ADDRESS(55,29))-INDIRECT(ADDRESS(56,29)))</f>
        <v>0</v>
      </c>
      <c r="AD57">
        <f>IF(DAY(NOW())&lt;M3,INDIRECT(ADDRESS(57,29))-INDIRECT(ADDRESS(52,30))+INDIRECT(ADDRESS(53,30))-INDIRECT(ADDRESS(56,30)),INDIRECT(ADDRESS(57,29))-INDIRECT(ADDRESS(52,30))+INDIRECT(ADDRESS(55,30))-INDIRECT(ADDRESS(56,30)))</f>
        <v>0</v>
      </c>
      <c r="AE57">
        <f>IF(DAY(NOW())&lt;M3,INDIRECT(ADDRESS(57,30))-INDIRECT(ADDRESS(52,31))+INDIRECT(ADDRESS(53,31))-INDIRECT(ADDRESS(56,31)),INDIRECT(ADDRESS(57,30))-INDIRECT(ADDRESS(52,31))+INDIRECT(ADDRESS(55,31))-INDIRECT(ADDRESS(56,31)))</f>
        <v>0</v>
      </c>
      <c r="AF57">
        <f>IF(DAY(NOW())&lt;M3,INDIRECT(ADDRESS(57,31))-INDIRECT(ADDRESS(52,32))+INDIRECT(ADDRESS(53,32))-INDIRECT(ADDRESS(56,32)),INDIRECT(ADDRESS(57,31))-INDIRECT(ADDRESS(52,32))+INDIRECT(ADDRESS(55,32))-INDIRECT(ADDRESS(56,32)))</f>
        <v>0</v>
      </c>
      <c r="AG57">
        <f>IF(DAY(NOW())&lt;M3,INDIRECT(ADDRESS(57,32))-INDIRECT(ADDRESS(52,33))+INDIRECT(ADDRESS(53,33))-INDIRECT(ADDRESS(56,33)),INDIRECT(ADDRESS(57,32))-INDIRECT(ADDRESS(52,33))+INDIRECT(ADDRESS(55,33))-INDIRECT(ADDRESS(56,33)))</f>
        <v>0</v>
      </c>
      <c r="AH57">
        <f>IF(DAY(NOW())&lt;M3,INDIRECT(ADDRESS(57,33))-INDIRECT(ADDRESS(52,34))+INDIRECT(ADDRESS(53,34))-INDIRECT(ADDRESS(56,34)),INDIRECT(ADDRESS(57,33))-INDIRECT(ADDRESS(52,34))+INDIRECT(ADDRESS(55,34))-INDIRECT(ADDRESS(56,34)))</f>
        <v>0</v>
      </c>
      <c r="AI57">
        <f>IF(DAY(NOW())&lt;M3,INDIRECT(ADDRESS(57,34))-INDIRECT(ADDRESS(52,35))+INDIRECT(ADDRESS(53,35))-INDIRECT(ADDRESS(56,35)),INDIRECT(ADDRESS(57,34))-INDIRECT(ADDRESS(52,35))+INDIRECT(ADDRESS(55,35))-INDIRECT(ADDRESS(56,35)))</f>
        <v>0</v>
      </c>
      <c r="AJ57">
        <f>IF(DAY(NOW())&lt;M3,INDIRECT(ADDRESS(57,35))-INDIRECT(ADDRESS(52,36))+INDIRECT(ADDRESS(53,36))-INDIRECT(ADDRESS(56,36)),INDIRECT(ADDRESS(57,35))-INDIRECT(ADDRESS(52,36))+INDIRECT(ADDRESS(55,36))-INDIRECT(ADDRESS(56,36)))</f>
        <v>0</v>
      </c>
      <c r="AK57">
        <f>IF(DAY(NOW())&lt;M3,INDIRECT(ADDRESS(57,36))-INDIRECT(ADDRESS(52,37))+INDIRECT(ADDRESS(53,37))-INDIRECT(ADDRESS(56,37)),INDIRECT(ADDRESS(57,36))-INDIRECT(ADDRESS(52,37))+INDIRECT(ADDRESS(55,37))-INDIRECT(ADDRESS(56,37)))</f>
        <v>0</v>
      </c>
      <c r="AL57">
        <f>IF(DAY(NOW())&lt;M3,INDIRECT(ADDRESS(57,37))-INDIRECT(ADDRESS(52,38))+INDIRECT(ADDRESS(53,38))-INDIRECT(ADDRESS(56,38)),INDIRECT(ADDRESS(57,37))-INDIRECT(ADDRESS(52,38))+INDIRECT(ADDRESS(55,38))-INDIRECT(ADDRESS(56,38)))</f>
        <v>0</v>
      </c>
      <c r="AM57">
        <f>IF(DAY(NOW())&lt;M3,INDIRECT(ADDRESS(57,38))-INDIRECT(ADDRESS(52,39))+INDIRECT(ADDRESS(53,39))-INDIRECT(ADDRESS(56,39)),INDIRECT(ADDRESS(57,38))-INDIRECT(ADDRESS(52,39))+INDIRECT(ADDRESS(55,39))-INDIRECT(ADDRESS(56,39)))</f>
        <v>0</v>
      </c>
      <c r="AN57">
        <f>IF(DAY(NOW())&lt;M3,INDIRECT(ADDRESS(57,39))-INDIRECT(ADDRESS(52,40))+INDIRECT(ADDRESS(53,40))-INDIRECT(ADDRESS(56,40)),INDIRECT(ADDRESS(57,39))-INDIRECT(ADDRESS(52,40))+INDIRECT(ADDRESS(55,40))-INDIRECT(ADDRESS(56,40)))</f>
        <v>0</v>
      </c>
      <c r="AO57">
        <f>IF(DAY(NOW())&lt;M3,INDIRECT(ADDRESS(57,40))-INDIRECT(ADDRESS(52,41))+INDIRECT(ADDRESS(53,41))-INDIRECT(ADDRESS(56,41)),INDIRECT(ADDRESS(57,40))-INDIRECT(ADDRESS(52,41))+INDIRECT(ADDRESS(55,41))-INDIRECT(ADDRESS(56,41)))</f>
        <v>0</v>
      </c>
      <c r="AP57">
        <f>IF(DAY(NOW())&lt;M3,INDIRECT(ADDRESS(57,41))-INDIRECT(ADDRESS(52,42))+INDIRECT(ADDRESS(53,42))-INDIRECT(ADDRESS(56,42)),INDIRECT(ADDRESS(57,41))-INDIRECT(ADDRESS(52,42))+INDIRECT(ADDRESS(55,42))-INDIRECT(ADDRESS(56,42)))</f>
        <v>0</v>
      </c>
      <c r="AQ57">
        <f>IF(DAY(NOW())&lt;M3,INDIRECT(ADDRESS(57,42))-INDIRECT(ADDRESS(52,43))+INDIRECT(ADDRESS(53,43))-INDIRECT(ADDRESS(56,43)),INDIRECT(ADDRESS(57,42))-INDIRECT(ADDRESS(52,43))+INDIRECT(ADDRESS(55,43))-INDIRECT(ADDRESS(56,43)))</f>
        <v>0</v>
      </c>
      <c r="AR57">
        <f>IF(DAY(NOW())&lt;M3,INDIRECT(ADDRESS(57,43))-INDIRECT(ADDRESS(52,44))+INDIRECT(ADDRESS(53,44))-INDIRECT(ADDRESS(56,44)),INDIRECT(ADDRESS(57,43))-INDIRECT(ADDRESS(52,44))+INDIRECT(ADDRESS(55,44))-INDIRECT(ADDRESS(56,44)))</f>
        <v>0</v>
      </c>
    </row>
    <row r="58" spans="1:76">
      <c r="A58" t="s">
        <v>31</v>
      </c>
      <c r="B58" t="s">
        <v>56</v>
      </c>
      <c r="C58" t="s">
        <v>57</v>
      </c>
      <c r="D58" t="s">
        <v>17</v>
      </c>
      <c r="E58">
        <v>1</v>
      </c>
      <c r="F58" t="s">
        <v>58</v>
      </c>
      <c r="H58" t="s">
        <v>35</v>
      </c>
      <c r="I58" t="s">
        <v>36</v>
      </c>
      <c r="K58" t="s">
        <v>20</v>
      </c>
      <c r="L58" t="s">
        <v>21</v>
      </c>
      <c r="M58">
        <f>sumifs(BOM!m:m,BOM!A:A,".1",BOM!B:B,"852-231000-100")</f>
        <v>0</v>
      </c>
      <c r="N58">
        <f>sumifs(BOM!n:n,BOM!A:A,".1",BOM!B:B,"852-231000-100")</f>
        <v>0</v>
      </c>
      <c r="O58">
        <f>sumifs(BOM!o:o,BOM!A:A,".1",BOM!B:B,"852-231000-100")</f>
        <v>0</v>
      </c>
      <c r="P58">
        <f>sumifs(BOM!p:p,BOM!A:A,".1",BOM!B:B,"852-231000-100")</f>
        <v>0</v>
      </c>
      <c r="Q58">
        <f>sumifs(BOM!q:q,BOM!A:A,".1",BOM!B:B,"852-231000-100")</f>
        <v>0</v>
      </c>
      <c r="R58">
        <f>sumifs(BOM!r:r,BOM!A:A,".1",BOM!B:B,"852-231000-100")</f>
        <v>0</v>
      </c>
      <c r="S58">
        <f>sumifs(BOM!s:s,BOM!A:A,".1",BOM!B:B,"852-231000-100")</f>
        <v>0</v>
      </c>
      <c r="T58">
        <f>sumifs(BOM!t:t,BOM!A:A,".1",BOM!B:B,"852-231000-100")</f>
        <v>0</v>
      </c>
      <c r="U58">
        <f>sumifs(BOM!u:u,BOM!A:A,".1",BOM!B:B,"852-231000-100")</f>
        <v>0</v>
      </c>
      <c r="V58">
        <f>sumifs(BOM!v:v,BOM!A:A,".1",BOM!B:B,"852-231000-100")</f>
        <v>0</v>
      </c>
      <c r="W58">
        <f>sumifs(BOM!w:w,BOM!A:A,".1",BOM!B:B,"852-231000-100")</f>
        <v>0</v>
      </c>
      <c r="X58">
        <f>sumifs(BOM!x:x,BOM!A:A,".1",BOM!B:B,"852-231000-100")</f>
        <v>0</v>
      </c>
      <c r="Y58">
        <f>sumifs(BOM!y:y,BOM!A:A,".1",BOM!B:B,"852-231000-100")</f>
        <v>0</v>
      </c>
      <c r="Z58">
        <f>sumifs(BOM!z:z,BOM!A:A,".1",BOM!B:B,"852-231000-100")</f>
        <v>0</v>
      </c>
      <c r="AA58">
        <f>sumifs(BOM!aa:aa,BOM!A:A,".1",BOM!B:B,"852-231000-100")</f>
        <v>0</v>
      </c>
      <c r="AB58">
        <f>sumifs(BOM!ab:ab,BOM!A:A,".1",BOM!B:B,"852-231000-100")</f>
        <v>0</v>
      </c>
      <c r="AC58">
        <f>sumifs(BOM!ac:ac,BOM!A:A,".1",BOM!B:B,"852-231000-100")</f>
        <v>0</v>
      </c>
      <c r="AD58">
        <f>sumifs(BOM!ad:ad,BOM!A:A,".1",BOM!B:B,"852-231000-100")</f>
        <v>0</v>
      </c>
      <c r="AE58">
        <f>sumifs(BOM!ae:ae,BOM!A:A,".1",BOM!B:B,"852-231000-100")</f>
        <v>0</v>
      </c>
      <c r="AF58">
        <f>sumifs(BOM!af:af,BOM!A:A,".1",BOM!B:B,"852-231000-100")</f>
        <v>0</v>
      </c>
      <c r="AG58">
        <f>sumifs(BOM!ag:ag,BOM!A:A,".1",BOM!B:B,"852-231000-100")</f>
        <v>0</v>
      </c>
      <c r="AH58">
        <f>sumifs(BOM!ah:ah,BOM!A:A,".1",BOM!B:B,"852-231000-100")</f>
        <v>0</v>
      </c>
      <c r="AI58">
        <f>sumifs(BOM!ai:ai,BOM!A:A,".1",BOM!B:B,"852-231000-100")</f>
        <v>0</v>
      </c>
      <c r="AJ58">
        <f>sumifs(BOM!aj:aj,BOM!A:A,".1",BOM!B:B,"852-231000-100")</f>
        <v>0</v>
      </c>
      <c r="AK58">
        <f>sumifs(BOM!ak:ak,BOM!A:A,".1",BOM!B:B,"852-231000-100")</f>
        <v>0</v>
      </c>
      <c r="AL58">
        <f>sumifs(BOM!al:al,BOM!A:A,".1",BOM!B:B,"852-231000-100")</f>
        <v>0</v>
      </c>
      <c r="AM58">
        <f>sumifs(BOM!am:am,BOM!A:A,".1",BOM!B:B,"852-231000-100")</f>
        <v>0</v>
      </c>
      <c r="AN58">
        <f>sumifs(BOM!an:an,BOM!A:A,".1",BOM!B:B,"852-231000-100")</f>
        <v>0</v>
      </c>
      <c r="AO58">
        <f>sumifs(BOM!ao:ao,BOM!A:A,".1",BOM!B:B,"852-231000-100")</f>
        <v>0</v>
      </c>
      <c r="AP58">
        <f>sumifs(BOM!ap:ap,BOM!A:A,".1",BOM!B:B,"852-231000-100")</f>
        <v>0</v>
      </c>
      <c r="AQ58">
        <f>sumifs(BOM!aq:aq,BOM!A:A,".1",BOM!B:B,"852-231000-100")</f>
        <v>0</v>
      </c>
      <c r="AR58">
        <f>sumifs(BOM!ar:ar,BOM!A:A,".1",BOM!B:B,"852-231000-100")</f>
        <v>0</v>
      </c>
      <c r="BX58">
        <f>sum(j58:an58)</f>
        <v>0</v>
      </c>
    </row>
    <row r="59" spans="1:76">
      <c r="A59" t="s">
        <v>31</v>
      </c>
      <c r="B59" t="s">
        <v>56</v>
      </c>
      <c r="C59" t="s">
        <v>57</v>
      </c>
      <c r="D59" t="s">
        <v>17</v>
      </c>
      <c r="E59">
        <v>1</v>
      </c>
      <c r="F59" t="s">
        <v>58</v>
      </c>
      <c r="H59" t="s">
        <v>35</v>
      </c>
      <c r="I59" t="s">
        <v>36</v>
      </c>
      <c r="K59" t="s">
        <v>20</v>
      </c>
      <c r="L59" t="s">
        <v>37</v>
      </c>
    </row>
    <row r="60" spans="1:76">
      <c r="L60" t="s">
        <v>662</v>
      </c>
    </row>
    <row r="61" spans="1:76">
      <c r="L61" t="s">
        <v>663</v>
      </c>
    </row>
    <row r="62" spans="1:76">
      <c r="L62" t="s">
        <v>664</v>
      </c>
    </row>
    <row r="63" spans="1:76">
      <c r="L63" t="s">
        <v>665</v>
      </c>
      <c r="M63">
        <f>IF(DAY(NOW())&lt;M3,INDIRECT(ADDRESS(63,7))-INDIRECT(ADDRESS(58,13))+INDIRECT(ADDRESS(59,13))-INDIRECT(ADDRESS(62,13)),INDIRECT(ADDRESS(63,7))-INDIRECT(ADDRESS(58,13))+INDIRECT(ADDRESS(61,13))-INDIRECT(ADDRESS(62,13)))</f>
        <v>0</v>
      </c>
      <c r="N63">
        <f>IF(DAY(NOW())&lt;M3,INDIRECT(ADDRESS(63,13))-INDIRECT(ADDRESS(58,14))+INDIRECT(ADDRESS(59,14))-INDIRECT(ADDRESS(62,14)),INDIRECT(ADDRESS(63,13))-INDIRECT(ADDRESS(58,14))+INDIRECT(ADDRESS(61,14))-INDIRECT(ADDRESS(62,14)))</f>
        <v>0</v>
      </c>
      <c r="O63">
        <f>IF(DAY(NOW())&lt;M3,INDIRECT(ADDRESS(63,14))-INDIRECT(ADDRESS(58,15))+INDIRECT(ADDRESS(59,15))-INDIRECT(ADDRESS(62,15)),INDIRECT(ADDRESS(63,14))-INDIRECT(ADDRESS(58,15))+INDIRECT(ADDRESS(61,15))-INDIRECT(ADDRESS(62,15)))</f>
        <v>0</v>
      </c>
      <c r="P63">
        <f>IF(DAY(NOW())&lt;M3,INDIRECT(ADDRESS(63,15))-INDIRECT(ADDRESS(58,16))+INDIRECT(ADDRESS(59,16))-INDIRECT(ADDRESS(62,16)),INDIRECT(ADDRESS(63,15))-INDIRECT(ADDRESS(58,16))+INDIRECT(ADDRESS(61,16))-INDIRECT(ADDRESS(62,16)))</f>
        <v>0</v>
      </c>
      <c r="Q63">
        <f>IF(DAY(NOW())&lt;M3,INDIRECT(ADDRESS(63,16))-INDIRECT(ADDRESS(58,17))+INDIRECT(ADDRESS(59,17))-INDIRECT(ADDRESS(62,17)),INDIRECT(ADDRESS(63,16))-INDIRECT(ADDRESS(58,17))+INDIRECT(ADDRESS(61,17))-INDIRECT(ADDRESS(62,17)))</f>
        <v>0</v>
      </c>
      <c r="R63">
        <f>IF(DAY(NOW())&lt;M3,INDIRECT(ADDRESS(63,17))-INDIRECT(ADDRESS(58,18))+INDIRECT(ADDRESS(59,18))-INDIRECT(ADDRESS(62,18)),INDIRECT(ADDRESS(63,17))-INDIRECT(ADDRESS(58,18))+INDIRECT(ADDRESS(61,18))-INDIRECT(ADDRESS(62,18)))</f>
        <v>0</v>
      </c>
      <c r="S63">
        <f>IF(DAY(NOW())&lt;M3,INDIRECT(ADDRESS(63,18))-INDIRECT(ADDRESS(58,19))+INDIRECT(ADDRESS(59,19))-INDIRECT(ADDRESS(62,19)),INDIRECT(ADDRESS(63,18))-INDIRECT(ADDRESS(58,19))+INDIRECT(ADDRESS(61,19))-INDIRECT(ADDRESS(62,19)))</f>
        <v>0</v>
      </c>
      <c r="T63">
        <f>IF(DAY(NOW())&lt;M3,INDIRECT(ADDRESS(63,19))-INDIRECT(ADDRESS(58,20))+INDIRECT(ADDRESS(59,20))-INDIRECT(ADDRESS(62,20)),INDIRECT(ADDRESS(63,19))-INDIRECT(ADDRESS(58,20))+INDIRECT(ADDRESS(61,20))-INDIRECT(ADDRESS(62,20)))</f>
        <v>0</v>
      </c>
      <c r="U63">
        <f>IF(DAY(NOW())&lt;M3,INDIRECT(ADDRESS(63,20))-INDIRECT(ADDRESS(58,21))+INDIRECT(ADDRESS(59,21))-INDIRECT(ADDRESS(62,21)),INDIRECT(ADDRESS(63,20))-INDIRECT(ADDRESS(58,21))+INDIRECT(ADDRESS(61,21))-INDIRECT(ADDRESS(62,21)))</f>
        <v>0</v>
      </c>
      <c r="V63">
        <f>IF(DAY(NOW())&lt;M3,INDIRECT(ADDRESS(63,21))-INDIRECT(ADDRESS(58,22))+INDIRECT(ADDRESS(59,22))-INDIRECT(ADDRESS(62,22)),INDIRECT(ADDRESS(63,21))-INDIRECT(ADDRESS(58,22))+INDIRECT(ADDRESS(61,22))-INDIRECT(ADDRESS(62,22)))</f>
        <v>0</v>
      </c>
      <c r="W63">
        <f>IF(DAY(NOW())&lt;M3,INDIRECT(ADDRESS(63,22))-INDIRECT(ADDRESS(58,23))+INDIRECT(ADDRESS(59,23))-INDIRECT(ADDRESS(62,23)),INDIRECT(ADDRESS(63,22))-INDIRECT(ADDRESS(58,23))+INDIRECT(ADDRESS(61,23))-INDIRECT(ADDRESS(62,23)))</f>
        <v>0</v>
      </c>
      <c r="X63">
        <f>IF(DAY(NOW())&lt;M3,INDIRECT(ADDRESS(63,23))-INDIRECT(ADDRESS(58,24))+INDIRECT(ADDRESS(59,24))-INDIRECT(ADDRESS(62,24)),INDIRECT(ADDRESS(63,23))-INDIRECT(ADDRESS(58,24))+INDIRECT(ADDRESS(61,24))-INDIRECT(ADDRESS(62,24)))</f>
        <v>0</v>
      </c>
      <c r="Y63">
        <f>IF(DAY(NOW())&lt;M3,INDIRECT(ADDRESS(63,24))-INDIRECT(ADDRESS(58,25))+INDIRECT(ADDRESS(59,25))-INDIRECT(ADDRESS(62,25)),INDIRECT(ADDRESS(63,24))-INDIRECT(ADDRESS(58,25))+INDIRECT(ADDRESS(61,25))-INDIRECT(ADDRESS(62,25)))</f>
        <v>0</v>
      </c>
      <c r="Z63">
        <f>IF(DAY(NOW())&lt;M3,INDIRECT(ADDRESS(63,25))-INDIRECT(ADDRESS(58,26))+INDIRECT(ADDRESS(59,26))-INDIRECT(ADDRESS(62,26)),INDIRECT(ADDRESS(63,25))-INDIRECT(ADDRESS(58,26))+INDIRECT(ADDRESS(61,26))-INDIRECT(ADDRESS(62,26)))</f>
        <v>0</v>
      </c>
      <c r="AA63">
        <f>IF(DAY(NOW())&lt;M3,INDIRECT(ADDRESS(63,26))-INDIRECT(ADDRESS(58,27))+INDIRECT(ADDRESS(59,27))-INDIRECT(ADDRESS(62,27)),INDIRECT(ADDRESS(63,26))-INDIRECT(ADDRESS(58,27))+INDIRECT(ADDRESS(61,27))-INDIRECT(ADDRESS(62,27)))</f>
        <v>0</v>
      </c>
      <c r="AB63">
        <f>IF(DAY(NOW())&lt;M3,INDIRECT(ADDRESS(63,27))-INDIRECT(ADDRESS(58,28))+INDIRECT(ADDRESS(59,28))-INDIRECT(ADDRESS(62,28)),INDIRECT(ADDRESS(63,27))-INDIRECT(ADDRESS(58,28))+INDIRECT(ADDRESS(61,28))-INDIRECT(ADDRESS(62,28)))</f>
        <v>0</v>
      </c>
      <c r="AC63">
        <f>IF(DAY(NOW())&lt;M3,INDIRECT(ADDRESS(63,28))-INDIRECT(ADDRESS(58,29))+INDIRECT(ADDRESS(59,29))-INDIRECT(ADDRESS(62,29)),INDIRECT(ADDRESS(63,28))-INDIRECT(ADDRESS(58,29))+INDIRECT(ADDRESS(61,29))-INDIRECT(ADDRESS(62,29)))</f>
        <v>0</v>
      </c>
      <c r="AD63">
        <f>IF(DAY(NOW())&lt;M3,INDIRECT(ADDRESS(63,29))-INDIRECT(ADDRESS(58,30))+INDIRECT(ADDRESS(59,30))-INDIRECT(ADDRESS(62,30)),INDIRECT(ADDRESS(63,29))-INDIRECT(ADDRESS(58,30))+INDIRECT(ADDRESS(61,30))-INDIRECT(ADDRESS(62,30)))</f>
        <v>0</v>
      </c>
      <c r="AE63">
        <f>IF(DAY(NOW())&lt;M3,INDIRECT(ADDRESS(63,30))-INDIRECT(ADDRESS(58,31))+INDIRECT(ADDRESS(59,31))-INDIRECT(ADDRESS(62,31)),INDIRECT(ADDRESS(63,30))-INDIRECT(ADDRESS(58,31))+INDIRECT(ADDRESS(61,31))-INDIRECT(ADDRESS(62,31)))</f>
        <v>0</v>
      </c>
      <c r="AF63">
        <f>IF(DAY(NOW())&lt;M3,INDIRECT(ADDRESS(63,31))-INDIRECT(ADDRESS(58,32))+INDIRECT(ADDRESS(59,32))-INDIRECT(ADDRESS(62,32)),INDIRECT(ADDRESS(63,31))-INDIRECT(ADDRESS(58,32))+INDIRECT(ADDRESS(61,32))-INDIRECT(ADDRESS(62,32)))</f>
        <v>0</v>
      </c>
      <c r="AG63">
        <f>IF(DAY(NOW())&lt;M3,INDIRECT(ADDRESS(63,32))-INDIRECT(ADDRESS(58,33))+INDIRECT(ADDRESS(59,33))-INDIRECT(ADDRESS(62,33)),INDIRECT(ADDRESS(63,32))-INDIRECT(ADDRESS(58,33))+INDIRECT(ADDRESS(61,33))-INDIRECT(ADDRESS(62,33)))</f>
        <v>0</v>
      </c>
      <c r="AH63">
        <f>IF(DAY(NOW())&lt;M3,INDIRECT(ADDRESS(63,33))-INDIRECT(ADDRESS(58,34))+INDIRECT(ADDRESS(59,34))-INDIRECT(ADDRESS(62,34)),INDIRECT(ADDRESS(63,33))-INDIRECT(ADDRESS(58,34))+INDIRECT(ADDRESS(61,34))-INDIRECT(ADDRESS(62,34)))</f>
        <v>0</v>
      </c>
      <c r="AI63">
        <f>IF(DAY(NOW())&lt;M3,INDIRECT(ADDRESS(63,34))-INDIRECT(ADDRESS(58,35))+INDIRECT(ADDRESS(59,35))-INDIRECT(ADDRESS(62,35)),INDIRECT(ADDRESS(63,34))-INDIRECT(ADDRESS(58,35))+INDIRECT(ADDRESS(61,35))-INDIRECT(ADDRESS(62,35)))</f>
        <v>0</v>
      </c>
      <c r="AJ63">
        <f>IF(DAY(NOW())&lt;M3,INDIRECT(ADDRESS(63,35))-INDIRECT(ADDRESS(58,36))+INDIRECT(ADDRESS(59,36))-INDIRECT(ADDRESS(62,36)),INDIRECT(ADDRESS(63,35))-INDIRECT(ADDRESS(58,36))+INDIRECT(ADDRESS(61,36))-INDIRECT(ADDRESS(62,36)))</f>
        <v>0</v>
      </c>
      <c r="AK63">
        <f>IF(DAY(NOW())&lt;M3,INDIRECT(ADDRESS(63,36))-INDIRECT(ADDRESS(58,37))+INDIRECT(ADDRESS(59,37))-INDIRECT(ADDRESS(62,37)),INDIRECT(ADDRESS(63,36))-INDIRECT(ADDRESS(58,37))+INDIRECT(ADDRESS(61,37))-INDIRECT(ADDRESS(62,37)))</f>
        <v>0</v>
      </c>
      <c r="AL63">
        <f>IF(DAY(NOW())&lt;M3,INDIRECT(ADDRESS(63,37))-INDIRECT(ADDRESS(58,38))+INDIRECT(ADDRESS(59,38))-INDIRECT(ADDRESS(62,38)),INDIRECT(ADDRESS(63,37))-INDIRECT(ADDRESS(58,38))+INDIRECT(ADDRESS(61,38))-INDIRECT(ADDRESS(62,38)))</f>
        <v>0</v>
      </c>
      <c r="AM63">
        <f>IF(DAY(NOW())&lt;M3,INDIRECT(ADDRESS(63,38))-INDIRECT(ADDRESS(58,39))+INDIRECT(ADDRESS(59,39))-INDIRECT(ADDRESS(62,39)),INDIRECT(ADDRESS(63,38))-INDIRECT(ADDRESS(58,39))+INDIRECT(ADDRESS(61,39))-INDIRECT(ADDRESS(62,39)))</f>
        <v>0</v>
      </c>
      <c r="AN63">
        <f>IF(DAY(NOW())&lt;M3,INDIRECT(ADDRESS(63,39))-INDIRECT(ADDRESS(58,40))+INDIRECT(ADDRESS(59,40))-INDIRECT(ADDRESS(62,40)),INDIRECT(ADDRESS(63,39))-INDIRECT(ADDRESS(58,40))+INDIRECT(ADDRESS(61,40))-INDIRECT(ADDRESS(62,40)))</f>
        <v>0</v>
      </c>
      <c r="AO63">
        <f>IF(DAY(NOW())&lt;M3,INDIRECT(ADDRESS(63,40))-INDIRECT(ADDRESS(58,41))+INDIRECT(ADDRESS(59,41))-INDIRECT(ADDRESS(62,41)),INDIRECT(ADDRESS(63,40))-INDIRECT(ADDRESS(58,41))+INDIRECT(ADDRESS(61,41))-INDIRECT(ADDRESS(62,41)))</f>
        <v>0</v>
      </c>
      <c r="AP63">
        <f>IF(DAY(NOW())&lt;M3,INDIRECT(ADDRESS(63,41))-INDIRECT(ADDRESS(58,42))+INDIRECT(ADDRESS(59,42))-INDIRECT(ADDRESS(62,42)),INDIRECT(ADDRESS(63,41))-INDIRECT(ADDRESS(58,42))+INDIRECT(ADDRESS(61,42))-INDIRECT(ADDRESS(62,42)))</f>
        <v>0</v>
      </c>
      <c r="AQ63">
        <f>IF(DAY(NOW())&lt;M3,INDIRECT(ADDRESS(63,42))-INDIRECT(ADDRESS(58,43))+INDIRECT(ADDRESS(59,43))-INDIRECT(ADDRESS(62,43)),INDIRECT(ADDRESS(63,42))-INDIRECT(ADDRESS(58,43))+INDIRECT(ADDRESS(61,43))-INDIRECT(ADDRESS(62,43)))</f>
        <v>0</v>
      </c>
      <c r="AR63">
        <f>IF(DAY(NOW())&lt;M3,INDIRECT(ADDRESS(63,43))-INDIRECT(ADDRESS(58,44))+INDIRECT(ADDRESS(59,44))-INDIRECT(ADDRESS(62,44)),INDIRECT(ADDRESS(63,43))-INDIRECT(ADDRESS(58,44))+INDIRECT(ADDRESS(61,44))-INDIRECT(ADDRESS(62,44)))</f>
        <v>0</v>
      </c>
    </row>
    <row r="64" spans="1:76">
      <c r="A64" t="s">
        <v>14</v>
      </c>
      <c r="B64" t="s">
        <v>59</v>
      </c>
      <c r="C64" t="s">
        <v>60</v>
      </c>
      <c r="D64" t="s">
        <v>27</v>
      </c>
      <c r="E64">
        <v>1</v>
      </c>
      <c r="F64" t="s">
        <v>61</v>
      </c>
      <c r="H64" t="s">
        <v>35</v>
      </c>
      <c r="I64" t="s">
        <v>36</v>
      </c>
      <c r="K64" t="s">
        <v>20</v>
      </c>
      <c r="L64" t="s">
        <v>21</v>
      </c>
      <c r="BX64">
        <f>sum(j64:an64)</f>
        <v>0</v>
      </c>
    </row>
    <row r="65" spans="1:76">
      <c r="A65" t="s">
        <v>14</v>
      </c>
      <c r="B65" t="s">
        <v>59</v>
      </c>
      <c r="C65" t="s">
        <v>60</v>
      </c>
      <c r="D65" t="s">
        <v>27</v>
      </c>
      <c r="E65">
        <v>1</v>
      </c>
      <c r="F65" t="s">
        <v>61</v>
      </c>
      <c r="H65" t="s">
        <v>35</v>
      </c>
      <c r="I65" t="s">
        <v>36</v>
      </c>
      <c r="K65" t="s">
        <v>20</v>
      </c>
      <c r="L65" t="s">
        <v>37</v>
      </c>
    </row>
    <row r="66" spans="1:76">
      <c r="L66" t="s">
        <v>662</v>
      </c>
    </row>
    <row r="67" spans="1:76">
      <c r="L67" t="s">
        <v>663</v>
      </c>
    </row>
    <row r="68" spans="1:76">
      <c r="L68" t="s">
        <v>664</v>
      </c>
    </row>
    <row r="69" spans="1:76">
      <c r="L69" t="s">
        <v>665</v>
      </c>
      <c r="M69">
        <f>IF(DAY(NOW())&lt;M3,INDIRECT(ADDRESS(69,7))-INDIRECT(ADDRESS(64,13))+INDIRECT(ADDRESS(65,13))-INDIRECT(ADDRESS(68,13)),INDIRECT(ADDRESS(69,7))-INDIRECT(ADDRESS(64,13))+INDIRECT(ADDRESS(67,13))-INDIRECT(ADDRESS(68,13)))</f>
        <v>0</v>
      </c>
      <c r="N69">
        <f>IF(DAY(NOW())&lt;M3,INDIRECT(ADDRESS(69,13))-INDIRECT(ADDRESS(64,14))+INDIRECT(ADDRESS(65,14))-INDIRECT(ADDRESS(68,14)),INDIRECT(ADDRESS(69,13))-INDIRECT(ADDRESS(64,14))+INDIRECT(ADDRESS(67,14))-INDIRECT(ADDRESS(68,14)))</f>
        <v>0</v>
      </c>
      <c r="O69">
        <f>IF(DAY(NOW())&lt;M3,INDIRECT(ADDRESS(69,14))-INDIRECT(ADDRESS(64,15))+INDIRECT(ADDRESS(65,15))-INDIRECT(ADDRESS(68,15)),INDIRECT(ADDRESS(69,14))-INDIRECT(ADDRESS(64,15))+INDIRECT(ADDRESS(67,15))-INDIRECT(ADDRESS(68,15)))</f>
        <v>0</v>
      </c>
      <c r="P69">
        <f>IF(DAY(NOW())&lt;M3,INDIRECT(ADDRESS(69,15))-INDIRECT(ADDRESS(64,16))+INDIRECT(ADDRESS(65,16))-INDIRECT(ADDRESS(68,16)),INDIRECT(ADDRESS(69,15))-INDIRECT(ADDRESS(64,16))+INDIRECT(ADDRESS(67,16))-INDIRECT(ADDRESS(68,16)))</f>
        <v>0</v>
      </c>
      <c r="Q69">
        <f>IF(DAY(NOW())&lt;M3,INDIRECT(ADDRESS(69,16))-INDIRECT(ADDRESS(64,17))+INDIRECT(ADDRESS(65,17))-INDIRECT(ADDRESS(68,17)),INDIRECT(ADDRESS(69,16))-INDIRECT(ADDRESS(64,17))+INDIRECT(ADDRESS(67,17))-INDIRECT(ADDRESS(68,17)))</f>
        <v>0</v>
      </c>
      <c r="R69">
        <f>IF(DAY(NOW())&lt;M3,INDIRECT(ADDRESS(69,17))-INDIRECT(ADDRESS(64,18))+INDIRECT(ADDRESS(65,18))-INDIRECT(ADDRESS(68,18)),INDIRECT(ADDRESS(69,17))-INDIRECT(ADDRESS(64,18))+INDIRECT(ADDRESS(67,18))-INDIRECT(ADDRESS(68,18)))</f>
        <v>0</v>
      </c>
      <c r="S69">
        <f>IF(DAY(NOW())&lt;M3,INDIRECT(ADDRESS(69,18))-INDIRECT(ADDRESS(64,19))+INDIRECT(ADDRESS(65,19))-INDIRECT(ADDRESS(68,19)),INDIRECT(ADDRESS(69,18))-INDIRECT(ADDRESS(64,19))+INDIRECT(ADDRESS(67,19))-INDIRECT(ADDRESS(68,19)))</f>
        <v>0</v>
      </c>
      <c r="T69">
        <f>IF(DAY(NOW())&lt;M3,INDIRECT(ADDRESS(69,19))-INDIRECT(ADDRESS(64,20))+INDIRECT(ADDRESS(65,20))-INDIRECT(ADDRESS(68,20)),INDIRECT(ADDRESS(69,19))-INDIRECT(ADDRESS(64,20))+INDIRECT(ADDRESS(67,20))-INDIRECT(ADDRESS(68,20)))</f>
        <v>0</v>
      </c>
      <c r="U69">
        <f>IF(DAY(NOW())&lt;M3,INDIRECT(ADDRESS(69,20))-INDIRECT(ADDRESS(64,21))+INDIRECT(ADDRESS(65,21))-INDIRECT(ADDRESS(68,21)),INDIRECT(ADDRESS(69,20))-INDIRECT(ADDRESS(64,21))+INDIRECT(ADDRESS(67,21))-INDIRECT(ADDRESS(68,21)))</f>
        <v>0</v>
      </c>
      <c r="V69">
        <f>IF(DAY(NOW())&lt;M3,INDIRECT(ADDRESS(69,21))-INDIRECT(ADDRESS(64,22))+INDIRECT(ADDRESS(65,22))-INDIRECT(ADDRESS(68,22)),INDIRECT(ADDRESS(69,21))-INDIRECT(ADDRESS(64,22))+INDIRECT(ADDRESS(67,22))-INDIRECT(ADDRESS(68,22)))</f>
        <v>0</v>
      </c>
      <c r="W69">
        <f>IF(DAY(NOW())&lt;M3,INDIRECT(ADDRESS(69,22))-INDIRECT(ADDRESS(64,23))+INDIRECT(ADDRESS(65,23))-INDIRECT(ADDRESS(68,23)),INDIRECT(ADDRESS(69,22))-INDIRECT(ADDRESS(64,23))+INDIRECT(ADDRESS(67,23))-INDIRECT(ADDRESS(68,23)))</f>
        <v>0</v>
      </c>
      <c r="X69">
        <f>IF(DAY(NOW())&lt;M3,INDIRECT(ADDRESS(69,23))-INDIRECT(ADDRESS(64,24))+INDIRECT(ADDRESS(65,24))-INDIRECT(ADDRESS(68,24)),INDIRECT(ADDRESS(69,23))-INDIRECT(ADDRESS(64,24))+INDIRECT(ADDRESS(67,24))-INDIRECT(ADDRESS(68,24)))</f>
        <v>0</v>
      </c>
      <c r="Y69">
        <f>IF(DAY(NOW())&lt;M3,INDIRECT(ADDRESS(69,24))-INDIRECT(ADDRESS(64,25))+INDIRECT(ADDRESS(65,25))-INDIRECT(ADDRESS(68,25)),INDIRECT(ADDRESS(69,24))-INDIRECT(ADDRESS(64,25))+INDIRECT(ADDRESS(67,25))-INDIRECT(ADDRESS(68,25)))</f>
        <v>0</v>
      </c>
      <c r="Z69">
        <f>IF(DAY(NOW())&lt;M3,INDIRECT(ADDRESS(69,25))-INDIRECT(ADDRESS(64,26))+INDIRECT(ADDRESS(65,26))-INDIRECT(ADDRESS(68,26)),INDIRECT(ADDRESS(69,25))-INDIRECT(ADDRESS(64,26))+INDIRECT(ADDRESS(67,26))-INDIRECT(ADDRESS(68,26)))</f>
        <v>0</v>
      </c>
      <c r="AA69">
        <f>IF(DAY(NOW())&lt;M3,INDIRECT(ADDRESS(69,26))-INDIRECT(ADDRESS(64,27))+INDIRECT(ADDRESS(65,27))-INDIRECT(ADDRESS(68,27)),INDIRECT(ADDRESS(69,26))-INDIRECT(ADDRESS(64,27))+INDIRECT(ADDRESS(67,27))-INDIRECT(ADDRESS(68,27)))</f>
        <v>0</v>
      </c>
      <c r="AB69">
        <f>IF(DAY(NOW())&lt;M3,INDIRECT(ADDRESS(69,27))-INDIRECT(ADDRESS(64,28))+INDIRECT(ADDRESS(65,28))-INDIRECT(ADDRESS(68,28)),INDIRECT(ADDRESS(69,27))-INDIRECT(ADDRESS(64,28))+INDIRECT(ADDRESS(67,28))-INDIRECT(ADDRESS(68,28)))</f>
        <v>0</v>
      </c>
      <c r="AC69">
        <f>IF(DAY(NOW())&lt;M3,INDIRECT(ADDRESS(69,28))-INDIRECT(ADDRESS(64,29))+INDIRECT(ADDRESS(65,29))-INDIRECT(ADDRESS(68,29)),INDIRECT(ADDRESS(69,28))-INDIRECT(ADDRESS(64,29))+INDIRECT(ADDRESS(67,29))-INDIRECT(ADDRESS(68,29)))</f>
        <v>0</v>
      </c>
      <c r="AD69">
        <f>IF(DAY(NOW())&lt;M3,INDIRECT(ADDRESS(69,29))-INDIRECT(ADDRESS(64,30))+INDIRECT(ADDRESS(65,30))-INDIRECT(ADDRESS(68,30)),INDIRECT(ADDRESS(69,29))-INDIRECT(ADDRESS(64,30))+INDIRECT(ADDRESS(67,30))-INDIRECT(ADDRESS(68,30)))</f>
        <v>0</v>
      </c>
      <c r="AE69">
        <f>IF(DAY(NOW())&lt;M3,INDIRECT(ADDRESS(69,30))-INDIRECT(ADDRESS(64,31))+INDIRECT(ADDRESS(65,31))-INDIRECT(ADDRESS(68,31)),INDIRECT(ADDRESS(69,30))-INDIRECT(ADDRESS(64,31))+INDIRECT(ADDRESS(67,31))-INDIRECT(ADDRESS(68,31)))</f>
        <v>0</v>
      </c>
      <c r="AF69">
        <f>IF(DAY(NOW())&lt;M3,INDIRECT(ADDRESS(69,31))-INDIRECT(ADDRESS(64,32))+INDIRECT(ADDRESS(65,32))-INDIRECT(ADDRESS(68,32)),INDIRECT(ADDRESS(69,31))-INDIRECT(ADDRESS(64,32))+INDIRECT(ADDRESS(67,32))-INDIRECT(ADDRESS(68,32)))</f>
        <v>0</v>
      </c>
      <c r="AG69">
        <f>IF(DAY(NOW())&lt;M3,INDIRECT(ADDRESS(69,32))-INDIRECT(ADDRESS(64,33))+INDIRECT(ADDRESS(65,33))-INDIRECT(ADDRESS(68,33)),INDIRECT(ADDRESS(69,32))-INDIRECT(ADDRESS(64,33))+INDIRECT(ADDRESS(67,33))-INDIRECT(ADDRESS(68,33)))</f>
        <v>0</v>
      </c>
      <c r="AH69">
        <f>IF(DAY(NOW())&lt;M3,INDIRECT(ADDRESS(69,33))-INDIRECT(ADDRESS(64,34))+INDIRECT(ADDRESS(65,34))-INDIRECT(ADDRESS(68,34)),INDIRECT(ADDRESS(69,33))-INDIRECT(ADDRESS(64,34))+INDIRECT(ADDRESS(67,34))-INDIRECT(ADDRESS(68,34)))</f>
        <v>0</v>
      </c>
      <c r="AI69">
        <f>IF(DAY(NOW())&lt;M3,INDIRECT(ADDRESS(69,34))-INDIRECT(ADDRESS(64,35))+INDIRECT(ADDRESS(65,35))-INDIRECT(ADDRESS(68,35)),INDIRECT(ADDRESS(69,34))-INDIRECT(ADDRESS(64,35))+INDIRECT(ADDRESS(67,35))-INDIRECT(ADDRESS(68,35)))</f>
        <v>0</v>
      </c>
      <c r="AJ69">
        <f>IF(DAY(NOW())&lt;M3,INDIRECT(ADDRESS(69,35))-INDIRECT(ADDRESS(64,36))+INDIRECT(ADDRESS(65,36))-INDIRECT(ADDRESS(68,36)),INDIRECT(ADDRESS(69,35))-INDIRECT(ADDRESS(64,36))+INDIRECT(ADDRESS(67,36))-INDIRECT(ADDRESS(68,36)))</f>
        <v>0</v>
      </c>
      <c r="AK69">
        <f>IF(DAY(NOW())&lt;M3,INDIRECT(ADDRESS(69,36))-INDIRECT(ADDRESS(64,37))+INDIRECT(ADDRESS(65,37))-INDIRECT(ADDRESS(68,37)),INDIRECT(ADDRESS(69,36))-INDIRECT(ADDRESS(64,37))+INDIRECT(ADDRESS(67,37))-INDIRECT(ADDRESS(68,37)))</f>
        <v>0</v>
      </c>
      <c r="AL69">
        <f>IF(DAY(NOW())&lt;M3,INDIRECT(ADDRESS(69,37))-INDIRECT(ADDRESS(64,38))+INDIRECT(ADDRESS(65,38))-INDIRECT(ADDRESS(68,38)),INDIRECT(ADDRESS(69,37))-INDIRECT(ADDRESS(64,38))+INDIRECT(ADDRESS(67,38))-INDIRECT(ADDRESS(68,38)))</f>
        <v>0</v>
      </c>
      <c r="AM69">
        <f>IF(DAY(NOW())&lt;M3,INDIRECT(ADDRESS(69,38))-INDIRECT(ADDRESS(64,39))+INDIRECT(ADDRESS(65,39))-INDIRECT(ADDRESS(68,39)),INDIRECT(ADDRESS(69,38))-INDIRECT(ADDRESS(64,39))+INDIRECT(ADDRESS(67,39))-INDIRECT(ADDRESS(68,39)))</f>
        <v>0</v>
      </c>
      <c r="AN69">
        <f>IF(DAY(NOW())&lt;M3,INDIRECT(ADDRESS(69,39))-INDIRECT(ADDRESS(64,40))+INDIRECT(ADDRESS(65,40))-INDIRECT(ADDRESS(68,40)),INDIRECT(ADDRESS(69,39))-INDIRECT(ADDRESS(64,40))+INDIRECT(ADDRESS(67,40))-INDIRECT(ADDRESS(68,40)))</f>
        <v>0</v>
      </c>
      <c r="AO69">
        <f>IF(DAY(NOW())&lt;M3,INDIRECT(ADDRESS(69,40))-INDIRECT(ADDRESS(64,41))+INDIRECT(ADDRESS(65,41))-INDIRECT(ADDRESS(68,41)),INDIRECT(ADDRESS(69,40))-INDIRECT(ADDRESS(64,41))+INDIRECT(ADDRESS(67,41))-INDIRECT(ADDRESS(68,41)))</f>
        <v>0</v>
      </c>
      <c r="AP69">
        <f>IF(DAY(NOW())&lt;M3,INDIRECT(ADDRESS(69,41))-INDIRECT(ADDRESS(64,42))+INDIRECT(ADDRESS(65,42))-INDIRECT(ADDRESS(68,42)),INDIRECT(ADDRESS(69,41))-INDIRECT(ADDRESS(64,42))+INDIRECT(ADDRESS(67,42))-INDIRECT(ADDRESS(68,42)))</f>
        <v>0</v>
      </c>
      <c r="AQ69">
        <f>IF(DAY(NOW())&lt;M3,INDIRECT(ADDRESS(69,42))-INDIRECT(ADDRESS(64,43))+INDIRECT(ADDRESS(65,43))-INDIRECT(ADDRESS(68,43)),INDIRECT(ADDRESS(69,42))-INDIRECT(ADDRESS(64,43))+INDIRECT(ADDRESS(67,43))-INDIRECT(ADDRESS(68,43)))</f>
        <v>0</v>
      </c>
      <c r="AR69">
        <f>IF(DAY(NOW())&lt;M3,INDIRECT(ADDRESS(69,43))-INDIRECT(ADDRESS(64,44))+INDIRECT(ADDRESS(65,44))-INDIRECT(ADDRESS(68,44)),INDIRECT(ADDRESS(69,43))-INDIRECT(ADDRESS(64,44))+INDIRECT(ADDRESS(67,44))-INDIRECT(ADDRESS(68,44)))</f>
        <v>0</v>
      </c>
    </row>
    <row r="70" spans="1:76">
      <c r="A70" t="s">
        <v>31</v>
      </c>
      <c r="B70" t="s">
        <v>62</v>
      </c>
      <c r="C70" t="s">
        <v>63</v>
      </c>
      <c r="D70" t="s">
        <v>17</v>
      </c>
      <c r="E70">
        <v>1</v>
      </c>
      <c r="F70" t="s">
        <v>64</v>
      </c>
      <c r="H70" t="s">
        <v>35</v>
      </c>
      <c r="I70" t="s">
        <v>36</v>
      </c>
      <c r="K70" t="s">
        <v>20</v>
      </c>
      <c r="L70" t="s">
        <v>21</v>
      </c>
      <c r="M70">
        <f>sumifs(BOM!m:m,BOM!A:A,".1",BOM!B:B,"852-232000-100")</f>
        <v>0</v>
      </c>
      <c r="N70">
        <f>sumifs(BOM!n:n,BOM!A:A,".1",BOM!B:B,"852-232000-100")</f>
        <v>0</v>
      </c>
      <c r="O70">
        <f>sumifs(BOM!o:o,BOM!A:A,".1",BOM!B:B,"852-232000-100")</f>
        <v>0</v>
      </c>
      <c r="P70">
        <f>sumifs(BOM!p:p,BOM!A:A,".1",BOM!B:B,"852-232000-100")</f>
        <v>0</v>
      </c>
      <c r="Q70">
        <f>sumifs(BOM!q:q,BOM!A:A,".1",BOM!B:B,"852-232000-100")</f>
        <v>0</v>
      </c>
      <c r="R70">
        <f>sumifs(BOM!r:r,BOM!A:A,".1",BOM!B:B,"852-232000-100")</f>
        <v>0</v>
      </c>
      <c r="S70">
        <f>sumifs(BOM!s:s,BOM!A:A,".1",BOM!B:B,"852-232000-100")</f>
        <v>0</v>
      </c>
      <c r="T70">
        <f>sumifs(BOM!t:t,BOM!A:A,".1",BOM!B:B,"852-232000-100")</f>
        <v>0</v>
      </c>
      <c r="U70">
        <f>sumifs(BOM!u:u,BOM!A:A,".1",BOM!B:B,"852-232000-100")</f>
        <v>0</v>
      </c>
      <c r="V70">
        <f>sumifs(BOM!v:v,BOM!A:A,".1",BOM!B:B,"852-232000-100")</f>
        <v>0</v>
      </c>
      <c r="W70">
        <f>sumifs(BOM!w:w,BOM!A:A,".1",BOM!B:B,"852-232000-100")</f>
        <v>0</v>
      </c>
      <c r="X70">
        <f>sumifs(BOM!x:x,BOM!A:A,".1",BOM!B:B,"852-232000-100")</f>
        <v>0</v>
      </c>
      <c r="Y70">
        <f>sumifs(BOM!y:y,BOM!A:A,".1",BOM!B:B,"852-232000-100")</f>
        <v>0</v>
      </c>
      <c r="Z70">
        <f>sumifs(BOM!z:z,BOM!A:A,".1",BOM!B:B,"852-232000-100")</f>
        <v>0</v>
      </c>
      <c r="AA70">
        <f>sumifs(BOM!aa:aa,BOM!A:A,".1",BOM!B:B,"852-232000-100")</f>
        <v>0</v>
      </c>
      <c r="AB70">
        <f>sumifs(BOM!ab:ab,BOM!A:A,".1",BOM!B:B,"852-232000-100")</f>
        <v>0</v>
      </c>
      <c r="AC70">
        <f>sumifs(BOM!ac:ac,BOM!A:A,".1",BOM!B:B,"852-232000-100")</f>
        <v>0</v>
      </c>
      <c r="AD70">
        <f>sumifs(BOM!ad:ad,BOM!A:A,".1",BOM!B:B,"852-232000-100")</f>
        <v>0</v>
      </c>
      <c r="AE70">
        <f>sumifs(BOM!ae:ae,BOM!A:A,".1",BOM!B:B,"852-232000-100")</f>
        <v>0</v>
      </c>
      <c r="AF70">
        <f>sumifs(BOM!af:af,BOM!A:A,".1",BOM!B:B,"852-232000-100")</f>
        <v>0</v>
      </c>
      <c r="AG70">
        <f>sumifs(BOM!ag:ag,BOM!A:A,".1",BOM!B:B,"852-232000-100")</f>
        <v>0</v>
      </c>
      <c r="AH70">
        <f>sumifs(BOM!ah:ah,BOM!A:A,".1",BOM!B:B,"852-232000-100")</f>
        <v>0</v>
      </c>
      <c r="AI70">
        <f>sumifs(BOM!ai:ai,BOM!A:A,".1",BOM!B:B,"852-232000-100")</f>
        <v>0</v>
      </c>
      <c r="AJ70">
        <f>sumifs(BOM!aj:aj,BOM!A:A,".1",BOM!B:B,"852-232000-100")</f>
        <v>0</v>
      </c>
      <c r="AK70">
        <f>sumifs(BOM!ak:ak,BOM!A:A,".1",BOM!B:B,"852-232000-100")</f>
        <v>0</v>
      </c>
      <c r="AL70">
        <f>sumifs(BOM!al:al,BOM!A:A,".1",BOM!B:B,"852-232000-100")</f>
        <v>0</v>
      </c>
      <c r="AM70">
        <f>sumifs(BOM!am:am,BOM!A:A,".1",BOM!B:B,"852-232000-100")</f>
        <v>0</v>
      </c>
      <c r="AN70">
        <f>sumifs(BOM!an:an,BOM!A:A,".1",BOM!B:B,"852-232000-100")</f>
        <v>0</v>
      </c>
      <c r="AO70">
        <f>sumifs(BOM!ao:ao,BOM!A:A,".1",BOM!B:B,"852-232000-100")</f>
        <v>0</v>
      </c>
      <c r="AP70">
        <f>sumifs(BOM!ap:ap,BOM!A:A,".1",BOM!B:B,"852-232000-100")</f>
        <v>0</v>
      </c>
      <c r="AQ70">
        <f>sumifs(BOM!aq:aq,BOM!A:A,".1",BOM!B:B,"852-232000-100")</f>
        <v>0</v>
      </c>
      <c r="AR70">
        <f>sumifs(BOM!ar:ar,BOM!A:A,".1",BOM!B:B,"852-232000-100")</f>
        <v>0</v>
      </c>
      <c r="BX70">
        <f>sum(j70:an70)</f>
        <v>0</v>
      </c>
    </row>
    <row r="71" spans="1:76">
      <c r="A71" t="s">
        <v>31</v>
      </c>
      <c r="B71" t="s">
        <v>62</v>
      </c>
      <c r="C71" t="s">
        <v>63</v>
      </c>
      <c r="D71" t="s">
        <v>17</v>
      </c>
      <c r="E71">
        <v>1</v>
      </c>
      <c r="F71" t="s">
        <v>64</v>
      </c>
      <c r="H71" t="s">
        <v>35</v>
      </c>
      <c r="I71" t="s">
        <v>36</v>
      </c>
      <c r="K71" t="s">
        <v>20</v>
      </c>
      <c r="L71" t="s">
        <v>37</v>
      </c>
    </row>
    <row r="72" spans="1:76">
      <c r="L72" t="s">
        <v>662</v>
      </c>
    </row>
    <row r="73" spans="1:76">
      <c r="L73" t="s">
        <v>663</v>
      </c>
    </row>
    <row r="74" spans="1:76">
      <c r="L74" t="s">
        <v>664</v>
      </c>
    </row>
    <row r="75" spans="1:76">
      <c r="L75" t="s">
        <v>665</v>
      </c>
      <c r="M75">
        <f>IF(DAY(NOW())&lt;M3,INDIRECT(ADDRESS(75,7))-INDIRECT(ADDRESS(70,13))+INDIRECT(ADDRESS(71,13))-INDIRECT(ADDRESS(74,13)),INDIRECT(ADDRESS(75,7))-INDIRECT(ADDRESS(70,13))+INDIRECT(ADDRESS(73,13))-INDIRECT(ADDRESS(74,13)))</f>
        <v>0</v>
      </c>
      <c r="N75">
        <f>IF(DAY(NOW())&lt;M3,INDIRECT(ADDRESS(75,13))-INDIRECT(ADDRESS(70,14))+INDIRECT(ADDRESS(71,14))-INDIRECT(ADDRESS(74,14)),INDIRECT(ADDRESS(75,13))-INDIRECT(ADDRESS(70,14))+INDIRECT(ADDRESS(73,14))-INDIRECT(ADDRESS(74,14)))</f>
        <v>0</v>
      </c>
      <c r="O75">
        <f>IF(DAY(NOW())&lt;M3,INDIRECT(ADDRESS(75,14))-INDIRECT(ADDRESS(70,15))+INDIRECT(ADDRESS(71,15))-INDIRECT(ADDRESS(74,15)),INDIRECT(ADDRESS(75,14))-INDIRECT(ADDRESS(70,15))+INDIRECT(ADDRESS(73,15))-INDIRECT(ADDRESS(74,15)))</f>
        <v>0</v>
      </c>
      <c r="P75">
        <f>IF(DAY(NOW())&lt;M3,INDIRECT(ADDRESS(75,15))-INDIRECT(ADDRESS(70,16))+INDIRECT(ADDRESS(71,16))-INDIRECT(ADDRESS(74,16)),INDIRECT(ADDRESS(75,15))-INDIRECT(ADDRESS(70,16))+INDIRECT(ADDRESS(73,16))-INDIRECT(ADDRESS(74,16)))</f>
        <v>0</v>
      </c>
      <c r="Q75">
        <f>IF(DAY(NOW())&lt;M3,INDIRECT(ADDRESS(75,16))-INDIRECT(ADDRESS(70,17))+INDIRECT(ADDRESS(71,17))-INDIRECT(ADDRESS(74,17)),INDIRECT(ADDRESS(75,16))-INDIRECT(ADDRESS(70,17))+INDIRECT(ADDRESS(73,17))-INDIRECT(ADDRESS(74,17)))</f>
        <v>0</v>
      </c>
      <c r="R75">
        <f>IF(DAY(NOW())&lt;M3,INDIRECT(ADDRESS(75,17))-INDIRECT(ADDRESS(70,18))+INDIRECT(ADDRESS(71,18))-INDIRECT(ADDRESS(74,18)),INDIRECT(ADDRESS(75,17))-INDIRECT(ADDRESS(70,18))+INDIRECT(ADDRESS(73,18))-INDIRECT(ADDRESS(74,18)))</f>
        <v>0</v>
      </c>
      <c r="S75">
        <f>IF(DAY(NOW())&lt;M3,INDIRECT(ADDRESS(75,18))-INDIRECT(ADDRESS(70,19))+INDIRECT(ADDRESS(71,19))-INDIRECT(ADDRESS(74,19)),INDIRECT(ADDRESS(75,18))-INDIRECT(ADDRESS(70,19))+INDIRECT(ADDRESS(73,19))-INDIRECT(ADDRESS(74,19)))</f>
        <v>0</v>
      </c>
      <c r="T75">
        <f>IF(DAY(NOW())&lt;M3,INDIRECT(ADDRESS(75,19))-INDIRECT(ADDRESS(70,20))+INDIRECT(ADDRESS(71,20))-INDIRECT(ADDRESS(74,20)),INDIRECT(ADDRESS(75,19))-INDIRECT(ADDRESS(70,20))+INDIRECT(ADDRESS(73,20))-INDIRECT(ADDRESS(74,20)))</f>
        <v>0</v>
      </c>
      <c r="U75">
        <f>IF(DAY(NOW())&lt;M3,INDIRECT(ADDRESS(75,20))-INDIRECT(ADDRESS(70,21))+INDIRECT(ADDRESS(71,21))-INDIRECT(ADDRESS(74,21)),INDIRECT(ADDRESS(75,20))-INDIRECT(ADDRESS(70,21))+INDIRECT(ADDRESS(73,21))-INDIRECT(ADDRESS(74,21)))</f>
        <v>0</v>
      </c>
      <c r="V75">
        <f>IF(DAY(NOW())&lt;M3,INDIRECT(ADDRESS(75,21))-INDIRECT(ADDRESS(70,22))+INDIRECT(ADDRESS(71,22))-INDIRECT(ADDRESS(74,22)),INDIRECT(ADDRESS(75,21))-INDIRECT(ADDRESS(70,22))+INDIRECT(ADDRESS(73,22))-INDIRECT(ADDRESS(74,22)))</f>
        <v>0</v>
      </c>
      <c r="W75">
        <f>IF(DAY(NOW())&lt;M3,INDIRECT(ADDRESS(75,22))-INDIRECT(ADDRESS(70,23))+INDIRECT(ADDRESS(71,23))-INDIRECT(ADDRESS(74,23)),INDIRECT(ADDRESS(75,22))-INDIRECT(ADDRESS(70,23))+INDIRECT(ADDRESS(73,23))-INDIRECT(ADDRESS(74,23)))</f>
        <v>0</v>
      </c>
      <c r="X75">
        <f>IF(DAY(NOW())&lt;M3,INDIRECT(ADDRESS(75,23))-INDIRECT(ADDRESS(70,24))+INDIRECT(ADDRESS(71,24))-INDIRECT(ADDRESS(74,24)),INDIRECT(ADDRESS(75,23))-INDIRECT(ADDRESS(70,24))+INDIRECT(ADDRESS(73,24))-INDIRECT(ADDRESS(74,24)))</f>
        <v>0</v>
      </c>
      <c r="Y75">
        <f>IF(DAY(NOW())&lt;M3,INDIRECT(ADDRESS(75,24))-INDIRECT(ADDRESS(70,25))+INDIRECT(ADDRESS(71,25))-INDIRECT(ADDRESS(74,25)),INDIRECT(ADDRESS(75,24))-INDIRECT(ADDRESS(70,25))+INDIRECT(ADDRESS(73,25))-INDIRECT(ADDRESS(74,25)))</f>
        <v>0</v>
      </c>
      <c r="Z75">
        <f>IF(DAY(NOW())&lt;M3,INDIRECT(ADDRESS(75,25))-INDIRECT(ADDRESS(70,26))+INDIRECT(ADDRESS(71,26))-INDIRECT(ADDRESS(74,26)),INDIRECT(ADDRESS(75,25))-INDIRECT(ADDRESS(70,26))+INDIRECT(ADDRESS(73,26))-INDIRECT(ADDRESS(74,26)))</f>
        <v>0</v>
      </c>
      <c r="AA75">
        <f>IF(DAY(NOW())&lt;M3,INDIRECT(ADDRESS(75,26))-INDIRECT(ADDRESS(70,27))+INDIRECT(ADDRESS(71,27))-INDIRECT(ADDRESS(74,27)),INDIRECT(ADDRESS(75,26))-INDIRECT(ADDRESS(70,27))+INDIRECT(ADDRESS(73,27))-INDIRECT(ADDRESS(74,27)))</f>
        <v>0</v>
      </c>
      <c r="AB75">
        <f>IF(DAY(NOW())&lt;M3,INDIRECT(ADDRESS(75,27))-INDIRECT(ADDRESS(70,28))+INDIRECT(ADDRESS(71,28))-INDIRECT(ADDRESS(74,28)),INDIRECT(ADDRESS(75,27))-INDIRECT(ADDRESS(70,28))+INDIRECT(ADDRESS(73,28))-INDIRECT(ADDRESS(74,28)))</f>
        <v>0</v>
      </c>
      <c r="AC75">
        <f>IF(DAY(NOW())&lt;M3,INDIRECT(ADDRESS(75,28))-INDIRECT(ADDRESS(70,29))+INDIRECT(ADDRESS(71,29))-INDIRECT(ADDRESS(74,29)),INDIRECT(ADDRESS(75,28))-INDIRECT(ADDRESS(70,29))+INDIRECT(ADDRESS(73,29))-INDIRECT(ADDRESS(74,29)))</f>
        <v>0</v>
      </c>
      <c r="AD75">
        <f>IF(DAY(NOW())&lt;M3,INDIRECT(ADDRESS(75,29))-INDIRECT(ADDRESS(70,30))+INDIRECT(ADDRESS(71,30))-INDIRECT(ADDRESS(74,30)),INDIRECT(ADDRESS(75,29))-INDIRECT(ADDRESS(70,30))+INDIRECT(ADDRESS(73,30))-INDIRECT(ADDRESS(74,30)))</f>
        <v>0</v>
      </c>
      <c r="AE75">
        <f>IF(DAY(NOW())&lt;M3,INDIRECT(ADDRESS(75,30))-INDIRECT(ADDRESS(70,31))+INDIRECT(ADDRESS(71,31))-INDIRECT(ADDRESS(74,31)),INDIRECT(ADDRESS(75,30))-INDIRECT(ADDRESS(70,31))+INDIRECT(ADDRESS(73,31))-INDIRECT(ADDRESS(74,31)))</f>
        <v>0</v>
      </c>
      <c r="AF75">
        <f>IF(DAY(NOW())&lt;M3,INDIRECT(ADDRESS(75,31))-INDIRECT(ADDRESS(70,32))+INDIRECT(ADDRESS(71,32))-INDIRECT(ADDRESS(74,32)),INDIRECT(ADDRESS(75,31))-INDIRECT(ADDRESS(70,32))+INDIRECT(ADDRESS(73,32))-INDIRECT(ADDRESS(74,32)))</f>
        <v>0</v>
      </c>
      <c r="AG75">
        <f>IF(DAY(NOW())&lt;M3,INDIRECT(ADDRESS(75,32))-INDIRECT(ADDRESS(70,33))+INDIRECT(ADDRESS(71,33))-INDIRECT(ADDRESS(74,33)),INDIRECT(ADDRESS(75,32))-INDIRECT(ADDRESS(70,33))+INDIRECT(ADDRESS(73,33))-INDIRECT(ADDRESS(74,33)))</f>
        <v>0</v>
      </c>
      <c r="AH75">
        <f>IF(DAY(NOW())&lt;M3,INDIRECT(ADDRESS(75,33))-INDIRECT(ADDRESS(70,34))+INDIRECT(ADDRESS(71,34))-INDIRECT(ADDRESS(74,34)),INDIRECT(ADDRESS(75,33))-INDIRECT(ADDRESS(70,34))+INDIRECT(ADDRESS(73,34))-INDIRECT(ADDRESS(74,34)))</f>
        <v>0</v>
      </c>
      <c r="AI75">
        <f>IF(DAY(NOW())&lt;M3,INDIRECT(ADDRESS(75,34))-INDIRECT(ADDRESS(70,35))+INDIRECT(ADDRESS(71,35))-INDIRECT(ADDRESS(74,35)),INDIRECT(ADDRESS(75,34))-INDIRECT(ADDRESS(70,35))+INDIRECT(ADDRESS(73,35))-INDIRECT(ADDRESS(74,35)))</f>
        <v>0</v>
      </c>
      <c r="AJ75">
        <f>IF(DAY(NOW())&lt;M3,INDIRECT(ADDRESS(75,35))-INDIRECT(ADDRESS(70,36))+INDIRECT(ADDRESS(71,36))-INDIRECT(ADDRESS(74,36)),INDIRECT(ADDRESS(75,35))-INDIRECT(ADDRESS(70,36))+INDIRECT(ADDRESS(73,36))-INDIRECT(ADDRESS(74,36)))</f>
        <v>0</v>
      </c>
      <c r="AK75">
        <f>IF(DAY(NOW())&lt;M3,INDIRECT(ADDRESS(75,36))-INDIRECT(ADDRESS(70,37))+INDIRECT(ADDRESS(71,37))-INDIRECT(ADDRESS(74,37)),INDIRECT(ADDRESS(75,36))-INDIRECT(ADDRESS(70,37))+INDIRECT(ADDRESS(73,37))-INDIRECT(ADDRESS(74,37)))</f>
        <v>0</v>
      </c>
      <c r="AL75">
        <f>IF(DAY(NOW())&lt;M3,INDIRECT(ADDRESS(75,37))-INDIRECT(ADDRESS(70,38))+INDIRECT(ADDRESS(71,38))-INDIRECT(ADDRESS(74,38)),INDIRECT(ADDRESS(75,37))-INDIRECT(ADDRESS(70,38))+INDIRECT(ADDRESS(73,38))-INDIRECT(ADDRESS(74,38)))</f>
        <v>0</v>
      </c>
      <c r="AM75">
        <f>IF(DAY(NOW())&lt;M3,INDIRECT(ADDRESS(75,38))-INDIRECT(ADDRESS(70,39))+INDIRECT(ADDRESS(71,39))-INDIRECT(ADDRESS(74,39)),INDIRECT(ADDRESS(75,38))-INDIRECT(ADDRESS(70,39))+INDIRECT(ADDRESS(73,39))-INDIRECT(ADDRESS(74,39)))</f>
        <v>0</v>
      </c>
      <c r="AN75">
        <f>IF(DAY(NOW())&lt;M3,INDIRECT(ADDRESS(75,39))-INDIRECT(ADDRESS(70,40))+INDIRECT(ADDRESS(71,40))-INDIRECT(ADDRESS(74,40)),INDIRECT(ADDRESS(75,39))-INDIRECT(ADDRESS(70,40))+INDIRECT(ADDRESS(73,40))-INDIRECT(ADDRESS(74,40)))</f>
        <v>0</v>
      </c>
      <c r="AO75">
        <f>IF(DAY(NOW())&lt;M3,INDIRECT(ADDRESS(75,40))-INDIRECT(ADDRESS(70,41))+INDIRECT(ADDRESS(71,41))-INDIRECT(ADDRESS(74,41)),INDIRECT(ADDRESS(75,40))-INDIRECT(ADDRESS(70,41))+INDIRECT(ADDRESS(73,41))-INDIRECT(ADDRESS(74,41)))</f>
        <v>0</v>
      </c>
      <c r="AP75">
        <f>IF(DAY(NOW())&lt;M3,INDIRECT(ADDRESS(75,41))-INDIRECT(ADDRESS(70,42))+INDIRECT(ADDRESS(71,42))-INDIRECT(ADDRESS(74,42)),INDIRECT(ADDRESS(75,41))-INDIRECT(ADDRESS(70,42))+INDIRECT(ADDRESS(73,42))-INDIRECT(ADDRESS(74,42)))</f>
        <v>0</v>
      </c>
      <c r="AQ75">
        <f>IF(DAY(NOW())&lt;M3,INDIRECT(ADDRESS(75,42))-INDIRECT(ADDRESS(70,43))+INDIRECT(ADDRESS(71,43))-INDIRECT(ADDRESS(74,43)),INDIRECT(ADDRESS(75,42))-INDIRECT(ADDRESS(70,43))+INDIRECT(ADDRESS(73,43))-INDIRECT(ADDRESS(74,43)))</f>
        <v>0</v>
      </c>
      <c r="AR75">
        <f>IF(DAY(NOW())&lt;M3,INDIRECT(ADDRESS(75,43))-INDIRECT(ADDRESS(70,44))+INDIRECT(ADDRESS(71,44))-INDIRECT(ADDRESS(74,44)),INDIRECT(ADDRESS(75,43))-INDIRECT(ADDRESS(70,44))+INDIRECT(ADDRESS(73,44))-INDIRECT(ADDRESS(74,44)))</f>
        <v>0</v>
      </c>
    </row>
    <row r="76" spans="1:76">
      <c r="A76" t="s">
        <v>31</v>
      </c>
      <c r="B76" t="s">
        <v>65</v>
      </c>
      <c r="C76" t="s">
        <v>66</v>
      </c>
      <c r="D76" t="s">
        <v>67</v>
      </c>
      <c r="E76">
        <v>1</v>
      </c>
      <c r="F76" t="s">
        <v>68</v>
      </c>
      <c r="H76" t="s">
        <v>35</v>
      </c>
      <c r="I76" t="s">
        <v>36</v>
      </c>
      <c r="K76" t="s">
        <v>20</v>
      </c>
      <c r="L76" t="s">
        <v>21</v>
      </c>
      <c r="M76">
        <f>sumifs(BOM!m:m,BOM!A:A,".1",BOM!B:B,"852-233000-100")</f>
        <v>0</v>
      </c>
      <c r="N76">
        <f>sumifs(BOM!n:n,BOM!A:A,".1",BOM!B:B,"852-233000-100")</f>
        <v>0</v>
      </c>
      <c r="O76">
        <f>sumifs(BOM!o:o,BOM!A:A,".1",BOM!B:B,"852-233000-100")</f>
        <v>0</v>
      </c>
      <c r="P76">
        <f>sumifs(BOM!p:p,BOM!A:A,".1",BOM!B:B,"852-233000-100")</f>
        <v>0</v>
      </c>
      <c r="Q76">
        <f>sumifs(BOM!q:q,BOM!A:A,".1",BOM!B:B,"852-233000-100")</f>
        <v>0</v>
      </c>
      <c r="R76">
        <f>sumifs(BOM!r:r,BOM!A:A,".1",BOM!B:B,"852-233000-100")</f>
        <v>0</v>
      </c>
      <c r="S76">
        <f>sumifs(BOM!s:s,BOM!A:A,".1",BOM!B:B,"852-233000-100")</f>
        <v>0</v>
      </c>
      <c r="T76">
        <f>sumifs(BOM!t:t,BOM!A:A,".1",BOM!B:B,"852-233000-100")</f>
        <v>0</v>
      </c>
      <c r="U76">
        <f>sumifs(BOM!u:u,BOM!A:A,".1",BOM!B:B,"852-233000-100")</f>
        <v>0</v>
      </c>
      <c r="V76">
        <f>sumifs(BOM!v:v,BOM!A:A,".1",BOM!B:B,"852-233000-100")</f>
        <v>0</v>
      </c>
      <c r="W76">
        <f>sumifs(BOM!w:w,BOM!A:A,".1",BOM!B:B,"852-233000-100")</f>
        <v>0</v>
      </c>
      <c r="X76">
        <f>sumifs(BOM!x:x,BOM!A:A,".1",BOM!B:B,"852-233000-100")</f>
        <v>0</v>
      </c>
      <c r="Y76">
        <f>sumifs(BOM!y:y,BOM!A:A,".1",BOM!B:B,"852-233000-100")</f>
        <v>0</v>
      </c>
      <c r="Z76">
        <f>sumifs(BOM!z:z,BOM!A:A,".1",BOM!B:B,"852-233000-100")</f>
        <v>0</v>
      </c>
      <c r="AA76">
        <f>sumifs(BOM!aa:aa,BOM!A:A,".1",BOM!B:B,"852-233000-100")</f>
        <v>0</v>
      </c>
      <c r="AB76">
        <f>sumifs(BOM!ab:ab,BOM!A:A,".1",BOM!B:B,"852-233000-100")</f>
        <v>0</v>
      </c>
      <c r="AC76">
        <f>sumifs(BOM!ac:ac,BOM!A:A,".1",BOM!B:B,"852-233000-100")</f>
        <v>0</v>
      </c>
      <c r="AD76">
        <f>sumifs(BOM!ad:ad,BOM!A:A,".1",BOM!B:B,"852-233000-100")</f>
        <v>0</v>
      </c>
      <c r="AE76">
        <f>sumifs(BOM!ae:ae,BOM!A:A,".1",BOM!B:B,"852-233000-100")</f>
        <v>0</v>
      </c>
      <c r="AF76">
        <f>sumifs(BOM!af:af,BOM!A:A,".1",BOM!B:B,"852-233000-100")</f>
        <v>0</v>
      </c>
      <c r="AG76">
        <f>sumifs(BOM!ag:ag,BOM!A:A,".1",BOM!B:B,"852-233000-100")</f>
        <v>0</v>
      </c>
      <c r="AH76">
        <f>sumifs(BOM!ah:ah,BOM!A:A,".1",BOM!B:B,"852-233000-100")</f>
        <v>0</v>
      </c>
      <c r="AI76">
        <f>sumifs(BOM!ai:ai,BOM!A:A,".1",BOM!B:B,"852-233000-100")</f>
        <v>0</v>
      </c>
      <c r="AJ76">
        <f>sumifs(BOM!aj:aj,BOM!A:A,".1",BOM!B:B,"852-233000-100")</f>
        <v>0</v>
      </c>
      <c r="AK76">
        <f>sumifs(BOM!ak:ak,BOM!A:A,".1",BOM!B:B,"852-233000-100")</f>
        <v>0</v>
      </c>
      <c r="AL76">
        <f>sumifs(BOM!al:al,BOM!A:A,".1",BOM!B:B,"852-233000-100")</f>
        <v>0</v>
      </c>
      <c r="AM76">
        <f>sumifs(BOM!am:am,BOM!A:A,".1",BOM!B:B,"852-233000-100")</f>
        <v>0</v>
      </c>
      <c r="AN76">
        <f>sumifs(BOM!an:an,BOM!A:A,".1",BOM!B:B,"852-233000-100")</f>
        <v>0</v>
      </c>
      <c r="AO76">
        <f>sumifs(BOM!ao:ao,BOM!A:A,".1",BOM!B:B,"852-233000-100")</f>
        <v>0</v>
      </c>
      <c r="AP76">
        <f>sumifs(BOM!ap:ap,BOM!A:A,".1",BOM!B:B,"852-233000-100")</f>
        <v>0</v>
      </c>
      <c r="AQ76">
        <f>sumifs(BOM!aq:aq,BOM!A:A,".1",BOM!B:B,"852-233000-100")</f>
        <v>0</v>
      </c>
      <c r="AR76">
        <f>sumifs(BOM!ar:ar,BOM!A:A,".1",BOM!B:B,"852-233000-100")</f>
        <v>0</v>
      </c>
      <c r="BX76">
        <f>sum(j76:an76)</f>
        <v>0</v>
      </c>
    </row>
    <row r="77" spans="1:76">
      <c r="A77" t="s">
        <v>31</v>
      </c>
      <c r="B77" t="s">
        <v>65</v>
      </c>
      <c r="C77" t="s">
        <v>66</v>
      </c>
      <c r="D77" t="s">
        <v>67</v>
      </c>
      <c r="E77">
        <v>1</v>
      </c>
      <c r="F77" t="s">
        <v>68</v>
      </c>
      <c r="H77" t="s">
        <v>35</v>
      </c>
      <c r="I77" t="s">
        <v>36</v>
      </c>
      <c r="K77" t="s">
        <v>20</v>
      </c>
      <c r="L77" t="s">
        <v>37</v>
      </c>
    </row>
    <row r="78" spans="1:76">
      <c r="L78" t="s">
        <v>662</v>
      </c>
    </row>
    <row r="79" spans="1:76">
      <c r="L79" t="s">
        <v>663</v>
      </c>
    </row>
    <row r="80" spans="1:76">
      <c r="L80" t="s">
        <v>664</v>
      </c>
    </row>
    <row r="81" spans="1:76">
      <c r="L81" t="s">
        <v>665</v>
      </c>
      <c r="M81">
        <f>IF(DAY(NOW())&lt;M3,INDIRECT(ADDRESS(81,7))-INDIRECT(ADDRESS(76,13))+INDIRECT(ADDRESS(77,13))-INDIRECT(ADDRESS(80,13)),INDIRECT(ADDRESS(81,7))-INDIRECT(ADDRESS(76,13))+INDIRECT(ADDRESS(79,13))-INDIRECT(ADDRESS(80,13)))</f>
        <v>0</v>
      </c>
      <c r="N81">
        <f>IF(DAY(NOW())&lt;M3,INDIRECT(ADDRESS(81,13))-INDIRECT(ADDRESS(76,14))+INDIRECT(ADDRESS(77,14))-INDIRECT(ADDRESS(80,14)),INDIRECT(ADDRESS(81,13))-INDIRECT(ADDRESS(76,14))+INDIRECT(ADDRESS(79,14))-INDIRECT(ADDRESS(80,14)))</f>
        <v>0</v>
      </c>
      <c r="O81">
        <f>IF(DAY(NOW())&lt;M3,INDIRECT(ADDRESS(81,14))-INDIRECT(ADDRESS(76,15))+INDIRECT(ADDRESS(77,15))-INDIRECT(ADDRESS(80,15)),INDIRECT(ADDRESS(81,14))-INDIRECT(ADDRESS(76,15))+INDIRECT(ADDRESS(79,15))-INDIRECT(ADDRESS(80,15)))</f>
        <v>0</v>
      </c>
      <c r="P81">
        <f>IF(DAY(NOW())&lt;M3,INDIRECT(ADDRESS(81,15))-INDIRECT(ADDRESS(76,16))+INDIRECT(ADDRESS(77,16))-INDIRECT(ADDRESS(80,16)),INDIRECT(ADDRESS(81,15))-INDIRECT(ADDRESS(76,16))+INDIRECT(ADDRESS(79,16))-INDIRECT(ADDRESS(80,16)))</f>
        <v>0</v>
      </c>
      <c r="Q81">
        <f>IF(DAY(NOW())&lt;M3,INDIRECT(ADDRESS(81,16))-INDIRECT(ADDRESS(76,17))+INDIRECT(ADDRESS(77,17))-INDIRECT(ADDRESS(80,17)),INDIRECT(ADDRESS(81,16))-INDIRECT(ADDRESS(76,17))+INDIRECT(ADDRESS(79,17))-INDIRECT(ADDRESS(80,17)))</f>
        <v>0</v>
      </c>
      <c r="R81">
        <f>IF(DAY(NOW())&lt;M3,INDIRECT(ADDRESS(81,17))-INDIRECT(ADDRESS(76,18))+INDIRECT(ADDRESS(77,18))-INDIRECT(ADDRESS(80,18)),INDIRECT(ADDRESS(81,17))-INDIRECT(ADDRESS(76,18))+INDIRECT(ADDRESS(79,18))-INDIRECT(ADDRESS(80,18)))</f>
        <v>0</v>
      </c>
      <c r="S81">
        <f>IF(DAY(NOW())&lt;M3,INDIRECT(ADDRESS(81,18))-INDIRECT(ADDRESS(76,19))+INDIRECT(ADDRESS(77,19))-INDIRECT(ADDRESS(80,19)),INDIRECT(ADDRESS(81,18))-INDIRECT(ADDRESS(76,19))+INDIRECT(ADDRESS(79,19))-INDIRECT(ADDRESS(80,19)))</f>
        <v>0</v>
      </c>
      <c r="T81">
        <f>IF(DAY(NOW())&lt;M3,INDIRECT(ADDRESS(81,19))-INDIRECT(ADDRESS(76,20))+INDIRECT(ADDRESS(77,20))-INDIRECT(ADDRESS(80,20)),INDIRECT(ADDRESS(81,19))-INDIRECT(ADDRESS(76,20))+INDIRECT(ADDRESS(79,20))-INDIRECT(ADDRESS(80,20)))</f>
        <v>0</v>
      </c>
      <c r="U81">
        <f>IF(DAY(NOW())&lt;M3,INDIRECT(ADDRESS(81,20))-INDIRECT(ADDRESS(76,21))+INDIRECT(ADDRESS(77,21))-INDIRECT(ADDRESS(80,21)),INDIRECT(ADDRESS(81,20))-INDIRECT(ADDRESS(76,21))+INDIRECT(ADDRESS(79,21))-INDIRECT(ADDRESS(80,21)))</f>
        <v>0</v>
      </c>
      <c r="V81">
        <f>IF(DAY(NOW())&lt;M3,INDIRECT(ADDRESS(81,21))-INDIRECT(ADDRESS(76,22))+INDIRECT(ADDRESS(77,22))-INDIRECT(ADDRESS(80,22)),INDIRECT(ADDRESS(81,21))-INDIRECT(ADDRESS(76,22))+INDIRECT(ADDRESS(79,22))-INDIRECT(ADDRESS(80,22)))</f>
        <v>0</v>
      </c>
      <c r="W81">
        <f>IF(DAY(NOW())&lt;M3,INDIRECT(ADDRESS(81,22))-INDIRECT(ADDRESS(76,23))+INDIRECT(ADDRESS(77,23))-INDIRECT(ADDRESS(80,23)),INDIRECT(ADDRESS(81,22))-INDIRECT(ADDRESS(76,23))+INDIRECT(ADDRESS(79,23))-INDIRECT(ADDRESS(80,23)))</f>
        <v>0</v>
      </c>
      <c r="X81">
        <f>IF(DAY(NOW())&lt;M3,INDIRECT(ADDRESS(81,23))-INDIRECT(ADDRESS(76,24))+INDIRECT(ADDRESS(77,24))-INDIRECT(ADDRESS(80,24)),INDIRECT(ADDRESS(81,23))-INDIRECT(ADDRESS(76,24))+INDIRECT(ADDRESS(79,24))-INDIRECT(ADDRESS(80,24)))</f>
        <v>0</v>
      </c>
      <c r="Y81">
        <f>IF(DAY(NOW())&lt;M3,INDIRECT(ADDRESS(81,24))-INDIRECT(ADDRESS(76,25))+INDIRECT(ADDRESS(77,25))-INDIRECT(ADDRESS(80,25)),INDIRECT(ADDRESS(81,24))-INDIRECT(ADDRESS(76,25))+INDIRECT(ADDRESS(79,25))-INDIRECT(ADDRESS(80,25)))</f>
        <v>0</v>
      </c>
      <c r="Z81">
        <f>IF(DAY(NOW())&lt;M3,INDIRECT(ADDRESS(81,25))-INDIRECT(ADDRESS(76,26))+INDIRECT(ADDRESS(77,26))-INDIRECT(ADDRESS(80,26)),INDIRECT(ADDRESS(81,25))-INDIRECT(ADDRESS(76,26))+INDIRECT(ADDRESS(79,26))-INDIRECT(ADDRESS(80,26)))</f>
        <v>0</v>
      </c>
      <c r="AA81">
        <f>IF(DAY(NOW())&lt;M3,INDIRECT(ADDRESS(81,26))-INDIRECT(ADDRESS(76,27))+INDIRECT(ADDRESS(77,27))-INDIRECT(ADDRESS(80,27)),INDIRECT(ADDRESS(81,26))-INDIRECT(ADDRESS(76,27))+INDIRECT(ADDRESS(79,27))-INDIRECT(ADDRESS(80,27)))</f>
        <v>0</v>
      </c>
      <c r="AB81">
        <f>IF(DAY(NOW())&lt;M3,INDIRECT(ADDRESS(81,27))-INDIRECT(ADDRESS(76,28))+INDIRECT(ADDRESS(77,28))-INDIRECT(ADDRESS(80,28)),INDIRECT(ADDRESS(81,27))-INDIRECT(ADDRESS(76,28))+INDIRECT(ADDRESS(79,28))-INDIRECT(ADDRESS(80,28)))</f>
        <v>0</v>
      </c>
      <c r="AC81">
        <f>IF(DAY(NOW())&lt;M3,INDIRECT(ADDRESS(81,28))-INDIRECT(ADDRESS(76,29))+INDIRECT(ADDRESS(77,29))-INDIRECT(ADDRESS(80,29)),INDIRECT(ADDRESS(81,28))-INDIRECT(ADDRESS(76,29))+INDIRECT(ADDRESS(79,29))-INDIRECT(ADDRESS(80,29)))</f>
        <v>0</v>
      </c>
      <c r="AD81">
        <f>IF(DAY(NOW())&lt;M3,INDIRECT(ADDRESS(81,29))-INDIRECT(ADDRESS(76,30))+INDIRECT(ADDRESS(77,30))-INDIRECT(ADDRESS(80,30)),INDIRECT(ADDRESS(81,29))-INDIRECT(ADDRESS(76,30))+INDIRECT(ADDRESS(79,30))-INDIRECT(ADDRESS(80,30)))</f>
        <v>0</v>
      </c>
      <c r="AE81">
        <f>IF(DAY(NOW())&lt;M3,INDIRECT(ADDRESS(81,30))-INDIRECT(ADDRESS(76,31))+INDIRECT(ADDRESS(77,31))-INDIRECT(ADDRESS(80,31)),INDIRECT(ADDRESS(81,30))-INDIRECT(ADDRESS(76,31))+INDIRECT(ADDRESS(79,31))-INDIRECT(ADDRESS(80,31)))</f>
        <v>0</v>
      </c>
      <c r="AF81">
        <f>IF(DAY(NOW())&lt;M3,INDIRECT(ADDRESS(81,31))-INDIRECT(ADDRESS(76,32))+INDIRECT(ADDRESS(77,32))-INDIRECT(ADDRESS(80,32)),INDIRECT(ADDRESS(81,31))-INDIRECT(ADDRESS(76,32))+INDIRECT(ADDRESS(79,32))-INDIRECT(ADDRESS(80,32)))</f>
        <v>0</v>
      </c>
      <c r="AG81">
        <f>IF(DAY(NOW())&lt;M3,INDIRECT(ADDRESS(81,32))-INDIRECT(ADDRESS(76,33))+INDIRECT(ADDRESS(77,33))-INDIRECT(ADDRESS(80,33)),INDIRECT(ADDRESS(81,32))-INDIRECT(ADDRESS(76,33))+INDIRECT(ADDRESS(79,33))-INDIRECT(ADDRESS(80,33)))</f>
        <v>0</v>
      </c>
      <c r="AH81">
        <f>IF(DAY(NOW())&lt;M3,INDIRECT(ADDRESS(81,33))-INDIRECT(ADDRESS(76,34))+INDIRECT(ADDRESS(77,34))-INDIRECT(ADDRESS(80,34)),INDIRECT(ADDRESS(81,33))-INDIRECT(ADDRESS(76,34))+INDIRECT(ADDRESS(79,34))-INDIRECT(ADDRESS(80,34)))</f>
        <v>0</v>
      </c>
      <c r="AI81">
        <f>IF(DAY(NOW())&lt;M3,INDIRECT(ADDRESS(81,34))-INDIRECT(ADDRESS(76,35))+INDIRECT(ADDRESS(77,35))-INDIRECT(ADDRESS(80,35)),INDIRECT(ADDRESS(81,34))-INDIRECT(ADDRESS(76,35))+INDIRECT(ADDRESS(79,35))-INDIRECT(ADDRESS(80,35)))</f>
        <v>0</v>
      </c>
      <c r="AJ81">
        <f>IF(DAY(NOW())&lt;M3,INDIRECT(ADDRESS(81,35))-INDIRECT(ADDRESS(76,36))+INDIRECT(ADDRESS(77,36))-INDIRECT(ADDRESS(80,36)),INDIRECT(ADDRESS(81,35))-INDIRECT(ADDRESS(76,36))+INDIRECT(ADDRESS(79,36))-INDIRECT(ADDRESS(80,36)))</f>
        <v>0</v>
      </c>
      <c r="AK81">
        <f>IF(DAY(NOW())&lt;M3,INDIRECT(ADDRESS(81,36))-INDIRECT(ADDRESS(76,37))+INDIRECT(ADDRESS(77,37))-INDIRECT(ADDRESS(80,37)),INDIRECT(ADDRESS(81,36))-INDIRECT(ADDRESS(76,37))+INDIRECT(ADDRESS(79,37))-INDIRECT(ADDRESS(80,37)))</f>
        <v>0</v>
      </c>
      <c r="AL81">
        <f>IF(DAY(NOW())&lt;M3,INDIRECT(ADDRESS(81,37))-INDIRECT(ADDRESS(76,38))+INDIRECT(ADDRESS(77,38))-INDIRECT(ADDRESS(80,38)),INDIRECT(ADDRESS(81,37))-INDIRECT(ADDRESS(76,38))+INDIRECT(ADDRESS(79,38))-INDIRECT(ADDRESS(80,38)))</f>
        <v>0</v>
      </c>
      <c r="AM81">
        <f>IF(DAY(NOW())&lt;M3,INDIRECT(ADDRESS(81,38))-INDIRECT(ADDRESS(76,39))+INDIRECT(ADDRESS(77,39))-INDIRECT(ADDRESS(80,39)),INDIRECT(ADDRESS(81,38))-INDIRECT(ADDRESS(76,39))+INDIRECT(ADDRESS(79,39))-INDIRECT(ADDRESS(80,39)))</f>
        <v>0</v>
      </c>
      <c r="AN81">
        <f>IF(DAY(NOW())&lt;M3,INDIRECT(ADDRESS(81,39))-INDIRECT(ADDRESS(76,40))+INDIRECT(ADDRESS(77,40))-INDIRECT(ADDRESS(80,40)),INDIRECT(ADDRESS(81,39))-INDIRECT(ADDRESS(76,40))+INDIRECT(ADDRESS(79,40))-INDIRECT(ADDRESS(80,40)))</f>
        <v>0</v>
      </c>
      <c r="AO81">
        <f>IF(DAY(NOW())&lt;M3,INDIRECT(ADDRESS(81,40))-INDIRECT(ADDRESS(76,41))+INDIRECT(ADDRESS(77,41))-INDIRECT(ADDRESS(80,41)),INDIRECT(ADDRESS(81,40))-INDIRECT(ADDRESS(76,41))+INDIRECT(ADDRESS(79,41))-INDIRECT(ADDRESS(80,41)))</f>
        <v>0</v>
      </c>
      <c r="AP81">
        <f>IF(DAY(NOW())&lt;M3,INDIRECT(ADDRESS(81,41))-INDIRECT(ADDRESS(76,42))+INDIRECT(ADDRESS(77,42))-INDIRECT(ADDRESS(80,42)),INDIRECT(ADDRESS(81,41))-INDIRECT(ADDRESS(76,42))+INDIRECT(ADDRESS(79,42))-INDIRECT(ADDRESS(80,42)))</f>
        <v>0</v>
      </c>
      <c r="AQ81">
        <f>IF(DAY(NOW())&lt;M3,INDIRECT(ADDRESS(81,42))-INDIRECT(ADDRESS(76,43))+INDIRECT(ADDRESS(77,43))-INDIRECT(ADDRESS(80,43)),INDIRECT(ADDRESS(81,42))-INDIRECT(ADDRESS(76,43))+INDIRECT(ADDRESS(79,43))-INDIRECT(ADDRESS(80,43)))</f>
        <v>0</v>
      </c>
      <c r="AR81">
        <f>IF(DAY(NOW())&lt;M3,INDIRECT(ADDRESS(81,43))-INDIRECT(ADDRESS(76,44))+INDIRECT(ADDRESS(77,44))-INDIRECT(ADDRESS(80,44)),INDIRECT(ADDRESS(81,43))-INDIRECT(ADDRESS(76,44))+INDIRECT(ADDRESS(79,44))-INDIRECT(ADDRESS(80,44)))</f>
        <v>0</v>
      </c>
    </row>
    <row r="82" spans="1:76">
      <c r="A82" t="s">
        <v>14</v>
      </c>
      <c r="B82" t="s">
        <v>69</v>
      </c>
      <c r="C82" t="s">
        <v>70</v>
      </c>
      <c r="D82" t="s">
        <v>46</v>
      </c>
      <c r="E82">
        <v>1</v>
      </c>
      <c r="F82" t="s">
        <v>71</v>
      </c>
      <c r="H82" t="s">
        <v>72</v>
      </c>
      <c r="I82">
        <v>30</v>
      </c>
      <c r="K82" t="s">
        <v>20</v>
      </c>
      <c r="L82" t="s">
        <v>21</v>
      </c>
      <c r="BX82">
        <f>sum(j82:an82)</f>
        <v>0</v>
      </c>
    </row>
    <row r="83" spans="1:76">
      <c r="A83" t="s">
        <v>14</v>
      </c>
      <c r="B83" t="s">
        <v>69</v>
      </c>
      <c r="C83" t="s">
        <v>70</v>
      </c>
      <c r="D83" t="s">
        <v>46</v>
      </c>
      <c r="E83">
        <v>1</v>
      </c>
      <c r="F83" t="s">
        <v>71</v>
      </c>
      <c r="H83" t="s">
        <v>72</v>
      </c>
      <c r="I83">
        <v>30</v>
      </c>
      <c r="K83" t="s">
        <v>20</v>
      </c>
      <c r="L83" t="s">
        <v>37</v>
      </c>
    </row>
    <row r="84" spans="1:76">
      <c r="L84" t="s">
        <v>662</v>
      </c>
    </row>
    <row r="85" spans="1:76">
      <c r="L85" t="s">
        <v>663</v>
      </c>
    </row>
    <row r="86" spans="1:76">
      <c r="L86" t="s">
        <v>664</v>
      </c>
    </row>
    <row r="87" spans="1:76">
      <c r="L87" t="s">
        <v>665</v>
      </c>
      <c r="M87">
        <f>IF(DAY(NOW())&lt;M3,INDIRECT(ADDRESS(87,7))-INDIRECT(ADDRESS(82,13))+INDIRECT(ADDRESS(83,13))-INDIRECT(ADDRESS(86,13)),INDIRECT(ADDRESS(87,7))-INDIRECT(ADDRESS(82,13))+INDIRECT(ADDRESS(85,13))-INDIRECT(ADDRESS(86,13)))</f>
        <v>0</v>
      </c>
      <c r="N87">
        <f>IF(DAY(NOW())&lt;M3,INDIRECT(ADDRESS(87,13))-INDIRECT(ADDRESS(82,14))+INDIRECT(ADDRESS(83,14))-INDIRECT(ADDRESS(86,14)),INDIRECT(ADDRESS(87,13))-INDIRECT(ADDRESS(82,14))+INDIRECT(ADDRESS(85,14))-INDIRECT(ADDRESS(86,14)))</f>
        <v>0</v>
      </c>
      <c r="O87">
        <f>IF(DAY(NOW())&lt;M3,INDIRECT(ADDRESS(87,14))-INDIRECT(ADDRESS(82,15))+INDIRECT(ADDRESS(83,15))-INDIRECT(ADDRESS(86,15)),INDIRECT(ADDRESS(87,14))-INDIRECT(ADDRESS(82,15))+INDIRECT(ADDRESS(85,15))-INDIRECT(ADDRESS(86,15)))</f>
        <v>0</v>
      </c>
      <c r="P87">
        <f>IF(DAY(NOW())&lt;M3,INDIRECT(ADDRESS(87,15))-INDIRECT(ADDRESS(82,16))+INDIRECT(ADDRESS(83,16))-INDIRECT(ADDRESS(86,16)),INDIRECT(ADDRESS(87,15))-INDIRECT(ADDRESS(82,16))+INDIRECT(ADDRESS(85,16))-INDIRECT(ADDRESS(86,16)))</f>
        <v>0</v>
      </c>
      <c r="Q87">
        <f>IF(DAY(NOW())&lt;M3,INDIRECT(ADDRESS(87,16))-INDIRECT(ADDRESS(82,17))+INDIRECT(ADDRESS(83,17))-INDIRECT(ADDRESS(86,17)),INDIRECT(ADDRESS(87,16))-INDIRECT(ADDRESS(82,17))+INDIRECT(ADDRESS(85,17))-INDIRECT(ADDRESS(86,17)))</f>
        <v>0</v>
      </c>
      <c r="R87">
        <f>IF(DAY(NOW())&lt;M3,INDIRECT(ADDRESS(87,17))-INDIRECT(ADDRESS(82,18))+INDIRECT(ADDRESS(83,18))-INDIRECT(ADDRESS(86,18)),INDIRECT(ADDRESS(87,17))-INDIRECT(ADDRESS(82,18))+INDIRECT(ADDRESS(85,18))-INDIRECT(ADDRESS(86,18)))</f>
        <v>0</v>
      </c>
      <c r="S87">
        <f>IF(DAY(NOW())&lt;M3,INDIRECT(ADDRESS(87,18))-INDIRECT(ADDRESS(82,19))+INDIRECT(ADDRESS(83,19))-INDIRECT(ADDRESS(86,19)),INDIRECT(ADDRESS(87,18))-INDIRECT(ADDRESS(82,19))+INDIRECT(ADDRESS(85,19))-INDIRECT(ADDRESS(86,19)))</f>
        <v>0</v>
      </c>
      <c r="T87">
        <f>IF(DAY(NOW())&lt;M3,INDIRECT(ADDRESS(87,19))-INDIRECT(ADDRESS(82,20))+INDIRECT(ADDRESS(83,20))-INDIRECT(ADDRESS(86,20)),INDIRECT(ADDRESS(87,19))-INDIRECT(ADDRESS(82,20))+INDIRECT(ADDRESS(85,20))-INDIRECT(ADDRESS(86,20)))</f>
        <v>0</v>
      </c>
      <c r="U87">
        <f>IF(DAY(NOW())&lt;M3,INDIRECT(ADDRESS(87,20))-INDIRECT(ADDRESS(82,21))+INDIRECT(ADDRESS(83,21))-INDIRECT(ADDRESS(86,21)),INDIRECT(ADDRESS(87,20))-INDIRECT(ADDRESS(82,21))+INDIRECT(ADDRESS(85,21))-INDIRECT(ADDRESS(86,21)))</f>
        <v>0</v>
      </c>
      <c r="V87">
        <f>IF(DAY(NOW())&lt;M3,INDIRECT(ADDRESS(87,21))-INDIRECT(ADDRESS(82,22))+INDIRECT(ADDRESS(83,22))-INDIRECT(ADDRESS(86,22)),INDIRECT(ADDRESS(87,21))-INDIRECT(ADDRESS(82,22))+INDIRECT(ADDRESS(85,22))-INDIRECT(ADDRESS(86,22)))</f>
        <v>0</v>
      </c>
      <c r="W87">
        <f>IF(DAY(NOW())&lt;M3,INDIRECT(ADDRESS(87,22))-INDIRECT(ADDRESS(82,23))+INDIRECT(ADDRESS(83,23))-INDIRECT(ADDRESS(86,23)),INDIRECT(ADDRESS(87,22))-INDIRECT(ADDRESS(82,23))+INDIRECT(ADDRESS(85,23))-INDIRECT(ADDRESS(86,23)))</f>
        <v>0</v>
      </c>
      <c r="X87">
        <f>IF(DAY(NOW())&lt;M3,INDIRECT(ADDRESS(87,23))-INDIRECT(ADDRESS(82,24))+INDIRECT(ADDRESS(83,24))-INDIRECT(ADDRESS(86,24)),INDIRECT(ADDRESS(87,23))-INDIRECT(ADDRESS(82,24))+INDIRECT(ADDRESS(85,24))-INDIRECT(ADDRESS(86,24)))</f>
        <v>0</v>
      </c>
      <c r="Y87">
        <f>IF(DAY(NOW())&lt;M3,INDIRECT(ADDRESS(87,24))-INDIRECT(ADDRESS(82,25))+INDIRECT(ADDRESS(83,25))-INDIRECT(ADDRESS(86,25)),INDIRECT(ADDRESS(87,24))-INDIRECT(ADDRESS(82,25))+INDIRECT(ADDRESS(85,25))-INDIRECT(ADDRESS(86,25)))</f>
        <v>0</v>
      </c>
      <c r="Z87">
        <f>IF(DAY(NOW())&lt;M3,INDIRECT(ADDRESS(87,25))-INDIRECT(ADDRESS(82,26))+INDIRECT(ADDRESS(83,26))-INDIRECT(ADDRESS(86,26)),INDIRECT(ADDRESS(87,25))-INDIRECT(ADDRESS(82,26))+INDIRECT(ADDRESS(85,26))-INDIRECT(ADDRESS(86,26)))</f>
        <v>0</v>
      </c>
      <c r="AA87">
        <f>IF(DAY(NOW())&lt;M3,INDIRECT(ADDRESS(87,26))-INDIRECT(ADDRESS(82,27))+INDIRECT(ADDRESS(83,27))-INDIRECT(ADDRESS(86,27)),INDIRECT(ADDRESS(87,26))-INDIRECT(ADDRESS(82,27))+INDIRECT(ADDRESS(85,27))-INDIRECT(ADDRESS(86,27)))</f>
        <v>0</v>
      </c>
      <c r="AB87">
        <f>IF(DAY(NOW())&lt;M3,INDIRECT(ADDRESS(87,27))-INDIRECT(ADDRESS(82,28))+INDIRECT(ADDRESS(83,28))-INDIRECT(ADDRESS(86,28)),INDIRECT(ADDRESS(87,27))-INDIRECT(ADDRESS(82,28))+INDIRECT(ADDRESS(85,28))-INDIRECT(ADDRESS(86,28)))</f>
        <v>0</v>
      </c>
      <c r="AC87">
        <f>IF(DAY(NOW())&lt;M3,INDIRECT(ADDRESS(87,28))-INDIRECT(ADDRESS(82,29))+INDIRECT(ADDRESS(83,29))-INDIRECT(ADDRESS(86,29)),INDIRECT(ADDRESS(87,28))-INDIRECT(ADDRESS(82,29))+INDIRECT(ADDRESS(85,29))-INDIRECT(ADDRESS(86,29)))</f>
        <v>0</v>
      </c>
      <c r="AD87">
        <f>IF(DAY(NOW())&lt;M3,INDIRECT(ADDRESS(87,29))-INDIRECT(ADDRESS(82,30))+INDIRECT(ADDRESS(83,30))-INDIRECT(ADDRESS(86,30)),INDIRECT(ADDRESS(87,29))-INDIRECT(ADDRESS(82,30))+INDIRECT(ADDRESS(85,30))-INDIRECT(ADDRESS(86,30)))</f>
        <v>0</v>
      </c>
      <c r="AE87">
        <f>IF(DAY(NOW())&lt;M3,INDIRECT(ADDRESS(87,30))-INDIRECT(ADDRESS(82,31))+INDIRECT(ADDRESS(83,31))-INDIRECT(ADDRESS(86,31)),INDIRECT(ADDRESS(87,30))-INDIRECT(ADDRESS(82,31))+INDIRECT(ADDRESS(85,31))-INDIRECT(ADDRESS(86,31)))</f>
        <v>0</v>
      </c>
      <c r="AF87">
        <f>IF(DAY(NOW())&lt;M3,INDIRECT(ADDRESS(87,31))-INDIRECT(ADDRESS(82,32))+INDIRECT(ADDRESS(83,32))-INDIRECT(ADDRESS(86,32)),INDIRECT(ADDRESS(87,31))-INDIRECT(ADDRESS(82,32))+INDIRECT(ADDRESS(85,32))-INDIRECT(ADDRESS(86,32)))</f>
        <v>0</v>
      </c>
      <c r="AG87">
        <f>IF(DAY(NOW())&lt;M3,INDIRECT(ADDRESS(87,32))-INDIRECT(ADDRESS(82,33))+INDIRECT(ADDRESS(83,33))-INDIRECT(ADDRESS(86,33)),INDIRECT(ADDRESS(87,32))-INDIRECT(ADDRESS(82,33))+INDIRECT(ADDRESS(85,33))-INDIRECT(ADDRESS(86,33)))</f>
        <v>0</v>
      </c>
      <c r="AH87">
        <f>IF(DAY(NOW())&lt;M3,INDIRECT(ADDRESS(87,33))-INDIRECT(ADDRESS(82,34))+INDIRECT(ADDRESS(83,34))-INDIRECT(ADDRESS(86,34)),INDIRECT(ADDRESS(87,33))-INDIRECT(ADDRESS(82,34))+INDIRECT(ADDRESS(85,34))-INDIRECT(ADDRESS(86,34)))</f>
        <v>0</v>
      </c>
      <c r="AI87">
        <f>IF(DAY(NOW())&lt;M3,INDIRECT(ADDRESS(87,34))-INDIRECT(ADDRESS(82,35))+INDIRECT(ADDRESS(83,35))-INDIRECT(ADDRESS(86,35)),INDIRECT(ADDRESS(87,34))-INDIRECT(ADDRESS(82,35))+INDIRECT(ADDRESS(85,35))-INDIRECT(ADDRESS(86,35)))</f>
        <v>0</v>
      </c>
      <c r="AJ87">
        <f>IF(DAY(NOW())&lt;M3,INDIRECT(ADDRESS(87,35))-INDIRECT(ADDRESS(82,36))+INDIRECT(ADDRESS(83,36))-INDIRECT(ADDRESS(86,36)),INDIRECT(ADDRESS(87,35))-INDIRECT(ADDRESS(82,36))+INDIRECT(ADDRESS(85,36))-INDIRECT(ADDRESS(86,36)))</f>
        <v>0</v>
      </c>
      <c r="AK87">
        <f>IF(DAY(NOW())&lt;M3,INDIRECT(ADDRESS(87,36))-INDIRECT(ADDRESS(82,37))+INDIRECT(ADDRESS(83,37))-INDIRECT(ADDRESS(86,37)),INDIRECT(ADDRESS(87,36))-INDIRECT(ADDRESS(82,37))+INDIRECT(ADDRESS(85,37))-INDIRECT(ADDRESS(86,37)))</f>
        <v>0</v>
      </c>
      <c r="AL87">
        <f>IF(DAY(NOW())&lt;M3,INDIRECT(ADDRESS(87,37))-INDIRECT(ADDRESS(82,38))+INDIRECT(ADDRESS(83,38))-INDIRECT(ADDRESS(86,38)),INDIRECT(ADDRESS(87,37))-INDIRECT(ADDRESS(82,38))+INDIRECT(ADDRESS(85,38))-INDIRECT(ADDRESS(86,38)))</f>
        <v>0</v>
      </c>
      <c r="AM87">
        <f>IF(DAY(NOW())&lt;M3,INDIRECT(ADDRESS(87,38))-INDIRECT(ADDRESS(82,39))+INDIRECT(ADDRESS(83,39))-INDIRECT(ADDRESS(86,39)),INDIRECT(ADDRESS(87,38))-INDIRECT(ADDRESS(82,39))+INDIRECT(ADDRESS(85,39))-INDIRECT(ADDRESS(86,39)))</f>
        <v>0</v>
      </c>
      <c r="AN87">
        <f>IF(DAY(NOW())&lt;M3,INDIRECT(ADDRESS(87,39))-INDIRECT(ADDRESS(82,40))+INDIRECT(ADDRESS(83,40))-INDIRECT(ADDRESS(86,40)),INDIRECT(ADDRESS(87,39))-INDIRECT(ADDRESS(82,40))+INDIRECT(ADDRESS(85,40))-INDIRECT(ADDRESS(86,40)))</f>
        <v>0</v>
      </c>
      <c r="AO87">
        <f>IF(DAY(NOW())&lt;M3,INDIRECT(ADDRESS(87,40))-INDIRECT(ADDRESS(82,41))+INDIRECT(ADDRESS(83,41))-INDIRECT(ADDRESS(86,41)),INDIRECT(ADDRESS(87,40))-INDIRECT(ADDRESS(82,41))+INDIRECT(ADDRESS(85,41))-INDIRECT(ADDRESS(86,41)))</f>
        <v>0</v>
      </c>
      <c r="AP87">
        <f>IF(DAY(NOW())&lt;M3,INDIRECT(ADDRESS(87,41))-INDIRECT(ADDRESS(82,42))+INDIRECT(ADDRESS(83,42))-INDIRECT(ADDRESS(86,42)),INDIRECT(ADDRESS(87,41))-INDIRECT(ADDRESS(82,42))+INDIRECT(ADDRESS(85,42))-INDIRECT(ADDRESS(86,42)))</f>
        <v>0</v>
      </c>
      <c r="AQ87">
        <f>IF(DAY(NOW())&lt;M3,INDIRECT(ADDRESS(87,42))-INDIRECT(ADDRESS(82,43))+INDIRECT(ADDRESS(83,43))-INDIRECT(ADDRESS(86,43)),INDIRECT(ADDRESS(87,42))-INDIRECT(ADDRESS(82,43))+INDIRECT(ADDRESS(85,43))-INDIRECT(ADDRESS(86,43)))</f>
        <v>0</v>
      </c>
      <c r="AR87">
        <f>IF(DAY(NOW())&lt;M3,INDIRECT(ADDRESS(87,43))-INDIRECT(ADDRESS(82,44))+INDIRECT(ADDRESS(83,44))-INDIRECT(ADDRESS(86,44)),INDIRECT(ADDRESS(87,43))-INDIRECT(ADDRESS(82,44))+INDIRECT(ADDRESS(85,44))-INDIRECT(ADDRESS(86,44)))</f>
        <v>0</v>
      </c>
    </row>
    <row r="88" spans="1:76">
      <c r="A88" t="s">
        <v>31</v>
      </c>
      <c r="B88" t="s">
        <v>73</v>
      </c>
      <c r="C88" t="s">
        <v>74</v>
      </c>
      <c r="D88" t="s">
        <v>17</v>
      </c>
      <c r="E88">
        <v>1</v>
      </c>
      <c r="F88" t="s">
        <v>75</v>
      </c>
      <c r="H88" t="s">
        <v>35</v>
      </c>
      <c r="I88" t="s">
        <v>36</v>
      </c>
      <c r="K88" t="s">
        <v>20</v>
      </c>
      <c r="L88" t="s">
        <v>21</v>
      </c>
      <c r="M88">
        <f>sumifs(BOM!m:m,BOM!A:A,".1",BOM!B:B,"852-238000-100")</f>
        <v>0</v>
      </c>
      <c r="N88">
        <f>sumifs(BOM!n:n,BOM!A:A,".1",BOM!B:B,"852-238000-100")</f>
        <v>0</v>
      </c>
      <c r="O88">
        <f>sumifs(BOM!o:o,BOM!A:A,".1",BOM!B:B,"852-238000-100")</f>
        <v>0</v>
      </c>
      <c r="P88">
        <f>sumifs(BOM!p:p,BOM!A:A,".1",BOM!B:B,"852-238000-100")</f>
        <v>0</v>
      </c>
      <c r="Q88">
        <f>sumifs(BOM!q:q,BOM!A:A,".1",BOM!B:B,"852-238000-100")</f>
        <v>0</v>
      </c>
      <c r="R88">
        <f>sumifs(BOM!r:r,BOM!A:A,".1",BOM!B:B,"852-238000-100")</f>
        <v>0</v>
      </c>
      <c r="S88">
        <f>sumifs(BOM!s:s,BOM!A:A,".1",BOM!B:B,"852-238000-100")</f>
        <v>0</v>
      </c>
      <c r="T88">
        <f>sumifs(BOM!t:t,BOM!A:A,".1",BOM!B:B,"852-238000-100")</f>
        <v>0</v>
      </c>
      <c r="U88">
        <f>sumifs(BOM!u:u,BOM!A:A,".1",BOM!B:B,"852-238000-100")</f>
        <v>0</v>
      </c>
      <c r="V88">
        <f>sumifs(BOM!v:v,BOM!A:A,".1",BOM!B:B,"852-238000-100")</f>
        <v>0</v>
      </c>
      <c r="W88">
        <f>sumifs(BOM!w:w,BOM!A:A,".1",BOM!B:B,"852-238000-100")</f>
        <v>0</v>
      </c>
      <c r="X88">
        <f>sumifs(BOM!x:x,BOM!A:A,".1",BOM!B:B,"852-238000-100")</f>
        <v>0</v>
      </c>
      <c r="Y88">
        <f>sumifs(BOM!y:y,BOM!A:A,".1",BOM!B:B,"852-238000-100")</f>
        <v>0</v>
      </c>
      <c r="Z88">
        <f>sumifs(BOM!z:z,BOM!A:A,".1",BOM!B:B,"852-238000-100")</f>
        <v>0</v>
      </c>
      <c r="AA88">
        <f>sumifs(BOM!aa:aa,BOM!A:A,".1",BOM!B:B,"852-238000-100")</f>
        <v>0</v>
      </c>
      <c r="AB88">
        <f>sumifs(BOM!ab:ab,BOM!A:A,".1",BOM!B:B,"852-238000-100")</f>
        <v>0</v>
      </c>
      <c r="AC88">
        <f>sumifs(BOM!ac:ac,BOM!A:A,".1",BOM!B:B,"852-238000-100")</f>
        <v>0</v>
      </c>
      <c r="AD88">
        <f>sumifs(BOM!ad:ad,BOM!A:A,".1",BOM!B:B,"852-238000-100")</f>
        <v>0</v>
      </c>
      <c r="AE88">
        <f>sumifs(BOM!ae:ae,BOM!A:A,".1",BOM!B:B,"852-238000-100")</f>
        <v>0</v>
      </c>
      <c r="AF88">
        <f>sumifs(BOM!af:af,BOM!A:A,".1",BOM!B:B,"852-238000-100")</f>
        <v>0</v>
      </c>
      <c r="AG88">
        <f>sumifs(BOM!ag:ag,BOM!A:A,".1",BOM!B:B,"852-238000-100")</f>
        <v>0</v>
      </c>
      <c r="AH88">
        <f>sumifs(BOM!ah:ah,BOM!A:A,".1",BOM!B:B,"852-238000-100")</f>
        <v>0</v>
      </c>
      <c r="AI88">
        <f>sumifs(BOM!ai:ai,BOM!A:A,".1",BOM!B:B,"852-238000-100")</f>
        <v>0</v>
      </c>
      <c r="AJ88">
        <f>sumifs(BOM!aj:aj,BOM!A:A,".1",BOM!B:B,"852-238000-100")</f>
        <v>0</v>
      </c>
      <c r="AK88">
        <f>sumifs(BOM!ak:ak,BOM!A:A,".1",BOM!B:B,"852-238000-100")</f>
        <v>0</v>
      </c>
      <c r="AL88">
        <f>sumifs(BOM!al:al,BOM!A:A,".1",BOM!B:B,"852-238000-100")</f>
        <v>0</v>
      </c>
      <c r="AM88">
        <f>sumifs(BOM!am:am,BOM!A:A,".1",BOM!B:B,"852-238000-100")</f>
        <v>0</v>
      </c>
      <c r="AN88">
        <f>sumifs(BOM!an:an,BOM!A:A,".1",BOM!B:B,"852-238000-100")</f>
        <v>0</v>
      </c>
      <c r="AO88">
        <f>sumifs(BOM!ao:ao,BOM!A:A,".1",BOM!B:B,"852-238000-100")</f>
        <v>0</v>
      </c>
      <c r="AP88">
        <f>sumifs(BOM!ap:ap,BOM!A:A,".1",BOM!B:B,"852-238000-100")</f>
        <v>0</v>
      </c>
      <c r="AQ88">
        <f>sumifs(BOM!aq:aq,BOM!A:A,".1",BOM!B:B,"852-238000-100")</f>
        <v>0</v>
      </c>
      <c r="AR88">
        <f>sumifs(BOM!ar:ar,BOM!A:A,".1",BOM!B:B,"852-238000-100")</f>
        <v>0</v>
      </c>
      <c r="BX88">
        <f>sum(j88:an88)</f>
        <v>0</v>
      </c>
    </row>
    <row r="89" spans="1:76">
      <c r="A89" t="s">
        <v>31</v>
      </c>
      <c r="B89" t="s">
        <v>73</v>
      </c>
      <c r="C89" t="s">
        <v>74</v>
      </c>
      <c r="D89" t="s">
        <v>17</v>
      </c>
      <c r="E89">
        <v>1</v>
      </c>
      <c r="F89" t="s">
        <v>75</v>
      </c>
      <c r="H89" t="s">
        <v>35</v>
      </c>
      <c r="I89" t="s">
        <v>36</v>
      </c>
      <c r="K89" t="s">
        <v>20</v>
      </c>
      <c r="L89" t="s">
        <v>37</v>
      </c>
    </row>
    <row r="90" spans="1:76">
      <c r="L90" t="s">
        <v>662</v>
      </c>
    </row>
    <row r="91" spans="1:76">
      <c r="L91" t="s">
        <v>663</v>
      </c>
    </row>
    <row r="92" spans="1:76">
      <c r="L92" t="s">
        <v>664</v>
      </c>
    </row>
    <row r="93" spans="1:76">
      <c r="L93" t="s">
        <v>665</v>
      </c>
      <c r="M93">
        <f>IF(DAY(NOW())&lt;M3,INDIRECT(ADDRESS(93,7))-INDIRECT(ADDRESS(88,13))+INDIRECT(ADDRESS(89,13))-INDIRECT(ADDRESS(92,13)),INDIRECT(ADDRESS(93,7))-INDIRECT(ADDRESS(88,13))+INDIRECT(ADDRESS(91,13))-INDIRECT(ADDRESS(92,13)))</f>
        <v>0</v>
      </c>
      <c r="N93">
        <f>IF(DAY(NOW())&lt;M3,INDIRECT(ADDRESS(93,13))-INDIRECT(ADDRESS(88,14))+INDIRECT(ADDRESS(89,14))-INDIRECT(ADDRESS(92,14)),INDIRECT(ADDRESS(93,13))-INDIRECT(ADDRESS(88,14))+INDIRECT(ADDRESS(91,14))-INDIRECT(ADDRESS(92,14)))</f>
        <v>0</v>
      </c>
      <c r="O93">
        <f>IF(DAY(NOW())&lt;M3,INDIRECT(ADDRESS(93,14))-INDIRECT(ADDRESS(88,15))+INDIRECT(ADDRESS(89,15))-INDIRECT(ADDRESS(92,15)),INDIRECT(ADDRESS(93,14))-INDIRECT(ADDRESS(88,15))+INDIRECT(ADDRESS(91,15))-INDIRECT(ADDRESS(92,15)))</f>
        <v>0</v>
      </c>
      <c r="P93">
        <f>IF(DAY(NOW())&lt;M3,INDIRECT(ADDRESS(93,15))-INDIRECT(ADDRESS(88,16))+INDIRECT(ADDRESS(89,16))-INDIRECT(ADDRESS(92,16)),INDIRECT(ADDRESS(93,15))-INDIRECT(ADDRESS(88,16))+INDIRECT(ADDRESS(91,16))-INDIRECT(ADDRESS(92,16)))</f>
        <v>0</v>
      </c>
      <c r="Q93">
        <f>IF(DAY(NOW())&lt;M3,INDIRECT(ADDRESS(93,16))-INDIRECT(ADDRESS(88,17))+INDIRECT(ADDRESS(89,17))-INDIRECT(ADDRESS(92,17)),INDIRECT(ADDRESS(93,16))-INDIRECT(ADDRESS(88,17))+INDIRECT(ADDRESS(91,17))-INDIRECT(ADDRESS(92,17)))</f>
        <v>0</v>
      </c>
      <c r="R93">
        <f>IF(DAY(NOW())&lt;M3,INDIRECT(ADDRESS(93,17))-INDIRECT(ADDRESS(88,18))+INDIRECT(ADDRESS(89,18))-INDIRECT(ADDRESS(92,18)),INDIRECT(ADDRESS(93,17))-INDIRECT(ADDRESS(88,18))+INDIRECT(ADDRESS(91,18))-INDIRECT(ADDRESS(92,18)))</f>
        <v>0</v>
      </c>
      <c r="S93">
        <f>IF(DAY(NOW())&lt;M3,INDIRECT(ADDRESS(93,18))-INDIRECT(ADDRESS(88,19))+INDIRECT(ADDRESS(89,19))-INDIRECT(ADDRESS(92,19)),INDIRECT(ADDRESS(93,18))-INDIRECT(ADDRESS(88,19))+INDIRECT(ADDRESS(91,19))-INDIRECT(ADDRESS(92,19)))</f>
        <v>0</v>
      </c>
      <c r="T93">
        <f>IF(DAY(NOW())&lt;M3,INDIRECT(ADDRESS(93,19))-INDIRECT(ADDRESS(88,20))+INDIRECT(ADDRESS(89,20))-INDIRECT(ADDRESS(92,20)),INDIRECT(ADDRESS(93,19))-INDIRECT(ADDRESS(88,20))+INDIRECT(ADDRESS(91,20))-INDIRECT(ADDRESS(92,20)))</f>
        <v>0</v>
      </c>
      <c r="U93">
        <f>IF(DAY(NOW())&lt;M3,INDIRECT(ADDRESS(93,20))-INDIRECT(ADDRESS(88,21))+INDIRECT(ADDRESS(89,21))-INDIRECT(ADDRESS(92,21)),INDIRECT(ADDRESS(93,20))-INDIRECT(ADDRESS(88,21))+INDIRECT(ADDRESS(91,21))-INDIRECT(ADDRESS(92,21)))</f>
        <v>0</v>
      </c>
      <c r="V93">
        <f>IF(DAY(NOW())&lt;M3,INDIRECT(ADDRESS(93,21))-INDIRECT(ADDRESS(88,22))+INDIRECT(ADDRESS(89,22))-INDIRECT(ADDRESS(92,22)),INDIRECT(ADDRESS(93,21))-INDIRECT(ADDRESS(88,22))+INDIRECT(ADDRESS(91,22))-INDIRECT(ADDRESS(92,22)))</f>
        <v>0</v>
      </c>
      <c r="W93">
        <f>IF(DAY(NOW())&lt;M3,INDIRECT(ADDRESS(93,22))-INDIRECT(ADDRESS(88,23))+INDIRECT(ADDRESS(89,23))-INDIRECT(ADDRESS(92,23)),INDIRECT(ADDRESS(93,22))-INDIRECT(ADDRESS(88,23))+INDIRECT(ADDRESS(91,23))-INDIRECT(ADDRESS(92,23)))</f>
        <v>0</v>
      </c>
      <c r="X93">
        <f>IF(DAY(NOW())&lt;M3,INDIRECT(ADDRESS(93,23))-INDIRECT(ADDRESS(88,24))+INDIRECT(ADDRESS(89,24))-INDIRECT(ADDRESS(92,24)),INDIRECT(ADDRESS(93,23))-INDIRECT(ADDRESS(88,24))+INDIRECT(ADDRESS(91,24))-INDIRECT(ADDRESS(92,24)))</f>
        <v>0</v>
      </c>
      <c r="Y93">
        <f>IF(DAY(NOW())&lt;M3,INDIRECT(ADDRESS(93,24))-INDIRECT(ADDRESS(88,25))+INDIRECT(ADDRESS(89,25))-INDIRECT(ADDRESS(92,25)),INDIRECT(ADDRESS(93,24))-INDIRECT(ADDRESS(88,25))+INDIRECT(ADDRESS(91,25))-INDIRECT(ADDRESS(92,25)))</f>
        <v>0</v>
      </c>
      <c r="Z93">
        <f>IF(DAY(NOW())&lt;M3,INDIRECT(ADDRESS(93,25))-INDIRECT(ADDRESS(88,26))+INDIRECT(ADDRESS(89,26))-INDIRECT(ADDRESS(92,26)),INDIRECT(ADDRESS(93,25))-INDIRECT(ADDRESS(88,26))+INDIRECT(ADDRESS(91,26))-INDIRECT(ADDRESS(92,26)))</f>
        <v>0</v>
      </c>
      <c r="AA93">
        <f>IF(DAY(NOW())&lt;M3,INDIRECT(ADDRESS(93,26))-INDIRECT(ADDRESS(88,27))+INDIRECT(ADDRESS(89,27))-INDIRECT(ADDRESS(92,27)),INDIRECT(ADDRESS(93,26))-INDIRECT(ADDRESS(88,27))+INDIRECT(ADDRESS(91,27))-INDIRECT(ADDRESS(92,27)))</f>
        <v>0</v>
      </c>
      <c r="AB93">
        <f>IF(DAY(NOW())&lt;M3,INDIRECT(ADDRESS(93,27))-INDIRECT(ADDRESS(88,28))+INDIRECT(ADDRESS(89,28))-INDIRECT(ADDRESS(92,28)),INDIRECT(ADDRESS(93,27))-INDIRECT(ADDRESS(88,28))+INDIRECT(ADDRESS(91,28))-INDIRECT(ADDRESS(92,28)))</f>
        <v>0</v>
      </c>
      <c r="AC93">
        <f>IF(DAY(NOW())&lt;M3,INDIRECT(ADDRESS(93,28))-INDIRECT(ADDRESS(88,29))+INDIRECT(ADDRESS(89,29))-INDIRECT(ADDRESS(92,29)),INDIRECT(ADDRESS(93,28))-INDIRECT(ADDRESS(88,29))+INDIRECT(ADDRESS(91,29))-INDIRECT(ADDRESS(92,29)))</f>
        <v>0</v>
      </c>
      <c r="AD93">
        <f>IF(DAY(NOW())&lt;M3,INDIRECT(ADDRESS(93,29))-INDIRECT(ADDRESS(88,30))+INDIRECT(ADDRESS(89,30))-INDIRECT(ADDRESS(92,30)),INDIRECT(ADDRESS(93,29))-INDIRECT(ADDRESS(88,30))+INDIRECT(ADDRESS(91,30))-INDIRECT(ADDRESS(92,30)))</f>
        <v>0</v>
      </c>
      <c r="AE93">
        <f>IF(DAY(NOW())&lt;M3,INDIRECT(ADDRESS(93,30))-INDIRECT(ADDRESS(88,31))+INDIRECT(ADDRESS(89,31))-INDIRECT(ADDRESS(92,31)),INDIRECT(ADDRESS(93,30))-INDIRECT(ADDRESS(88,31))+INDIRECT(ADDRESS(91,31))-INDIRECT(ADDRESS(92,31)))</f>
        <v>0</v>
      </c>
      <c r="AF93">
        <f>IF(DAY(NOW())&lt;M3,INDIRECT(ADDRESS(93,31))-INDIRECT(ADDRESS(88,32))+INDIRECT(ADDRESS(89,32))-INDIRECT(ADDRESS(92,32)),INDIRECT(ADDRESS(93,31))-INDIRECT(ADDRESS(88,32))+INDIRECT(ADDRESS(91,32))-INDIRECT(ADDRESS(92,32)))</f>
        <v>0</v>
      </c>
      <c r="AG93">
        <f>IF(DAY(NOW())&lt;M3,INDIRECT(ADDRESS(93,32))-INDIRECT(ADDRESS(88,33))+INDIRECT(ADDRESS(89,33))-INDIRECT(ADDRESS(92,33)),INDIRECT(ADDRESS(93,32))-INDIRECT(ADDRESS(88,33))+INDIRECT(ADDRESS(91,33))-INDIRECT(ADDRESS(92,33)))</f>
        <v>0</v>
      </c>
      <c r="AH93">
        <f>IF(DAY(NOW())&lt;M3,INDIRECT(ADDRESS(93,33))-INDIRECT(ADDRESS(88,34))+INDIRECT(ADDRESS(89,34))-INDIRECT(ADDRESS(92,34)),INDIRECT(ADDRESS(93,33))-INDIRECT(ADDRESS(88,34))+INDIRECT(ADDRESS(91,34))-INDIRECT(ADDRESS(92,34)))</f>
        <v>0</v>
      </c>
      <c r="AI93">
        <f>IF(DAY(NOW())&lt;M3,INDIRECT(ADDRESS(93,34))-INDIRECT(ADDRESS(88,35))+INDIRECT(ADDRESS(89,35))-INDIRECT(ADDRESS(92,35)),INDIRECT(ADDRESS(93,34))-INDIRECT(ADDRESS(88,35))+INDIRECT(ADDRESS(91,35))-INDIRECT(ADDRESS(92,35)))</f>
        <v>0</v>
      </c>
      <c r="AJ93">
        <f>IF(DAY(NOW())&lt;M3,INDIRECT(ADDRESS(93,35))-INDIRECT(ADDRESS(88,36))+INDIRECT(ADDRESS(89,36))-INDIRECT(ADDRESS(92,36)),INDIRECT(ADDRESS(93,35))-INDIRECT(ADDRESS(88,36))+INDIRECT(ADDRESS(91,36))-INDIRECT(ADDRESS(92,36)))</f>
        <v>0</v>
      </c>
      <c r="AK93">
        <f>IF(DAY(NOW())&lt;M3,INDIRECT(ADDRESS(93,36))-INDIRECT(ADDRESS(88,37))+INDIRECT(ADDRESS(89,37))-INDIRECT(ADDRESS(92,37)),INDIRECT(ADDRESS(93,36))-INDIRECT(ADDRESS(88,37))+INDIRECT(ADDRESS(91,37))-INDIRECT(ADDRESS(92,37)))</f>
        <v>0</v>
      </c>
      <c r="AL93">
        <f>IF(DAY(NOW())&lt;M3,INDIRECT(ADDRESS(93,37))-INDIRECT(ADDRESS(88,38))+INDIRECT(ADDRESS(89,38))-INDIRECT(ADDRESS(92,38)),INDIRECT(ADDRESS(93,37))-INDIRECT(ADDRESS(88,38))+INDIRECT(ADDRESS(91,38))-INDIRECT(ADDRESS(92,38)))</f>
        <v>0</v>
      </c>
      <c r="AM93">
        <f>IF(DAY(NOW())&lt;M3,INDIRECT(ADDRESS(93,38))-INDIRECT(ADDRESS(88,39))+INDIRECT(ADDRESS(89,39))-INDIRECT(ADDRESS(92,39)),INDIRECT(ADDRESS(93,38))-INDIRECT(ADDRESS(88,39))+INDIRECT(ADDRESS(91,39))-INDIRECT(ADDRESS(92,39)))</f>
        <v>0</v>
      </c>
      <c r="AN93">
        <f>IF(DAY(NOW())&lt;M3,INDIRECT(ADDRESS(93,39))-INDIRECT(ADDRESS(88,40))+INDIRECT(ADDRESS(89,40))-INDIRECT(ADDRESS(92,40)),INDIRECT(ADDRESS(93,39))-INDIRECT(ADDRESS(88,40))+INDIRECT(ADDRESS(91,40))-INDIRECT(ADDRESS(92,40)))</f>
        <v>0</v>
      </c>
      <c r="AO93">
        <f>IF(DAY(NOW())&lt;M3,INDIRECT(ADDRESS(93,40))-INDIRECT(ADDRESS(88,41))+INDIRECT(ADDRESS(89,41))-INDIRECT(ADDRESS(92,41)),INDIRECT(ADDRESS(93,40))-INDIRECT(ADDRESS(88,41))+INDIRECT(ADDRESS(91,41))-INDIRECT(ADDRESS(92,41)))</f>
        <v>0</v>
      </c>
      <c r="AP93">
        <f>IF(DAY(NOW())&lt;M3,INDIRECT(ADDRESS(93,41))-INDIRECT(ADDRESS(88,42))+INDIRECT(ADDRESS(89,42))-INDIRECT(ADDRESS(92,42)),INDIRECT(ADDRESS(93,41))-INDIRECT(ADDRESS(88,42))+INDIRECT(ADDRESS(91,42))-INDIRECT(ADDRESS(92,42)))</f>
        <v>0</v>
      </c>
      <c r="AQ93">
        <f>IF(DAY(NOW())&lt;M3,INDIRECT(ADDRESS(93,42))-INDIRECT(ADDRESS(88,43))+INDIRECT(ADDRESS(89,43))-INDIRECT(ADDRESS(92,43)),INDIRECT(ADDRESS(93,42))-INDIRECT(ADDRESS(88,43))+INDIRECT(ADDRESS(91,43))-INDIRECT(ADDRESS(92,43)))</f>
        <v>0</v>
      </c>
      <c r="AR93">
        <f>IF(DAY(NOW())&lt;M3,INDIRECT(ADDRESS(93,43))-INDIRECT(ADDRESS(88,44))+INDIRECT(ADDRESS(89,44))-INDIRECT(ADDRESS(92,44)),INDIRECT(ADDRESS(93,43))-INDIRECT(ADDRESS(88,44))+INDIRECT(ADDRESS(91,44))-INDIRECT(ADDRESS(92,44)))</f>
        <v>0</v>
      </c>
    </row>
    <row r="94" spans="1:76">
      <c r="A94" t="s">
        <v>31</v>
      </c>
      <c r="B94" t="s">
        <v>76</v>
      </c>
      <c r="C94" t="s">
        <v>77</v>
      </c>
      <c r="D94" t="s">
        <v>17</v>
      </c>
      <c r="E94">
        <v>1</v>
      </c>
      <c r="F94" t="s">
        <v>78</v>
      </c>
      <c r="H94" t="s">
        <v>35</v>
      </c>
      <c r="I94" t="s">
        <v>36</v>
      </c>
      <c r="K94" t="s">
        <v>20</v>
      </c>
      <c r="L94" t="s">
        <v>21</v>
      </c>
      <c r="M94">
        <f>sumifs(BOM!m:m,BOM!A:A,".1",BOM!B:B,"852-240000-100")</f>
        <v>0</v>
      </c>
      <c r="N94">
        <f>sumifs(BOM!n:n,BOM!A:A,".1",BOM!B:B,"852-240000-100")</f>
        <v>0</v>
      </c>
      <c r="O94">
        <f>sumifs(BOM!o:o,BOM!A:A,".1",BOM!B:B,"852-240000-100")</f>
        <v>0</v>
      </c>
      <c r="P94">
        <f>sumifs(BOM!p:p,BOM!A:A,".1",BOM!B:B,"852-240000-100")</f>
        <v>0</v>
      </c>
      <c r="Q94">
        <f>sumifs(BOM!q:q,BOM!A:A,".1",BOM!B:B,"852-240000-100")</f>
        <v>0</v>
      </c>
      <c r="R94">
        <f>sumifs(BOM!r:r,BOM!A:A,".1",BOM!B:B,"852-240000-100")</f>
        <v>0</v>
      </c>
      <c r="S94">
        <f>sumifs(BOM!s:s,BOM!A:A,".1",BOM!B:B,"852-240000-100")</f>
        <v>0</v>
      </c>
      <c r="T94">
        <f>sumifs(BOM!t:t,BOM!A:A,".1",BOM!B:B,"852-240000-100")</f>
        <v>0</v>
      </c>
      <c r="U94">
        <f>sumifs(BOM!u:u,BOM!A:A,".1",BOM!B:B,"852-240000-100")</f>
        <v>0</v>
      </c>
      <c r="V94">
        <f>sumifs(BOM!v:v,BOM!A:A,".1",BOM!B:B,"852-240000-100")</f>
        <v>0</v>
      </c>
      <c r="W94">
        <f>sumifs(BOM!w:w,BOM!A:A,".1",BOM!B:B,"852-240000-100")</f>
        <v>0</v>
      </c>
      <c r="X94">
        <f>sumifs(BOM!x:x,BOM!A:A,".1",BOM!B:B,"852-240000-100")</f>
        <v>0</v>
      </c>
      <c r="Y94">
        <f>sumifs(BOM!y:y,BOM!A:A,".1",BOM!B:B,"852-240000-100")</f>
        <v>0</v>
      </c>
      <c r="Z94">
        <f>sumifs(BOM!z:z,BOM!A:A,".1",BOM!B:B,"852-240000-100")</f>
        <v>0</v>
      </c>
      <c r="AA94">
        <f>sumifs(BOM!aa:aa,BOM!A:A,".1",BOM!B:B,"852-240000-100")</f>
        <v>0</v>
      </c>
      <c r="AB94">
        <f>sumifs(BOM!ab:ab,BOM!A:A,".1",BOM!B:B,"852-240000-100")</f>
        <v>0</v>
      </c>
      <c r="AC94">
        <f>sumifs(BOM!ac:ac,BOM!A:A,".1",BOM!B:B,"852-240000-100")</f>
        <v>0</v>
      </c>
      <c r="AD94">
        <f>sumifs(BOM!ad:ad,BOM!A:A,".1",BOM!B:B,"852-240000-100")</f>
        <v>0</v>
      </c>
      <c r="AE94">
        <f>sumifs(BOM!ae:ae,BOM!A:A,".1",BOM!B:B,"852-240000-100")</f>
        <v>0</v>
      </c>
      <c r="AF94">
        <f>sumifs(BOM!af:af,BOM!A:A,".1",BOM!B:B,"852-240000-100")</f>
        <v>0</v>
      </c>
      <c r="AG94">
        <f>sumifs(BOM!ag:ag,BOM!A:A,".1",BOM!B:B,"852-240000-100")</f>
        <v>0</v>
      </c>
      <c r="AH94">
        <f>sumifs(BOM!ah:ah,BOM!A:A,".1",BOM!B:B,"852-240000-100")</f>
        <v>0</v>
      </c>
      <c r="AI94">
        <f>sumifs(BOM!ai:ai,BOM!A:A,".1",BOM!B:B,"852-240000-100")</f>
        <v>0</v>
      </c>
      <c r="AJ94">
        <f>sumifs(BOM!aj:aj,BOM!A:A,".1",BOM!B:B,"852-240000-100")</f>
        <v>0</v>
      </c>
      <c r="AK94">
        <f>sumifs(BOM!ak:ak,BOM!A:A,".1",BOM!B:B,"852-240000-100")</f>
        <v>0</v>
      </c>
      <c r="AL94">
        <f>sumifs(BOM!al:al,BOM!A:A,".1",BOM!B:B,"852-240000-100")</f>
        <v>0</v>
      </c>
      <c r="AM94">
        <f>sumifs(BOM!am:am,BOM!A:A,".1",BOM!B:B,"852-240000-100")</f>
        <v>0</v>
      </c>
      <c r="AN94">
        <f>sumifs(BOM!an:an,BOM!A:A,".1",BOM!B:B,"852-240000-100")</f>
        <v>0</v>
      </c>
      <c r="AO94">
        <f>sumifs(BOM!ao:ao,BOM!A:A,".1",BOM!B:B,"852-240000-100")</f>
        <v>0</v>
      </c>
      <c r="AP94">
        <f>sumifs(BOM!ap:ap,BOM!A:A,".1",BOM!B:B,"852-240000-100")</f>
        <v>0</v>
      </c>
      <c r="AQ94">
        <f>sumifs(BOM!aq:aq,BOM!A:A,".1",BOM!B:B,"852-240000-100")</f>
        <v>0</v>
      </c>
      <c r="AR94">
        <f>sumifs(BOM!ar:ar,BOM!A:A,".1",BOM!B:B,"852-240000-100")</f>
        <v>0</v>
      </c>
      <c r="BX94">
        <f>sum(j94:an94)</f>
        <v>0</v>
      </c>
    </row>
    <row r="95" spans="1:76">
      <c r="A95" t="s">
        <v>31</v>
      </c>
      <c r="B95" t="s">
        <v>76</v>
      </c>
      <c r="C95" t="s">
        <v>77</v>
      </c>
      <c r="D95" t="s">
        <v>17</v>
      </c>
      <c r="E95">
        <v>1</v>
      </c>
      <c r="F95" t="s">
        <v>78</v>
      </c>
      <c r="H95" t="s">
        <v>35</v>
      </c>
      <c r="I95" t="s">
        <v>36</v>
      </c>
      <c r="K95" t="s">
        <v>20</v>
      </c>
      <c r="L95" t="s">
        <v>37</v>
      </c>
    </row>
    <row r="96" spans="1:76">
      <c r="L96" t="s">
        <v>662</v>
      </c>
    </row>
    <row r="97" spans="1:76">
      <c r="L97" t="s">
        <v>663</v>
      </c>
    </row>
    <row r="98" spans="1:76">
      <c r="L98" t="s">
        <v>664</v>
      </c>
    </row>
    <row r="99" spans="1:76">
      <c r="L99" t="s">
        <v>665</v>
      </c>
      <c r="M99">
        <f>IF(DAY(NOW())&lt;M3,INDIRECT(ADDRESS(99,7))-INDIRECT(ADDRESS(94,13))+INDIRECT(ADDRESS(95,13))-INDIRECT(ADDRESS(98,13)),INDIRECT(ADDRESS(99,7))-INDIRECT(ADDRESS(94,13))+INDIRECT(ADDRESS(97,13))-INDIRECT(ADDRESS(98,13)))</f>
        <v>0</v>
      </c>
      <c r="N99">
        <f>IF(DAY(NOW())&lt;M3,INDIRECT(ADDRESS(99,13))-INDIRECT(ADDRESS(94,14))+INDIRECT(ADDRESS(95,14))-INDIRECT(ADDRESS(98,14)),INDIRECT(ADDRESS(99,13))-INDIRECT(ADDRESS(94,14))+INDIRECT(ADDRESS(97,14))-INDIRECT(ADDRESS(98,14)))</f>
        <v>0</v>
      </c>
      <c r="O99">
        <f>IF(DAY(NOW())&lt;M3,INDIRECT(ADDRESS(99,14))-INDIRECT(ADDRESS(94,15))+INDIRECT(ADDRESS(95,15))-INDIRECT(ADDRESS(98,15)),INDIRECT(ADDRESS(99,14))-INDIRECT(ADDRESS(94,15))+INDIRECT(ADDRESS(97,15))-INDIRECT(ADDRESS(98,15)))</f>
        <v>0</v>
      </c>
      <c r="P99">
        <f>IF(DAY(NOW())&lt;M3,INDIRECT(ADDRESS(99,15))-INDIRECT(ADDRESS(94,16))+INDIRECT(ADDRESS(95,16))-INDIRECT(ADDRESS(98,16)),INDIRECT(ADDRESS(99,15))-INDIRECT(ADDRESS(94,16))+INDIRECT(ADDRESS(97,16))-INDIRECT(ADDRESS(98,16)))</f>
        <v>0</v>
      </c>
      <c r="Q99">
        <f>IF(DAY(NOW())&lt;M3,INDIRECT(ADDRESS(99,16))-INDIRECT(ADDRESS(94,17))+INDIRECT(ADDRESS(95,17))-INDIRECT(ADDRESS(98,17)),INDIRECT(ADDRESS(99,16))-INDIRECT(ADDRESS(94,17))+INDIRECT(ADDRESS(97,17))-INDIRECT(ADDRESS(98,17)))</f>
        <v>0</v>
      </c>
      <c r="R99">
        <f>IF(DAY(NOW())&lt;M3,INDIRECT(ADDRESS(99,17))-INDIRECT(ADDRESS(94,18))+INDIRECT(ADDRESS(95,18))-INDIRECT(ADDRESS(98,18)),INDIRECT(ADDRESS(99,17))-INDIRECT(ADDRESS(94,18))+INDIRECT(ADDRESS(97,18))-INDIRECT(ADDRESS(98,18)))</f>
        <v>0</v>
      </c>
      <c r="S99">
        <f>IF(DAY(NOW())&lt;M3,INDIRECT(ADDRESS(99,18))-INDIRECT(ADDRESS(94,19))+INDIRECT(ADDRESS(95,19))-INDIRECT(ADDRESS(98,19)),INDIRECT(ADDRESS(99,18))-INDIRECT(ADDRESS(94,19))+INDIRECT(ADDRESS(97,19))-INDIRECT(ADDRESS(98,19)))</f>
        <v>0</v>
      </c>
      <c r="T99">
        <f>IF(DAY(NOW())&lt;M3,INDIRECT(ADDRESS(99,19))-INDIRECT(ADDRESS(94,20))+INDIRECT(ADDRESS(95,20))-INDIRECT(ADDRESS(98,20)),INDIRECT(ADDRESS(99,19))-INDIRECT(ADDRESS(94,20))+INDIRECT(ADDRESS(97,20))-INDIRECT(ADDRESS(98,20)))</f>
        <v>0</v>
      </c>
      <c r="U99">
        <f>IF(DAY(NOW())&lt;M3,INDIRECT(ADDRESS(99,20))-INDIRECT(ADDRESS(94,21))+INDIRECT(ADDRESS(95,21))-INDIRECT(ADDRESS(98,21)),INDIRECT(ADDRESS(99,20))-INDIRECT(ADDRESS(94,21))+INDIRECT(ADDRESS(97,21))-INDIRECT(ADDRESS(98,21)))</f>
        <v>0</v>
      </c>
      <c r="V99">
        <f>IF(DAY(NOW())&lt;M3,INDIRECT(ADDRESS(99,21))-INDIRECT(ADDRESS(94,22))+INDIRECT(ADDRESS(95,22))-INDIRECT(ADDRESS(98,22)),INDIRECT(ADDRESS(99,21))-INDIRECT(ADDRESS(94,22))+INDIRECT(ADDRESS(97,22))-INDIRECT(ADDRESS(98,22)))</f>
        <v>0</v>
      </c>
      <c r="W99">
        <f>IF(DAY(NOW())&lt;M3,INDIRECT(ADDRESS(99,22))-INDIRECT(ADDRESS(94,23))+INDIRECT(ADDRESS(95,23))-INDIRECT(ADDRESS(98,23)),INDIRECT(ADDRESS(99,22))-INDIRECT(ADDRESS(94,23))+INDIRECT(ADDRESS(97,23))-INDIRECT(ADDRESS(98,23)))</f>
        <v>0</v>
      </c>
      <c r="X99">
        <f>IF(DAY(NOW())&lt;M3,INDIRECT(ADDRESS(99,23))-INDIRECT(ADDRESS(94,24))+INDIRECT(ADDRESS(95,24))-INDIRECT(ADDRESS(98,24)),INDIRECT(ADDRESS(99,23))-INDIRECT(ADDRESS(94,24))+INDIRECT(ADDRESS(97,24))-INDIRECT(ADDRESS(98,24)))</f>
        <v>0</v>
      </c>
      <c r="Y99">
        <f>IF(DAY(NOW())&lt;M3,INDIRECT(ADDRESS(99,24))-INDIRECT(ADDRESS(94,25))+INDIRECT(ADDRESS(95,25))-INDIRECT(ADDRESS(98,25)),INDIRECT(ADDRESS(99,24))-INDIRECT(ADDRESS(94,25))+INDIRECT(ADDRESS(97,25))-INDIRECT(ADDRESS(98,25)))</f>
        <v>0</v>
      </c>
      <c r="Z99">
        <f>IF(DAY(NOW())&lt;M3,INDIRECT(ADDRESS(99,25))-INDIRECT(ADDRESS(94,26))+INDIRECT(ADDRESS(95,26))-INDIRECT(ADDRESS(98,26)),INDIRECT(ADDRESS(99,25))-INDIRECT(ADDRESS(94,26))+INDIRECT(ADDRESS(97,26))-INDIRECT(ADDRESS(98,26)))</f>
        <v>0</v>
      </c>
      <c r="AA99">
        <f>IF(DAY(NOW())&lt;M3,INDIRECT(ADDRESS(99,26))-INDIRECT(ADDRESS(94,27))+INDIRECT(ADDRESS(95,27))-INDIRECT(ADDRESS(98,27)),INDIRECT(ADDRESS(99,26))-INDIRECT(ADDRESS(94,27))+INDIRECT(ADDRESS(97,27))-INDIRECT(ADDRESS(98,27)))</f>
        <v>0</v>
      </c>
      <c r="AB99">
        <f>IF(DAY(NOW())&lt;M3,INDIRECT(ADDRESS(99,27))-INDIRECT(ADDRESS(94,28))+INDIRECT(ADDRESS(95,28))-INDIRECT(ADDRESS(98,28)),INDIRECT(ADDRESS(99,27))-INDIRECT(ADDRESS(94,28))+INDIRECT(ADDRESS(97,28))-INDIRECT(ADDRESS(98,28)))</f>
        <v>0</v>
      </c>
      <c r="AC99">
        <f>IF(DAY(NOW())&lt;M3,INDIRECT(ADDRESS(99,28))-INDIRECT(ADDRESS(94,29))+INDIRECT(ADDRESS(95,29))-INDIRECT(ADDRESS(98,29)),INDIRECT(ADDRESS(99,28))-INDIRECT(ADDRESS(94,29))+INDIRECT(ADDRESS(97,29))-INDIRECT(ADDRESS(98,29)))</f>
        <v>0</v>
      </c>
      <c r="AD99">
        <f>IF(DAY(NOW())&lt;M3,INDIRECT(ADDRESS(99,29))-INDIRECT(ADDRESS(94,30))+INDIRECT(ADDRESS(95,30))-INDIRECT(ADDRESS(98,30)),INDIRECT(ADDRESS(99,29))-INDIRECT(ADDRESS(94,30))+INDIRECT(ADDRESS(97,30))-INDIRECT(ADDRESS(98,30)))</f>
        <v>0</v>
      </c>
      <c r="AE99">
        <f>IF(DAY(NOW())&lt;M3,INDIRECT(ADDRESS(99,30))-INDIRECT(ADDRESS(94,31))+INDIRECT(ADDRESS(95,31))-INDIRECT(ADDRESS(98,31)),INDIRECT(ADDRESS(99,30))-INDIRECT(ADDRESS(94,31))+INDIRECT(ADDRESS(97,31))-INDIRECT(ADDRESS(98,31)))</f>
        <v>0</v>
      </c>
      <c r="AF99">
        <f>IF(DAY(NOW())&lt;M3,INDIRECT(ADDRESS(99,31))-INDIRECT(ADDRESS(94,32))+INDIRECT(ADDRESS(95,32))-INDIRECT(ADDRESS(98,32)),INDIRECT(ADDRESS(99,31))-INDIRECT(ADDRESS(94,32))+INDIRECT(ADDRESS(97,32))-INDIRECT(ADDRESS(98,32)))</f>
        <v>0</v>
      </c>
      <c r="AG99">
        <f>IF(DAY(NOW())&lt;M3,INDIRECT(ADDRESS(99,32))-INDIRECT(ADDRESS(94,33))+INDIRECT(ADDRESS(95,33))-INDIRECT(ADDRESS(98,33)),INDIRECT(ADDRESS(99,32))-INDIRECT(ADDRESS(94,33))+INDIRECT(ADDRESS(97,33))-INDIRECT(ADDRESS(98,33)))</f>
        <v>0</v>
      </c>
      <c r="AH99">
        <f>IF(DAY(NOW())&lt;M3,INDIRECT(ADDRESS(99,33))-INDIRECT(ADDRESS(94,34))+INDIRECT(ADDRESS(95,34))-INDIRECT(ADDRESS(98,34)),INDIRECT(ADDRESS(99,33))-INDIRECT(ADDRESS(94,34))+INDIRECT(ADDRESS(97,34))-INDIRECT(ADDRESS(98,34)))</f>
        <v>0</v>
      </c>
      <c r="AI99">
        <f>IF(DAY(NOW())&lt;M3,INDIRECT(ADDRESS(99,34))-INDIRECT(ADDRESS(94,35))+INDIRECT(ADDRESS(95,35))-INDIRECT(ADDRESS(98,35)),INDIRECT(ADDRESS(99,34))-INDIRECT(ADDRESS(94,35))+INDIRECT(ADDRESS(97,35))-INDIRECT(ADDRESS(98,35)))</f>
        <v>0</v>
      </c>
      <c r="AJ99">
        <f>IF(DAY(NOW())&lt;M3,INDIRECT(ADDRESS(99,35))-INDIRECT(ADDRESS(94,36))+INDIRECT(ADDRESS(95,36))-INDIRECT(ADDRESS(98,36)),INDIRECT(ADDRESS(99,35))-INDIRECT(ADDRESS(94,36))+INDIRECT(ADDRESS(97,36))-INDIRECT(ADDRESS(98,36)))</f>
        <v>0</v>
      </c>
      <c r="AK99">
        <f>IF(DAY(NOW())&lt;M3,INDIRECT(ADDRESS(99,36))-INDIRECT(ADDRESS(94,37))+INDIRECT(ADDRESS(95,37))-INDIRECT(ADDRESS(98,37)),INDIRECT(ADDRESS(99,36))-INDIRECT(ADDRESS(94,37))+INDIRECT(ADDRESS(97,37))-INDIRECT(ADDRESS(98,37)))</f>
        <v>0</v>
      </c>
      <c r="AL99">
        <f>IF(DAY(NOW())&lt;M3,INDIRECT(ADDRESS(99,37))-INDIRECT(ADDRESS(94,38))+INDIRECT(ADDRESS(95,38))-INDIRECT(ADDRESS(98,38)),INDIRECT(ADDRESS(99,37))-INDIRECT(ADDRESS(94,38))+INDIRECT(ADDRESS(97,38))-INDIRECT(ADDRESS(98,38)))</f>
        <v>0</v>
      </c>
      <c r="AM99">
        <f>IF(DAY(NOW())&lt;M3,INDIRECT(ADDRESS(99,38))-INDIRECT(ADDRESS(94,39))+INDIRECT(ADDRESS(95,39))-INDIRECT(ADDRESS(98,39)),INDIRECT(ADDRESS(99,38))-INDIRECT(ADDRESS(94,39))+INDIRECT(ADDRESS(97,39))-INDIRECT(ADDRESS(98,39)))</f>
        <v>0</v>
      </c>
      <c r="AN99">
        <f>IF(DAY(NOW())&lt;M3,INDIRECT(ADDRESS(99,39))-INDIRECT(ADDRESS(94,40))+INDIRECT(ADDRESS(95,40))-INDIRECT(ADDRESS(98,40)),INDIRECT(ADDRESS(99,39))-INDIRECT(ADDRESS(94,40))+INDIRECT(ADDRESS(97,40))-INDIRECT(ADDRESS(98,40)))</f>
        <v>0</v>
      </c>
      <c r="AO99">
        <f>IF(DAY(NOW())&lt;M3,INDIRECT(ADDRESS(99,40))-INDIRECT(ADDRESS(94,41))+INDIRECT(ADDRESS(95,41))-INDIRECT(ADDRESS(98,41)),INDIRECT(ADDRESS(99,40))-INDIRECT(ADDRESS(94,41))+INDIRECT(ADDRESS(97,41))-INDIRECT(ADDRESS(98,41)))</f>
        <v>0</v>
      </c>
      <c r="AP99">
        <f>IF(DAY(NOW())&lt;M3,INDIRECT(ADDRESS(99,41))-INDIRECT(ADDRESS(94,42))+INDIRECT(ADDRESS(95,42))-INDIRECT(ADDRESS(98,42)),INDIRECT(ADDRESS(99,41))-INDIRECT(ADDRESS(94,42))+INDIRECT(ADDRESS(97,42))-INDIRECT(ADDRESS(98,42)))</f>
        <v>0</v>
      </c>
      <c r="AQ99">
        <f>IF(DAY(NOW())&lt;M3,INDIRECT(ADDRESS(99,42))-INDIRECT(ADDRESS(94,43))+INDIRECT(ADDRESS(95,43))-INDIRECT(ADDRESS(98,43)),INDIRECT(ADDRESS(99,42))-INDIRECT(ADDRESS(94,43))+INDIRECT(ADDRESS(97,43))-INDIRECT(ADDRESS(98,43)))</f>
        <v>0</v>
      </c>
      <c r="AR99">
        <f>IF(DAY(NOW())&lt;M3,INDIRECT(ADDRESS(99,43))-INDIRECT(ADDRESS(94,44))+INDIRECT(ADDRESS(95,44))-INDIRECT(ADDRESS(98,44)),INDIRECT(ADDRESS(99,43))-INDIRECT(ADDRESS(94,44))+INDIRECT(ADDRESS(97,44))-INDIRECT(ADDRESS(98,44)))</f>
        <v>0</v>
      </c>
    </row>
    <row r="100" spans="1:76">
      <c r="A100" t="s">
        <v>14</v>
      </c>
      <c r="B100" t="s">
        <v>79</v>
      </c>
      <c r="C100" t="s">
        <v>80</v>
      </c>
      <c r="D100" t="s">
        <v>46</v>
      </c>
      <c r="E100">
        <v>1</v>
      </c>
      <c r="F100" t="s">
        <v>81</v>
      </c>
      <c r="H100" t="s">
        <v>72</v>
      </c>
      <c r="I100">
        <v>30</v>
      </c>
      <c r="K100" t="s">
        <v>20</v>
      </c>
      <c r="L100" t="s">
        <v>21</v>
      </c>
      <c r="BX100">
        <f>sum(j100:an100)</f>
        <v>0</v>
      </c>
    </row>
    <row r="101" spans="1:76">
      <c r="A101" t="s">
        <v>14</v>
      </c>
      <c r="B101" t="s">
        <v>79</v>
      </c>
      <c r="C101" t="s">
        <v>80</v>
      </c>
      <c r="D101" t="s">
        <v>46</v>
      </c>
      <c r="E101">
        <v>1</v>
      </c>
      <c r="F101" t="s">
        <v>81</v>
      </c>
      <c r="H101" t="s">
        <v>72</v>
      </c>
      <c r="I101">
        <v>30</v>
      </c>
      <c r="K101" t="s">
        <v>20</v>
      </c>
      <c r="L101" t="s">
        <v>37</v>
      </c>
    </row>
    <row r="102" spans="1:76">
      <c r="L102" t="s">
        <v>662</v>
      </c>
    </row>
    <row r="103" spans="1:76">
      <c r="L103" t="s">
        <v>663</v>
      </c>
    </row>
    <row r="104" spans="1:76">
      <c r="L104" t="s">
        <v>664</v>
      </c>
    </row>
    <row r="105" spans="1:76">
      <c r="L105" t="s">
        <v>665</v>
      </c>
      <c r="M105">
        <f>IF(DAY(NOW())&lt;M3,INDIRECT(ADDRESS(105,7))-INDIRECT(ADDRESS(100,13))+INDIRECT(ADDRESS(101,13))-INDIRECT(ADDRESS(104,13)),INDIRECT(ADDRESS(105,7))-INDIRECT(ADDRESS(100,13))+INDIRECT(ADDRESS(103,13))-INDIRECT(ADDRESS(104,13)))</f>
        <v>0</v>
      </c>
      <c r="N105">
        <f>IF(DAY(NOW())&lt;M3,INDIRECT(ADDRESS(105,13))-INDIRECT(ADDRESS(100,14))+INDIRECT(ADDRESS(101,14))-INDIRECT(ADDRESS(104,14)),INDIRECT(ADDRESS(105,13))-INDIRECT(ADDRESS(100,14))+INDIRECT(ADDRESS(103,14))-INDIRECT(ADDRESS(104,14)))</f>
        <v>0</v>
      </c>
      <c r="O105">
        <f>IF(DAY(NOW())&lt;M3,INDIRECT(ADDRESS(105,14))-INDIRECT(ADDRESS(100,15))+INDIRECT(ADDRESS(101,15))-INDIRECT(ADDRESS(104,15)),INDIRECT(ADDRESS(105,14))-INDIRECT(ADDRESS(100,15))+INDIRECT(ADDRESS(103,15))-INDIRECT(ADDRESS(104,15)))</f>
        <v>0</v>
      </c>
      <c r="P105">
        <f>IF(DAY(NOW())&lt;M3,INDIRECT(ADDRESS(105,15))-INDIRECT(ADDRESS(100,16))+INDIRECT(ADDRESS(101,16))-INDIRECT(ADDRESS(104,16)),INDIRECT(ADDRESS(105,15))-INDIRECT(ADDRESS(100,16))+INDIRECT(ADDRESS(103,16))-INDIRECT(ADDRESS(104,16)))</f>
        <v>0</v>
      </c>
      <c r="Q105">
        <f>IF(DAY(NOW())&lt;M3,INDIRECT(ADDRESS(105,16))-INDIRECT(ADDRESS(100,17))+INDIRECT(ADDRESS(101,17))-INDIRECT(ADDRESS(104,17)),INDIRECT(ADDRESS(105,16))-INDIRECT(ADDRESS(100,17))+INDIRECT(ADDRESS(103,17))-INDIRECT(ADDRESS(104,17)))</f>
        <v>0</v>
      </c>
      <c r="R105">
        <f>IF(DAY(NOW())&lt;M3,INDIRECT(ADDRESS(105,17))-INDIRECT(ADDRESS(100,18))+INDIRECT(ADDRESS(101,18))-INDIRECT(ADDRESS(104,18)),INDIRECT(ADDRESS(105,17))-INDIRECT(ADDRESS(100,18))+INDIRECT(ADDRESS(103,18))-INDIRECT(ADDRESS(104,18)))</f>
        <v>0</v>
      </c>
      <c r="S105">
        <f>IF(DAY(NOW())&lt;M3,INDIRECT(ADDRESS(105,18))-INDIRECT(ADDRESS(100,19))+INDIRECT(ADDRESS(101,19))-INDIRECT(ADDRESS(104,19)),INDIRECT(ADDRESS(105,18))-INDIRECT(ADDRESS(100,19))+INDIRECT(ADDRESS(103,19))-INDIRECT(ADDRESS(104,19)))</f>
        <v>0</v>
      </c>
      <c r="T105">
        <f>IF(DAY(NOW())&lt;M3,INDIRECT(ADDRESS(105,19))-INDIRECT(ADDRESS(100,20))+INDIRECT(ADDRESS(101,20))-INDIRECT(ADDRESS(104,20)),INDIRECT(ADDRESS(105,19))-INDIRECT(ADDRESS(100,20))+INDIRECT(ADDRESS(103,20))-INDIRECT(ADDRESS(104,20)))</f>
        <v>0</v>
      </c>
      <c r="U105">
        <f>IF(DAY(NOW())&lt;M3,INDIRECT(ADDRESS(105,20))-INDIRECT(ADDRESS(100,21))+INDIRECT(ADDRESS(101,21))-INDIRECT(ADDRESS(104,21)),INDIRECT(ADDRESS(105,20))-INDIRECT(ADDRESS(100,21))+INDIRECT(ADDRESS(103,21))-INDIRECT(ADDRESS(104,21)))</f>
        <v>0</v>
      </c>
      <c r="V105">
        <f>IF(DAY(NOW())&lt;M3,INDIRECT(ADDRESS(105,21))-INDIRECT(ADDRESS(100,22))+INDIRECT(ADDRESS(101,22))-INDIRECT(ADDRESS(104,22)),INDIRECT(ADDRESS(105,21))-INDIRECT(ADDRESS(100,22))+INDIRECT(ADDRESS(103,22))-INDIRECT(ADDRESS(104,22)))</f>
        <v>0</v>
      </c>
      <c r="W105">
        <f>IF(DAY(NOW())&lt;M3,INDIRECT(ADDRESS(105,22))-INDIRECT(ADDRESS(100,23))+INDIRECT(ADDRESS(101,23))-INDIRECT(ADDRESS(104,23)),INDIRECT(ADDRESS(105,22))-INDIRECT(ADDRESS(100,23))+INDIRECT(ADDRESS(103,23))-INDIRECT(ADDRESS(104,23)))</f>
        <v>0</v>
      </c>
      <c r="X105">
        <f>IF(DAY(NOW())&lt;M3,INDIRECT(ADDRESS(105,23))-INDIRECT(ADDRESS(100,24))+INDIRECT(ADDRESS(101,24))-INDIRECT(ADDRESS(104,24)),INDIRECT(ADDRESS(105,23))-INDIRECT(ADDRESS(100,24))+INDIRECT(ADDRESS(103,24))-INDIRECT(ADDRESS(104,24)))</f>
        <v>0</v>
      </c>
      <c r="Y105">
        <f>IF(DAY(NOW())&lt;M3,INDIRECT(ADDRESS(105,24))-INDIRECT(ADDRESS(100,25))+INDIRECT(ADDRESS(101,25))-INDIRECT(ADDRESS(104,25)),INDIRECT(ADDRESS(105,24))-INDIRECT(ADDRESS(100,25))+INDIRECT(ADDRESS(103,25))-INDIRECT(ADDRESS(104,25)))</f>
        <v>0</v>
      </c>
      <c r="Z105">
        <f>IF(DAY(NOW())&lt;M3,INDIRECT(ADDRESS(105,25))-INDIRECT(ADDRESS(100,26))+INDIRECT(ADDRESS(101,26))-INDIRECT(ADDRESS(104,26)),INDIRECT(ADDRESS(105,25))-INDIRECT(ADDRESS(100,26))+INDIRECT(ADDRESS(103,26))-INDIRECT(ADDRESS(104,26)))</f>
        <v>0</v>
      </c>
      <c r="AA105">
        <f>IF(DAY(NOW())&lt;M3,INDIRECT(ADDRESS(105,26))-INDIRECT(ADDRESS(100,27))+INDIRECT(ADDRESS(101,27))-INDIRECT(ADDRESS(104,27)),INDIRECT(ADDRESS(105,26))-INDIRECT(ADDRESS(100,27))+INDIRECT(ADDRESS(103,27))-INDIRECT(ADDRESS(104,27)))</f>
        <v>0</v>
      </c>
      <c r="AB105">
        <f>IF(DAY(NOW())&lt;M3,INDIRECT(ADDRESS(105,27))-INDIRECT(ADDRESS(100,28))+INDIRECT(ADDRESS(101,28))-INDIRECT(ADDRESS(104,28)),INDIRECT(ADDRESS(105,27))-INDIRECT(ADDRESS(100,28))+INDIRECT(ADDRESS(103,28))-INDIRECT(ADDRESS(104,28)))</f>
        <v>0</v>
      </c>
      <c r="AC105">
        <f>IF(DAY(NOW())&lt;M3,INDIRECT(ADDRESS(105,28))-INDIRECT(ADDRESS(100,29))+INDIRECT(ADDRESS(101,29))-INDIRECT(ADDRESS(104,29)),INDIRECT(ADDRESS(105,28))-INDIRECT(ADDRESS(100,29))+INDIRECT(ADDRESS(103,29))-INDIRECT(ADDRESS(104,29)))</f>
        <v>0</v>
      </c>
      <c r="AD105">
        <f>IF(DAY(NOW())&lt;M3,INDIRECT(ADDRESS(105,29))-INDIRECT(ADDRESS(100,30))+INDIRECT(ADDRESS(101,30))-INDIRECT(ADDRESS(104,30)),INDIRECT(ADDRESS(105,29))-INDIRECT(ADDRESS(100,30))+INDIRECT(ADDRESS(103,30))-INDIRECT(ADDRESS(104,30)))</f>
        <v>0</v>
      </c>
      <c r="AE105">
        <f>IF(DAY(NOW())&lt;M3,INDIRECT(ADDRESS(105,30))-INDIRECT(ADDRESS(100,31))+INDIRECT(ADDRESS(101,31))-INDIRECT(ADDRESS(104,31)),INDIRECT(ADDRESS(105,30))-INDIRECT(ADDRESS(100,31))+INDIRECT(ADDRESS(103,31))-INDIRECT(ADDRESS(104,31)))</f>
        <v>0</v>
      </c>
      <c r="AF105">
        <f>IF(DAY(NOW())&lt;M3,INDIRECT(ADDRESS(105,31))-INDIRECT(ADDRESS(100,32))+INDIRECT(ADDRESS(101,32))-INDIRECT(ADDRESS(104,32)),INDIRECT(ADDRESS(105,31))-INDIRECT(ADDRESS(100,32))+INDIRECT(ADDRESS(103,32))-INDIRECT(ADDRESS(104,32)))</f>
        <v>0</v>
      </c>
      <c r="AG105">
        <f>IF(DAY(NOW())&lt;M3,INDIRECT(ADDRESS(105,32))-INDIRECT(ADDRESS(100,33))+INDIRECT(ADDRESS(101,33))-INDIRECT(ADDRESS(104,33)),INDIRECT(ADDRESS(105,32))-INDIRECT(ADDRESS(100,33))+INDIRECT(ADDRESS(103,33))-INDIRECT(ADDRESS(104,33)))</f>
        <v>0</v>
      </c>
      <c r="AH105">
        <f>IF(DAY(NOW())&lt;M3,INDIRECT(ADDRESS(105,33))-INDIRECT(ADDRESS(100,34))+INDIRECT(ADDRESS(101,34))-INDIRECT(ADDRESS(104,34)),INDIRECT(ADDRESS(105,33))-INDIRECT(ADDRESS(100,34))+INDIRECT(ADDRESS(103,34))-INDIRECT(ADDRESS(104,34)))</f>
        <v>0</v>
      </c>
      <c r="AI105">
        <f>IF(DAY(NOW())&lt;M3,INDIRECT(ADDRESS(105,34))-INDIRECT(ADDRESS(100,35))+INDIRECT(ADDRESS(101,35))-INDIRECT(ADDRESS(104,35)),INDIRECT(ADDRESS(105,34))-INDIRECT(ADDRESS(100,35))+INDIRECT(ADDRESS(103,35))-INDIRECT(ADDRESS(104,35)))</f>
        <v>0</v>
      </c>
      <c r="AJ105">
        <f>IF(DAY(NOW())&lt;M3,INDIRECT(ADDRESS(105,35))-INDIRECT(ADDRESS(100,36))+INDIRECT(ADDRESS(101,36))-INDIRECT(ADDRESS(104,36)),INDIRECT(ADDRESS(105,35))-INDIRECT(ADDRESS(100,36))+INDIRECT(ADDRESS(103,36))-INDIRECT(ADDRESS(104,36)))</f>
        <v>0</v>
      </c>
      <c r="AK105">
        <f>IF(DAY(NOW())&lt;M3,INDIRECT(ADDRESS(105,36))-INDIRECT(ADDRESS(100,37))+INDIRECT(ADDRESS(101,37))-INDIRECT(ADDRESS(104,37)),INDIRECT(ADDRESS(105,36))-INDIRECT(ADDRESS(100,37))+INDIRECT(ADDRESS(103,37))-INDIRECT(ADDRESS(104,37)))</f>
        <v>0</v>
      </c>
      <c r="AL105">
        <f>IF(DAY(NOW())&lt;M3,INDIRECT(ADDRESS(105,37))-INDIRECT(ADDRESS(100,38))+INDIRECT(ADDRESS(101,38))-INDIRECT(ADDRESS(104,38)),INDIRECT(ADDRESS(105,37))-INDIRECT(ADDRESS(100,38))+INDIRECT(ADDRESS(103,38))-INDIRECT(ADDRESS(104,38)))</f>
        <v>0</v>
      </c>
      <c r="AM105">
        <f>IF(DAY(NOW())&lt;M3,INDIRECT(ADDRESS(105,38))-INDIRECT(ADDRESS(100,39))+INDIRECT(ADDRESS(101,39))-INDIRECT(ADDRESS(104,39)),INDIRECT(ADDRESS(105,38))-INDIRECT(ADDRESS(100,39))+INDIRECT(ADDRESS(103,39))-INDIRECT(ADDRESS(104,39)))</f>
        <v>0</v>
      </c>
      <c r="AN105">
        <f>IF(DAY(NOW())&lt;M3,INDIRECT(ADDRESS(105,39))-INDIRECT(ADDRESS(100,40))+INDIRECT(ADDRESS(101,40))-INDIRECT(ADDRESS(104,40)),INDIRECT(ADDRESS(105,39))-INDIRECT(ADDRESS(100,40))+INDIRECT(ADDRESS(103,40))-INDIRECT(ADDRESS(104,40)))</f>
        <v>0</v>
      </c>
      <c r="AO105">
        <f>IF(DAY(NOW())&lt;M3,INDIRECT(ADDRESS(105,40))-INDIRECT(ADDRESS(100,41))+INDIRECT(ADDRESS(101,41))-INDIRECT(ADDRESS(104,41)),INDIRECT(ADDRESS(105,40))-INDIRECT(ADDRESS(100,41))+INDIRECT(ADDRESS(103,41))-INDIRECT(ADDRESS(104,41)))</f>
        <v>0</v>
      </c>
      <c r="AP105">
        <f>IF(DAY(NOW())&lt;M3,INDIRECT(ADDRESS(105,41))-INDIRECT(ADDRESS(100,42))+INDIRECT(ADDRESS(101,42))-INDIRECT(ADDRESS(104,42)),INDIRECT(ADDRESS(105,41))-INDIRECT(ADDRESS(100,42))+INDIRECT(ADDRESS(103,42))-INDIRECT(ADDRESS(104,42)))</f>
        <v>0</v>
      </c>
      <c r="AQ105">
        <f>IF(DAY(NOW())&lt;M3,INDIRECT(ADDRESS(105,42))-INDIRECT(ADDRESS(100,43))+INDIRECT(ADDRESS(101,43))-INDIRECT(ADDRESS(104,43)),INDIRECT(ADDRESS(105,42))-INDIRECT(ADDRESS(100,43))+INDIRECT(ADDRESS(103,43))-INDIRECT(ADDRESS(104,43)))</f>
        <v>0</v>
      </c>
      <c r="AR105">
        <f>IF(DAY(NOW())&lt;M3,INDIRECT(ADDRESS(105,43))-INDIRECT(ADDRESS(100,44))+INDIRECT(ADDRESS(101,44))-INDIRECT(ADDRESS(104,44)),INDIRECT(ADDRESS(105,43))-INDIRECT(ADDRESS(100,44))+INDIRECT(ADDRESS(103,44))-INDIRECT(ADDRESS(104,44)))</f>
        <v>0</v>
      </c>
    </row>
    <row r="106" spans="1:76">
      <c r="A106" t="s">
        <v>31</v>
      </c>
      <c r="B106" t="s">
        <v>82</v>
      </c>
      <c r="C106" t="s">
        <v>83</v>
      </c>
      <c r="D106" t="s">
        <v>17</v>
      </c>
      <c r="E106">
        <v>1</v>
      </c>
      <c r="F106" t="s">
        <v>84</v>
      </c>
      <c r="H106" t="s">
        <v>35</v>
      </c>
      <c r="I106" t="s">
        <v>36</v>
      </c>
      <c r="K106" t="s">
        <v>20</v>
      </c>
      <c r="L106" t="s">
        <v>21</v>
      </c>
      <c r="M106">
        <f>sumifs(BOM!m:m,BOM!A:A,".1",BOM!B:B,"852-238000-200")</f>
        <v>0</v>
      </c>
      <c r="N106">
        <f>sumifs(BOM!n:n,BOM!A:A,".1",BOM!B:B,"852-238000-200")</f>
        <v>0</v>
      </c>
      <c r="O106">
        <f>sumifs(BOM!o:o,BOM!A:A,".1",BOM!B:B,"852-238000-200")</f>
        <v>0</v>
      </c>
      <c r="P106">
        <f>sumifs(BOM!p:p,BOM!A:A,".1",BOM!B:B,"852-238000-200")</f>
        <v>0</v>
      </c>
      <c r="Q106">
        <f>sumifs(BOM!q:q,BOM!A:A,".1",BOM!B:B,"852-238000-200")</f>
        <v>0</v>
      </c>
      <c r="R106">
        <f>sumifs(BOM!r:r,BOM!A:A,".1",BOM!B:B,"852-238000-200")</f>
        <v>0</v>
      </c>
      <c r="S106">
        <f>sumifs(BOM!s:s,BOM!A:A,".1",BOM!B:B,"852-238000-200")</f>
        <v>0</v>
      </c>
      <c r="T106">
        <f>sumifs(BOM!t:t,BOM!A:A,".1",BOM!B:B,"852-238000-200")</f>
        <v>0</v>
      </c>
      <c r="U106">
        <f>sumifs(BOM!u:u,BOM!A:A,".1",BOM!B:B,"852-238000-200")</f>
        <v>0</v>
      </c>
      <c r="V106">
        <f>sumifs(BOM!v:v,BOM!A:A,".1",BOM!B:B,"852-238000-200")</f>
        <v>0</v>
      </c>
      <c r="W106">
        <f>sumifs(BOM!w:w,BOM!A:A,".1",BOM!B:B,"852-238000-200")</f>
        <v>0</v>
      </c>
      <c r="X106">
        <f>sumifs(BOM!x:x,BOM!A:A,".1",BOM!B:B,"852-238000-200")</f>
        <v>0</v>
      </c>
      <c r="Y106">
        <f>sumifs(BOM!y:y,BOM!A:A,".1",BOM!B:B,"852-238000-200")</f>
        <v>0</v>
      </c>
      <c r="Z106">
        <f>sumifs(BOM!z:z,BOM!A:A,".1",BOM!B:B,"852-238000-200")</f>
        <v>0</v>
      </c>
      <c r="AA106">
        <f>sumifs(BOM!aa:aa,BOM!A:A,".1",BOM!B:B,"852-238000-200")</f>
        <v>0</v>
      </c>
      <c r="AB106">
        <f>sumifs(BOM!ab:ab,BOM!A:A,".1",BOM!B:B,"852-238000-200")</f>
        <v>0</v>
      </c>
      <c r="AC106">
        <f>sumifs(BOM!ac:ac,BOM!A:A,".1",BOM!B:B,"852-238000-200")</f>
        <v>0</v>
      </c>
      <c r="AD106">
        <f>sumifs(BOM!ad:ad,BOM!A:A,".1",BOM!B:B,"852-238000-200")</f>
        <v>0</v>
      </c>
      <c r="AE106">
        <f>sumifs(BOM!ae:ae,BOM!A:A,".1",BOM!B:B,"852-238000-200")</f>
        <v>0</v>
      </c>
      <c r="AF106">
        <f>sumifs(BOM!af:af,BOM!A:A,".1",BOM!B:B,"852-238000-200")</f>
        <v>0</v>
      </c>
      <c r="AG106">
        <f>sumifs(BOM!ag:ag,BOM!A:A,".1",BOM!B:B,"852-238000-200")</f>
        <v>0</v>
      </c>
      <c r="AH106">
        <f>sumifs(BOM!ah:ah,BOM!A:A,".1",BOM!B:B,"852-238000-200")</f>
        <v>0</v>
      </c>
      <c r="AI106">
        <f>sumifs(BOM!ai:ai,BOM!A:A,".1",BOM!B:B,"852-238000-200")</f>
        <v>0</v>
      </c>
      <c r="AJ106">
        <f>sumifs(BOM!aj:aj,BOM!A:A,".1",BOM!B:B,"852-238000-200")</f>
        <v>0</v>
      </c>
      <c r="AK106">
        <f>sumifs(BOM!ak:ak,BOM!A:A,".1",BOM!B:B,"852-238000-200")</f>
        <v>0</v>
      </c>
      <c r="AL106">
        <f>sumifs(BOM!al:al,BOM!A:A,".1",BOM!B:B,"852-238000-200")</f>
        <v>0</v>
      </c>
      <c r="AM106">
        <f>sumifs(BOM!am:am,BOM!A:A,".1",BOM!B:B,"852-238000-200")</f>
        <v>0</v>
      </c>
      <c r="AN106">
        <f>sumifs(BOM!an:an,BOM!A:A,".1",BOM!B:B,"852-238000-200")</f>
        <v>0</v>
      </c>
      <c r="AO106">
        <f>sumifs(BOM!ao:ao,BOM!A:A,".1",BOM!B:B,"852-238000-200")</f>
        <v>0</v>
      </c>
      <c r="AP106">
        <f>sumifs(BOM!ap:ap,BOM!A:A,".1",BOM!B:B,"852-238000-200")</f>
        <v>0</v>
      </c>
      <c r="AQ106">
        <f>sumifs(BOM!aq:aq,BOM!A:A,".1",BOM!B:B,"852-238000-200")</f>
        <v>0</v>
      </c>
      <c r="AR106">
        <f>sumifs(BOM!ar:ar,BOM!A:A,".1",BOM!B:B,"852-238000-200")</f>
        <v>0</v>
      </c>
      <c r="BX106">
        <f>sum(j106:an106)</f>
        <v>0</v>
      </c>
    </row>
    <row r="107" spans="1:76">
      <c r="A107" t="s">
        <v>31</v>
      </c>
      <c r="B107" t="s">
        <v>82</v>
      </c>
      <c r="C107" t="s">
        <v>83</v>
      </c>
      <c r="D107" t="s">
        <v>17</v>
      </c>
      <c r="E107">
        <v>1</v>
      </c>
      <c r="F107" t="s">
        <v>84</v>
      </c>
      <c r="H107" t="s">
        <v>35</v>
      </c>
      <c r="I107" t="s">
        <v>36</v>
      </c>
      <c r="K107" t="s">
        <v>20</v>
      </c>
      <c r="L107" t="s">
        <v>37</v>
      </c>
    </row>
    <row r="108" spans="1:76">
      <c r="L108" t="s">
        <v>662</v>
      </c>
    </row>
    <row r="109" spans="1:76">
      <c r="L109" t="s">
        <v>663</v>
      </c>
    </row>
    <row r="110" spans="1:76">
      <c r="L110" t="s">
        <v>664</v>
      </c>
    </row>
    <row r="111" spans="1:76">
      <c r="L111" t="s">
        <v>665</v>
      </c>
      <c r="M111">
        <f>IF(DAY(NOW())&lt;M3,INDIRECT(ADDRESS(111,7))-INDIRECT(ADDRESS(106,13))+INDIRECT(ADDRESS(107,13))-INDIRECT(ADDRESS(110,13)),INDIRECT(ADDRESS(111,7))-INDIRECT(ADDRESS(106,13))+INDIRECT(ADDRESS(109,13))-INDIRECT(ADDRESS(110,13)))</f>
        <v>0</v>
      </c>
      <c r="N111">
        <f>IF(DAY(NOW())&lt;M3,INDIRECT(ADDRESS(111,13))-INDIRECT(ADDRESS(106,14))+INDIRECT(ADDRESS(107,14))-INDIRECT(ADDRESS(110,14)),INDIRECT(ADDRESS(111,13))-INDIRECT(ADDRESS(106,14))+INDIRECT(ADDRESS(109,14))-INDIRECT(ADDRESS(110,14)))</f>
        <v>0</v>
      </c>
      <c r="O111">
        <f>IF(DAY(NOW())&lt;M3,INDIRECT(ADDRESS(111,14))-INDIRECT(ADDRESS(106,15))+INDIRECT(ADDRESS(107,15))-INDIRECT(ADDRESS(110,15)),INDIRECT(ADDRESS(111,14))-INDIRECT(ADDRESS(106,15))+INDIRECT(ADDRESS(109,15))-INDIRECT(ADDRESS(110,15)))</f>
        <v>0</v>
      </c>
      <c r="P111">
        <f>IF(DAY(NOW())&lt;M3,INDIRECT(ADDRESS(111,15))-INDIRECT(ADDRESS(106,16))+INDIRECT(ADDRESS(107,16))-INDIRECT(ADDRESS(110,16)),INDIRECT(ADDRESS(111,15))-INDIRECT(ADDRESS(106,16))+INDIRECT(ADDRESS(109,16))-INDIRECT(ADDRESS(110,16)))</f>
        <v>0</v>
      </c>
      <c r="Q111">
        <f>IF(DAY(NOW())&lt;M3,INDIRECT(ADDRESS(111,16))-INDIRECT(ADDRESS(106,17))+INDIRECT(ADDRESS(107,17))-INDIRECT(ADDRESS(110,17)),INDIRECT(ADDRESS(111,16))-INDIRECT(ADDRESS(106,17))+INDIRECT(ADDRESS(109,17))-INDIRECT(ADDRESS(110,17)))</f>
        <v>0</v>
      </c>
      <c r="R111">
        <f>IF(DAY(NOW())&lt;M3,INDIRECT(ADDRESS(111,17))-INDIRECT(ADDRESS(106,18))+INDIRECT(ADDRESS(107,18))-INDIRECT(ADDRESS(110,18)),INDIRECT(ADDRESS(111,17))-INDIRECT(ADDRESS(106,18))+INDIRECT(ADDRESS(109,18))-INDIRECT(ADDRESS(110,18)))</f>
        <v>0</v>
      </c>
      <c r="S111">
        <f>IF(DAY(NOW())&lt;M3,INDIRECT(ADDRESS(111,18))-INDIRECT(ADDRESS(106,19))+INDIRECT(ADDRESS(107,19))-INDIRECT(ADDRESS(110,19)),INDIRECT(ADDRESS(111,18))-INDIRECT(ADDRESS(106,19))+INDIRECT(ADDRESS(109,19))-INDIRECT(ADDRESS(110,19)))</f>
        <v>0</v>
      </c>
      <c r="T111">
        <f>IF(DAY(NOW())&lt;M3,INDIRECT(ADDRESS(111,19))-INDIRECT(ADDRESS(106,20))+INDIRECT(ADDRESS(107,20))-INDIRECT(ADDRESS(110,20)),INDIRECT(ADDRESS(111,19))-INDIRECT(ADDRESS(106,20))+INDIRECT(ADDRESS(109,20))-INDIRECT(ADDRESS(110,20)))</f>
        <v>0</v>
      </c>
      <c r="U111">
        <f>IF(DAY(NOW())&lt;M3,INDIRECT(ADDRESS(111,20))-INDIRECT(ADDRESS(106,21))+INDIRECT(ADDRESS(107,21))-INDIRECT(ADDRESS(110,21)),INDIRECT(ADDRESS(111,20))-INDIRECT(ADDRESS(106,21))+INDIRECT(ADDRESS(109,21))-INDIRECT(ADDRESS(110,21)))</f>
        <v>0</v>
      </c>
      <c r="V111">
        <f>IF(DAY(NOW())&lt;M3,INDIRECT(ADDRESS(111,21))-INDIRECT(ADDRESS(106,22))+INDIRECT(ADDRESS(107,22))-INDIRECT(ADDRESS(110,22)),INDIRECT(ADDRESS(111,21))-INDIRECT(ADDRESS(106,22))+INDIRECT(ADDRESS(109,22))-INDIRECT(ADDRESS(110,22)))</f>
        <v>0</v>
      </c>
      <c r="W111">
        <f>IF(DAY(NOW())&lt;M3,INDIRECT(ADDRESS(111,22))-INDIRECT(ADDRESS(106,23))+INDIRECT(ADDRESS(107,23))-INDIRECT(ADDRESS(110,23)),INDIRECT(ADDRESS(111,22))-INDIRECT(ADDRESS(106,23))+INDIRECT(ADDRESS(109,23))-INDIRECT(ADDRESS(110,23)))</f>
        <v>0</v>
      </c>
      <c r="X111">
        <f>IF(DAY(NOW())&lt;M3,INDIRECT(ADDRESS(111,23))-INDIRECT(ADDRESS(106,24))+INDIRECT(ADDRESS(107,24))-INDIRECT(ADDRESS(110,24)),INDIRECT(ADDRESS(111,23))-INDIRECT(ADDRESS(106,24))+INDIRECT(ADDRESS(109,24))-INDIRECT(ADDRESS(110,24)))</f>
        <v>0</v>
      </c>
      <c r="Y111">
        <f>IF(DAY(NOW())&lt;M3,INDIRECT(ADDRESS(111,24))-INDIRECT(ADDRESS(106,25))+INDIRECT(ADDRESS(107,25))-INDIRECT(ADDRESS(110,25)),INDIRECT(ADDRESS(111,24))-INDIRECT(ADDRESS(106,25))+INDIRECT(ADDRESS(109,25))-INDIRECT(ADDRESS(110,25)))</f>
        <v>0</v>
      </c>
      <c r="Z111">
        <f>IF(DAY(NOW())&lt;M3,INDIRECT(ADDRESS(111,25))-INDIRECT(ADDRESS(106,26))+INDIRECT(ADDRESS(107,26))-INDIRECT(ADDRESS(110,26)),INDIRECT(ADDRESS(111,25))-INDIRECT(ADDRESS(106,26))+INDIRECT(ADDRESS(109,26))-INDIRECT(ADDRESS(110,26)))</f>
        <v>0</v>
      </c>
      <c r="AA111">
        <f>IF(DAY(NOW())&lt;M3,INDIRECT(ADDRESS(111,26))-INDIRECT(ADDRESS(106,27))+INDIRECT(ADDRESS(107,27))-INDIRECT(ADDRESS(110,27)),INDIRECT(ADDRESS(111,26))-INDIRECT(ADDRESS(106,27))+INDIRECT(ADDRESS(109,27))-INDIRECT(ADDRESS(110,27)))</f>
        <v>0</v>
      </c>
      <c r="AB111">
        <f>IF(DAY(NOW())&lt;M3,INDIRECT(ADDRESS(111,27))-INDIRECT(ADDRESS(106,28))+INDIRECT(ADDRESS(107,28))-INDIRECT(ADDRESS(110,28)),INDIRECT(ADDRESS(111,27))-INDIRECT(ADDRESS(106,28))+INDIRECT(ADDRESS(109,28))-INDIRECT(ADDRESS(110,28)))</f>
        <v>0</v>
      </c>
      <c r="AC111">
        <f>IF(DAY(NOW())&lt;M3,INDIRECT(ADDRESS(111,28))-INDIRECT(ADDRESS(106,29))+INDIRECT(ADDRESS(107,29))-INDIRECT(ADDRESS(110,29)),INDIRECT(ADDRESS(111,28))-INDIRECT(ADDRESS(106,29))+INDIRECT(ADDRESS(109,29))-INDIRECT(ADDRESS(110,29)))</f>
        <v>0</v>
      </c>
      <c r="AD111">
        <f>IF(DAY(NOW())&lt;M3,INDIRECT(ADDRESS(111,29))-INDIRECT(ADDRESS(106,30))+INDIRECT(ADDRESS(107,30))-INDIRECT(ADDRESS(110,30)),INDIRECT(ADDRESS(111,29))-INDIRECT(ADDRESS(106,30))+INDIRECT(ADDRESS(109,30))-INDIRECT(ADDRESS(110,30)))</f>
        <v>0</v>
      </c>
      <c r="AE111">
        <f>IF(DAY(NOW())&lt;M3,INDIRECT(ADDRESS(111,30))-INDIRECT(ADDRESS(106,31))+INDIRECT(ADDRESS(107,31))-INDIRECT(ADDRESS(110,31)),INDIRECT(ADDRESS(111,30))-INDIRECT(ADDRESS(106,31))+INDIRECT(ADDRESS(109,31))-INDIRECT(ADDRESS(110,31)))</f>
        <v>0</v>
      </c>
      <c r="AF111">
        <f>IF(DAY(NOW())&lt;M3,INDIRECT(ADDRESS(111,31))-INDIRECT(ADDRESS(106,32))+INDIRECT(ADDRESS(107,32))-INDIRECT(ADDRESS(110,32)),INDIRECT(ADDRESS(111,31))-INDIRECT(ADDRESS(106,32))+INDIRECT(ADDRESS(109,32))-INDIRECT(ADDRESS(110,32)))</f>
        <v>0</v>
      </c>
      <c r="AG111">
        <f>IF(DAY(NOW())&lt;M3,INDIRECT(ADDRESS(111,32))-INDIRECT(ADDRESS(106,33))+INDIRECT(ADDRESS(107,33))-INDIRECT(ADDRESS(110,33)),INDIRECT(ADDRESS(111,32))-INDIRECT(ADDRESS(106,33))+INDIRECT(ADDRESS(109,33))-INDIRECT(ADDRESS(110,33)))</f>
        <v>0</v>
      </c>
      <c r="AH111">
        <f>IF(DAY(NOW())&lt;M3,INDIRECT(ADDRESS(111,33))-INDIRECT(ADDRESS(106,34))+INDIRECT(ADDRESS(107,34))-INDIRECT(ADDRESS(110,34)),INDIRECT(ADDRESS(111,33))-INDIRECT(ADDRESS(106,34))+INDIRECT(ADDRESS(109,34))-INDIRECT(ADDRESS(110,34)))</f>
        <v>0</v>
      </c>
      <c r="AI111">
        <f>IF(DAY(NOW())&lt;M3,INDIRECT(ADDRESS(111,34))-INDIRECT(ADDRESS(106,35))+INDIRECT(ADDRESS(107,35))-INDIRECT(ADDRESS(110,35)),INDIRECT(ADDRESS(111,34))-INDIRECT(ADDRESS(106,35))+INDIRECT(ADDRESS(109,35))-INDIRECT(ADDRESS(110,35)))</f>
        <v>0</v>
      </c>
      <c r="AJ111">
        <f>IF(DAY(NOW())&lt;M3,INDIRECT(ADDRESS(111,35))-INDIRECT(ADDRESS(106,36))+INDIRECT(ADDRESS(107,36))-INDIRECT(ADDRESS(110,36)),INDIRECT(ADDRESS(111,35))-INDIRECT(ADDRESS(106,36))+INDIRECT(ADDRESS(109,36))-INDIRECT(ADDRESS(110,36)))</f>
        <v>0</v>
      </c>
      <c r="AK111">
        <f>IF(DAY(NOW())&lt;M3,INDIRECT(ADDRESS(111,36))-INDIRECT(ADDRESS(106,37))+INDIRECT(ADDRESS(107,37))-INDIRECT(ADDRESS(110,37)),INDIRECT(ADDRESS(111,36))-INDIRECT(ADDRESS(106,37))+INDIRECT(ADDRESS(109,37))-INDIRECT(ADDRESS(110,37)))</f>
        <v>0</v>
      </c>
      <c r="AL111">
        <f>IF(DAY(NOW())&lt;M3,INDIRECT(ADDRESS(111,37))-INDIRECT(ADDRESS(106,38))+INDIRECT(ADDRESS(107,38))-INDIRECT(ADDRESS(110,38)),INDIRECT(ADDRESS(111,37))-INDIRECT(ADDRESS(106,38))+INDIRECT(ADDRESS(109,38))-INDIRECT(ADDRESS(110,38)))</f>
        <v>0</v>
      </c>
      <c r="AM111">
        <f>IF(DAY(NOW())&lt;M3,INDIRECT(ADDRESS(111,38))-INDIRECT(ADDRESS(106,39))+INDIRECT(ADDRESS(107,39))-INDIRECT(ADDRESS(110,39)),INDIRECT(ADDRESS(111,38))-INDIRECT(ADDRESS(106,39))+INDIRECT(ADDRESS(109,39))-INDIRECT(ADDRESS(110,39)))</f>
        <v>0</v>
      </c>
      <c r="AN111">
        <f>IF(DAY(NOW())&lt;M3,INDIRECT(ADDRESS(111,39))-INDIRECT(ADDRESS(106,40))+INDIRECT(ADDRESS(107,40))-INDIRECT(ADDRESS(110,40)),INDIRECT(ADDRESS(111,39))-INDIRECT(ADDRESS(106,40))+INDIRECT(ADDRESS(109,40))-INDIRECT(ADDRESS(110,40)))</f>
        <v>0</v>
      </c>
      <c r="AO111">
        <f>IF(DAY(NOW())&lt;M3,INDIRECT(ADDRESS(111,40))-INDIRECT(ADDRESS(106,41))+INDIRECT(ADDRESS(107,41))-INDIRECT(ADDRESS(110,41)),INDIRECT(ADDRESS(111,40))-INDIRECT(ADDRESS(106,41))+INDIRECT(ADDRESS(109,41))-INDIRECT(ADDRESS(110,41)))</f>
        <v>0</v>
      </c>
      <c r="AP111">
        <f>IF(DAY(NOW())&lt;M3,INDIRECT(ADDRESS(111,41))-INDIRECT(ADDRESS(106,42))+INDIRECT(ADDRESS(107,42))-INDIRECT(ADDRESS(110,42)),INDIRECT(ADDRESS(111,41))-INDIRECT(ADDRESS(106,42))+INDIRECT(ADDRESS(109,42))-INDIRECT(ADDRESS(110,42)))</f>
        <v>0</v>
      </c>
      <c r="AQ111">
        <f>IF(DAY(NOW())&lt;M3,INDIRECT(ADDRESS(111,42))-INDIRECT(ADDRESS(106,43))+INDIRECT(ADDRESS(107,43))-INDIRECT(ADDRESS(110,43)),INDIRECT(ADDRESS(111,42))-INDIRECT(ADDRESS(106,43))+INDIRECT(ADDRESS(109,43))-INDIRECT(ADDRESS(110,43)))</f>
        <v>0</v>
      </c>
      <c r="AR111">
        <f>IF(DAY(NOW())&lt;M3,INDIRECT(ADDRESS(111,43))-INDIRECT(ADDRESS(106,44))+INDIRECT(ADDRESS(107,44))-INDIRECT(ADDRESS(110,44)),INDIRECT(ADDRESS(111,43))-INDIRECT(ADDRESS(106,44))+INDIRECT(ADDRESS(109,44))-INDIRECT(ADDRESS(110,44)))</f>
        <v>0</v>
      </c>
    </row>
    <row r="112" spans="1:76">
      <c r="A112" t="s">
        <v>31</v>
      </c>
      <c r="B112" t="s">
        <v>85</v>
      </c>
      <c r="C112" t="s">
        <v>86</v>
      </c>
      <c r="D112" t="s">
        <v>17</v>
      </c>
      <c r="E112">
        <v>1</v>
      </c>
      <c r="F112" t="s">
        <v>87</v>
      </c>
      <c r="H112" t="s">
        <v>35</v>
      </c>
      <c r="I112" t="s">
        <v>36</v>
      </c>
      <c r="K112" t="s">
        <v>20</v>
      </c>
      <c r="L112" t="s">
        <v>21</v>
      </c>
      <c r="M112">
        <f>sumifs(BOM!m:m,BOM!A:A,".1",BOM!B:B,"852-240000-200")</f>
        <v>0</v>
      </c>
      <c r="N112">
        <f>sumifs(BOM!n:n,BOM!A:A,".1",BOM!B:B,"852-240000-200")</f>
        <v>0</v>
      </c>
      <c r="O112">
        <f>sumifs(BOM!o:o,BOM!A:A,".1",BOM!B:B,"852-240000-200")</f>
        <v>0</v>
      </c>
      <c r="P112">
        <f>sumifs(BOM!p:p,BOM!A:A,".1",BOM!B:B,"852-240000-200")</f>
        <v>0</v>
      </c>
      <c r="Q112">
        <f>sumifs(BOM!q:q,BOM!A:A,".1",BOM!B:B,"852-240000-200")</f>
        <v>0</v>
      </c>
      <c r="R112">
        <f>sumifs(BOM!r:r,BOM!A:A,".1",BOM!B:B,"852-240000-200")</f>
        <v>0</v>
      </c>
      <c r="S112">
        <f>sumifs(BOM!s:s,BOM!A:A,".1",BOM!B:B,"852-240000-200")</f>
        <v>0</v>
      </c>
      <c r="T112">
        <f>sumifs(BOM!t:t,BOM!A:A,".1",BOM!B:B,"852-240000-200")</f>
        <v>0</v>
      </c>
      <c r="U112">
        <f>sumifs(BOM!u:u,BOM!A:A,".1",BOM!B:B,"852-240000-200")</f>
        <v>0</v>
      </c>
      <c r="V112">
        <f>sumifs(BOM!v:v,BOM!A:A,".1",BOM!B:B,"852-240000-200")</f>
        <v>0</v>
      </c>
      <c r="W112">
        <f>sumifs(BOM!w:w,BOM!A:A,".1",BOM!B:B,"852-240000-200")</f>
        <v>0</v>
      </c>
      <c r="X112">
        <f>sumifs(BOM!x:x,BOM!A:A,".1",BOM!B:B,"852-240000-200")</f>
        <v>0</v>
      </c>
      <c r="Y112">
        <f>sumifs(BOM!y:y,BOM!A:A,".1",BOM!B:B,"852-240000-200")</f>
        <v>0</v>
      </c>
      <c r="Z112">
        <f>sumifs(BOM!z:z,BOM!A:A,".1",BOM!B:B,"852-240000-200")</f>
        <v>0</v>
      </c>
      <c r="AA112">
        <f>sumifs(BOM!aa:aa,BOM!A:A,".1",BOM!B:B,"852-240000-200")</f>
        <v>0</v>
      </c>
      <c r="AB112">
        <f>sumifs(BOM!ab:ab,BOM!A:A,".1",BOM!B:B,"852-240000-200")</f>
        <v>0</v>
      </c>
      <c r="AC112">
        <f>sumifs(BOM!ac:ac,BOM!A:A,".1",BOM!B:B,"852-240000-200")</f>
        <v>0</v>
      </c>
      <c r="AD112">
        <f>sumifs(BOM!ad:ad,BOM!A:A,".1",BOM!B:B,"852-240000-200")</f>
        <v>0</v>
      </c>
      <c r="AE112">
        <f>sumifs(BOM!ae:ae,BOM!A:A,".1",BOM!B:B,"852-240000-200")</f>
        <v>0</v>
      </c>
      <c r="AF112">
        <f>sumifs(BOM!af:af,BOM!A:A,".1",BOM!B:B,"852-240000-200")</f>
        <v>0</v>
      </c>
      <c r="AG112">
        <f>sumifs(BOM!ag:ag,BOM!A:A,".1",BOM!B:B,"852-240000-200")</f>
        <v>0</v>
      </c>
      <c r="AH112">
        <f>sumifs(BOM!ah:ah,BOM!A:A,".1",BOM!B:B,"852-240000-200")</f>
        <v>0</v>
      </c>
      <c r="AI112">
        <f>sumifs(BOM!ai:ai,BOM!A:A,".1",BOM!B:B,"852-240000-200")</f>
        <v>0</v>
      </c>
      <c r="AJ112">
        <f>sumifs(BOM!aj:aj,BOM!A:A,".1",BOM!B:B,"852-240000-200")</f>
        <v>0</v>
      </c>
      <c r="AK112">
        <f>sumifs(BOM!ak:ak,BOM!A:A,".1",BOM!B:B,"852-240000-200")</f>
        <v>0</v>
      </c>
      <c r="AL112">
        <f>sumifs(BOM!al:al,BOM!A:A,".1",BOM!B:B,"852-240000-200")</f>
        <v>0</v>
      </c>
      <c r="AM112">
        <f>sumifs(BOM!am:am,BOM!A:A,".1",BOM!B:B,"852-240000-200")</f>
        <v>0</v>
      </c>
      <c r="AN112">
        <f>sumifs(BOM!an:an,BOM!A:A,".1",BOM!B:B,"852-240000-200")</f>
        <v>0</v>
      </c>
      <c r="AO112">
        <f>sumifs(BOM!ao:ao,BOM!A:A,".1",BOM!B:B,"852-240000-200")</f>
        <v>0</v>
      </c>
      <c r="AP112">
        <f>sumifs(BOM!ap:ap,BOM!A:A,".1",BOM!B:B,"852-240000-200")</f>
        <v>0</v>
      </c>
      <c r="AQ112">
        <f>sumifs(BOM!aq:aq,BOM!A:A,".1",BOM!B:B,"852-240000-200")</f>
        <v>0</v>
      </c>
      <c r="AR112">
        <f>sumifs(BOM!ar:ar,BOM!A:A,".1",BOM!B:B,"852-240000-200")</f>
        <v>0</v>
      </c>
      <c r="BX112">
        <f>sum(j112:an112)</f>
        <v>0</v>
      </c>
    </row>
    <row r="113" spans="1:76">
      <c r="A113" t="s">
        <v>31</v>
      </c>
      <c r="B113" t="s">
        <v>85</v>
      </c>
      <c r="C113" t="s">
        <v>86</v>
      </c>
      <c r="D113" t="s">
        <v>17</v>
      </c>
      <c r="E113">
        <v>1</v>
      </c>
      <c r="F113" t="s">
        <v>87</v>
      </c>
      <c r="H113" t="s">
        <v>35</v>
      </c>
      <c r="I113" t="s">
        <v>36</v>
      </c>
      <c r="K113" t="s">
        <v>20</v>
      </c>
      <c r="L113" t="s">
        <v>37</v>
      </c>
    </row>
    <row r="114" spans="1:76">
      <c r="L114" t="s">
        <v>662</v>
      </c>
    </row>
    <row r="115" spans="1:76">
      <c r="L115" t="s">
        <v>663</v>
      </c>
    </row>
    <row r="116" spans="1:76">
      <c r="L116" t="s">
        <v>664</v>
      </c>
    </row>
    <row r="117" spans="1:76">
      <c r="L117" t="s">
        <v>665</v>
      </c>
      <c r="M117">
        <f>IF(DAY(NOW())&lt;M3,INDIRECT(ADDRESS(117,7))-INDIRECT(ADDRESS(112,13))+INDIRECT(ADDRESS(113,13))-INDIRECT(ADDRESS(116,13)),INDIRECT(ADDRESS(117,7))-INDIRECT(ADDRESS(112,13))+INDIRECT(ADDRESS(115,13))-INDIRECT(ADDRESS(116,13)))</f>
        <v>0</v>
      </c>
      <c r="N117">
        <f>IF(DAY(NOW())&lt;M3,INDIRECT(ADDRESS(117,13))-INDIRECT(ADDRESS(112,14))+INDIRECT(ADDRESS(113,14))-INDIRECT(ADDRESS(116,14)),INDIRECT(ADDRESS(117,13))-INDIRECT(ADDRESS(112,14))+INDIRECT(ADDRESS(115,14))-INDIRECT(ADDRESS(116,14)))</f>
        <v>0</v>
      </c>
      <c r="O117">
        <f>IF(DAY(NOW())&lt;M3,INDIRECT(ADDRESS(117,14))-INDIRECT(ADDRESS(112,15))+INDIRECT(ADDRESS(113,15))-INDIRECT(ADDRESS(116,15)),INDIRECT(ADDRESS(117,14))-INDIRECT(ADDRESS(112,15))+INDIRECT(ADDRESS(115,15))-INDIRECT(ADDRESS(116,15)))</f>
        <v>0</v>
      </c>
      <c r="P117">
        <f>IF(DAY(NOW())&lt;M3,INDIRECT(ADDRESS(117,15))-INDIRECT(ADDRESS(112,16))+INDIRECT(ADDRESS(113,16))-INDIRECT(ADDRESS(116,16)),INDIRECT(ADDRESS(117,15))-INDIRECT(ADDRESS(112,16))+INDIRECT(ADDRESS(115,16))-INDIRECT(ADDRESS(116,16)))</f>
        <v>0</v>
      </c>
      <c r="Q117">
        <f>IF(DAY(NOW())&lt;M3,INDIRECT(ADDRESS(117,16))-INDIRECT(ADDRESS(112,17))+INDIRECT(ADDRESS(113,17))-INDIRECT(ADDRESS(116,17)),INDIRECT(ADDRESS(117,16))-INDIRECT(ADDRESS(112,17))+INDIRECT(ADDRESS(115,17))-INDIRECT(ADDRESS(116,17)))</f>
        <v>0</v>
      </c>
      <c r="R117">
        <f>IF(DAY(NOW())&lt;M3,INDIRECT(ADDRESS(117,17))-INDIRECT(ADDRESS(112,18))+INDIRECT(ADDRESS(113,18))-INDIRECT(ADDRESS(116,18)),INDIRECT(ADDRESS(117,17))-INDIRECT(ADDRESS(112,18))+INDIRECT(ADDRESS(115,18))-INDIRECT(ADDRESS(116,18)))</f>
        <v>0</v>
      </c>
      <c r="S117">
        <f>IF(DAY(NOW())&lt;M3,INDIRECT(ADDRESS(117,18))-INDIRECT(ADDRESS(112,19))+INDIRECT(ADDRESS(113,19))-INDIRECT(ADDRESS(116,19)),INDIRECT(ADDRESS(117,18))-INDIRECT(ADDRESS(112,19))+INDIRECT(ADDRESS(115,19))-INDIRECT(ADDRESS(116,19)))</f>
        <v>0</v>
      </c>
      <c r="T117">
        <f>IF(DAY(NOW())&lt;M3,INDIRECT(ADDRESS(117,19))-INDIRECT(ADDRESS(112,20))+INDIRECT(ADDRESS(113,20))-INDIRECT(ADDRESS(116,20)),INDIRECT(ADDRESS(117,19))-INDIRECT(ADDRESS(112,20))+INDIRECT(ADDRESS(115,20))-INDIRECT(ADDRESS(116,20)))</f>
        <v>0</v>
      </c>
      <c r="U117">
        <f>IF(DAY(NOW())&lt;M3,INDIRECT(ADDRESS(117,20))-INDIRECT(ADDRESS(112,21))+INDIRECT(ADDRESS(113,21))-INDIRECT(ADDRESS(116,21)),INDIRECT(ADDRESS(117,20))-INDIRECT(ADDRESS(112,21))+INDIRECT(ADDRESS(115,21))-INDIRECT(ADDRESS(116,21)))</f>
        <v>0</v>
      </c>
      <c r="V117">
        <f>IF(DAY(NOW())&lt;M3,INDIRECT(ADDRESS(117,21))-INDIRECT(ADDRESS(112,22))+INDIRECT(ADDRESS(113,22))-INDIRECT(ADDRESS(116,22)),INDIRECT(ADDRESS(117,21))-INDIRECT(ADDRESS(112,22))+INDIRECT(ADDRESS(115,22))-INDIRECT(ADDRESS(116,22)))</f>
        <v>0</v>
      </c>
      <c r="W117">
        <f>IF(DAY(NOW())&lt;M3,INDIRECT(ADDRESS(117,22))-INDIRECT(ADDRESS(112,23))+INDIRECT(ADDRESS(113,23))-INDIRECT(ADDRESS(116,23)),INDIRECT(ADDRESS(117,22))-INDIRECT(ADDRESS(112,23))+INDIRECT(ADDRESS(115,23))-INDIRECT(ADDRESS(116,23)))</f>
        <v>0</v>
      </c>
      <c r="X117">
        <f>IF(DAY(NOW())&lt;M3,INDIRECT(ADDRESS(117,23))-INDIRECT(ADDRESS(112,24))+INDIRECT(ADDRESS(113,24))-INDIRECT(ADDRESS(116,24)),INDIRECT(ADDRESS(117,23))-INDIRECT(ADDRESS(112,24))+INDIRECT(ADDRESS(115,24))-INDIRECT(ADDRESS(116,24)))</f>
        <v>0</v>
      </c>
      <c r="Y117">
        <f>IF(DAY(NOW())&lt;M3,INDIRECT(ADDRESS(117,24))-INDIRECT(ADDRESS(112,25))+INDIRECT(ADDRESS(113,25))-INDIRECT(ADDRESS(116,25)),INDIRECT(ADDRESS(117,24))-INDIRECT(ADDRESS(112,25))+INDIRECT(ADDRESS(115,25))-INDIRECT(ADDRESS(116,25)))</f>
        <v>0</v>
      </c>
      <c r="Z117">
        <f>IF(DAY(NOW())&lt;M3,INDIRECT(ADDRESS(117,25))-INDIRECT(ADDRESS(112,26))+INDIRECT(ADDRESS(113,26))-INDIRECT(ADDRESS(116,26)),INDIRECT(ADDRESS(117,25))-INDIRECT(ADDRESS(112,26))+INDIRECT(ADDRESS(115,26))-INDIRECT(ADDRESS(116,26)))</f>
        <v>0</v>
      </c>
      <c r="AA117">
        <f>IF(DAY(NOW())&lt;M3,INDIRECT(ADDRESS(117,26))-INDIRECT(ADDRESS(112,27))+INDIRECT(ADDRESS(113,27))-INDIRECT(ADDRESS(116,27)),INDIRECT(ADDRESS(117,26))-INDIRECT(ADDRESS(112,27))+INDIRECT(ADDRESS(115,27))-INDIRECT(ADDRESS(116,27)))</f>
        <v>0</v>
      </c>
      <c r="AB117">
        <f>IF(DAY(NOW())&lt;M3,INDIRECT(ADDRESS(117,27))-INDIRECT(ADDRESS(112,28))+INDIRECT(ADDRESS(113,28))-INDIRECT(ADDRESS(116,28)),INDIRECT(ADDRESS(117,27))-INDIRECT(ADDRESS(112,28))+INDIRECT(ADDRESS(115,28))-INDIRECT(ADDRESS(116,28)))</f>
        <v>0</v>
      </c>
      <c r="AC117">
        <f>IF(DAY(NOW())&lt;M3,INDIRECT(ADDRESS(117,28))-INDIRECT(ADDRESS(112,29))+INDIRECT(ADDRESS(113,29))-INDIRECT(ADDRESS(116,29)),INDIRECT(ADDRESS(117,28))-INDIRECT(ADDRESS(112,29))+INDIRECT(ADDRESS(115,29))-INDIRECT(ADDRESS(116,29)))</f>
        <v>0</v>
      </c>
      <c r="AD117">
        <f>IF(DAY(NOW())&lt;M3,INDIRECT(ADDRESS(117,29))-INDIRECT(ADDRESS(112,30))+INDIRECT(ADDRESS(113,30))-INDIRECT(ADDRESS(116,30)),INDIRECT(ADDRESS(117,29))-INDIRECT(ADDRESS(112,30))+INDIRECT(ADDRESS(115,30))-INDIRECT(ADDRESS(116,30)))</f>
        <v>0</v>
      </c>
      <c r="AE117">
        <f>IF(DAY(NOW())&lt;M3,INDIRECT(ADDRESS(117,30))-INDIRECT(ADDRESS(112,31))+INDIRECT(ADDRESS(113,31))-INDIRECT(ADDRESS(116,31)),INDIRECT(ADDRESS(117,30))-INDIRECT(ADDRESS(112,31))+INDIRECT(ADDRESS(115,31))-INDIRECT(ADDRESS(116,31)))</f>
        <v>0</v>
      </c>
      <c r="AF117">
        <f>IF(DAY(NOW())&lt;M3,INDIRECT(ADDRESS(117,31))-INDIRECT(ADDRESS(112,32))+INDIRECT(ADDRESS(113,32))-INDIRECT(ADDRESS(116,32)),INDIRECT(ADDRESS(117,31))-INDIRECT(ADDRESS(112,32))+INDIRECT(ADDRESS(115,32))-INDIRECT(ADDRESS(116,32)))</f>
        <v>0</v>
      </c>
      <c r="AG117">
        <f>IF(DAY(NOW())&lt;M3,INDIRECT(ADDRESS(117,32))-INDIRECT(ADDRESS(112,33))+INDIRECT(ADDRESS(113,33))-INDIRECT(ADDRESS(116,33)),INDIRECT(ADDRESS(117,32))-INDIRECT(ADDRESS(112,33))+INDIRECT(ADDRESS(115,33))-INDIRECT(ADDRESS(116,33)))</f>
        <v>0</v>
      </c>
      <c r="AH117">
        <f>IF(DAY(NOW())&lt;M3,INDIRECT(ADDRESS(117,33))-INDIRECT(ADDRESS(112,34))+INDIRECT(ADDRESS(113,34))-INDIRECT(ADDRESS(116,34)),INDIRECT(ADDRESS(117,33))-INDIRECT(ADDRESS(112,34))+INDIRECT(ADDRESS(115,34))-INDIRECT(ADDRESS(116,34)))</f>
        <v>0</v>
      </c>
      <c r="AI117">
        <f>IF(DAY(NOW())&lt;M3,INDIRECT(ADDRESS(117,34))-INDIRECT(ADDRESS(112,35))+INDIRECT(ADDRESS(113,35))-INDIRECT(ADDRESS(116,35)),INDIRECT(ADDRESS(117,34))-INDIRECT(ADDRESS(112,35))+INDIRECT(ADDRESS(115,35))-INDIRECT(ADDRESS(116,35)))</f>
        <v>0</v>
      </c>
      <c r="AJ117">
        <f>IF(DAY(NOW())&lt;M3,INDIRECT(ADDRESS(117,35))-INDIRECT(ADDRESS(112,36))+INDIRECT(ADDRESS(113,36))-INDIRECT(ADDRESS(116,36)),INDIRECT(ADDRESS(117,35))-INDIRECT(ADDRESS(112,36))+INDIRECT(ADDRESS(115,36))-INDIRECT(ADDRESS(116,36)))</f>
        <v>0</v>
      </c>
      <c r="AK117">
        <f>IF(DAY(NOW())&lt;M3,INDIRECT(ADDRESS(117,36))-INDIRECT(ADDRESS(112,37))+INDIRECT(ADDRESS(113,37))-INDIRECT(ADDRESS(116,37)),INDIRECT(ADDRESS(117,36))-INDIRECT(ADDRESS(112,37))+INDIRECT(ADDRESS(115,37))-INDIRECT(ADDRESS(116,37)))</f>
        <v>0</v>
      </c>
      <c r="AL117">
        <f>IF(DAY(NOW())&lt;M3,INDIRECT(ADDRESS(117,37))-INDIRECT(ADDRESS(112,38))+INDIRECT(ADDRESS(113,38))-INDIRECT(ADDRESS(116,38)),INDIRECT(ADDRESS(117,37))-INDIRECT(ADDRESS(112,38))+INDIRECT(ADDRESS(115,38))-INDIRECT(ADDRESS(116,38)))</f>
        <v>0</v>
      </c>
      <c r="AM117">
        <f>IF(DAY(NOW())&lt;M3,INDIRECT(ADDRESS(117,38))-INDIRECT(ADDRESS(112,39))+INDIRECT(ADDRESS(113,39))-INDIRECT(ADDRESS(116,39)),INDIRECT(ADDRESS(117,38))-INDIRECT(ADDRESS(112,39))+INDIRECT(ADDRESS(115,39))-INDIRECT(ADDRESS(116,39)))</f>
        <v>0</v>
      </c>
      <c r="AN117">
        <f>IF(DAY(NOW())&lt;M3,INDIRECT(ADDRESS(117,39))-INDIRECT(ADDRESS(112,40))+INDIRECT(ADDRESS(113,40))-INDIRECT(ADDRESS(116,40)),INDIRECT(ADDRESS(117,39))-INDIRECT(ADDRESS(112,40))+INDIRECT(ADDRESS(115,40))-INDIRECT(ADDRESS(116,40)))</f>
        <v>0</v>
      </c>
      <c r="AO117">
        <f>IF(DAY(NOW())&lt;M3,INDIRECT(ADDRESS(117,40))-INDIRECT(ADDRESS(112,41))+INDIRECT(ADDRESS(113,41))-INDIRECT(ADDRESS(116,41)),INDIRECT(ADDRESS(117,40))-INDIRECT(ADDRESS(112,41))+INDIRECT(ADDRESS(115,41))-INDIRECT(ADDRESS(116,41)))</f>
        <v>0</v>
      </c>
      <c r="AP117">
        <f>IF(DAY(NOW())&lt;M3,INDIRECT(ADDRESS(117,41))-INDIRECT(ADDRESS(112,42))+INDIRECT(ADDRESS(113,42))-INDIRECT(ADDRESS(116,42)),INDIRECT(ADDRESS(117,41))-INDIRECT(ADDRESS(112,42))+INDIRECT(ADDRESS(115,42))-INDIRECT(ADDRESS(116,42)))</f>
        <v>0</v>
      </c>
      <c r="AQ117">
        <f>IF(DAY(NOW())&lt;M3,INDIRECT(ADDRESS(117,42))-INDIRECT(ADDRESS(112,43))+INDIRECT(ADDRESS(113,43))-INDIRECT(ADDRESS(116,43)),INDIRECT(ADDRESS(117,42))-INDIRECT(ADDRESS(112,43))+INDIRECT(ADDRESS(115,43))-INDIRECT(ADDRESS(116,43)))</f>
        <v>0</v>
      </c>
      <c r="AR117">
        <f>IF(DAY(NOW())&lt;M3,INDIRECT(ADDRESS(117,43))-INDIRECT(ADDRESS(112,44))+INDIRECT(ADDRESS(113,44))-INDIRECT(ADDRESS(116,44)),INDIRECT(ADDRESS(117,43))-INDIRECT(ADDRESS(112,44))+INDIRECT(ADDRESS(115,44))-INDIRECT(ADDRESS(116,44)))</f>
        <v>0</v>
      </c>
    </row>
    <row r="118" spans="1:76">
      <c r="A118" t="s">
        <v>14</v>
      </c>
      <c r="B118" t="s">
        <v>88</v>
      </c>
      <c r="C118" t="s">
        <v>89</v>
      </c>
      <c r="D118" t="s">
        <v>46</v>
      </c>
      <c r="E118">
        <v>1</v>
      </c>
      <c r="F118" t="s">
        <v>90</v>
      </c>
      <c r="H118" t="s">
        <v>72</v>
      </c>
      <c r="I118" t="s">
        <v>91</v>
      </c>
      <c r="K118" t="s">
        <v>20</v>
      </c>
      <c r="L118" t="s">
        <v>21</v>
      </c>
      <c r="BX118">
        <f>sum(j118:an118)</f>
        <v>0</v>
      </c>
    </row>
    <row r="119" spans="1:76">
      <c r="A119" t="s">
        <v>14</v>
      </c>
      <c r="B119" t="s">
        <v>88</v>
      </c>
      <c r="C119" t="s">
        <v>89</v>
      </c>
      <c r="D119" t="s">
        <v>46</v>
      </c>
      <c r="E119">
        <v>1</v>
      </c>
      <c r="F119" t="s">
        <v>90</v>
      </c>
      <c r="H119" t="s">
        <v>72</v>
      </c>
      <c r="I119" t="s">
        <v>91</v>
      </c>
      <c r="K119" t="s">
        <v>20</v>
      </c>
      <c r="L119" t="s">
        <v>37</v>
      </c>
    </row>
    <row r="120" spans="1:76">
      <c r="L120" t="s">
        <v>662</v>
      </c>
    </row>
    <row r="121" spans="1:76">
      <c r="L121" t="s">
        <v>663</v>
      </c>
    </row>
    <row r="122" spans="1:76">
      <c r="L122" t="s">
        <v>664</v>
      </c>
    </row>
    <row r="123" spans="1:76">
      <c r="L123" t="s">
        <v>665</v>
      </c>
      <c r="M123">
        <f>IF(DAY(NOW())&lt;M3,INDIRECT(ADDRESS(123,7))-INDIRECT(ADDRESS(118,13))+INDIRECT(ADDRESS(119,13))-INDIRECT(ADDRESS(122,13)),INDIRECT(ADDRESS(123,7))-INDIRECT(ADDRESS(118,13))+INDIRECT(ADDRESS(121,13))-INDIRECT(ADDRESS(122,13)))</f>
        <v>0</v>
      </c>
      <c r="N123">
        <f>IF(DAY(NOW())&lt;M3,INDIRECT(ADDRESS(123,13))-INDIRECT(ADDRESS(118,14))+INDIRECT(ADDRESS(119,14))-INDIRECT(ADDRESS(122,14)),INDIRECT(ADDRESS(123,13))-INDIRECT(ADDRESS(118,14))+INDIRECT(ADDRESS(121,14))-INDIRECT(ADDRESS(122,14)))</f>
        <v>0</v>
      </c>
      <c r="O123">
        <f>IF(DAY(NOW())&lt;M3,INDIRECT(ADDRESS(123,14))-INDIRECT(ADDRESS(118,15))+INDIRECT(ADDRESS(119,15))-INDIRECT(ADDRESS(122,15)),INDIRECT(ADDRESS(123,14))-INDIRECT(ADDRESS(118,15))+INDIRECT(ADDRESS(121,15))-INDIRECT(ADDRESS(122,15)))</f>
        <v>0</v>
      </c>
      <c r="P123">
        <f>IF(DAY(NOW())&lt;M3,INDIRECT(ADDRESS(123,15))-INDIRECT(ADDRESS(118,16))+INDIRECT(ADDRESS(119,16))-INDIRECT(ADDRESS(122,16)),INDIRECT(ADDRESS(123,15))-INDIRECT(ADDRESS(118,16))+INDIRECT(ADDRESS(121,16))-INDIRECT(ADDRESS(122,16)))</f>
        <v>0</v>
      </c>
      <c r="Q123">
        <f>IF(DAY(NOW())&lt;M3,INDIRECT(ADDRESS(123,16))-INDIRECT(ADDRESS(118,17))+INDIRECT(ADDRESS(119,17))-INDIRECT(ADDRESS(122,17)),INDIRECT(ADDRESS(123,16))-INDIRECT(ADDRESS(118,17))+INDIRECT(ADDRESS(121,17))-INDIRECT(ADDRESS(122,17)))</f>
        <v>0</v>
      </c>
      <c r="R123">
        <f>IF(DAY(NOW())&lt;M3,INDIRECT(ADDRESS(123,17))-INDIRECT(ADDRESS(118,18))+INDIRECT(ADDRESS(119,18))-INDIRECT(ADDRESS(122,18)),INDIRECT(ADDRESS(123,17))-INDIRECT(ADDRESS(118,18))+INDIRECT(ADDRESS(121,18))-INDIRECT(ADDRESS(122,18)))</f>
        <v>0</v>
      </c>
      <c r="S123">
        <f>IF(DAY(NOW())&lt;M3,INDIRECT(ADDRESS(123,18))-INDIRECT(ADDRESS(118,19))+INDIRECT(ADDRESS(119,19))-INDIRECT(ADDRESS(122,19)),INDIRECT(ADDRESS(123,18))-INDIRECT(ADDRESS(118,19))+INDIRECT(ADDRESS(121,19))-INDIRECT(ADDRESS(122,19)))</f>
        <v>0</v>
      </c>
      <c r="T123">
        <f>IF(DAY(NOW())&lt;M3,INDIRECT(ADDRESS(123,19))-INDIRECT(ADDRESS(118,20))+INDIRECT(ADDRESS(119,20))-INDIRECT(ADDRESS(122,20)),INDIRECT(ADDRESS(123,19))-INDIRECT(ADDRESS(118,20))+INDIRECT(ADDRESS(121,20))-INDIRECT(ADDRESS(122,20)))</f>
        <v>0</v>
      </c>
      <c r="U123">
        <f>IF(DAY(NOW())&lt;M3,INDIRECT(ADDRESS(123,20))-INDIRECT(ADDRESS(118,21))+INDIRECT(ADDRESS(119,21))-INDIRECT(ADDRESS(122,21)),INDIRECT(ADDRESS(123,20))-INDIRECT(ADDRESS(118,21))+INDIRECT(ADDRESS(121,21))-INDIRECT(ADDRESS(122,21)))</f>
        <v>0</v>
      </c>
      <c r="V123">
        <f>IF(DAY(NOW())&lt;M3,INDIRECT(ADDRESS(123,21))-INDIRECT(ADDRESS(118,22))+INDIRECT(ADDRESS(119,22))-INDIRECT(ADDRESS(122,22)),INDIRECT(ADDRESS(123,21))-INDIRECT(ADDRESS(118,22))+INDIRECT(ADDRESS(121,22))-INDIRECT(ADDRESS(122,22)))</f>
        <v>0</v>
      </c>
      <c r="W123">
        <f>IF(DAY(NOW())&lt;M3,INDIRECT(ADDRESS(123,22))-INDIRECT(ADDRESS(118,23))+INDIRECT(ADDRESS(119,23))-INDIRECT(ADDRESS(122,23)),INDIRECT(ADDRESS(123,22))-INDIRECT(ADDRESS(118,23))+INDIRECT(ADDRESS(121,23))-INDIRECT(ADDRESS(122,23)))</f>
        <v>0</v>
      </c>
      <c r="X123">
        <f>IF(DAY(NOW())&lt;M3,INDIRECT(ADDRESS(123,23))-INDIRECT(ADDRESS(118,24))+INDIRECT(ADDRESS(119,24))-INDIRECT(ADDRESS(122,24)),INDIRECT(ADDRESS(123,23))-INDIRECT(ADDRESS(118,24))+INDIRECT(ADDRESS(121,24))-INDIRECT(ADDRESS(122,24)))</f>
        <v>0</v>
      </c>
      <c r="Y123">
        <f>IF(DAY(NOW())&lt;M3,INDIRECT(ADDRESS(123,24))-INDIRECT(ADDRESS(118,25))+INDIRECT(ADDRESS(119,25))-INDIRECT(ADDRESS(122,25)),INDIRECT(ADDRESS(123,24))-INDIRECT(ADDRESS(118,25))+INDIRECT(ADDRESS(121,25))-INDIRECT(ADDRESS(122,25)))</f>
        <v>0</v>
      </c>
      <c r="Z123">
        <f>IF(DAY(NOW())&lt;M3,INDIRECT(ADDRESS(123,25))-INDIRECT(ADDRESS(118,26))+INDIRECT(ADDRESS(119,26))-INDIRECT(ADDRESS(122,26)),INDIRECT(ADDRESS(123,25))-INDIRECT(ADDRESS(118,26))+INDIRECT(ADDRESS(121,26))-INDIRECT(ADDRESS(122,26)))</f>
        <v>0</v>
      </c>
      <c r="AA123">
        <f>IF(DAY(NOW())&lt;M3,INDIRECT(ADDRESS(123,26))-INDIRECT(ADDRESS(118,27))+INDIRECT(ADDRESS(119,27))-INDIRECT(ADDRESS(122,27)),INDIRECT(ADDRESS(123,26))-INDIRECT(ADDRESS(118,27))+INDIRECT(ADDRESS(121,27))-INDIRECT(ADDRESS(122,27)))</f>
        <v>0</v>
      </c>
      <c r="AB123">
        <f>IF(DAY(NOW())&lt;M3,INDIRECT(ADDRESS(123,27))-INDIRECT(ADDRESS(118,28))+INDIRECT(ADDRESS(119,28))-INDIRECT(ADDRESS(122,28)),INDIRECT(ADDRESS(123,27))-INDIRECT(ADDRESS(118,28))+INDIRECT(ADDRESS(121,28))-INDIRECT(ADDRESS(122,28)))</f>
        <v>0</v>
      </c>
      <c r="AC123">
        <f>IF(DAY(NOW())&lt;M3,INDIRECT(ADDRESS(123,28))-INDIRECT(ADDRESS(118,29))+INDIRECT(ADDRESS(119,29))-INDIRECT(ADDRESS(122,29)),INDIRECT(ADDRESS(123,28))-INDIRECT(ADDRESS(118,29))+INDIRECT(ADDRESS(121,29))-INDIRECT(ADDRESS(122,29)))</f>
        <v>0</v>
      </c>
      <c r="AD123">
        <f>IF(DAY(NOW())&lt;M3,INDIRECT(ADDRESS(123,29))-INDIRECT(ADDRESS(118,30))+INDIRECT(ADDRESS(119,30))-INDIRECT(ADDRESS(122,30)),INDIRECT(ADDRESS(123,29))-INDIRECT(ADDRESS(118,30))+INDIRECT(ADDRESS(121,30))-INDIRECT(ADDRESS(122,30)))</f>
        <v>0</v>
      </c>
      <c r="AE123">
        <f>IF(DAY(NOW())&lt;M3,INDIRECT(ADDRESS(123,30))-INDIRECT(ADDRESS(118,31))+INDIRECT(ADDRESS(119,31))-INDIRECT(ADDRESS(122,31)),INDIRECT(ADDRESS(123,30))-INDIRECT(ADDRESS(118,31))+INDIRECT(ADDRESS(121,31))-INDIRECT(ADDRESS(122,31)))</f>
        <v>0</v>
      </c>
      <c r="AF123">
        <f>IF(DAY(NOW())&lt;M3,INDIRECT(ADDRESS(123,31))-INDIRECT(ADDRESS(118,32))+INDIRECT(ADDRESS(119,32))-INDIRECT(ADDRESS(122,32)),INDIRECT(ADDRESS(123,31))-INDIRECT(ADDRESS(118,32))+INDIRECT(ADDRESS(121,32))-INDIRECT(ADDRESS(122,32)))</f>
        <v>0</v>
      </c>
      <c r="AG123">
        <f>IF(DAY(NOW())&lt;M3,INDIRECT(ADDRESS(123,32))-INDIRECT(ADDRESS(118,33))+INDIRECT(ADDRESS(119,33))-INDIRECT(ADDRESS(122,33)),INDIRECT(ADDRESS(123,32))-INDIRECT(ADDRESS(118,33))+INDIRECT(ADDRESS(121,33))-INDIRECT(ADDRESS(122,33)))</f>
        <v>0</v>
      </c>
      <c r="AH123">
        <f>IF(DAY(NOW())&lt;M3,INDIRECT(ADDRESS(123,33))-INDIRECT(ADDRESS(118,34))+INDIRECT(ADDRESS(119,34))-INDIRECT(ADDRESS(122,34)),INDIRECT(ADDRESS(123,33))-INDIRECT(ADDRESS(118,34))+INDIRECT(ADDRESS(121,34))-INDIRECT(ADDRESS(122,34)))</f>
        <v>0</v>
      </c>
      <c r="AI123">
        <f>IF(DAY(NOW())&lt;M3,INDIRECT(ADDRESS(123,34))-INDIRECT(ADDRESS(118,35))+INDIRECT(ADDRESS(119,35))-INDIRECT(ADDRESS(122,35)),INDIRECT(ADDRESS(123,34))-INDIRECT(ADDRESS(118,35))+INDIRECT(ADDRESS(121,35))-INDIRECT(ADDRESS(122,35)))</f>
        <v>0</v>
      </c>
      <c r="AJ123">
        <f>IF(DAY(NOW())&lt;M3,INDIRECT(ADDRESS(123,35))-INDIRECT(ADDRESS(118,36))+INDIRECT(ADDRESS(119,36))-INDIRECT(ADDRESS(122,36)),INDIRECT(ADDRESS(123,35))-INDIRECT(ADDRESS(118,36))+INDIRECT(ADDRESS(121,36))-INDIRECT(ADDRESS(122,36)))</f>
        <v>0</v>
      </c>
      <c r="AK123">
        <f>IF(DAY(NOW())&lt;M3,INDIRECT(ADDRESS(123,36))-INDIRECT(ADDRESS(118,37))+INDIRECT(ADDRESS(119,37))-INDIRECT(ADDRESS(122,37)),INDIRECT(ADDRESS(123,36))-INDIRECT(ADDRESS(118,37))+INDIRECT(ADDRESS(121,37))-INDIRECT(ADDRESS(122,37)))</f>
        <v>0</v>
      </c>
      <c r="AL123">
        <f>IF(DAY(NOW())&lt;M3,INDIRECT(ADDRESS(123,37))-INDIRECT(ADDRESS(118,38))+INDIRECT(ADDRESS(119,38))-INDIRECT(ADDRESS(122,38)),INDIRECT(ADDRESS(123,37))-INDIRECT(ADDRESS(118,38))+INDIRECT(ADDRESS(121,38))-INDIRECT(ADDRESS(122,38)))</f>
        <v>0</v>
      </c>
      <c r="AM123">
        <f>IF(DAY(NOW())&lt;M3,INDIRECT(ADDRESS(123,38))-INDIRECT(ADDRESS(118,39))+INDIRECT(ADDRESS(119,39))-INDIRECT(ADDRESS(122,39)),INDIRECT(ADDRESS(123,38))-INDIRECT(ADDRESS(118,39))+INDIRECT(ADDRESS(121,39))-INDIRECT(ADDRESS(122,39)))</f>
        <v>0</v>
      </c>
      <c r="AN123">
        <f>IF(DAY(NOW())&lt;M3,INDIRECT(ADDRESS(123,39))-INDIRECT(ADDRESS(118,40))+INDIRECT(ADDRESS(119,40))-INDIRECT(ADDRESS(122,40)),INDIRECT(ADDRESS(123,39))-INDIRECT(ADDRESS(118,40))+INDIRECT(ADDRESS(121,40))-INDIRECT(ADDRESS(122,40)))</f>
        <v>0</v>
      </c>
      <c r="AO123">
        <f>IF(DAY(NOW())&lt;M3,INDIRECT(ADDRESS(123,40))-INDIRECT(ADDRESS(118,41))+INDIRECT(ADDRESS(119,41))-INDIRECT(ADDRESS(122,41)),INDIRECT(ADDRESS(123,40))-INDIRECT(ADDRESS(118,41))+INDIRECT(ADDRESS(121,41))-INDIRECT(ADDRESS(122,41)))</f>
        <v>0</v>
      </c>
      <c r="AP123">
        <f>IF(DAY(NOW())&lt;M3,INDIRECT(ADDRESS(123,41))-INDIRECT(ADDRESS(118,42))+INDIRECT(ADDRESS(119,42))-INDIRECT(ADDRESS(122,42)),INDIRECT(ADDRESS(123,41))-INDIRECT(ADDRESS(118,42))+INDIRECT(ADDRESS(121,42))-INDIRECT(ADDRESS(122,42)))</f>
        <v>0</v>
      </c>
      <c r="AQ123">
        <f>IF(DAY(NOW())&lt;M3,INDIRECT(ADDRESS(123,42))-INDIRECT(ADDRESS(118,43))+INDIRECT(ADDRESS(119,43))-INDIRECT(ADDRESS(122,43)),INDIRECT(ADDRESS(123,42))-INDIRECT(ADDRESS(118,43))+INDIRECT(ADDRESS(121,43))-INDIRECT(ADDRESS(122,43)))</f>
        <v>0</v>
      </c>
      <c r="AR123">
        <f>IF(DAY(NOW())&lt;M3,INDIRECT(ADDRESS(123,43))-INDIRECT(ADDRESS(118,44))+INDIRECT(ADDRESS(119,44))-INDIRECT(ADDRESS(122,44)),INDIRECT(ADDRESS(123,43))-INDIRECT(ADDRESS(118,44))+INDIRECT(ADDRESS(121,44))-INDIRECT(ADDRESS(122,44)))</f>
        <v>0</v>
      </c>
    </row>
    <row r="124" spans="1:76">
      <c r="A124" t="s">
        <v>31</v>
      </c>
      <c r="B124" t="s">
        <v>92</v>
      </c>
      <c r="C124" t="s">
        <v>93</v>
      </c>
      <c r="D124" t="s">
        <v>17</v>
      </c>
      <c r="E124">
        <v>1</v>
      </c>
      <c r="F124" t="s">
        <v>94</v>
      </c>
      <c r="H124" t="s">
        <v>35</v>
      </c>
      <c r="I124" t="s">
        <v>36</v>
      </c>
      <c r="K124" t="s">
        <v>20</v>
      </c>
      <c r="L124" t="s">
        <v>21</v>
      </c>
      <c r="M124">
        <f>sumifs(BOM!m:m,BOM!A:A,".1",BOM!B:B,"852-239000-100")</f>
        <v>0</v>
      </c>
      <c r="N124">
        <f>sumifs(BOM!n:n,BOM!A:A,".1",BOM!B:B,"852-239000-100")</f>
        <v>0</v>
      </c>
      <c r="O124">
        <f>sumifs(BOM!o:o,BOM!A:A,".1",BOM!B:B,"852-239000-100")</f>
        <v>0</v>
      </c>
      <c r="P124">
        <f>sumifs(BOM!p:p,BOM!A:A,".1",BOM!B:B,"852-239000-100")</f>
        <v>0</v>
      </c>
      <c r="Q124">
        <f>sumifs(BOM!q:q,BOM!A:A,".1",BOM!B:B,"852-239000-100")</f>
        <v>0</v>
      </c>
      <c r="R124">
        <f>sumifs(BOM!r:r,BOM!A:A,".1",BOM!B:B,"852-239000-100")</f>
        <v>0</v>
      </c>
      <c r="S124">
        <f>sumifs(BOM!s:s,BOM!A:A,".1",BOM!B:B,"852-239000-100")</f>
        <v>0</v>
      </c>
      <c r="T124">
        <f>sumifs(BOM!t:t,BOM!A:A,".1",BOM!B:B,"852-239000-100")</f>
        <v>0</v>
      </c>
      <c r="U124">
        <f>sumifs(BOM!u:u,BOM!A:A,".1",BOM!B:B,"852-239000-100")</f>
        <v>0</v>
      </c>
      <c r="V124">
        <f>sumifs(BOM!v:v,BOM!A:A,".1",BOM!B:B,"852-239000-100")</f>
        <v>0</v>
      </c>
      <c r="W124">
        <f>sumifs(BOM!w:w,BOM!A:A,".1",BOM!B:B,"852-239000-100")</f>
        <v>0</v>
      </c>
      <c r="X124">
        <f>sumifs(BOM!x:x,BOM!A:A,".1",BOM!B:B,"852-239000-100")</f>
        <v>0</v>
      </c>
      <c r="Y124">
        <f>sumifs(BOM!y:y,BOM!A:A,".1",BOM!B:B,"852-239000-100")</f>
        <v>0</v>
      </c>
      <c r="Z124">
        <f>sumifs(BOM!z:z,BOM!A:A,".1",BOM!B:B,"852-239000-100")</f>
        <v>0</v>
      </c>
      <c r="AA124">
        <f>sumifs(BOM!aa:aa,BOM!A:A,".1",BOM!B:B,"852-239000-100")</f>
        <v>0</v>
      </c>
      <c r="AB124">
        <f>sumifs(BOM!ab:ab,BOM!A:A,".1",BOM!B:B,"852-239000-100")</f>
        <v>0</v>
      </c>
      <c r="AC124">
        <f>sumifs(BOM!ac:ac,BOM!A:A,".1",BOM!B:B,"852-239000-100")</f>
        <v>0</v>
      </c>
      <c r="AD124">
        <f>sumifs(BOM!ad:ad,BOM!A:A,".1",BOM!B:B,"852-239000-100")</f>
        <v>0</v>
      </c>
      <c r="AE124">
        <f>sumifs(BOM!ae:ae,BOM!A:A,".1",BOM!B:B,"852-239000-100")</f>
        <v>0</v>
      </c>
      <c r="AF124">
        <f>sumifs(BOM!af:af,BOM!A:A,".1",BOM!B:B,"852-239000-100")</f>
        <v>0</v>
      </c>
      <c r="AG124">
        <f>sumifs(BOM!ag:ag,BOM!A:A,".1",BOM!B:B,"852-239000-100")</f>
        <v>0</v>
      </c>
      <c r="AH124">
        <f>sumifs(BOM!ah:ah,BOM!A:A,".1",BOM!B:B,"852-239000-100")</f>
        <v>0</v>
      </c>
      <c r="AI124">
        <f>sumifs(BOM!ai:ai,BOM!A:A,".1",BOM!B:B,"852-239000-100")</f>
        <v>0</v>
      </c>
      <c r="AJ124">
        <f>sumifs(BOM!aj:aj,BOM!A:A,".1",BOM!B:B,"852-239000-100")</f>
        <v>0</v>
      </c>
      <c r="AK124">
        <f>sumifs(BOM!ak:ak,BOM!A:A,".1",BOM!B:B,"852-239000-100")</f>
        <v>0</v>
      </c>
      <c r="AL124">
        <f>sumifs(BOM!al:al,BOM!A:A,".1",BOM!B:B,"852-239000-100")</f>
        <v>0</v>
      </c>
      <c r="AM124">
        <f>sumifs(BOM!am:am,BOM!A:A,".1",BOM!B:B,"852-239000-100")</f>
        <v>0</v>
      </c>
      <c r="AN124">
        <f>sumifs(BOM!an:an,BOM!A:A,".1",BOM!B:B,"852-239000-100")</f>
        <v>0</v>
      </c>
      <c r="AO124">
        <f>sumifs(BOM!ao:ao,BOM!A:A,".1",BOM!B:B,"852-239000-100")</f>
        <v>0</v>
      </c>
      <c r="AP124">
        <f>sumifs(BOM!ap:ap,BOM!A:A,".1",BOM!B:B,"852-239000-100")</f>
        <v>0</v>
      </c>
      <c r="AQ124">
        <f>sumifs(BOM!aq:aq,BOM!A:A,".1",BOM!B:B,"852-239000-100")</f>
        <v>0</v>
      </c>
      <c r="AR124">
        <f>sumifs(BOM!ar:ar,BOM!A:A,".1",BOM!B:B,"852-239000-100")</f>
        <v>0</v>
      </c>
      <c r="BX124">
        <f>sum(j124:an124)</f>
        <v>0</v>
      </c>
    </row>
    <row r="125" spans="1:76">
      <c r="A125" t="s">
        <v>31</v>
      </c>
      <c r="B125" t="s">
        <v>92</v>
      </c>
      <c r="C125" t="s">
        <v>93</v>
      </c>
      <c r="D125" t="s">
        <v>17</v>
      </c>
      <c r="E125">
        <v>1</v>
      </c>
      <c r="F125" t="s">
        <v>94</v>
      </c>
      <c r="H125" t="s">
        <v>35</v>
      </c>
      <c r="I125" t="s">
        <v>36</v>
      </c>
      <c r="K125" t="s">
        <v>20</v>
      </c>
      <c r="L125" t="s">
        <v>37</v>
      </c>
    </row>
    <row r="126" spans="1:76">
      <c r="L126" t="s">
        <v>662</v>
      </c>
    </row>
    <row r="127" spans="1:76">
      <c r="L127" t="s">
        <v>663</v>
      </c>
    </row>
    <row r="128" spans="1:76">
      <c r="L128" t="s">
        <v>664</v>
      </c>
    </row>
    <row r="129" spans="1:76">
      <c r="L129" t="s">
        <v>665</v>
      </c>
      <c r="M129">
        <f>IF(DAY(NOW())&lt;M3,INDIRECT(ADDRESS(129,7))-INDIRECT(ADDRESS(124,13))+INDIRECT(ADDRESS(125,13))-INDIRECT(ADDRESS(128,13)),INDIRECT(ADDRESS(129,7))-INDIRECT(ADDRESS(124,13))+INDIRECT(ADDRESS(127,13))-INDIRECT(ADDRESS(128,13)))</f>
        <v>0</v>
      </c>
      <c r="N129">
        <f>IF(DAY(NOW())&lt;M3,INDIRECT(ADDRESS(129,13))-INDIRECT(ADDRESS(124,14))+INDIRECT(ADDRESS(125,14))-INDIRECT(ADDRESS(128,14)),INDIRECT(ADDRESS(129,13))-INDIRECT(ADDRESS(124,14))+INDIRECT(ADDRESS(127,14))-INDIRECT(ADDRESS(128,14)))</f>
        <v>0</v>
      </c>
      <c r="O129">
        <f>IF(DAY(NOW())&lt;M3,INDIRECT(ADDRESS(129,14))-INDIRECT(ADDRESS(124,15))+INDIRECT(ADDRESS(125,15))-INDIRECT(ADDRESS(128,15)),INDIRECT(ADDRESS(129,14))-INDIRECT(ADDRESS(124,15))+INDIRECT(ADDRESS(127,15))-INDIRECT(ADDRESS(128,15)))</f>
        <v>0</v>
      </c>
      <c r="P129">
        <f>IF(DAY(NOW())&lt;M3,INDIRECT(ADDRESS(129,15))-INDIRECT(ADDRESS(124,16))+INDIRECT(ADDRESS(125,16))-INDIRECT(ADDRESS(128,16)),INDIRECT(ADDRESS(129,15))-INDIRECT(ADDRESS(124,16))+INDIRECT(ADDRESS(127,16))-INDIRECT(ADDRESS(128,16)))</f>
        <v>0</v>
      </c>
      <c r="Q129">
        <f>IF(DAY(NOW())&lt;M3,INDIRECT(ADDRESS(129,16))-INDIRECT(ADDRESS(124,17))+INDIRECT(ADDRESS(125,17))-INDIRECT(ADDRESS(128,17)),INDIRECT(ADDRESS(129,16))-INDIRECT(ADDRESS(124,17))+INDIRECT(ADDRESS(127,17))-INDIRECT(ADDRESS(128,17)))</f>
        <v>0</v>
      </c>
      <c r="R129">
        <f>IF(DAY(NOW())&lt;M3,INDIRECT(ADDRESS(129,17))-INDIRECT(ADDRESS(124,18))+INDIRECT(ADDRESS(125,18))-INDIRECT(ADDRESS(128,18)),INDIRECT(ADDRESS(129,17))-INDIRECT(ADDRESS(124,18))+INDIRECT(ADDRESS(127,18))-INDIRECT(ADDRESS(128,18)))</f>
        <v>0</v>
      </c>
      <c r="S129">
        <f>IF(DAY(NOW())&lt;M3,INDIRECT(ADDRESS(129,18))-INDIRECT(ADDRESS(124,19))+INDIRECT(ADDRESS(125,19))-INDIRECT(ADDRESS(128,19)),INDIRECT(ADDRESS(129,18))-INDIRECT(ADDRESS(124,19))+INDIRECT(ADDRESS(127,19))-INDIRECT(ADDRESS(128,19)))</f>
        <v>0</v>
      </c>
      <c r="T129">
        <f>IF(DAY(NOW())&lt;M3,INDIRECT(ADDRESS(129,19))-INDIRECT(ADDRESS(124,20))+INDIRECT(ADDRESS(125,20))-INDIRECT(ADDRESS(128,20)),INDIRECT(ADDRESS(129,19))-INDIRECT(ADDRESS(124,20))+INDIRECT(ADDRESS(127,20))-INDIRECT(ADDRESS(128,20)))</f>
        <v>0</v>
      </c>
      <c r="U129">
        <f>IF(DAY(NOW())&lt;M3,INDIRECT(ADDRESS(129,20))-INDIRECT(ADDRESS(124,21))+INDIRECT(ADDRESS(125,21))-INDIRECT(ADDRESS(128,21)),INDIRECT(ADDRESS(129,20))-INDIRECT(ADDRESS(124,21))+INDIRECT(ADDRESS(127,21))-INDIRECT(ADDRESS(128,21)))</f>
        <v>0</v>
      </c>
      <c r="V129">
        <f>IF(DAY(NOW())&lt;M3,INDIRECT(ADDRESS(129,21))-INDIRECT(ADDRESS(124,22))+INDIRECT(ADDRESS(125,22))-INDIRECT(ADDRESS(128,22)),INDIRECT(ADDRESS(129,21))-INDIRECT(ADDRESS(124,22))+INDIRECT(ADDRESS(127,22))-INDIRECT(ADDRESS(128,22)))</f>
        <v>0</v>
      </c>
      <c r="W129">
        <f>IF(DAY(NOW())&lt;M3,INDIRECT(ADDRESS(129,22))-INDIRECT(ADDRESS(124,23))+INDIRECT(ADDRESS(125,23))-INDIRECT(ADDRESS(128,23)),INDIRECT(ADDRESS(129,22))-INDIRECT(ADDRESS(124,23))+INDIRECT(ADDRESS(127,23))-INDIRECT(ADDRESS(128,23)))</f>
        <v>0</v>
      </c>
      <c r="X129">
        <f>IF(DAY(NOW())&lt;M3,INDIRECT(ADDRESS(129,23))-INDIRECT(ADDRESS(124,24))+INDIRECT(ADDRESS(125,24))-INDIRECT(ADDRESS(128,24)),INDIRECT(ADDRESS(129,23))-INDIRECT(ADDRESS(124,24))+INDIRECT(ADDRESS(127,24))-INDIRECT(ADDRESS(128,24)))</f>
        <v>0</v>
      </c>
      <c r="Y129">
        <f>IF(DAY(NOW())&lt;M3,INDIRECT(ADDRESS(129,24))-INDIRECT(ADDRESS(124,25))+INDIRECT(ADDRESS(125,25))-INDIRECT(ADDRESS(128,25)),INDIRECT(ADDRESS(129,24))-INDIRECT(ADDRESS(124,25))+INDIRECT(ADDRESS(127,25))-INDIRECT(ADDRESS(128,25)))</f>
        <v>0</v>
      </c>
      <c r="Z129">
        <f>IF(DAY(NOW())&lt;M3,INDIRECT(ADDRESS(129,25))-INDIRECT(ADDRESS(124,26))+INDIRECT(ADDRESS(125,26))-INDIRECT(ADDRESS(128,26)),INDIRECT(ADDRESS(129,25))-INDIRECT(ADDRESS(124,26))+INDIRECT(ADDRESS(127,26))-INDIRECT(ADDRESS(128,26)))</f>
        <v>0</v>
      </c>
      <c r="AA129">
        <f>IF(DAY(NOW())&lt;M3,INDIRECT(ADDRESS(129,26))-INDIRECT(ADDRESS(124,27))+INDIRECT(ADDRESS(125,27))-INDIRECT(ADDRESS(128,27)),INDIRECT(ADDRESS(129,26))-INDIRECT(ADDRESS(124,27))+INDIRECT(ADDRESS(127,27))-INDIRECT(ADDRESS(128,27)))</f>
        <v>0</v>
      </c>
      <c r="AB129">
        <f>IF(DAY(NOW())&lt;M3,INDIRECT(ADDRESS(129,27))-INDIRECT(ADDRESS(124,28))+INDIRECT(ADDRESS(125,28))-INDIRECT(ADDRESS(128,28)),INDIRECT(ADDRESS(129,27))-INDIRECT(ADDRESS(124,28))+INDIRECT(ADDRESS(127,28))-INDIRECT(ADDRESS(128,28)))</f>
        <v>0</v>
      </c>
      <c r="AC129">
        <f>IF(DAY(NOW())&lt;M3,INDIRECT(ADDRESS(129,28))-INDIRECT(ADDRESS(124,29))+INDIRECT(ADDRESS(125,29))-INDIRECT(ADDRESS(128,29)),INDIRECT(ADDRESS(129,28))-INDIRECT(ADDRESS(124,29))+INDIRECT(ADDRESS(127,29))-INDIRECT(ADDRESS(128,29)))</f>
        <v>0</v>
      </c>
      <c r="AD129">
        <f>IF(DAY(NOW())&lt;M3,INDIRECT(ADDRESS(129,29))-INDIRECT(ADDRESS(124,30))+INDIRECT(ADDRESS(125,30))-INDIRECT(ADDRESS(128,30)),INDIRECT(ADDRESS(129,29))-INDIRECT(ADDRESS(124,30))+INDIRECT(ADDRESS(127,30))-INDIRECT(ADDRESS(128,30)))</f>
        <v>0</v>
      </c>
      <c r="AE129">
        <f>IF(DAY(NOW())&lt;M3,INDIRECT(ADDRESS(129,30))-INDIRECT(ADDRESS(124,31))+INDIRECT(ADDRESS(125,31))-INDIRECT(ADDRESS(128,31)),INDIRECT(ADDRESS(129,30))-INDIRECT(ADDRESS(124,31))+INDIRECT(ADDRESS(127,31))-INDIRECT(ADDRESS(128,31)))</f>
        <v>0</v>
      </c>
      <c r="AF129">
        <f>IF(DAY(NOW())&lt;M3,INDIRECT(ADDRESS(129,31))-INDIRECT(ADDRESS(124,32))+INDIRECT(ADDRESS(125,32))-INDIRECT(ADDRESS(128,32)),INDIRECT(ADDRESS(129,31))-INDIRECT(ADDRESS(124,32))+INDIRECT(ADDRESS(127,32))-INDIRECT(ADDRESS(128,32)))</f>
        <v>0</v>
      </c>
      <c r="AG129">
        <f>IF(DAY(NOW())&lt;M3,INDIRECT(ADDRESS(129,32))-INDIRECT(ADDRESS(124,33))+INDIRECT(ADDRESS(125,33))-INDIRECT(ADDRESS(128,33)),INDIRECT(ADDRESS(129,32))-INDIRECT(ADDRESS(124,33))+INDIRECT(ADDRESS(127,33))-INDIRECT(ADDRESS(128,33)))</f>
        <v>0</v>
      </c>
      <c r="AH129">
        <f>IF(DAY(NOW())&lt;M3,INDIRECT(ADDRESS(129,33))-INDIRECT(ADDRESS(124,34))+INDIRECT(ADDRESS(125,34))-INDIRECT(ADDRESS(128,34)),INDIRECT(ADDRESS(129,33))-INDIRECT(ADDRESS(124,34))+INDIRECT(ADDRESS(127,34))-INDIRECT(ADDRESS(128,34)))</f>
        <v>0</v>
      </c>
      <c r="AI129">
        <f>IF(DAY(NOW())&lt;M3,INDIRECT(ADDRESS(129,34))-INDIRECT(ADDRESS(124,35))+INDIRECT(ADDRESS(125,35))-INDIRECT(ADDRESS(128,35)),INDIRECT(ADDRESS(129,34))-INDIRECT(ADDRESS(124,35))+INDIRECT(ADDRESS(127,35))-INDIRECT(ADDRESS(128,35)))</f>
        <v>0</v>
      </c>
      <c r="AJ129">
        <f>IF(DAY(NOW())&lt;M3,INDIRECT(ADDRESS(129,35))-INDIRECT(ADDRESS(124,36))+INDIRECT(ADDRESS(125,36))-INDIRECT(ADDRESS(128,36)),INDIRECT(ADDRESS(129,35))-INDIRECT(ADDRESS(124,36))+INDIRECT(ADDRESS(127,36))-INDIRECT(ADDRESS(128,36)))</f>
        <v>0</v>
      </c>
      <c r="AK129">
        <f>IF(DAY(NOW())&lt;M3,INDIRECT(ADDRESS(129,36))-INDIRECT(ADDRESS(124,37))+INDIRECT(ADDRESS(125,37))-INDIRECT(ADDRESS(128,37)),INDIRECT(ADDRESS(129,36))-INDIRECT(ADDRESS(124,37))+INDIRECT(ADDRESS(127,37))-INDIRECT(ADDRESS(128,37)))</f>
        <v>0</v>
      </c>
      <c r="AL129">
        <f>IF(DAY(NOW())&lt;M3,INDIRECT(ADDRESS(129,37))-INDIRECT(ADDRESS(124,38))+INDIRECT(ADDRESS(125,38))-INDIRECT(ADDRESS(128,38)),INDIRECT(ADDRESS(129,37))-INDIRECT(ADDRESS(124,38))+INDIRECT(ADDRESS(127,38))-INDIRECT(ADDRESS(128,38)))</f>
        <v>0</v>
      </c>
      <c r="AM129">
        <f>IF(DAY(NOW())&lt;M3,INDIRECT(ADDRESS(129,38))-INDIRECT(ADDRESS(124,39))+INDIRECT(ADDRESS(125,39))-INDIRECT(ADDRESS(128,39)),INDIRECT(ADDRESS(129,38))-INDIRECT(ADDRESS(124,39))+INDIRECT(ADDRESS(127,39))-INDIRECT(ADDRESS(128,39)))</f>
        <v>0</v>
      </c>
      <c r="AN129">
        <f>IF(DAY(NOW())&lt;M3,INDIRECT(ADDRESS(129,39))-INDIRECT(ADDRESS(124,40))+INDIRECT(ADDRESS(125,40))-INDIRECT(ADDRESS(128,40)),INDIRECT(ADDRESS(129,39))-INDIRECT(ADDRESS(124,40))+INDIRECT(ADDRESS(127,40))-INDIRECT(ADDRESS(128,40)))</f>
        <v>0</v>
      </c>
      <c r="AO129">
        <f>IF(DAY(NOW())&lt;M3,INDIRECT(ADDRESS(129,40))-INDIRECT(ADDRESS(124,41))+INDIRECT(ADDRESS(125,41))-INDIRECT(ADDRESS(128,41)),INDIRECT(ADDRESS(129,40))-INDIRECT(ADDRESS(124,41))+INDIRECT(ADDRESS(127,41))-INDIRECT(ADDRESS(128,41)))</f>
        <v>0</v>
      </c>
      <c r="AP129">
        <f>IF(DAY(NOW())&lt;M3,INDIRECT(ADDRESS(129,41))-INDIRECT(ADDRESS(124,42))+INDIRECT(ADDRESS(125,42))-INDIRECT(ADDRESS(128,42)),INDIRECT(ADDRESS(129,41))-INDIRECT(ADDRESS(124,42))+INDIRECT(ADDRESS(127,42))-INDIRECT(ADDRESS(128,42)))</f>
        <v>0</v>
      </c>
      <c r="AQ129">
        <f>IF(DAY(NOW())&lt;M3,INDIRECT(ADDRESS(129,42))-INDIRECT(ADDRESS(124,43))+INDIRECT(ADDRESS(125,43))-INDIRECT(ADDRESS(128,43)),INDIRECT(ADDRESS(129,42))-INDIRECT(ADDRESS(124,43))+INDIRECT(ADDRESS(127,43))-INDIRECT(ADDRESS(128,43)))</f>
        <v>0</v>
      </c>
      <c r="AR129">
        <f>IF(DAY(NOW())&lt;M3,INDIRECT(ADDRESS(129,43))-INDIRECT(ADDRESS(124,44))+INDIRECT(ADDRESS(125,44))-INDIRECT(ADDRESS(128,44)),INDIRECT(ADDRESS(129,43))-INDIRECT(ADDRESS(124,44))+INDIRECT(ADDRESS(127,44))-INDIRECT(ADDRESS(128,44)))</f>
        <v>0</v>
      </c>
    </row>
    <row r="130" spans="1:76">
      <c r="A130" t="s">
        <v>14</v>
      </c>
      <c r="B130" t="s">
        <v>95</v>
      </c>
      <c r="C130" t="s">
        <v>96</v>
      </c>
      <c r="D130" t="s">
        <v>46</v>
      </c>
      <c r="E130">
        <v>1</v>
      </c>
      <c r="F130" t="s">
        <v>97</v>
      </c>
      <c r="H130" t="s">
        <v>72</v>
      </c>
      <c r="I130" t="s">
        <v>91</v>
      </c>
      <c r="K130" t="s">
        <v>20</v>
      </c>
      <c r="L130" t="s">
        <v>21</v>
      </c>
      <c r="BX130">
        <f>sum(j130:an130)</f>
        <v>0</v>
      </c>
    </row>
    <row r="131" spans="1:76">
      <c r="A131" t="s">
        <v>14</v>
      </c>
      <c r="B131" t="s">
        <v>95</v>
      </c>
      <c r="C131" t="s">
        <v>96</v>
      </c>
      <c r="D131" t="s">
        <v>46</v>
      </c>
      <c r="E131">
        <v>1</v>
      </c>
      <c r="F131" t="s">
        <v>97</v>
      </c>
      <c r="H131" t="s">
        <v>72</v>
      </c>
      <c r="I131" t="s">
        <v>91</v>
      </c>
      <c r="K131" t="s">
        <v>20</v>
      </c>
      <c r="L131" t="s">
        <v>37</v>
      </c>
    </row>
    <row r="132" spans="1:76">
      <c r="L132" t="s">
        <v>662</v>
      </c>
    </row>
    <row r="133" spans="1:76">
      <c r="L133" t="s">
        <v>663</v>
      </c>
    </row>
    <row r="134" spans="1:76">
      <c r="L134" t="s">
        <v>664</v>
      </c>
    </row>
    <row r="135" spans="1:76">
      <c r="L135" t="s">
        <v>665</v>
      </c>
      <c r="M135">
        <f>IF(DAY(NOW())&lt;M3,INDIRECT(ADDRESS(135,7))-INDIRECT(ADDRESS(130,13))+INDIRECT(ADDRESS(131,13))-INDIRECT(ADDRESS(134,13)),INDIRECT(ADDRESS(135,7))-INDIRECT(ADDRESS(130,13))+INDIRECT(ADDRESS(133,13))-INDIRECT(ADDRESS(134,13)))</f>
        <v>0</v>
      </c>
      <c r="N135">
        <f>IF(DAY(NOW())&lt;M3,INDIRECT(ADDRESS(135,13))-INDIRECT(ADDRESS(130,14))+INDIRECT(ADDRESS(131,14))-INDIRECT(ADDRESS(134,14)),INDIRECT(ADDRESS(135,13))-INDIRECT(ADDRESS(130,14))+INDIRECT(ADDRESS(133,14))-INDIRECT(ADDRESS(134,14)))</f>
        <v>0</v>
      </c>
      <c r="O135">
        <f>IF(DAY(NOW())&lt;M3,INDIRECT(ADDRESS(135,14))-INDIRECT(ADDRESS(130,15))+INDIRECT(ADDRESS(131,15))-INDIRECT(ADDRESS(134,15)),INDIRECT(ADDRESS(135,14))-INDIRECT(ADDRESS(130,15))+INDIRECT(ADDRESS(133,15))-INDIRECT(ADDRESS(134,15)))</f>
        <v>0</v>
      </c>
      <c r="P135">
        <f>IF(DAY(NOW())&lt;M3,INDIRECT(ADDRESS(135,15))-INDIRECT(ADDRESS(130,16))+INDIRECT(ADDRESS(131,16))-INDIRECT(ADDRESS(134,16)),INDIRECT(ADDRESS(135,15))-INDIRECT(ADDRESS(130,16))+INDIRECT(ADDRESS(133,16))-INDIRECT(ADDRESS(134,16)))</f>
        <v>0</v>
      </c>
      <c r="Q135">
        <f>IF(DAY(NOW())&lt;M3,INDIRECT(ADDRESS(135,16))-INDIRECT(ADDRESS(130,17))+INDIRECT(ADDRESS(131,17))-INDIRECT(ADDRESS(134,17)),INDIRECT(ADDRESS(135,16))-INDIRECT(ADDRESS(130,17))+INDIRECT(ADDRESS(133,17))-INDIRECT(ADDRESS(134,17)))</f>
        <v>0</v>
      </c>
      <c r="R135">
        <f>IF(DAY(NOW())&lt;M3,INDIRECT(ADDRESS(135,17))-INDIRECT(ADDRESS(130,18))+INDIRECT(ADDRESS(131,18))-INDIRECT(ADDRESS(134,18)),INDIRECT(ADDRESS(135,17))-INDIRECT(ADDRESS(130,18))+INDIRECT(ADDRESS(133,18))-INDIRECT(ADDRESS(134,18)))</f>
        <v>0</v>
      </c>
      <c r="S135">
        <f>IF(DAY(NOW())&lt;M3,INDIRECT(ADDRESS(135,18))-INDIRECT(ADDRESS(130,19))+INDIRECT(ADDRESS(131,19))-INDIRECT(ADDRESS(134,19)),INDIRECT(ADDRESS(135,18))-INDIRECT(ADDRESS(130,19))+INDIRECT(ADDRESS(133,19))-INDIRECT(ADDRESS(134,19)))</f>
        <v>0</v>
      </c>
      <c r="T135">
        <f>IF(DAY(NOW())&lt;M3,INDIRECT(ADDRESS(135,19))-INDIRECT(ADDRESS(130,20))+INDIRECT(ADDRESS(131,20))-INDIRECT(ADDRESS(134,20)),INDIRECT(ADDRESS(135,19))-INDIRECT(ADDRESS(130,20))+INDIRECT(ADDRESS(133,20))-INDIRECT(ADDRESS(134,20)))</f>
        <v>0</v>
      </c>
      <c r="U135">
        <f>IF(DAY(NOW())&lt;M3,INDIRECT(ADDRESS(135,20))-INDIRECT(ADDRESS(130,21))+INDIRECT(ADDRESS(131,21))-INDIRECT(ADDRESS(134,21)),INDIRECT(ADDRESS(135,20))-INDIRECT(ADDRESS(130,21))+INDIRECT(ADDRESS(133,21))-INDIRECT(ADDRESS(134,21)))</f>
        <v>0</v>
      </c>
      <c r="V135">
        <f>IF(DAY(NOW())&lt;M3,INDIRECT(ADDRESS(135,21))-INDIRECT(ADDRESS(130,22))+INDIRECT(ADDRESS(131,22))-INDIRECT(ADDRESS(134,22)),INDIRECT(ADDRESS(135,21))-INDIRECT(ADDRESS(130,22))+INDIRECT(ADDRESS(133,22))-INDIRECT(ADDRESS(134,22)))</f>
        <v>0</v>
      </c>
      <c r="W135">
        <f>IF(DAY(NOW())&lt;M3,INDIRECT(ADDRESS(135,22))-INDIRECT(ADDRESS(130,23))+INDIRECT(ADDRESS(131,23))-INDIRECT(ADDRESS(134,23)),INDIRECT(ADDRESS(135,22))-INDIRECT(ADDRESS(130,23))+INDIRECT(ADDRESS(133,23))-INDIRECT(ADDRESS(134,23)))</f>
        <v>0</v>
      </c>
      <c r="X135">
        <f>IF(DAY(NOW())&lt;M3,INDIRECT(ADDRESS(135,23))-INDIRECT(ADDRESS(130,24))+INDIRECT(ADDRESS(131,24))-INDIRECT(ADDRESS(134,24)),INDIRECT(ADDRESS(135,23))-INDIRECT(ADDRESS(130,24))+INDIRECT(ADDRESS(133,24))-INDIRECT(ADDRESS(134,24)))</f>
        <v>0</v>
      </c>
      <c r="Y135">
        <f>IF(DAY(NOW())&lt;M3,INDIRECT(ADDRESS(135,24))-INDIRECT(ADDRESS(130,25))+INDIRECT(ADDRESS(131,25))-INDIRECT(ADDRESS(134,25)),INDIRECT(ADDRESS(135,24))-INDIRECT(ADDRESS(130,25))+INDIRECT(ADDRESS(133,25))-INDIRECT(ADDRESS(134,25)))</f>
        <v>0</v>
      </c>
      <c r="Z135">
        <f>IF(DAY(NOW())&lt;M3,INDIRECT(ADDRESS(135,25))-INDIRECT(ADDRESS(130,26))+INDIRECT(ADDRESS(131,26))-INDIRECT(ADDRESS(134,26)),INDIRECT(ADDRESS(135,25))-INDIRECT(ADDRESS(130,26))+INDIRECT(ADDRESS(133,26))-INDIRECT(ADDRESS(134,26)))</f>
        <v>0</v>
      </c>
      <c r="AA135">
        <f>IF(DAY(NOW())&lt;M3,INDIRECT(ADDRESS(135,26))-INDIRECT(ADDRESS(130,27))+INDIRECT(ADDRESS(131,27))-INDIRECT(ADDRESS(134,27)),INDIRECT(ADDRESS(135,26))-INDIRECT(ADDRESS(130,27))+INDIRECT(ADDRESS(133,27))-INDIRECT(ADDRESS(134,27)))</f>
        <v>0</v>
      </c>
      <c r="AB135">
        <f>IF(DAY(NOW())&lt;M3,INDIRECT(ADDRESS(135,27))-INDIRECT(ADDRESS(130,28))+INDIRECT(ADDRESS(131,28))-INDIRECT(ADDRESS(134,28)),INDIRECT(ADDRESS(135,27))-INDIRECT(ADDRESS(130,28))+INDIRECT(ADDRESS(133,28))-INDIRECT(ADDRESS(134,28)))</f>
        <v>0</v>
      </c>
      <c r="AC135">
        <f>IF(DAY(NOW())&lt;M3,INDIRECT(ADDRESS(135,28))-INDIRECT(ADDRESS(130,29))+INDIRECT(ADDRESS(131,29))-INDIRECT(ADDRESS(134,29)),INDIRECT(ADDRESS(135,28))-INDIRECT(ADDRESS(130,29))+INDIRECT(ADDRESS(133,29))-INDIRECT(ADDRESS(134,29)))</f>
        <v>0</v>
      </c>
      <c r="AD135">
        <f>IF(DAY(NOW())&lt;M3,INDIRECT(ADDRESS(135,29))-INDIRECT(ADDRESS(130,30))+INDIRECT(ADDRESS(131,30))-INDIRECT(ADDRESS(134,30)),INDIRECT(ADDRESS(135,29))-INDIRECT(ADDRESS(130,30))+INDIRECT(ADDRESS(133,30))-INDIRECT(ADDRESS(134,30)))</f>
        <v>0</v>
      </c>
      <c r="AE135">
        <f>IF(DAY(NOW())&lt;M3,INDIRECT(ADDRESS(135,30))-INDIRECT(ADDRESS(130,31))+INDIRECT(ADDRESS(131,31))-INDIRECT(ADDRESS(134,31)),INDIRECT(ADDRESS(135,30))-INDIRECT(ADDRESS(130,31))+INDIRECT(ADDRESS(133,31))-INDIRECT(ADDRESS(134,31)))</f>
        <v>0</v>
      </c>
      <c r="AF135">
        <f>IF(DAY(NOW())&lt;M3,INDIRECT(ADDRESS(135,31))-INDIRECT(ADDRESS(130,32))+INDIRECT(ADDRESS(131,32))-INDIRECT(ADDRESS(134,32)),INDIRECT(ADDRESS(135,31))-INDIRECT(ADDRESS(130,32))+INDIRECT(ADDRESS(133,32))-INDIRECT(ADDRESS(134,32)))</f>
        <v>0</v>
      </c>
      <c r="AG135">
        <f>IF(DAY(NOW())&lt;M3,INDIRECT(ADDRESS(135,32))-INDIRECT(ADDRESS(130,33))+INDIRECT(ADDRESS(131,33))-INDIRECT(ADDRESS(134,33)),INDIRECT(ADDRESS(135,32))-INDIRECT(ADDRESS(130,33))+INDIRECT(ADDRESS(133,33))-INDIRECT(ADDRESS(134,33)))</f>
        <v>0</v>
      </c>
      <c r="AH135">
        <f>IF(DAY(NOW())&lt;M3,INDIRECT(ADDRESS(135,33))-INDIRECT(ADDRESS(130,34))+INDIRECT(ADDRESS(131,34))-INDIRECT(ADDRESS(134,34)),INDIRECT(ADDRESS(135,33))-INDIRECT(ADDRESS(130,34))+INDIRECT(ADDRESS(133,34))-INDIRECT(ADDRESS(134,34)))</f>
        <v>0</v>
      </c>
      <c r="AI135">
        <f>IF(DAY(NOW())&lt;M3,INDIRECT(ADDRESS(135,34))-INDIRECT(ADDRESS(130,35))+INDIRECT(ADDRESS(131,35))-INDIRECT(ADDRESS(134,35)),INDIRECT(ADDRESS(135,34))-INDIRECT(ADDRESS(130,35))+INDIRECT(ADDRESS(133,35))-INDIRECT(ADDRESS(134,35)))</f>
        <v>0</v>
      </c>
      <c r="AJ135">
        <f>IF(DAY(NOW())&lt;M3,INDIRECT(ADDRESS(135,35))-INDIRECT(ADDRESS(130,36))+INDIRECT(ADDRESS(131,36))-INDIRECT(ADDRESS(134,36)),INDIRECT(ADDRESS(135,35))-INDIRECT(ADDRESS(130,36))+INDIRECT(ADDRESS(133,36))-INDIRECT(ADDRESS(134,36)))</f>
        <v>0</v>
      </c>
      <c r="AK135">
        <f>IF(DAY(NOW())&lt;M3,INDIRECT(ADDRESS(135,36))-INDIRECT(ADDRESS(130,37))+INDIRECT(ADDRESS(131,37))-INDIRECT(ADDRESS(134,37)),INDIRECT(ADDRESS(135,36))-INDIRECT(ADDRESS(130,37))+INDIRECT(ADDRESS(133,37))-INDIRECT(ADDRESS(134,37)))</f>
        <v>0</v>
      </c>
      <c r="AL135">
        <f>IF(DAY(NOW())&lt;M3,INDIRECT(ADDRESS(135,37))-INDIRECT(ADDRESS(130,38))+INDIRECT(ADDRESS(131,38))-INDIRECT(ADDRESS(134,38)),INDIRECT(ADDRESS(135,37))-INDIRECT(ADDRESS(130,38))+INDIRECT(ADDRESS(133,38))-INDIRECT(ADDRESS(134,38)))</f>
        <v>0</v>
      </c>
      <c r="AM135">
        <f>IF(DAY(NOW())&lt;M3,INDIRECT(ADDRESS(135,38))-INDIRECT(ADDRESS(130,39))+INDIRECT(ADDRESS(131,39))-INDIRECT(ADDRESS(134,39)),INDIRECT(ADDRESS(135,38))-INDIRECT(ADDRESS(130,39))+INDIRECT(ADDRESS(133,39))-INDIRECT(ADDRESS(134,39)))</f>
        <v>0</v>
      </c>
      <c r="AN135">
        <f>IF(DAY(NOW())&lt;M3,INDIRECT(ADDRESS(135,39))-INDIRECT(ADDRESS(130,40))+INDIRECT(ADDRESS(131,40))-INDIRECT(ADDRESS(134,40)),INDIRECT(ADDRESS(135,39))-INDIRECT(ADDRESS(130,40))+INDIRECT(ADDRESS(133,40))-INDIRECT(ADDRESS(134,40)))</f>
        <v>0</v>
      </c>
      <c r="AO135">
        <f>IF(DAY(NOW())&lt;M3,INDIRECT(ADDRESS(135,40))-INDIRECT(ADDRESS(130,41))+INDIRECT(ADDRESS(131,41))-INDIRECT(ADDRESS(134,41)),INDIRECT(ADDRESS(135,40))-INDIRECT(ADDRESS(130,41))+INDIRECT(ADDRESS(133,41))-INDIRECT(ADDRESS(134,41)))</f>
        <v>0</v>
      </c>
      <c r="AP135">
        <f>IF(DAY(NOW())&lt;M3,INDIRECT(ADDRESS(135,41))-INDIRECT(ADDRESS(130,42))+INDIRECT(ADDRESS(131,42))-INDIRECT(ADDRESS(134,42)),INDIRECT(ADDRESS(135,41))-INDIRECT(ADDRESS(130,42))+INDIRECT(ADDRESS(133,42))-INDIRECT(ADDRESS(134,42)))</f>
        <v>0</v>
      </c>
      <c r="AQ135">
        <f>IF(DAY(NOW())&lt;M3,INDIRECT(ADDRESS(135,42))-INDIRECT(ADDRESS(130,43))+INDIRECT(ADDRESS(131,43))-INDIRECT(ADDRESS(134,43)),INDIRECT(ADDRESS(135,42))-INDIRECT(ADDRESS(130,43))+INDIRECT(ADDRESS(133,43))-INDIRECT(ADDRESS(134,43)))</f>
        <v>0</v>
      </c>
      <c r="AR135">
        <f>IF(DAY(NOW())&lt;M3,INDIRECT(ADDRESS(135,43))-INDIRECT(ADDRESS(130,44))+INDIRECT(ADDRESS(131,44))-INDIRECT(ADDRESS(134,44)),INDIRECT(ADDRESS(135,43))-INDIRECT(ADDRESS(130,44))+INDIRECT(ADDRESS(133,44))-INDIRECT(ADDRESS(134,44)))</f>
        <v>0</v>
      </c>
    </row>
    <row r="136" spans="1:76">
      <c r="A136" t="s">
        <v>31</v>
      </c>
      <c r="B136" t="s">
        <v>98</v>
      </c>
      <c r="C136" t="s">
        <v>99</v>
      </c>
      <c r="D136" t="s">
        <v>17</v>
      </c>
      <c r="E136">
        <v>1</v>
      </c>
      <c r="F136" t="s">
        <v>100</v>
      </c>
      <c r="H136" t="s">
        <v>35</v>
      </c>
      <c r="I136" t="s">
        <v>36</v>
      </c>
      <c r="K136" t="s">
        <v>20</v>
      </c>
      <c r="L136" t="s">
        <v>21</v>
      </c>
      <c r="M136">
        <f>sumifs(BOM!m:m,BOM!A:A,".1",BOM!B:B,"852-239000-200")</f>
        <v>0</v>
      </c>
      <c r="N136">
        <f>sumifs(BOM!n:n,BOM!A:A,".1",BOM!B:B,"852-239000-200")</f>
        <v>0</v>
      </c>
      <c r="O136">
        <f>sumifs(BOM!o:o,BOM!A:A,".1",BOM!B:B,"852-239000-200")</f>
        <v>0</v>
      </c>
      <c r="P136">
        <f>sumifs(BOM!p:p,BOM!A:A,".1",BOM!B:B,"852-239000-200")</f>
        <v>0</v>
      </c>
      <c r="Q136">
        <f>sumifs(BOM!q:q,BOM!A:A,".1",BOM!B:B,"852-239000-200")</f>
        <v>0</v>
      </c>
      <c r="R136">
        <f>sumifs(BOM!r:r,BOM!A:A,".1",BOM!B:B,"852-239000-200")</f>
        <v>0</v>
      </c>
      <c r="S136">
        <f>sumifs(BOM!s:s,BOM!A:A,".1",BOM!B:B,"852-239000-200")</f>
        <v>0</v>
      </c>
      <c r="T136">
        <f>sumifs(BOM!t:t,BOM!A:A,".1",BOM!B:B,"852-239000-200")</f>
        <v>0</v>
      </c>
      <c r="U136">
        <f>sumifs(BOM!u:u,BOM!A:A,".1",BOM!B:B,"852-239000-200")</f>
        <v>0</v>
      </c>
      <c r="V136">
        <f>sumifs(BOM!v:v,BOM!A:A,".1",BOM!B:B,"852-239000-200")</f>
        <v>0</v>
      </c>
      <c r="W136">
        <f>sumifs(BOM!w:w,BOM!A:A,".1",BOM!B:B,"852-239000-200")</f>
        <v>0</v>
      </c>
      <c r="X136">
        <f>sumifs(BOM!x:x,BOM!A:A,".1",BOM!B:B,"852-239000-200")</f>
        <v>0</v>
      </c>
      <c r="Y136">
        <f>sumifs(BOM!y:y,BOM!A:A,".1",BOM!B:B,"852-239000-200")</f>
        <v>0</v>
      </c>
      <c r="Z136">
        <f>sumifs(BOM!z:z,BOM!A:A,".1",BOM!B:B,"852-239000-200")</f>
        <v>0</v>
      </c>
      <c r="AA136">
        <f>sumifs(BOM!aa:aa,BOM!A:A,".1",BOM!B:B,"852-239000-200")</f>
        <v>0</v>
      </c>
      <c r="AB136">
        <f>sumifs(BOM!ab:ab,BOM!A:A,".1",BOM!B:B,"852-239000-200")</f>
        <v>0</v>
      </c>
      <c r="AC136">
        <f>sumifs(BOM!ac:ac,BOM!A:A,".1",BOM!B:B,"852-239000-200")</f>
        <v>0</v>
      </c>
      <c r="AD136">
        <f>sumifs(BOM!ad:ad,BOM!A:A,".1",BOM!B:B,"852-239000-200")</f>
        <v>0</v>
      </c>
      <c r="AE136">
        <f>sumifs(BOM!ae:ae,BOM!A:A,".1",BOM!B:B,"852-239000-200")</f>
        <v>0</v>
      </c>
      <c r="AF136">
        <f>sumifs(BOM!af:af,BOM!A:A,".1",BOM!B:B,"852-239000-200")</f>
        <v>0</v>
      </c>
      <c r="AG136">
        <f>sumifs(BOM!ag:ag,BOM!A:A,".1",BOM!B:B,"852-239000-200")</f>
        <v>0</v>
      </c>
      <c r="AH136">
        <f>sumifs(BOM!ah:ah,BOM!A:A,".1",BOM!B:B,"852-239000-200")</f>
        <v>0</v>
      </c>
      <c r="AI136">
        <f>sumifs(BOM!ai:ai,BOM!A:A,".1",BOM!B:B,"852-239000-200")</f>
        <v>0</v>
      </c>
      <c r="AJ136">
        <f>sumifs(BOM!aj:aj,BOM!A:A,".1",BOM!B:B,"852-239000-200")</f>
        <v>0</v>
      </c>
      <c r="AK136">
        <f>sumifs(BOM!ak:ak,BOM!A:A,".1",BOM!B:B,"852-239000-200")</f>
        <v>0</v>
      </c>
      <c r="AL136">
        <f>sumifs(BOM!al:al,BOM!A:A,".1",BOM!B:B,"852-239000-200")</f>
        <v>0</v>
      </c>
      <c r="AM136">
        <f>sumifs(BOM!am:am,BOM!A:A,".1",BOM!B:B,"852-239000-200")</f>
        <v>0</v>
      </c>
      <c r="AN136">
        <f>sumifs(BOM!an:an,BOM!A:A,".1",BOM!B:B,"852-239000-200")</f>
        <v>0</v>
      </c>
      <c r="AO136">
        <f>sumifs(BOM!ao:ao,BOM!A:A,".1",BOM!B:B,"852-239000-200")</f>
        <v>0</v>
      </c>
      <c r="AP136">
        <f>sumifs(BOM!ap:ap,BOM!A:A,".1",BOM!B:B,"852-239000-200")</f>
        <v>0</v>
      </c>
      <c r="AQ136">
        <f>sumifs(BOM!aq:aq,BOM!A:A,".1",BOM!B:B,"852-239000-200")</f>
        <v>0</v>
      </c>
      <c r="AR136">
        <f>sumifs(BOM!ar:ar,BOM!A:A,".1",BOM!B:B,"852-239000-200")</f>
        <v>0</v>
      </c>
      <c r="BX136">
        <f>sum(j136:an136)</f>
        <v>0</v>
      </c>
    </row>
    <row r="137" spans="1:76">
      <c r="A137" t="s">
        <v>31</v>
      </c>
      <c r="B137" t="s">
        <v>98</v>
      </c>
      <c r="C137" t="s">
        <v>99</v>
      </c>
      <c r="D137" t="s">
        <v>17</v>
      </c>
      <c r="E137">
        <v>1</v>
      </c>
      <c r="F137" t="s">
        <v>100</v>
      </c>
      <c r="H137" t="s">
        <v>35</v>
      </c>
      <c r="I137" t="s">
        <v>36</v>
      </c>
      <c r="K137" t="s">
        <v>20</v>
      </c>
      <c r="L137" t="s">
        <v>37</v>
      </c>
    </row>
    <row r="138" spans="1:76">
      <c r="L138" t="s">
        <v>662</v>
      </c>
    </row>
    <row r="139" spans="1:76">
      <c r="L139" t="s">
        <v>663</v>
      </c>
    </row>
    <row r="140" spans="1:76">
      <c r="L140" t="s">
        <v>664</v>
      </c>
    </row>
    <row r="141" spans="1:76">
      <c r="L141" t="s">
        <v>665</v>
      </c>
      <c r="M141">
        <f>IF(DAY(NOW())&lt;M3,INDIRECT(ADDRESS(141,7))-INDIRECT(ADDRESS(136,13))+INDIRECT(ADDRESS(137,13))-INDIRECT(ADDRESS(140,13)),INDIRECT(ADDRESS(141,7))-INDIRECT(ADDRESS(136,13))+INDIRECT(ADDRESS(139,13))-INDIRECT(ADDRESS(140,13)))</f>
        <v>0</v>
      </c>
      <c r="N141">
        <f>IF(DAY(NOW())&lt;M3,INDIRECT(ADDRESS(141,13))-INDIRECT(ADDRESS(136,14))+INDIRECT(ADDRESS(137,14))-INDIRECT(ADDRESS(140,14)),INDIRECT(ADDRESS(141,13))-INDIRECT(ADDRESS(136,14))+INDIRECT(ADDRESS(139,14))-INDIRECT(ADDRESS(140,14)))</f>
        <v>0</v>
      </c>
      <c r="O141">
        <f>IF(DAY(NOW())&lt;M3,INDIRECT(ADDRESS(141,14))-INDIRECT(ADDRESS(136,15))+INDIRECT(ADDRESS(137,15))-INDIRECT(ADDRESS(140,15)),INDIRECT(ADDRESS(141,14))-INDIRECT(ADDRESS(136,15))+INDIRECT(ADDRESS(139,15))-INDIRECT(ADDRESS(140,15)))</f>
        <v>0</v>
      </c>
      <c r="P141">
        <f>IF(DAY(NOW())&lt;M3,INDIRECT(ADDRESS(141,15))-INDIRECT(ADDRESS(136,16))+INDIRECT(ADDRESS(137,16))-INDIRECT(ADDRESS(140,16)),INDIRECT(ADDRESS(141,15))-INDIRECT(ADDRESS(136,16))+INDIRECT(ADDRESS(139,16))-INDIRECT(ADDRESS(140,16)))</f>
        <v>0</v>
      </c>
      <c r="Q141">
        <f>IF(DAY(NOW())&lt;M3,INDIRECT(ADDRESS(141,16))-INDIRECT(ADDRESS(136,17))+INDIRECT(ADDRESS(137,17))-INDIRECT(ADDRESS(140,17)),INDIRECT(ADDRESS(141,16))-INDIRECT(ADDRESS(136,17))+INDIRECT(ADDRESS(139,17))-INDIRECT(ADDRESS(140,17)))</f>
        <v>0</v>
      </c>
      <c r="R141">
        <f>IF(DAY(NOW())&lt;M3,INDIRECT(ADDRESS(141,17))-INDIRECT(ADDRESS(136,18))+INDIRECT(ADDRESS(137,18))-INDIRECT(ADDRESS(140,18)),INDIRECT(ADDRESS(141,17))-INDIRECT(ADDRESS(136,18))+INDIRECT(ADDRESS(139,18))-INDIRECT(ADDRESS(140,18)))</f>
        <v>0</v>
      </c>
      <c r="S141">
        <f>IF(DAY(NOW())&lt;M3,INDIRECT(ADDRESS(141,18))-INDIRECT(ADDRESS(136,19))+INDIRECT(ADDRESS(137,19))-INDIRECT(ADDRESS(140,19)),INDIRECT(ADDRESS(141,18))-INDIRECT(ADDRESS(136,19))+INDIRECT(ADDRESS(139,19))-INDIRECT(ADDRESS(140,19)))</f>
        <v>0</v>
      </c>
      <c r="T141">
        <f>IF(DAY(NOW())&lt;M3,INDIRECT(ADDRESS(141,19))-INDIRECT(ADDRESS(136,20))+INDIRECT(ADDRESS(137,20))-INDIRECT(ADDRESS(140,20)),INDIRECT(ADDRESS(141,19))-INDIRECT(ADDRESS(136,20))+INDIRECT(ADDRESS(139,20))-INDIRECT(ADDRESS(140,20)))</f>
        <v>0</v>
      </c>
      <c r="U141">
        <f>IF(DAY(NOW())&lt;M3,INDIRECT(ADDRESS(141,20))-INDIRECT(ADDRESS(136,21))+INDIRECT(ADDRESS(137,21))-INDIRECT(ADDRESS(140,21)),INDIRECT(ADDRESS(141,20))-INDIRECT(ADDRESS(136,21))+INDIRECT(ADDRESS(139,21))-INDIRECT(ADDRESS(140,21)))</f>
        <v>0</v>
      </c>
      <c r="V141">
        <f>IF(DAY(NOW())&lt;M3,INDIRECT(ADDRESS(141,21))-INDIRECT(ADDRESS(136,22))+INDIRECT(ADDRESS(137,22))-INDIRECT(ADDRESS(140,22)),INDIRECT(ADDRESS(141,21))-INDIRECT(ADDRESS(136,22))+INDIRECT(ADDRESS(139,22))-INDIRECT(ADDRESS(140,22)))</f>
        <v>0</v>
      </c>
      <c r="W141">
        <f>IF(DAY(NOW())&lt;M3,INDIRECT(ADDRESS(141,22))-INDIRECT(ADDRESS(136,23))+INDIRECT(ADDRESS(137,23))-INDIRECT(ADDRESS(140,23)),INDIRECT(ADDRESS(141,22))-INDIRECT(ADDRESS(136,23))+INDIRECT(ADDRESS(139,23))-INDIRECT(ADDRESS(140,23)))</f>
        <v>0</v>
      </c>
      <c r="X141">
        <f>IF(DAY(NOW())&lt;M3,INDIRECT(ADDRESS(141,23))-INDIRECT(ADDRESS(136,24))+INDIRECT(ADDRESS(137,24))-INDIRECT(ADDRESS(140,24)),INDIRECT(ADDRESS(141,23))-INDIRECT(ADDRESS(136,24))+INDIRECT(ADDRESS(139,24))-INDIRECT(ADDRESS(140,24)))</f>
        <v>0</v>
      </c>
      <c r="Y141">
        <f>IF(DAY(NOW())&lt;M3,INDIRECT(ADDRESS(141,24))-INDIRECT(ADDRESS(136,25))+INDIRECT(ADDRESS(137,25))-INDIRECT(ADDRESS(140,25)),INDIRECT(ADDRESS(141,24))-INDIRECT(ADDRESS(136,25))+INDIRECT(ADDRESS(139,25))-INDIRECT(ADDRESS(140,25)))</f>
        <v>0</v>
      </c>
      <c r="Z141">
        <f>IF(DAY(NOW())&lt;M3,INDIRECT(ADDRESS(141,25))-INDIRECT(ADDRESS(136,26))+INDIRECT(ADDRESS(137,26))-INDIRECT(ADDRESS(140,26)),INDIRECT(ADDRESS(141,25))-INDIRECT(ADDRESS(136,26))+INDIRECT(ADDRESS(139,26))-INDIRECT(ADDRESS(140,26)))</f>
        <v>0</v>
      </c>
      <c r="AA141">
        <f>IF(DAY(NOW())&lt;M3,INDIRECT(ADDRESS(141,26))-INDIRECT(ADDRESS(136,27))+INDIRECT(ADDRESS(137,27))-INDIRECT(ADDRESS(140,27)),INDIRECT(ADDRESS(141,26))-INDIRECT(ADDRESS(136,27))+INDIRECT(ADDRESS(139,27))-INDIRECT(ADDRESS(140,27)))</f>
        <v>0</v>
      </c>
      <c r="AB141">
        <f>IF(DAY(NOW())&lt;M3,INDIRECT(ADDRESS(141,27))-INDIRECT(ADDRESS(136,28))+INDIRECT(ADDRESS(137,28))-INDIRECT(ADDRESS(140,28)),INDIRECT(ADDRESS(141,27))-INDIRECT(ADDRESS(136,28))+INDIRECT(ADDRESS(139,28))-INDIRECT(ADDRESS(140,28)))</f>
        <v>0</v>
      </c>
      <c r="AC141">
        <f>IF(DAY(NOW())&lt;M3,INDIRECT(ADDRESS(141,28))-INDIRECT(ADDRESS(136,29))+INDIRECT(ADDRESS(137,29))-INDIRECT(ADDRESS(140,29)),INDIRECT(ADDRESS(141,28))-INDIRECT(ADDRESS(136,29))+INDIRECT(ADDRESS(139,29))-INDIRECT(ADDRESS(140,29)))</f>
        <v>0</v>
      </c>
      <c r="AD141">
        <f>IF(DAY(NOW())&lt;M3,INDIRECT(ADDRESS(141,29))-INDIRECT(ADDRESS(136,30))+INDIRECT(ADDRESS(137,30))-INDIRECT(ADDRESS(140,30)),INDIRECT(ADDRESS(141,29))-INDIRECT(ADDRESS(136,30))+INDIRECT(ADDRESS(139,30))-INDIRECT(ADDRESS(140,30)))</f>
        <v>0</v>
      </c>
      <c r="AE141">
        <f>IF(DAY(NOW())&lt;M3,INDIRECT(ADDRESS(141,30))-INDIRECT(ADDRESS(136,31))+INDIRECT(ADDRESS(137,31))-INDIRECT(ADDRESS(140,31)),INDIRECT(ADDRESS(141,30))-INDIRECT(ADDRESS(136,31))+INDIRECT(ADDRESS(139,31))-INDIRECT(ADDRESS(140,31)))</f>
        <v>0</v>
      </c>
      <c r="AF141">
        <f>IF(DAY(NOW())&lt;M3,INDIRECT(ADDRESS(141,31))-INDIRECT(ADDRESS(136,32))+INDIRECT(ADDRESS(137,32))-INDIRECT(ADDRESS(140,32)),INDIRECT(ADDRESS(141,31))-INDIRECT(ADDRESS(136,32))+INDIRECT(ADDRESS(139,32))-INDIRECT(ADDRESS(140,32)))</f>
        <v>0</v>
      </c>
      <c r="AG141">
        <f>IF(DAY(NOW())&lt;M3,INDIRECT(ADDRESS(141,32))-INDIRECT(ADDRESS(136,33))+INDIRECT(ADDRESS(137,33))-INDIRECT(ADDRESS(140,33)),INDIRECT(ADDRESS(141,32))-INDIRECT(ADDRESS(136,33))+INDIRECT(ADDRESS(139,33))-INDIRECT(ADDRESS(140,33)))</f>
        <v>0</v>
      </c>
      <c r="AH141">
        <f>IF(DAY(NOW())&lt;M3,INDIRECT(ADDRESS(141,33))-INDIRECT(ADDRESS(136,34))+INDIRECT(ADDRESS(137,34))-INDIRECT(ADDRESS(140,34)),INDIRECT(ADDRESS(141,33))-INDIRECT(ADDRESS(136,34))+INDIRECT(ADDRESS(139,34))-INDIRECT(ADDRESS(140,34)))</f>
        <v>0</v>
      </c>
      <c r="AI141">
        <f>IF(DAY(NOW())&lt;M3,INDIRECT(ADDRESS(141,34))-INDIRECT(ADDRESS(136,35))+INDIRECT(ADDRESS(137,35))-INDIRECT(ADDRESS(140,35)),INDIRECT(ADDRESS(141,34))-INDIRECT(ADDRESS(136,35))+INDIRECT(ADDRESS(139,35))-INDIRECT(ADDRESS(140,35)))</f>
        <v>0</v>
      </c>
      <c r="AJ141">
        <f>IF(DAY(NOW())&lt;M3,INDIRECT(ADDRESS(141,35))-INDIRECT(ADDRESS(136,36))+INDIRECT(ADDRESS(137,36))-INDIRECT(ADDRESS(140,36)),INDIRECT(ADDRESS(141,35))-INDIRECT(ADDRESS(136,36))+INDIRECT(ADDRESS(139,36))-INDIRECT(ADDRESS(140,36)))</f>
        <v>0</v>
      </c>
      <c r="AK141">
        <f>IF(DAY(NOW())&lt;M3,INDIRECT(ADDRESS(141,36))-INDIRECT(ADDRESS(136,37))+INDIRECT(ADDRESS(137,37))-INDIRECT(ADDRESS(140,37)),INDIRECT(ADDRESS(141,36))-INDIRECT(ADDRESS(136,37))+INDIRECT(ADDRESS(139,37))-INDIRECT(ADDRESS(140,37)))</f>
        <v>0</v>
      </c>
      <c r="AL141">
        <f>IF(DAY(NOW())&lt;M3,INDIRECT(ADDRESS(141,37))-INDIRECT(ADDRESS(136,38))+INDIRECT(ADDRESS(137,38))-INDIRECT(ADDRESS(140,38)),INDIRECT(ADDRESS(141,37))-INDIRECT(ADDRESS(136,38))+INDIRECT(ADDRESS(139,38))-INDIRECT(ADDRESS(140,38)))</f>
        <v>0</v>
      </c>
      <c r="AM141">
        <f>IF(DAY(NOW())&lt;M3,INDIRECT(ADDRESS(141,38))-INDIRECT(ADDRESS(136,39))+INDIRECT(ADDRESS(137,39))-INDIRECT(ADDRESS(140,39)),INDIRECT(ADDRESS(141,38))-INDIRECT(ADDRESS(136,39))+INDIRECT(ADDRESS(139,39))-INDIRECT(ADDRESS(140,39)))</f>
        <v>0</v>
      </c>
      <c r="AN141">
        <f>IF(DAY(NOW())&lt;M3,INDIRECT(ADDRESS(141,39))-INDIRECT(ADDRESS(136,40))+INDIRECT(ADDRESS(137,40))-INDIRECT(ADDRESS(140,40)),INDIRECT(ADDRESS(141,39))-INDIRECT(ADDRESS(136,40))+INDIRECT(ADDRESS(139,40))-INDIRECT(ADDRESS(140,40)))</f>
        <v>0</v>
      </c>
      <c r="AO141">
        <f>IF(DAY(NOW())&lt;M3,INDIRECT(ADDRESS(141,40))-INDIRECT(ADDRESS(136,41))+INDIRECT(ADDRESS(137,41))-INDIRECT(ADDRESS(140,41)),INDIRECT(ADDRESS(141,40))-INDIRECT(ADDRESS(136,41))+INDIRECT(ADDRESS(139,41))-INDIRECT(ADDRESS(140,41)))</f>
        <v>0</v>
      </c>
      <c r="AP141">
        <f>IF(DAY(NOW())&lt;M3,INDIRECT(ADDRESS(141,41))-INDIRECT(ADDRESS(136,42))+INDIRECT(ADDRESS(137,42))-INDIRECT(ADDRESS(140,42)),INDIRECT(ADDRESS(141,41))-INDIRECT(ADDRESS(136,42))+INDIRECT(ADDRESS(139,42))-INDIRECT(ADDRESS(140,42)))</f>
        <v>0</v>
      </c>
      <c r="AQ141">
        <f>IF(DAY(NOW())&lt;M3,INDIRECT(ADDRESS(141,42))-INDIRECT(ADDRESS(136,43))+INDIRECT(ADDRESS(137,43))-INDIRECT(ADDRESS(140,43)),INDIRECT(ADDRESS(141,42))-INDIRECT(ADDRESS(136,43))+INDIRECT(ADDRESS(139,43))-INDIRECT(ADDRESS(140,43)))</f>
        <v>0</v>
      </c>
      <c r="AR141">
        <f>IF(DAY(NOW())&lt;M3,INDIRECT(ADDRESS(141,43))-INDIRECT(ADDRESS(136,44))+INDIRECT(ADDRESS(137,44))-INDIRECT(ADDRESS(140,44)),INDIRECT(ADDRESS(141,43))-INDIRECT(ADDRESS(136,44))+INDIRECT(ADDRESS(139,44))-INDIRECT(ADDRESS(140,44)))</f>
        <v>0</v>
      </c>
    </row>
    <row r="142" spans="1:76">
      <c r="A142" t="s">
        <v>14</v>
      </c>
      <c r="B142" t="s">
        <v>101</v>
      </c>
      <c r="C142" t="s">
        <v>102</v>
      </c>
      <c r="D142" t="s">
        <v>46</v>
      </c>
      <c r="E142">
        <v>1</v>
      </c>
      <c r="F142" t="s">
        <v>103</v>
      </c>
      <c r="H142" t="s">
        <v>104</v>
      </c>
      <c r="I142">
        <v>20</v>
      </c>
      <c r="K142" t="s">
        <v>20</v>
      </c>
      <c r="L142" t="s">
        <v>21</v>
      </c>
      <c r="BX142">
        <f>sum(j142:an142)</f>
        <v>0</v>
      </c>
    </row>
    <row r="143" spans="1:76">
      <c r="A143" t="s">
        <v>14</v>
      </c>
      <c r="B143" t="s">
        <v>101</v>
      </c>
      <c r="C143" t="s">
        <v>102</v>
      </c>
      <c r="D143" t="s">
        <v>46</v>
      </c>
      <c r="E143">
        <v>1</v>
      </c>
      <c r="F143" t="s">
        <v>103</v>
      </c>
      <c r="H143" t="s">
        <v>104</v>
      </c>
      <c r="I143">
        <v>20</v>
      </c>
      <c r="K143" t="s">
        <v>20</v>
      </c>
      <c r="L143" t="s">
        <v>37</v>
      </c>
    </row>
    <row r="144" spans="1:76">
      <c r="L144" t="s">
        <v>662</v>
      </c>
    </row>
    <row r="145" spans="1:76">
      <c r="L145" t="s">
        <v>663</v>
      </c>
    </row>
    <row r="146" spans="1:76">
      <c r="L146" t="s">
        <v>664</v>
      </c>
    </row>
    <row r="147" spans="1:76">
      <c r="L147" t="s">
        <v>665</v>
      </c>
      <c r="M147">
        <f>IF(DAY(NOW())&lt;M3,INDIRECT(ADDRESS(147,7))-INDIRECT(ADDRESS(142,13))+INDIRECT(ADDRESS(143,13))-INDIRECT(ADDRESS(146,13)),INDIRECT(ADDRESS(147,7))-INDIRECT(ADDRESS(142,13))+INDIRECT(ADDRESS(145,13))-INDIRECT(ADDRESS(146,13)))</f>
        <v>0</v>
      </c>
      <c r="N147">
        <f>IF(DAY(NOW())&lt;M3,INDIRECT(ADDRESS(147,13))-INDIRECT(ADDRESS(142,14))+INDIRECT(ADDRESS(143,14))-INDIRECT(ADDRESS(146,14)),INDIRECT(ADDRESS(147,13))-INDIRECT(ADDRESS(142,14))+INDIRECT(ADDRESS(145,14))-INDIRECT(ADDRESS(146,14)))</f>
        <v>0</v>
      </c>
      <c r="O147">
        <f>IF(DAY(NOW())&lt;M3,INDIRECT(ADDRESS(147,14))-INDIRECT(ADDRESS(142,15))+INDIRECT(ADDRESS(143,15))-INDIRECT(ADDRESS(146,15)),INDIRECT(ADDRESS(147,14))-INDIRECT(ADDRESS(142,15))+INDIRECT(ADDRESS(145,15))-INDIRECT(ADDRESS(146,15)))</f>
        <v>0</v>
      </c>
      <c r="P147">
        <f>IF(DAY(NOW())&lt;M3,INDIRECT(ADDRESS(147,15))-INDIRECT(ADDRESS(142,16))+INDIRECT(ADDRESS(143,16))-INDIRECT(ADDRESS(146,16)),INDIRECT(ADDRESS(147,15))-INDIRECT(ADDRESS(142,16))+INDIRECT(ADDRESS(145,16))-INDIRECT(ADDRESS(146,16)))</f>
        <v>0</v>
      </c>
      <c r="Q147">
        <f>IF(DAY(NOW())&lt;M3,INDIRECT(ADDRESS(147,16))-INDIRECT(ADDRESS(142,17))+INDIRECT(ADDRESS(143,17))-INDIRECT(ADDRESS(146,17)),INDIRECT(ADDRESS(147,16))-INDIRECT(ADDRESS(142,17))+INDIRECT(ADDRESS(145,17))-INDIRECT(ADDRESS(146,17)))</f>
        <v>0</v>
      </c>
      <c r="R147">
        <f>IF(DAY(NOW())&lt;M3,INDIRECT(ADDRESS(147,17))-INDIRECT(ADDRESS(142,18))+INDIRECT(ADDRESS(143,18))-INDIRECT(ADDRESS(146,18)),INDIRECT(ADDRESS(147,17))-INDIRECT(ADDRESS(142,18))+INDIRECT(ADDRESS(145,18))-INDIRECT(ADDRESS(146,18)))</f>
        <v>0</v>
      </c>
      <c r="S147">
        <f>IF(DAY(NOW())&lt;M3,INDIRECT(ADDRESS(147,18))-INDIRECT(ADDRESS(142,19))+INDIRECT(ADDRESS(143,19))-INDIRECT(ADDRESS(146,19)),INDIRECT(ADDRESS(147,18))-INDIRECT(ADDRESS(142,19))+INDIRECT(ADDRESS(145,19))-INDIRECT(ADDRESS(146,19)))</f>
        <v>0</v>
      </c>
      <c r="T147">
        <f>IF(DAY(NOW())&lt;M3,INDIRECT(ADDRESS(147,19))-INDIRECT(ADDRESS(142,20))+INDIRECT(ADDRESS(143,20))-INDIRECT(ADDRESS(146,20)),INDIRECT(ADDRESS(147,19))-INDIRECT(ADDRESS(142,20))+INDIRECT(ADDRESS(145,20))-INDIRECT(ADDRESS(146,20)))</f>
        <v>0</v>
      </c>
      <c r="U147">
        <f>IF(DAY(NOW())&lt;M3,INDIRECT(ADDRESS(147,20))-INDIRECT(ADDRESS(142,21))+INDIRECT(ADDRESS(143,21))-INDIRECT(ADDRESS(146,21)),INDIRECT(ADDRESS(147,20))-INDIRECT(ADDRESS(142,21))+INDIRECT(ADDRESS(145,21))-INDIRECT(ADDRESS(146,21)))</f>
        <v>0</v>
      </c>
      <c r="V147">
        <f>IF(DAY(NOW())&lt;M3,INDIRECT(ADDRESS(147,21))-INDIRECT(ADDRESS(142,22))+INDIRECT(ADDRESS(143,22))-INDIRECT(ADDRESS(146,22)),INDIRECT(ADDRESS(147,21))-INDIRECT(ADDRESS(142,22))+INDIRECT(ADDRESS(145,22))-INDIRECT(ADDRESS(146,22)))</f>
        <v>0</v>
      </c>
      <c r="W147">
        <f>IF(DAY(NOW())&lt;M3,INDIRECT(ADDRESS(147,22))-INDIRECT(ADDRESS(142,23))+INDIRECT(ADDRESS(143,23))-INDIRECT(ADDRESS(146,23)),INDIRECT(ADDRESS(147,22))-INDIRECT(ADDRESS(142,23))+INDIRECT(ADDRESS(145,23))-INDIRECT(ADDRESS(146,23)))</f>
        <v>0</v>
      </c>
      <c r="X147">
        <f>IF(DAY(NOW())&lt;M3,INDIRECT(ADDRESS(147,23))-INDIRECT(ADDRESS(142,24))+INDIRECT(ADDRESS(143,24))-INDIRECT(ADDRESS(146,24)),INDIRECT(ADDRESS(147,23))-INDIRECT(ADDRESS(142,24))+INDIRECT(ADDRESS(145,24))-INDIRECT(ADDRESS(146,24)))</f>
        <v>0</v>
      </c>
      <c r="Y147">
        <f>IF(DAY(NOW())&lt;M3,INDIRECT(ADDRESS(147,24))-INDIRECT(ADDRESS(142,25))+INDIRECT(ADDRESS(143,25))-INDIRECT(ADDRESS(146,25)),INDIRECT(ADDRESS(147,24))-INDIRECT(ADDRESS(142,25))+INDIRECT(ADDRESS(145,25))-INDIRECT(ADDRESS(146,25)))</f>
        <v>0</v>
      </c>
      <c r="Z147">
        <f>IF(DAY(NOW())&lt;M3,INDIRECT(ADDRESS(147,25))-INDIRECT(ADDRESS(142,26))+INDIRECT(ADDRESS(143,26))-INDIRECT(ADDRESS(146,26)),INDIRECT(ADDRESS(147,25))-INDIRECT(ADDRESS(142,26))+INDIRECT(ADDRESS(145,26))-INDIRECT(ADDRESS(146,26)))</f>
        <v>0</v>
      </c>
      <c r="AA147">
        <f>IF(DAY(NOW())&lt;M3,INDIRECT(ADDRESS(147,26))-INDIRECT(ADDRESS(142,27))+INDIRECT(ADDRESS(143,27))-INDIRECT(ADDRESS(146,27)),INDIRECT(ADDRESS(147,26))-INDIRECT(ADDRESS(142,27))+INDIRECT(ADDRESS(145,27))-INDIRECT(ADDRESS(146,27)))</f>
        <v>0</v>
      </c>
      <c r="AB147">
        <f>IF(DAY(NOW())&lt;M3,INDIRECT(ADDRESS(147,27))-INDIRECT(ADDRESS(142,28))+INDIRECT(ADDRESS(143,28))-INDIRECT(ADDRESS(146,28)),INDIRECT(ADDRESS(147,27))-INDIRECT(ADDRESS(142,28))+INDIRECT(ADDRESS(145,28))-INDIRECT(ADDRESS(146,28)))</f>
        <v>0</v>
      </c>
      <c r="AC147">
        <f>IF(DAY(NOW())&lt;M3,INDIRECT(ADDRESS(147,28))-INDIRECT(ADDRESS(142,29))+INDIRECT(ADDRESS(143,29))-INDIRECT(ADDRESS(146,29)),INDIRECT(ADDRESS(147,28))-INDIRECT(ADDRESS(142,29))+INDIRECT(ADDRESS(145,29))-INDIRECT(ADDRESS(146,29)))</f>
        <v>0</v>
      </c>
      <c r="AD147">
        <f>IF(DAY(NOW())&lt;M3,INDIRECT(ADDRESS(147,29))-INDIRECT(ADDRESS(142,30))+INDIRECT(ADDRESS(143,30))-INDIRECT(ADDRESS(146,30)),INDIRECT(ADDRESS(147,29))-INDIRECT(ADDRESS(142,30))+INDIRECT(ADDRESS(145,30))-INDIRECT(ADDRESS(146,30)))</f>
        <v>0</v>
      </c>
      <c r="AE147">
        <f>IF(DAY(NOW())&lt;M3,INDIRECT(ADDRESS(147,30))-INDIRECT(ADDRESS(142,31))+INDIRECT(ADDRESS(143,31))-INDIRECT(ADDRESS(146,31)),INDIRECT(ADDRESS(147,30))-INDIRECT(ADDRESS(142,31))+INDIRECT(ADDRESS(145,31))-INDIRECT(ADDRESS(146,31)))</f>
        <v>0</v>
      </c>
      <c r="AF147">
        <f>IF(DAY(NOW())&lt;M3,INDIRECT(ADDRESS(147,31))-INDIRECT(ADDRESS(142,32))+INDIRECT(ADDRESS(143,32))-INDIRECT(ADDRESS(146,32)),INDIRECT(ADDRESS(147,31))-INDIRECT(ADDRESS(142,32))+INDIRECT(ADDRESS(145,32))-INDIRECT(ADDRESS(146,32)))</f>
        <v>0</v>
      </c>
      <c r="AG147">
        <f>IF(DAY(NOW())&lt;M3,INDIRECT(ADDRESS(147,32))-INDIRECT(ADDRESS(142,33))+INDIRECT(ADDRESS(143,33))-INDIRECT(ADDRESS(146,33)),INDIRECT(ADDRESS(147,32))-INDIRECT(ADDRESS(142,33))+INDIRECT(ADDRESS(145,33))-INDIRECT(ADDRESS(146,33)))</f>
        <v>0</v>
      </c>
      <c r="AH147">
        <f>IF(DAY(NOW())&lt;M3,INDIRECT(ADDRESS(147,33))-INDIRECT(ADDRESS(142,34))+INDIRECT(ADDRESS(143,34))-INDIRECT(ADDRESS(146,34)),INDIRECT(ADDRESS(147,33))-INDIRECT(ADDRESS(142,34))+INDIRECT(ADDRESS(145,34))-INDIRECT(ADDRESS(146,34)))</f>
        <v>0</v>
      </c>
      <c r="AI147">
        <f>IF(DAY(NOW())&lt;M3,INDIRECT(ADDRESS(147,34))-INDIRECT(ADDRESS(142,35))+INDIRECT(ADDRESS(143,35))-INDIRECT(ADDRESS(146,35)),INDIRECT(ADDRESS(147,34))-INDIRECT(ADDRESS(142,35))+INDIRECT(ADDRESS(145,35))-INDIRECT(ADDRESS(146,35)))</f>
        <v>0</v>
      </c>
      <c r="AJ147">
        <f>IF(DAY(NOW())&lt;M3,INDIRECT(ADDRESS(147,35))-INDIRECT(ADDRESS(142,36))+INDIRECT(ADDRESS(143,36))-INDIRECT(ADDRESS(146,36)),INDIRECT(ADDRESS(147,35))-INDIRECT(ADDRESS(142,36))+INDIRECT(ADDRESS(145,36))-INDIRECT(ADDRESS(146,36)))</f>
        <v>0</v>
      </c>
      <c r="AK147">
        <f>IF(DAY(NOW())&lt;M3,INDIRECT(ADDRESS(147,36))-INDIRECT(ADDRESS(142,37))+INDIRECT(ADDRESS(143,37))-INDIRECT(ADDRESS(146,37)),INDIRECT(ADDRESS(147,36))-INDIRECT(ADDRESS(142,37))+INDIRECT(ADDRESS(145,37))-INDIRECT(ADDRESS(146,37)))</f>
        <v>0</v>
      </c>
      <c r="AL147">
        <f>IF(DAY(NOW())&lt;M3,INDIRECT(ADDRESS(147,37))-INDIRECT(ADDRESS(142,38))+INDIRECT(ADDRESS(143,38))-INDIRECT(ADDRESS(146,38)),INDIRECT(ADDRESS(147,37))-INDIRECT(ADDRESS(142,38))+INDIRECT(ADDRESS(145,38))-INDIRECT(ADDRESS(146,38)))</f>
        <v>0</v>
      </c>
      <c r="AM147">
        <f>IF(DAY(NOW())&lt;M3,INDIRECT(ADDRESS(147,38))-INDIRECT(ADDRESS(142,39))+INDIRECT(ADDRESS(143,39))-INDIRECT(ADDRESS(146,39)),INDIRECT(ADDRESS(147,38))-INDIRECT(ADDRESS(142,39))+INDIRECT(ADDRESS(145,39))-INDIRECT(ADDRESS(146,39)))</f>
        <v>0</v>
      </c>
      <c r="AN147">
        <f>IF(DAY(NOW())&lt;M3,INDIRECT(ADDRESS(147,39))-INDIRECT(ADDRESS(142,40))+INDIRECT(ADDRESS(143,40))-INDIRECT(ADDRESS(146,40)),INDIRECT(ADDRESS(147,39))-INDIRECT(ADDRESS(142,40))+INDIRECT(ADDRESS(145,40))-INDIRECT(ADDRESS(146,40)))</f>
        <v>0</v>
      </c>
      <c r="AO147">
        <f>IF(DAY(NOW())&lt;M3,INDIRECT(ADDRESS(147,40))-INDIRECT(ADDRESS(142,41))+INDIRECT(ADDRESS(143,41))-INDIRECT(ADDRESS(146,41)),INDIRECT(ADDRESS(147,40))-INDIRECT(ADDRESS(142,41))+INDIRECT(ADDRESS(145,41))-INDIRECT(ADDRESS(146,41)))</f>
        <v>0</v>
      </c>
      <c r="AP147">
        <f>IF(DAY(NOW())&lt;M3,INDIRECT(ADDRESS(147,41))-INDIRECT(ADDRESS(142,42))+INDIRECT(ADDRESS(143,42))-INDIRECT(ADDRESS(146,42)),INDIRECT(ADDRESS(147,41))-INDIRECT(ADDRESS(142,42))+INDIRECT(ADDRESS(145,42))-INDIRECT(ADDRESS(146,42)))</f>
        <v>0</v>
      </c>
      <c r="AQ147">
        <f>IF(DAY(NOW())&lt;M3,INDIRECT(ADDRESS(147,42))-INDIRECT(ADDRESS(142,43))+INDIRECT(ADDRESS(143,43))-INDIRECT(ADDRESS(146,43)),INDIRECT(ADDRESS(147,42))-INDIRECT(ADDRESS(142,43))+INDIRECT(ADDRESS(145,43))-INDIRECT(ADDRESS(146,43)))</f>
        <v>0</v>
      </c>
      <c r="AR147">
        <f>IF(DAY(NOW())&lt;M3,INDIRECT(ADDRESS(147,43))-INDIRECT(ADDRESS(142,44))+INDIRECT(ADDRESS(143,44))-INDIRECT(ADDRESS(146,44)),INDIRECT(ADDRESS(147,43))-INDIRECT(ADDRESS(142,44))+INDIRECT(ADDRESS(145,44))-INDIRECT(ADDRESS(146,44)))</f>
        <v>0</v>
      </c>
    </row>
    <row r="148" spans="1:76">
      <c r="A148" t="s">
        <v>31</v>
      </c>
      <c r="B148" t="s">
        <v>105</v>
      </c>
      <c r="C148" t="s">
        <v>106</v>
      </c>
      <c r="D148" t="s">
        <v>17</v>
      </c>
      <c r="E148">
        <v>1</v>
      </c>
      <c r="F148" t="s">
        <v>107</v>
      </c>
      <c r="H148" t="s">
        <v>35</v>
      </c>
      <c r="I148" t="s">
        <v>36</v>
      </c>
      <c r="K148" t="s">
        <v>20</v>
      </c>
      <c r="L148" t="s">
        <v>21</v>
      </c>
      <c r="M148">
        <f>sumifs(BOM!m:m,BOM!A:A,".1",BOM!B:B,"852-244000-100")</f>
        <v>0</v>
      </c>
      <c r="N148">
        <f>sumifs(BOM!n:n,BOM!A:A,".1",BOM!B:B,"852-244000-100")</f>
        <v>0</v>
      </c>
      <c r="O148">
        <f>sumifs(BOM!o:o,BOM!A:A,".1",BOM!B:B,"852-244000-100")</f>
        <v>0</v>
      </c>
      <c r="P148">
        <f>sumifs(BOM!p:p,BOM!A:A,".1",BOM!B:B,"852-244000-100")</f>
        <v>0</v>
      </c>
      <c r="Q148">
        <f>sumifs(BOM!q:q,BOM!A:A,".1",BOM!B:B,"852-244000-100")</f>
        <v>0</v>
      </c>
      <c r="R148">
        <f>sumifs(BOM!r:r,BOM!A:A,".1",BOM!B:B,"852-244000-100")</f>
        <v>0</v>
      </c>
      <c r="S148">
        <f>sumifs(BOM!s:s,BOM!A:A,".1",BOM!B:B,"852-244000-100")</f>
        <v>0</v>
      </c>
      <c r="T148">
        <f>sumifs(BOM!t:t,BOM!A:A,".1",BOM!B:B,"852-244000-100")</f>
        <v>0</v>
      </c>
      <c r="U148">
        <f>sumifs(BOM!u:u,BOM!A:A,".1",BOM!B:B,"852-244000-100")</f>
        <v>0</v>
      </c>
      <c r="V148">
        <f>sumifs(BOM!v:v,BOM!A:A,".1",BOM!B:B,"852-244000-100")</f>
        <v>0</v>
      </c>
      <c r="W148">
        <f>sumifs(BOM!w:w,BOM!A:A,".1",BOM!B:B,"852-244000-100")</f>
        <v>0</v>
      </c>
      <c r="X148">
        <f>sumifs(BOM!x:x,BOM!A:A,".1",BOM!B:B,"852-244000-100")</f>
        <v>0</v>
      </c>
      <c r="Y148">
        <f>sumifs(BOM!y:y,BOM!A:A,".1",BOM!B:B,"852-244000-100")</f>
        <v>0</v>
      </c>
      <c r="Z148">
        <f>sumifs(BOM!z:z,BOM!A:A,".1",BOM!B:B,"852-244000-100")</f>
        <v>0</v>
      </c>
      <c r="AA148">
        <f>sumifs(BOM!aa:aa,BOM!A:A,".1",BOM!B:B,"852-244000-100")</f>
        <v>0</v>
      </c>
      <c r="AB148">
        <f>sumifs(BOM!ab:ab,BOM!A:A,".1",BOM!B:B,"852-244000-100")</f>
        <v>0</v>
      </c>
      <c r="AC148">
        <f>sumifs(BOM!ac:ac,BOM!A:A,".1",BOM!B:B,"852-244000-100")</f>
        <v>0</v>
      </c>
      <c r="AD148">
        <f>sumifs(BOM!ad:ad,BOM!A:A,".1",BOM!B:B,"852-244000-100")</f>
        <v>0</v>
      </c>
      <c r="AE148">
        <f>sumifs(BOM!ae:ae,BOM!A:A,".1",BOM!B:B,"852-244000-100")</f>
        <v>0</v>
      </c>
      <c r="AF148">
        <f>sumifs(BOM!af:af,BOM!A:A,".1",BOM!B:B,"852-244000-100")</f>
        <v>0</v>
      </c>
      <c r="AG148">
        <f>sumifs(BOM!ag:ag,BOM!A:A,".1",BOM!B:B,"852-244000-100")</f>
        <v>0</v>
      </c>
      <c r="AH148">
        <f>sumifs(BOM!ah:ah,BOM!A:A,".1",BOM!B:B,"852-244000-100")</f>
        <v>0</v>
      </c>
      <c r="AI148">
        <f>sumifs(BOM!ai:ai,BOM!A:A,".1",BOM!B:B,"852-244000-100")</f>
        <v>0</v>
      </c>
      <c r="AJ148">
        <f>sumifs(BOM!aj:aj,BOM!A:A,".1",BOM!B:B,"852-244000-100")</f>
        <v>0</v>
      </c>
      <c r="AK148">
        <f>sumifs(BOM!ak:ak,BOM!A:A,".1",BOM!B:B,"852-244000-100")</f>
        <v>0</v>
      </c>
      <c r="AL148">
        <f>sumifs(BOM!al:al,BOM!A:A,".1",BOM!B:B,"852-244000-100")</f>
        <v>0</v>
      </c>
      <c r="AM148">
        <f>sumifs(BOM!am:am,BOM!A:A,".1",BOM!B:B,"852-244000-100")</f>
        <v>0</v>
      </c>
      <c r="AN148">
        <f>sumifs(BOM!an:an,BOM!A:A,".1",BOM!B:B,"852-244000-100")</f>
        <v>0</v>
      </c>
      <c r="AO148">
        <f>sumifs(BOM!ao:ao,BOM!A:A,".1",BOM!B:B,"852-244000-100")</f>
        <v>0</v>
      </c>
      <c r="AP148">
        <f>sumifs(BOM!ap:ap,BOM!A:A,".1",BOM!B:B,"852-244000-100")</f>
        <v>0</v>
      </c>
      <c r="AQ148">
        <f>sumifs(BOM!aq:aq,BOM!A:A,".1",BOM!B:B,"852-244000-100")</f>
        <v>0</v>
      </c>
      <c r="AR148">
        <f>sumifs(BOM!ar:ar,BOM!A:A,".1",BOM!B:B,"852-244000-100")</f>
        <v>0</v>
      </c>
      <c r="BX148">
        <f>sum(j148:an148)</f>
        <v>0</v>
      </c>
    </row>
    <row r="149" spans="1:76">
      <c r="A149" t="s">
        <v>31</v>
      </c>
      <c r="B149" t="s">
        <v>105</v>
      </c>
      <c r="C149" t="s">
        <v>106</v>
      </c>
      <c r="D149" t="s">
        <v>17</v>
      </c>
      <c r="E149">
        <v>1</v>
      </c>
      <c r="F149" t="s">
        <v>107</v>
      </c>
      <c r="H149" t="s">
        <v>35</v>
      </c>
      <c r="I149" t="s">
        <v>36</v>
      </c>
      <c r="K149" t="s">
        <v>20</v>
      </c>
      <c r="L149" t="s">
        <v>37</v>
      </c>
    </row>
    <row r="150" spans="1:76">
      <c r="L150" t="s">
        <v>662</v>
      </c>
    </row>
    <row r="151" spans="1:76">
      <c r="L151" t="s">
        <v>663</v>
      </c>
    </row>
    <row r="152" spans="1:76">
      <c r="L152" t="s">
        <v>664</v>
      </c>
    </row>
    <row r="153" spans="1:76">
      <c r="L153" t="s">
        <v>665</v>
      </c>
      <c r="M153">
        <f>IF(DAY(NOW())&lt;M3,INDIRECT(ADDRESS(153,7))-INDIRECT(ADDRESS(148,13))+INDIRECT(ADDRESS(149,13))-INDIRECT(ADDRESS(152,13)),INDIRECT(ADDRESS(153,7))-INDIRECT(ADDRESS(148,13))+INDIRECT(ADDRESS(151,13))-INDIRECT(ADDRESS(152,13)))</f>
        <v>0</v>
      </c>
      <c r="N153">
        <f>IF(DAY(NOW())&lt;M3,INDIRECT(ADDRESS(153,13))-INDIRECT(ADDRESS(148,14))+INDIRECT(ADDRESS(149,14))-INDIRECT(ADDRESS(152,14)),INDIRECT(ADDRESS(153,13))-INDIRECT(ADDRESS(148,14))+INDIRECT(ADDRESS(151,14))-INDIRECT(ADDRESS(152,14)))</f>
        <v>0</v>
      </c>
      <c r="O153">
        <f>IF(DAY(NOW())&lt;M3,INDIRECT(ADDRESS(153,14))-INDIRECT(ADDRESS(148,15))+INDIRECT(ADDRESS(149,15))-INDIRECT(ADDRESS(152,15)),INDIRECT(ADDRESS(153,14))-INDIRECT(ADDRESS(148,15))+INDIRECT(ADDRESS(151,15))-INDIRECT(ADDRESS(152,15)))</f>
        <v>0</v>
      </c>
      <c r="P153">
        <f>IF(DAY(NOW())&lt;M3,INDIRECT(ADDRESS(153,15))-INDIRECT(ADDRESS(148,16))+INDIRECT(ADDRESS(149,16))-INDIRECT(ADDRESS(152,16)),INDIRECT(ADDRESS(153,15))-INDIRECT(ADDRESS(148,16))+INDIRECT(ADDRESS(151,16))-INDIRECT(ADDRESS(152,16)))</f>
        <v>0</v>
      </c>
      <c r="Q153">
        <f>IF(DAY(NOW())&lt;M3,INDIRECT(ADDRESS(153,16))-INDIRECT(ADDRESS(148,17))+INDIRECT(ADDRESS(149,17))-INDIRECT(ADDRESS(152,17)),INDIRECT(ADDRESS(153,16))-INDIRECT(ADDRESS(148,17))+INDIRECT(ADDRESS(151,17))-INDIRECT(ADDRESS(152,17)))</f>
        <v>0</v>
      </c>
      <c r="R153">
        <f>IF(DAY(NOW())&lt;M3,INDIRECT(ADDRESS(153,17))-INDIRECT(ADDRESS(148,18))+INDIRECT(ADDRESS(149,18))-INDIRECT(ADDRESS(152,18)),INDIRECT(ADDRESS(153,17))-INDIRECT(ADDRESS(148,18))+INDIRECT(ADDRESS(151,18))-INDIRECT(ADDRESS(152,18)))</f>
        <v>0</v>
      </c>
      <c r="S153">
        <f>IF(DAY(NOW())&lt;M3,INDIRECT(ADDRESS(153,18))-INDIRECT(ADDRESS(148,19))+INDIRECT(ADDRESS(149,19))-INDIRECT(ADDRESS(152,19)),INDIRECT(ADDRESS(153,18))-INDIRECT(ADDRESS(148,19))+INDIRECT(ADDRESS(151,19))-INDIRECT(ADDRESS(152,19)))</f>
        <v>0</v>
      </c>
      <c r="T153">
        <f>IF(DAY(NOW())&lt;M3,INDIRECT(ADDRESS(153,19))-INDIRECT(ADDRESS(148,20))+INDIRECT(ADDRESS(149,20))-INDIRECT(ADDRESS(152,20)),INDIRECT(ADDRESS(153,19))-INDIRECT(ADDRESS(148,20))+INDIRECT(ADDRESS(151,20))-INDIRECT(ADDRESS(152,20)))</f>
        <v>0</v>
      </c>
      <c r="U153">
        <f>IF(DAY(NOW())&lt;M3,INDIRECT(ADDRESS(153,20))-INDIRECT(ADDRESS(148,21))+INDIRECT(ADDRESS(149,21))-INDIRECT(ADDRESS(152,21)),INDIRECT(ADDRESS(153,20))-INDIRECT(ADDRESS(148,21))+INDIRECT(ADDRESS(151,21))-INDIRECT(ADDRESS(152,21)))</f>
        <v>0</v>
      </c>
      <c r="V153">
        <f>IF(DAY(NOW())&lt;M3,INDIRECT(ADDRESS(153,21))-INDIRECT(ADDRESS(148,22))+INDIRECT(ADDRESS(149,22))-INDIRECT(ADDRESS(152,22)),INDIRECT(ADDRESS(153,21))-INDIRECT(ADDRESS(148,22))+INDIRECT(ADDRESS(151,22))-INDIRECT(ADDRESS(152,22)))</f>
        <v>0</v>
      </c>
      <c r="W153">
        <f>IF(DAY(NOW())&lt;M3,INDIRECT(ADDRESS(153,22))-INDIRECT(ADDRESS(148,23))+INDIRECT(ADDRESS(149,23))-INDIRECT(ADDRESS(152,23)),INDIRECT(ADDRESS(153,22))-INDIRECT(ADDRESS(148,23))+INDIRECT(ADDRESS(151,23))-INDIRECT(ADDRESS(152,23)))</f>
        <v>0</v>
      </c>
      <c r="X153">
        <f>IF(DAY(NOW())&lt;M3,INDIRECT(ADDRESS(153,23))-INDIRECT(ADDRESS(148,24))+INDIRECT(ADDRESS(149,24))-INDIRECT(ADDRESS(152,24)),INDIRECT(ADDRESS(153,23))-INDIRECT(ADDRESS(148,24))+INDIRECT(ADDRESS(151,24))-INDIRECT(ADDRESS(152,24)))</f>
        <v>0</v>
      </c>
      <c r="Y153">
        <f>IF(DAY(NOW())&lt;M3,INDIRECT(ADDRESS(153,24))-INDIRECT(ADDRESS(148,25))+INDIRECT(ADDRESS(149,25))-INDIRECT(ADDRESS(152,25)),INDIRECT(ADDRESS(153,24))-INDIRECT(ADDRESS(148,25))+INDIRECT(ADDRESS(151,25))-INDIRECT(ADDRESS(152,25)))</f>
        <v>0</v>
      </c>
      <c r="Z153">
        <f>IF(DAY(NOW())&lt;M3,INDIRECT(ADDRESS(153,25))-INDIRECT(ADDRESS(148,26))+INDIRECT(ADDRESS(149,26))-INDIRECT(ADDRESS(152,26)),INDIRECT(ADDRESS(153,25))-INDIRECT(ADDRESS(148,26))+INDIRECT(ADDRESS(151,26))-INDIRECT(ADDRESS(152,26)))</f>
        <v>0</v>
      </c>
      <c r="AA153">
        <f>IF(DAY(NOW())&lt;M3,INDIRECT(ADDRESS(153,26))-INDIRECT(ADDRESS(148,27))+INDIRECT(ADDRESS(149,27))-INDIRECT(ADDRESS(152,27)),INDIRECT(ADDRESS(153,26))-INDIRECT(ADDRESS(148,27))+INDIRECT(ADDRESS(151,27))-INDIRECT(ADDRESS(152,27)))</f>
        <v>0</v>
      </c>
      <c r="AB153">
        <f>IF(DAY(NOW())&lt;M3,INDIRECT(ADDRESS(153,27))-INDIRECT(ADDRESS(148,28))+INDIRECT(ADDRESS(149,28))-INDIRECT(ADDRESS(152,28)),INDIRECT(ADDRESS(153,27))-INDIRECT(ADDRESS(148,28))+INDIRECT(ADDRESS(151,28))-INDIRECT(ADDRESS(152,28)))</f>
        <v>0</v>
      </c>
      <c r="AC153">
        <f>IF(DAY(NOW())&lt;M3,INDIRECT(ADDRESS(153,28))-INDIRECT(ADDRESS(148,29))+INDIRECT(ADDRESS(149,29))-INDIRECT(ADDRESS(152,29)),INDIRECT(ADDRESS(153,28))-INDIRECT(ADDRESS(148,29))+INDIRECT(ADDRESS(151,29))-INDIRECT(ADDRESS(152,29)))</f>
        <v>0</v>
      </c>
      <c r="AD153">
        <f>IF(DAY(NOW())&lt;M3,INDIRECT(ADDRESS(153,29))-INDIRECT(ADDRESS(148,30))+INDIRECT(ADDRESS(149,30))-INDIRECT(ADDRESS(152,30)),INDIRECT(ADDRESS(153,29))-INDIRECT(ADDRESS(148,30))+INDIRECT(ADDRESS(151,30))-INDIRECT(ADDRESS(152,30)))</f>
        <v>0</v>
      </c>
      <c r="AE153">
        <f>IF(DAY(NOW())&lt;M3,INDIRECT(ADDRESS(153,30))-INDIRECT(ADDRESS(148,31))+INDIRECT(ADDRESS(149,31))-INDIRECT(ADDRESS(152,31)),INDIRECT(ADDRESS(153,30))-INDIRECT(ADDRESS(148,31))+INDIRECT(ADDRESS(151,31))-INDIRECT(ADDRESS(152,31)))</f>
        <v>0</v>
      </c>
      <c r="AF153">
        <f>IF(DAY(NOW())&lt;M3,INDIRECT(ADDRESS(153,31))-INDIRECT(ADDRESS(148,32))+INDIRECT(ADDRESS(149,32))-INDIRECT(ADDRESS(152,32)),INDIRECT(ADDRESS(153,31))-INDIRECT(ADDRESS(148,32))+INDIRECT(ADDRESS(151,32))-INDIRECT(ADDRESS(152,32)))</f>
        <v>0</v>
      </c>
      <c r="AG153">
        <f>IF(DAY(NOW())&lt;M3,INDIRECT(ADDRESS(153,32))-INDIRECT(ADDRESS(148,33))+INDIRECT(ADDRESS(149,33))-INDIRECT(ADDRESS(152,33)),INDIRECT(ADDRESS(153,32))-INDIRECT(ADDRESS(148,33))+INDIRECT(ADDRESS(151,33))-INDIRECT(ADDRESS(152,33)))</f>
        <v>0</v>
      </c>
      <c r="AH153">
        <f>IF(DAY(NOW())&lt;M3,INDIRECT(ADDRESS(153,33))-INDIRECT(ADDRESS(148,34))+INDIRECT(ADDRESS(149,34))-INDIRECT(ADDRESS(152,34)),INDIRECT(ADDRESS(153,33))-INDIRECT(ADDRESS(148,34))+INDIRECT(ADDRESS(151,34))-INDIRECT(ADDRESS(152,34)))</f>
        <v>0</v>
      </c>
      <c r="AI153">
        <f>IF(DAY(NOW())&lt;M3,INDIRECT(ADDRESS(153,34))-INDIRECT(ADDRESS(148,35))+INDIRECT(ADDRESS(149,35))-INDIRECT(ADDRESS(152,35)),INDIRECT(ADDRESS(153,34))-INDIRECT(ADDRESS(148,35))+INDIRECT(ADDRESS(151,35))-INDIRECT(ADDRESS(152,35)))</f>
        <v>0</v>
      </c>
      <c r="AJ153">
        <f>IF(DAY(NOW())&lt;M3,INDIRECT(ADDRESS(153,35))-INDIRECT(ADDRESS(148,36))+INDIRECT(ADDRESS(149,36))-INDIRECT(ADDRESS(152,36)),INDIRECT(ADDRESS(153,35))-INDIRECT(ADDRESS(148,36))+INDIRECT(ADDRESS(151,36))-INDIRECT(ADDRESS(152,36)))</f>
        <v>0</v>
      </c>
      <c r="AK153">
        <f>IF(DAY(NOW())&lt;M3,INDIRECT(ADDRESS(153,36))-INDIRECT(ADDRESS(148,37))+INDIRECT(ADDRESS(149,37))-INDIRECT(ADDRESS(152,37)),INDIRECT(ADDRESS(153,36))-INDIRECT(ADDRESS(148,37))+INDIRECT(ADDRESS(151,37))-INDIRECT(ADDRESS(152,37)))</f>
        <v>0</v>
      </c>
      <c r="AL153">
        <f>IF(DAY(NOW())&lt;M3,INDIRECT(ADDRESS(153,37))-INDIRECT(ADDRESS(148,38))+INDIRECT(ADDRESS(149,38))-INDIRECT(ADDRESS(152,38)),INDIRECT(ADDRESS(153,37))-INDIRECT(ADDRESS(148,38))+INDIRECT(ADDRESS(151,38))-INDIRECT(ADDRESS(152,38)))</f>
        <v>0</v>
      </c>
      <c r="AM153">
        <f>IF(DAY(NOW())&lt;M3,INDIRECT(ADDRESS(153,38))-INDIRECT(ADDRESS(148,39))+INDIRECT(ADDRESS(149,39))-INDIRECT(ADDRESS(152,39)),INDIRECT(ADDRESS(153,38))-INDIRECT(ADDRESS(148,39))+INDIRECT(ADDRESS(151,39))-INDIRECT(ADDRESS(152,39)))</f>
        <v>0</v>
      </c>
      <c r="AN153">
        <f>IF(DAY(NOW())&lt;M3,INDIRECT(ADDRESS(153,39))-INDIRECT(ADDRESS(148,40))+INDIRECT(ADDRESS(149,40))-INDIRECT(ADDRESS(152,40)),INDIRECT(ADDRESS(153,39))-INDIRECT(ADDRESS(148,40))+INDIRECT(ADDRESS(151,40))-INDIRECT(ADDRESS(152,40)))</f>
        <v>0</v>
      </c>
      <c r="AO153">
        <f>IF(DAY(NOW())&lt;M3,INDIRECT(ADDRESS(153,40))-INDIRECT(ADDRESS(148,41))+INDIRECT(ADDRESS(149,41))-INDIRECT(ADDRESS(152,41)),INDIRECT(ADDRESS(153,40))-INDIRECT(ADDRESS(148,41))+INDIRECT(ADDRESS(151,41))-INDIRECT(ADDRESS(152,41)))</f>
        <v>0</v>
      </c>
      <c r="AP153">
        <f>IF(DAY(NOW())&lt;M3,INDIRECT(ADDRESS(153,41))-INDIRECT(ADDRESS(148,42))+INDIRECT(ADDRESS(149,42))-INDIRECT(ADDRESS(152,42)),INDIRECT(ADDRESS(153,41))-INDIRECT(ADDRESS(148,42))+INDIRECT(ADDRESS(151,42))-INDIRECT(ADDRESS(152,42)))</f>
        <v>0</v>
      </c>
      <c r="AQ153">
        <f>IF(DAY(NOW())&lt;M3,INDIRECT(ADDRESS(153,42))-INDIRECT(ADDRESS(148,43))+INDIRECT(ADDRESS(149,43))-INDIRECT(ADDRESS(152,43)),INDIRECT(ADDRESS(153,42))-INDIRECT(ADDRESS(148,43))+INDIRECT(ADDRESS(151,43))-INDIRECT(ADDRESS(152,43)))</f>
        <v>0</v>
      </c>
      <c r="AR153">
        <f>IF(DAY(NOW())&lt;M3,INDIRECT(ADDRESS(153,43))-INDIRECT(ADDRESS(148,44))+INDIRECT(ADDRESS(149,44))-INDIRECT(ADDRESS(152,44)),INDIRECT(ADDRESS(153,43))-INDIRECT(ADDRESS(148,44))+INDIRECT(ADDRESS(151,44))-INDIRECT(ADDRESS(152,44)))</f>
        <v>0</v>
      </c>
    </row>
    <row r="154" spans="1:76">
      <c r="A154" t="s">
        <v>14</v>
      </c>
      <c r="B154" t="s">
        <v>108</v>
      </c>
      <c r="C154" t="s">
        <v>109</v>
      </c>
      <c r="D154" t="s">
        <v>17</v>
      </c>
      <c r="E154">
        <v>1</v>
      </c>
      <c r="F154" t="s">
        <v>110</v>
      </c>
      <c r="H154" t="s">
        <v>111</v>
      </c>
      <c r="I154">
        <v>16</v>
      </c>
      <c r="K154" t="s">
        <v>20</v>
      </c>
      <c r="L154" t="s">
        <v>21</v>
      </c>
      <c r="BX154">
        <f>sum(j154:an154)</f>
        <v>0</v>
      </c>
    </row>
    <row r="155" spans="1:76">
      <c r="A155" t="s">
        <v>14</v>
      </c>
      <c r="B155" t="s">
        <v>108</v>
      </c>
      <c r="C155" t="s">
        <v>109</v>
      </c>
      <c r="D155" t="s">
        <v>17</v>
      </c>
      <c r="E155">
        <v>1</v>
      </c>
      <c r="F155" t="s">
        <v>110</v>
      </c>
      <c r="H155" t="s">
        <v>111</v>
      </c>
      <c r="I155">
        <v>16</v>
      </c>
      <c r="K155" t="s">
        <v>20</v>
      </c>
      <c r="L155" t="s">
        <v>37</v>
      </c>
    </row>
    <row r="156" spans="1:76">
      <c r="L156" t="s">
        <v>662</v>
      </c>
    </row>
    <row r="157" spans="1:76">
      <c r="L157" t="s">
        <v>663</v>
      </c>
    </row>
    <row r="158" spans="1:76">
      <c r="L158" t="s">
        <v>664</v>
      </c>
    </row>
    <row r="159" spans="1:76">
      <c r="L159" t="s">
        <v>665</v>
      </c>
      <c r="M159">
        <f>IF(DAY(NOW())&lt;M3,INDIRECT(ADDRESS(159,7))-INDIRECT(ADDRESS(154,13))+INDIRECT(ADDRESS(155,13))-INDIRECT(ADDRESS(158,13)),INDIRECT(ADDRESS(159,7))-INDIRECT(ADDRESS(154,13))+INDIRECT(ADDRESS(157,13))-INDIRECT(ADDRESS(158,13)))</f>
        <v>0</v>
      </c>
      <c r="N159">
        <f>IF(DAY(NOW())&lt;M3,INDIRECT(ADDRESS(159,13))-INDIRECT(ADDRESS(154,14))+INDIRECT(ADDRESS(155,14))-INDIRECT(ADDRESS(158,14)),INDIRECT(ADDRESS(159,13))-INDIRECT(ADDRESS(154,14))+INDIRECT(ADDRESS(157,14))-INDIRECT(ADDRESS(158,14)))</f>
        <v>0</v>
      </c>
      <c r="O159">
        <f>IF(DAY(NOW())&lt;M3,INDIRECT(ADDRESS(159,14))-INDIRECT(ADDRESS(154,15))+INDIRECT(ADDRESS(155,15))-INDIRECT(ADDRESS(158,15)),INDIRECT(ADDRESS(159,14))-INDIRECT(ADDRESS(154,15))+INDIRECT(ADDRESS(157,15))-INDIRECT(ADDRESS(158,15)))</f>
        <v>0</v>
      </c>
      <c r="P159">
        <f>IF(DAY(NOW())&lt;M3,INDIRECT(ADDRESS(159,15))-INDIRECT(ADDRESS(154,16))+INDIRECT(ADDRESS(155,16))-INDIRECT(ADDRESS(158,16)),INDIRECT(ADDRESS(159,15))-INDIRECT(ADDRESS(154,16))+INDIRECT(ADDRESS(157,16))-INDIRECT(ADDRESS(158,16)))</f>
        <v>0</v>
      </c>
      <c r="Q159">
        <f>IF(DAY(NOW())&lt;M3,INDIRECT(ADDRESS(159,16))-INDIRECT(ADDRESS(154,17))+INDIRECT(ADDRESS(155,17))-INDIRECT(ADDRESS(158,17)),INDIRECT(ADDRESS(159,16))-INDIRECT(ADDRESS(154,17))+INDIRECT(ADDRESS(157,17))-INDIRECT(ADDRESS(158,17)))</f>
        <v>0</v>
      </c>
      <c r="R159">
        <f>IF(DAY(NOW())&lt;M3,INDIRECT(ADDRESS(159,17))-INDIRECT(ADDRESS(154,18))+INDIRECT(ADDRESS(155,18))-INDIRECT(ADDRESS(158,18)),INDIRECT(ADDRESS(159,17))-INDIRECT(ADDRESS(154,18))+INDIRECT(ADDRESS(157,18))-INDIRECT(ADDRESS(158,18)))</f>
        <v>0</v>
      </c>
      <c r="S159">
        <f>IF(DAY(NOW())&lt;M3,INDIRECT(ADDRESS(159,18))-INDIRECT(ADDRESS(154,19))+INDIRECT(ADDRESS(155,19))-INDIRECT(ADDRESS(158,19)),INDIRECT(ADDRESS(159,18))-INDIRECT(ADDRESS(154,19))+INDIRECT(ADDRESS(157,19))-INDIRECT(ADDRESS(158,19)))</f>
        <v>0</v>
      </c>
      <c r="T159">
        <f>IF(DAY(NOW())&lt;M3,INDIRECT(ADDRESS(159,19))-INDIRECT(ADDRESS(154,20))+INDIRECT(ADDRESS(155,20))-INDIRECT(ADDRESS(158,20)),INDIRECT(ADDRESS(159,19))-INDIRECT(ADDRESS(154,20))+INDIRECT(ADDRESS(157,20))-INDIRECT(ADDRESS(158,20)))</f>
        <v>0</v>
      </c>
      <c r="U159">
        <f>IF(DAY(NOW())&lt;M3,INDIRECT(ADDRESS(159,20))-INDIRECT(ADDRESS(154,21))+INDIRECT(ADDRESS(155,21))-INDIRECT(ADDRESS(158,21)),INDIRECT(ADDRESS(159,20))-INDIRECT(ADDRESS(154,21))+INDIRECT(ADDRESS(157,21))-INDIRECT(ADDRESS(158,21)))</f>
        <v>0</v>
      </c>
      <c r="V159">
        <f>IF(DAY(NOW())&lt;M3,INDIRECT(ADDRESS(159,21))-INDIRECT(ADDRESS(154,22))+INDIRECT(ADDRESS(155,22))-INDIRECT(ADDRESS(158,22)),INDIRECT(ADDRESS(159,21))-INDIRECT(ADDRESS(154,22))+INDIRECT(ADDRESS(157,22))-INDIRECT(ADDRESS(158,22)))</f>
        <v>0</v>
      </c>
      <c r="W159">
        <f>IF(DAY(NOW())&lt;M3,INDIRECT(ADDRESS(159,22))-INDIRECT(ADDRESS(154,23))+INDIRECT(ADDRESS(155,23))-INDIRECT(ADDRESS(158,23)),INDIRECT(ADDRESS(159,22))-INDIRECT(ADDRESS(154,23))+INDIRECT(ADDRESS(157,23))-INDIRECT(ADDRESS(158,23)))</f>
        <v>0</v>
      </c>
      <c r="X159">
        <f>IF(DAY(NOW())&lt;M3,INDIRECT(ADDRESS(159,23))-INDIRECT(ADDRESS(154,24))+INDIRECT(ADDRESS(155,24))-INDIRECT(ADDRESS(158,24)),INDIRECT(ADDRESS(159,23))-INDIRECT(ADDRESS(154,24))+INDIRECT(ADDRESS(157,24))-INDIRECT(ADDRESS(158,24)))</f>
        <v>0</v>
      </c>
      <c r="Y159">
        <f>IF(DAY(NOW())&lt;M3,INDIRECT(ADDRESS(159,24))-INDIRECT(ADDRESS(154,25))+INDIRECT(ADDRESS(155,25))-INDIRECT(ADDRESS(158,25)),INDIRECT(ADDRESS(159,24))-INDIRECT(ADDRESS(154,25))+INDIRECT(ADDRESS(157,25))-INDIRECT(ADDRESS(158,25)))</f>
        <v>0</v>
      </c>
      <c r="Z159">
        <f>IF(DAY(NOW())&lt;M3,INDIRECT(ADDRESS(159,25))-INDIRECT(ADDRESS(154,26))+INDIRECT(ADDRESS(155,26))-INDIRECT(ADDRESS(158,26)),INDIRECT(ADDRESS(159,25))-INDIRECT(ADDRESS(154,26))+INDIRECT(ADDRESS(157,26))-INDIRECT(ADDRESS(158,26)))</f>
        <v>0</v>
      </c>
      <c r="AA159">
        <f>IF(DAY(NOW())&lt;M3,INDIRECT(ADDRESS(159,26))-INDIRECT(ADDRESS(154,27))+INDIRECT(ADDRESS(155,27))-INDIRECT(ADDRESS(158,27)),INDIRECT(ADDRESS(159,26))-INDIRECT(ADDRESS(154,27))+INDIRECT(ADDRESS(157,27))-INDIRECT(ADDRESS(158,27)))</f>
        <v>0</v>
      </c>
      <c r="AB159">
        <f>IF(DAY(NOW())&lt;M3,INDIRECT(ADDRESS(159,27))-INDIRECT(ADDRESS(154,28))+INDIRECT(ADDRESS(155,28))-INDIRECT(ADDRESS(158,28)),INDIRECT(ADDRESS(159,27))-INDIRECT(ADDRESS(154,28))+INDIRECT(ADDRESS(157,28))-INDIRECT(ADDRESS(158,28)))</f>
        <v>0</v>
      </c>
      <c r="AC159">
        <f>IF(DAY(NOW())&lt;M3,INDIRECT(ADDRESS(159,28))-INDIRECT(ADDRESS(154,29))+INDIRECT(ADDRESS(155,29))-INDIRECT(ADDRESS(158,29)),INDIRECT(ADDRESS(159,28))-INDIRECT(ADDRESS(154,29))+INDIRECT(ADDRESS(157,29))-INDIRECT(ADDRESS(158,29)))</f>
        <v>0</v>
      </c>
      <c r="AD159">
        <f>IF(DAY(NOW())&lt;M3,INDIRECT(ADDRESS(159,29))-INDIRECT(ADDRESS(154,30))+INDIRECT(ADDRESS(155,30))-INDIRECT(ADDRESS(158,30)),INDIRECT(ADDRESS(159,29))-INDIRECT(ADDRESS(154,30))+INDIRECT(ADDRESS(157,30))-INDIRECT(ADDRESS(158,30)))</f>
        <v>0</v>
      </c>
      <c r="AE159">
        <f>IF(DAY(NOW())&lt;M3,INDIRECT(ADDRESS(159,30))-INDIRECT(ADDRESS(154,31))+INDIRECT(ADDRESS(155,31))-INDIRECT(ADDRESS(158,31)),INDIRECT(ADDRESS(159,30))-INDIRECT(ADDRESS(154,31))+INDIRECT(ADDRESS(157,31))-INDIRECT(ADDRESS(158,31)))</f>
        <v>0</v>
      </c>
      <c r="AF159">
        <f>IF(DAY(NOW())&lt;M3,INDIRECT(ADDRESS(159,31))-INDIRECT(ADDRESS(154,32))+INDIRECT(ADDRESS(155,32))-INDIRECT(ADDRESS(158,32)),INDIRECT(ADDRESS(159,31))-INDIRECT(ADDRESS(154,32))+INDIRECT(ADDRESS(157,32))-INDIRECT(ADDRESS(158,32)))</f>
        <v>0</v>
      </c>
      <c r="AG159">
        <f>IF(DAY(NOW())&lt;M3,INDIRECT(ADDRESS(159,32))-INDIRECT(ADDRESS(154,33))+INDIRECT(ADDRESS(155,33))-INDIRECT(ADDRESS(158,33)),INDIRECT(ADDRESS(159,32))-INDIRECT(ADDRESS(154,33))+INDIRECT(ADDRESS(157,33))-INDIRECT(ADDRESS(158,33)))</f>
        <v>0</v>
      </c>
      <c r="AH159">
        <f>IF(DAY(NOW())&lt;M3,INDIRECT(ADDRESS(159,33))-INDIRECT(ADDRESS(154,34))+INDIRECT(ADDRESS(155,34))-INDIRECT(ADDRESS(158,34)),INDIRECT(ADDRESS(159,33))-INDIRECT(ADDRESS(154,34))+INDIRECT(ADDRESS(157,34))-INDIRECT(ADDRESS(158,34)))</f>
        <v>0</v>
      </c>
      <c r="AI159">
        <f>IF(DAY(NOW())&lt;M3,INDIRECT(ADDRESS(159,34))-INDIRECT(ADDRESS(154,35))+INDIRECT(ADDRESS(155,35))-INDIRECT(ADDRESS(158,35)),INDIRECT(ADDRESS(159,34))-INDIRECT(ADDRESS(154,35))+INDIRECT(ADDRESS(157,35))-INDIRECT(ADDRESS(158,35)))</f>
        <v>0</v>
      </c>
      <c r="AJ159">
        <f>IF(DAY(NOW())&lt;M3,INDIRECT(ADDRESS(159,35))-INDIRECT(ADDRESS(154,36))+INDIRECT(ADDRESS(155,36))-INDIRECT(ADDRESS(158,36)),INDIRECT(ADDRESS(159,35))-INDIRECT(ADDRESS(154,36))+INDIRECT(ADDRESS(157,36))-INDIRECT(ADDRESS(158,36)))</f>
        <v>0</v>
      </c>
      <c r="AK159">
        <f>IF(DAY(NOW())&lt;M3,INDIRECT(ADDRESS(159,36))-INDIRECT(ADDRESS(154,37))+INDIRECT(ADDRESS(155,37))-INDIRECT(ADDRESS(158,37)),INDIRECT(ADDRESS(159,36))-INDIRECT(ADDRESS(154,37))+INDIRECT(ADDRESS(157,37))-INDIRECT(ADDRESS(158,37)))</f>
        <v>0</v>
      </c>
      <c r="AL159">
        <f>IF(DAY(NOW())&lt;M3,INDIRECT(ADDRESS(159,37))-INDIRECT(ADDRESS(154,38))+INDIRECT(ADDRESS(155,38))-INDIRECT(ADDRESS(158,38)),INDIRECT(ADDRESS(159,37))-INDIRECT(ADDRESS(154,38))+INDIRECT(ADDRESS(157,38))-INDIRECT(ADDRESS(158,38)))</f>
        <v>0</v>
      </c>
      <c r="AM159">
        <f>IF(DAY(NOW())&lt;M3,INDIRECT(ADDRESS(159,38))-INDIRECT(ADDRESS(154,39))+INDIRECT(ADDRESS(155,39))-INDIRECT(ADDRESS(158,39)),INDIRECT(ADDRESS(159,38))-INDIRECT(ADDRESS(154,39))+INDIRECT(ADDRESS(157,39))-INDIRECT(ADDRESS(158,39)))</f>
        <v>0</v>
      </c>
      <c r="AN159">
        <f>IF(DAY(NOW())&lt;M3,INDIRECT(ADDRESS(159,39))-INDIRECT(ADDRESS(154,40))+INDIRECT(ADDRESS(155,40))-INDIRECT(ADDRESS(158,40)),INDIRECT(ADDRESS(159,39))-INDIRECT(ADDRESS(154,40))+INDIRECT(ADDRESS(157,40))-INDIRECT(ADDRESS(158,40)))</f>
        <v>0</v>
      </c>
      <c r="AO159">
        <f>IF(DAY(NOW())&lt;M3,INDIRECT(ADDRESS(159,40))-INDIRECT(ADDRESS(154,41))+INDIRECT(ADDRESS(155,41))-INDIRECT(ADDRESS(158,41)),INDIRECT(ADDRESS(159,40))-INDIRECT(ADDRESS(154,41))+INDIRECT(ADDRESS(157,41))-INDIRECT(ADDRESS(158,41)))</f>
        <v>0</v>
      </c>
      <c r="AP159">
        <f>IF(DAY(NOW())&lt;M3,INDIRECT(ADDRESS(159,41))-INDIRECT(ADDRESS(154,42))+INDIRECT(ADDRESS(155,42))-INDIRECT(ADDRESS(158,42)),INDIRECT(ADDRESS(159,41))-INDIRECT(ADDRESS(154,42))+INDIRECT(ADDRESS(157,42))-INDIRECT(ADDRESS(158,42)))</f>
        <v>0</v>
      </c>
      <c r="AQ159">
        <f>IF(DAY(NOW())&lt;M3,INDIRECT(ADDRESS(159,42))-INDIRECT(ADDRESS(154,43))+INDIRECT(ADDRESS(155,43))-INDIRECT(ADDRESS(158,43)),INDIRECT(ADDRESS(159,42))-INDIRECT(ADDRESS(154,43))+INDIRECT(ADDRESS(157,43))-INDIRECT(ADDRESS(158,43)))</f>
        <v>0</v>
      </c>
      <c r="AR159">
        <f>IF(DAY(NOW())&lt;M3,INDIRECT(ADDRESS(159,43))-INDIRECT(ADDRESS(154,44))+INDIRECT(ADDRESS(155,44))-INDIRECT(ADDRESS(158,44)),INDIRECT(ADDRESS(159,43))-INDIRECT(ADDRESS(154,44))+INDIRECT(ADDRESS(157,44))-INDIRECT(ADDRESS(158,44)))</f>
        <v>0</v>
      </c>
    </row>
    <row r="160" spans="1:76">
      <c r="A160" t="s">
        <v>14</v>
      </c>
      <c r="B160" t="s">
        <v>112</v>
      </c>
      <c r="C160" t="s">
        <v>113</v>
      </c>
      <c r="D160" t="s">
        <v>17</v>
      </c>
      <c r="E160">
        <v>1</v>
      </c>
      <c r="F160" t="s">
        <v>114</v>
      </c>
      <c r="H160" t="s">
        <v>115</v>
      </c>
      <c r="I160">
        <v>16</v>
      </c>
      <c r="K160" t="s">
        <v>20</v>
      </c>
      <c r="L160" t="s">
        <v>21</v>
      </c>
      <c r="BX160">
        <f>sum(j160:an160)</f>
        <v>0</v>
      </c>
    </row>
    <row r="161" spans="1:76">
      <c r="A161" t="s">
        <v>14</v>
      </c>
      <c r="B161" t="s">
        <v>112</v>
      </c>
      <c r="C161" t="s">
        <v>113</v>
      </c>
      <c r="D161" t="s">
        <v>17</v>
      </c>
      <c r="E161">
        <v>1</v>
      </c>
      <c r="F161" t="s">
        <v>114</v>
      </c>
      <c r="H161" t="s">
        <v>115</v>
      </c>
      <c r="I161">
        <v>16</v>
      </c>
      <c r="K161" t="s">
        <v>20</v>
      </c>
      <c r="L161" t="s">
        <v>37</v>
      </c>
    </row>
    <row r="162" spans="1:76">
      <c r="L162" t="s">
        <v>662</v>
      </c>
    </row>
    <row r="163" spans="1:76">
      <c r="L163" t="s">
        <v>663</v>
      </c>
    </row>
    <row r="164" spans="1:76">
      <c r="L164" t="s">
        <v>664</v>
      </c>
    </row>
    <row r="165" spans="1:76">
      <c r="L165" t="s">
        <v>665</v>
      </c>
      <c r="M165">
        <f>IF(DAY(NOW())&lt;M3,INDIRECT(ADDRESS(165,7))-INDIRECT(ADDRESS(160,13))+INDIRECT(ADDRESS(161,13))-INDIRECT(ADDRESS(164,13)),INDIRECT(ADDRESS(165,7))-INDIRECT(ADDRESS(160,13))+INDIRECT(ADDRESS(163,13))-INDIRECT(ADDRESS(164,13)))</f>
        <v>0</v>
      </c>
      <c r="N165">
        <f>IF(DAY(NOW())&lt;M3,INDIRECT(ADDRESS(165,13))-INDIRECT(ADDRESS(160,14))+INDIRECT(ADDRESS(161,14))-INDIRECT(ADDRESS(164,14)),INDIRECT(ADDRESS(165,13))-INDIRECT(ADDRESS(160,14))+INDIRECT(ADDRESS(163,14))-INDIRECT(ADDRESS(164,14)))</f>
        <v>0</v>
      </c>
      <c r="O165">
        <f>IF(DAY(NOW())&lt;M3,INDIRECT(ADDRESS(165,14))-INDIRECT(ADDRESS(160,15))+INDIRECT(ADDRESS(161,15))-INDIRECT(ADDRESS(164,15)),INDIRECT(ADDRESS(165,14))-INDIRECT(ADDRESS(160,15))+INDIRECT(ADDRESS(163,15))-INDIRECT(ADDRESS(164,15)))</f>
        <v>0</v>
      </c>
      <c r="P165">
        <f>IF(DAY(NOW())&lt;M3,INDIRECT(ADDRESS(165,15))-INDIRECT(ADDRESS(160,16))+INDIRECT(ADDRESS(161,16))-INDIRECT(ADDRESS(164,16)),INDIRECT(ADDRESS(165,15))-INDIRECT(ADDRESS(160,16))+INDIRECT(ADDRESS(163,16))-INDIRECT(ADDRESS(164,16)))</f>
        <v>0</v>
      </c>
      <c r="Q165">
        <f>IF(DAY(NOW())&lt;M3,INDIRECT(ADDRESS(165,16))-INDIRECT(ADDRESS(160,17))+INDIRECT(ADDRESS(161,17))-INDIRECT(ADDRESS(164,17)),INDIRECT(ADDRESS(165,16))-INDIRECT(ADDRESS(160,17))+INDIRECT(ADDRESS(163,17))-INDIRECT(ADDRESS(164,17)))</f>
        <v>0</v>
      </c>
      <c r="R165">
        <f>IF(DAY(NOW())&lt;M3,INDIRECT(ADDRESS(165,17))-INDIRECT(ADDRESS(160,18))+INDIRECT(ADDRESS(161,18))-INDIRECT(ADDRESS(164,18)),INDIRECT(ADDRESS(165,17))-INDIRECT(ADDRESS(160,18))+INDIRECT(ADDRESS(163,18))-INDIRECT(ADDRESS(164,18)))</f>
        <v>0</v>
      </c>
      <c r="S165">
        <f>IF(DAY(NOW())&lt;M3,INDIRECT(ADDRESS(165,18))-INDIRECT(ADDRESS(160,19))+INDIRECT(ADDRESS(161,19))-INDIRECT(ADDRESS(164,19)),INDIRECT(ADDRESS(165,18))-INDIRECT(ADDRESS(160,19))+INDIRECT(ADDRESS(163,19))-INDIRECT(ADDRESS(164,19)))</f>
        <v>0</v>
      </c>
      <c r="T165">
        <f>IF(DAY(NOW())&lt;M3,INDIRECT(ADDRESS(165,19))-INDIRECT(ADDRESS(160,20))+INDIRECT(ADDRESS(161,20))-INDIRECT(ADDRESS(164,20)),INDIRECT(ADDRESS(165,19))-INDIRECT(ADDRESS(160,20))+INDIRECT(ADDRESS(163,20))-INDIRECT(ADDRESS(164,20)))</f>
        <v>0</v>
      </c>
      <c r="U165">
        <f>IF(DAY(NOW())&lt;M3,INDIRECT(ADDRESS(165,20))-INDIRECT(ADDRESS(160,21))+INDIRECT(ADDRESS(161,21))-INDIRECT(ADDRESS(164,21)),INDIRECT(ADDRESS(165,20))-INDIRECT(ADDRESS(160,21))+INDIRECT(ADDRESS(163,21))-INDIRECT(ADDRESS(164,21)))</f>
        <v>0</v>
      </c>
      <c r="V165">
        <f>IF(DAY(NOW())&lt;M3,INDIRECT(ADDRESS(165,21))-INDIRECT(ADDRESS(160,22))+INDIRECT(ADDRESS(161,22))-INDIRECT(ADDRESS(164,22)),INDIRECT(ADDRESS(165,21))-INDIRECT(ADDRESS(160,22))+INDIRECT(ADDRESS(163,22))-INDIRECT(ADDRESS(164,22)))</f>
        <v>0</v>
      </c>
      <c r="W165">
        <f>IF(DAY(NOW())&lt;M3,INDIRECT(ADDRESS(165,22))-INDIRECT(ADDRESS(160,23))+INDIRECT(ADDRESS(161,23))-INDIRECT(ADDRESS(164,23)),INDIRECT(ADDRESS(165,22))-INDIRECT(ADDRESS(160,23))+INDIRECT(ADDRESS(163,23))-INDIRECT(ADDRESS(164,23)))</f>
        <v>0</v>
      </c>
      <c r="X165">
        <f>IF(DAY(NOW())&lt;M3,INDIRECT(ADDRESS(165,23))-INDIRECT(ADDRESS(160,24))+INDIRECT(ADDRESS(161,24))-INDIRECT(ADDRESS(164,24)),INDIRECT(ADDRESS(165,23))-INDIRECT(ADDRESS(160,24))+INDIRECT(ADDRESS(163,24))-INDIRECT(ADDRESS(164,24)))</f>
        <v>0</v>
      </c>
      <c r="Y165">
        <f>IF(DAY(NOW())&lt;M3,INDIRECT(ADDRESS(165,24))-INDIRECT(ADDRESS(160,25))+INDIRECT(ADDRESS(161,25))-INDIRECT(ADDRESS(164,25)),INDIRECT(ADDRESS(165,24))-INDIRECT(ADDRESS(160,25))+INDIRECT(ADDRESS(163,25))-INDIRECT(ADDRESS(164,25)))</f>
        <v>0</v>
      </c>
      <c r="Z165">
        <f>IF(DAY(NOW())&lt;M3,INDIRECT(ADDRESS(165,25))-INDIRECT(ADDRESS(160,26))+INDIRECT(ADDRESS(161,26))-INDIRECT(ADDRESS(164,26)),INDIRECT(ADDRESS(165,25))-INDIRECT(ADDRESS(160,26))+INDIRECT(ADDRESS(163,26))-INDIRECT(ADDRESS(164,26)))</f>
        <v>0</v>
      </c>
      <c r="AA165">
        <f>IF(DAY(NOW())&lt;M3,INDIRECT(ADDRESS(165,26))-INDIRECT(ADDRESS(160,27))+INDIRECT(ADDRESS(161,27))-INDIRECT(ADDRESS(164,27)),INDIRECT(ADDRESS(165,26))-INDIRECT(ADDRESS(160,27))+INDIRECT(ADDRESS(163,27))-INDIRECT(ADDRESS(164,27)))</f>
        <v>0</v>
      </c>
      <c r="AB165">
        <f>IF(DAY(NOW())&lt;M3,INDIRECT(ADDRESS(165,27))-INDIRECT(ADDRESS(160,28))+INDIRECT(ADDRESS(161,28))-INDIRECT(ADDRESS(164,28)),INDIRECT(ADDRESS(165,27))-INDIRECT(ADDRESS(160,28))+INDIRECT(ADDRESS(163,28))-INDIRECT(ADDRESS(164,28)))</f>
        <v>0</v>
      </c>
      <c r="AC165">
        <f>IF(DAY(NOW())&lt;M3,INDIRECT(ADDRESS(165,28))-INDIRECT(ADDRESS(160,29))+INDIRECT(ADDRESS(161,29))-INDIRECT(ADDRESS(164,29)),INDIRECT(ADDRESS(165,28))-INDIRECT(ADDRESS(160,29))+INDIRECT(ADDRESS(163,29))-INDIRECT(ADDRESS(164,29)))</f>
        <v>0</v>
      </c>
      <c r="AD165">
        <f>IF(DAY(NOW())&lt;M3,INDIRECT(ADDRESS(165,29))-INDIRECT(ADDRESS(160,30))+INDIRECT(ADDRESS(161,30))-INDIRECT(ADDRESS(164,30)),INDIRECT(ADDRESS(165,29))-INDIRECT(ADDRESS(160,30))+INDIRECT(ADDRESS(163,30))-INDIRECT(ADDRESS(164,30)))</f>
        <v>0</v>
      </c>
      <c r="AE165">
        <f>IF(DAY(NOW())&lt;M3,INDIRECT(ADDRESS(165,30))-INDIRECT(ADDRESS(160,31))+INDIRECT(ADDRESS(161,31))-INDIRECT(ADDRESS(164,31)),INDIRECT(ADDRESS(165,30))-INDIRECT(ADDRESS(160,31))+INDIRECT(ADDRESS(163,31))-INDIRECT(ADDRESS(164,31)))</f>
        <v>0</v>
      </c>
      <c r="AF165">
        <f>IF(DAY(NOW())&lt;M3,INDIRECT(ADDRESS(165,31))-INDIRECT(ADDRESS(160,32))+INDIRECT(ADDRESS(161,32))-INDIRECT(ADDRESS(164,32)),INDIRECT(ADDRESS(165,31))-INDIRECT(ADDRESS(160,32))+INDIRECT(ADDRESS(163,32))-INDIRECT(ADDRESS(164,32)))</f>
        <v>0</v>
      </c>
      <c r="AG165">
        <f>IF(DAY(NOW())&lt;M3,INDIRECT(ADDRESS(165,32))-INDIRECT(ADDRESS(160,33))+INDIRECT(ADDRESS(161,33))-INDIRECT(ADDRESS(164,33)),INDIRECT(ADDRESS(165,32))-INDIRECT(ADDRESS(160,33))+INDIRECT(ADDRESS(163,33))-INDIRECT(ADDRESS(164,33)))</f>
        <v>0</v>
      </c>
      <c r="AH165">
        <f>IF(DAY(NOW())&lt;M3,INDIRECT(ADDRESS(165,33))-INDIRECT(ADDRESS(160,34))+INDIRECT(ADDRESS(161,34))-INDIRECT(ADDRESS(164,34)),INDIRECT(ADDRESS(165,33))-INDIRECT(ADDRESS(160,34))+INDIRECT(ADDRESS(163,34))-INDIRECT(ADDRESS(164,34)))</f>
        <v>0</v>
      </c>
      <c r="AI165">
        <f>IF(DAY(NOW())&lt;M3,INDIRECT(ADDRESS(165,34))-INDIRECT(ADDRESS(160,35))+INDIRECT(ADDRESS(161,35))-INDIRECT(ADDRESS(164,35)),INDIRECT(ADDRESS(165,34))-INDIRECT(ADDRESS(160,35))+INDIRECT(ADDRESS(163,35))-INDIRECT(ADDRESS(164,35)))</f>
        <v>0</v>
      </c>
      <c r="AJ165">
        <f>IF(DAY(NOW())&lt;M3,INDIRECT(ADDRESS(165,35))-INDIRECT(ADDRESS(160,36))+INDIRECT(ADDRESS(161,36))-INDIRECT(ADDRESS(164,36)),INDIRECT(ADDRESS(165,35))-INDIRECT(ADDRESS(160,36))+INDIRECT(ADDRESS(163,36))-INDIRECT(ADDRESS(164,36)))</f>
        <v>0</v>
      </c>
      <c r="AK165">
        <f>IF(DAY(NOW())&lt;M3,INDIRECT(ADDRESS(165,36))-INDIRECT(ADDRESS(160,37))+INDIRECT(ADDRESS(161,37))-INDIRECT(ADDRESS(164,37)),INDIRECT(ADDRESS(165,36))-INDIRECT(ADDRESS(160,37))+INDIRECT(ADDRESS(163,37))-INDIRECT(ADDRESS(164,37)))</f>
        <v>0</v>
      </c>
      <c r="AL165">
        <f>IF(DAY(NOW())&lt;M3,INDIRECT(ADDRESS(165,37))-INDIRECT(ADDRESS(160,38))+INDIRECT(ADDRESS(161,38))-INDIRECT(ADDRESS(164,38)),INDIRECT(ADDRESS(165,37))-INDIRECT(ADDRESS(160,38))+INDIRECT(ADDRESS(163,38))-INDIRECT(ADDRESS(164,38)))</f>
        <v>0</v>
      </c>
      <c r="AM165">
        <f>IF(DAY(NOW())&lt;M3,INDIRECT(ADDRESS(165,38))-INDIRECT(ADDRESS(160,39))+INDIRECT(ADDRESS(161,39))-INDIRECT(ADDRESS(164,39)),INDIRECT(ADDRESS(165,38))-INDIRECT(ADDRESS(160,39))+INDIRECT(ADDRESS(163,39))-INDIRECT(ADDRESS(164,39)))</f>
        <v>0</v>
      </c>
      <c r="AN165">
        <f>IF(DAY(NOW())&lt;M3,INDIRECT(ADDRESS(165,39))-INDIRECT(ADDRESS(160,40))+INDIRECT(ADDRESS(161,40))-INDIRECT(ADDRESS(164,40)),INDIRECT(ADDRESS(165,39))-INDIRECT(ADDRESS(160,40))+INDIRECT(ADDRESS(163,40))-INDIRECT(ADDRESS(164,40)))</f>
        <v>0</v>
      </c>
      <c r="AO165">
        <f>IF(DAY(NOW())&lt;M3,INDIRECT(ADDRESS(165,40))-INDIRECT(ADDRESS(160,41))+INDIRECT(ADDRESS(161,41))-INDIRECT(ADDRESS(164,41)),INDIRECT(ADDRESS(165,40))-INDIRECT(ADDRESS(160,41))+INDIRECT(ADDRESS(163,41))-INDIRECT(ADDRESS(164,41)))</f>
        <v>0</v>
      </c>
      <c r="AP165">
        <f>IF(DAY(NOW())&lt;M3,INDIRECT(ADDRESS(165,41))-INDIRECT(ADDRESS(160,42))+INDIRECT(ADDRESS(161,42))-INDIRECT(ADDRESS(164,42)),INDIRECT(ADDRESS(165,41))-INDIRECT(ADDRESS(160,42))+INDIRECT(ADDRESS(163,42))-INDIRECT(ADDRESS(164,42)))</f>
        <v>0</v>
      </c>
      <c r="AQ165">
        <f>IF(DAY(NOW())&lt;M3,INDIRECT(ADDRESS(165,42))-INDIRECT(ADDRESS(160,43))+INDIRECT(ADDRESS(161,43))-INDIRECT(ADDRESS(164,43)),INDIRECT(ADDRESS(165,42))-INDIRECT(ADDRESS(160,43))+INDIRECT(ADDRESS(163,43))-INDIRECT(ADDRESS(164,43)))</f>
        <v>0</v>
      </c>
      <c r="AR165">
        <f>IF(DAY(NOW())&lt;M3,INDIRECT(ADDRESS(165,43))-INDIRECT(ADDRESS(160,44))+INDIRECT(ADDRESS(161,44))-INDIRECT(ADDRESS(164,44)),INDIRECT(ADDRESS(165,43))-INDIRECT(ADDRESS(160,44))+INDIRECT(ADDRESS(163,44))-INDIRECT(ADDRESS(164,44)))</f>
        <v>0</v>
      </c>
    </row>
    <row r="166" spans="1:76">
      <c r="A166" t="s">
        <v>14</v>
      </c>
      <c r="B166" t="s">
        <v>116</v>
      </c>
      <c r="C166" t="s">
        <v>117</v>
      </c>
      <c r="D166" t="s">
        <v>46</v>
      </c>
      <c r="E166">
        <v>1</v>
      </c>
      <c r="F166" t="s">
        <v>118</v>
      </c>
      <c r="H166" t="s">
        <v>119</v>
      </c>
      <c r="I166">
        <v>50</v>
      </c>
      <c r="K166" t="s">
        <v>20</v>
      </c>
      <c r="L166" t="s">
        <v>21</v>
      </c>
      <c r="BX166">
        <f>sum(j166:an166)</f>
        <v>0</v>
      </c>
    </row>
    <row r="167" spans="1:76">
      <c r="A167" t="s">
        <v>14</v>
      </c>
      <c r="B167" t="s">
        <v>116</v>
      </c>
      <c r="C167" t="s">
        <v>117</v>
      </c>
      <c r="D167" t="s">
        <v>46</v>
      </c>
      <c r="E167">
        <v>1</v>
      </c>
      <c r="F167" t="s">
        <v>118</v>
      </c>
      <c r="H167" t="s">
        <v>119</v>
      </c>
      <c r="I167">
        <v>50</v>
      </c>
      <c r="K167" t="s">
        <v>20</v>
      </c>
      <c r="L167" t="s">
        <v>37</v>
      </c>
    </row>
    <row r="168" spans="1:76">
      <c r="L168" t="s">
        <v>662</v>
      </c>
    </row>
    <row r="169" spans="1:76">
      <c r="L169" t="s">
        <v>663</v>
      </c>
    </row>
    <row r="170" spans="1:76">
      <c r="L170" t="s">
        <v>664</v>
      </c>
    </row>
    <row r="171" spans="1:76">
      <c r="L171" t="s">
        <v>665</v>
      </c>
      <c r="M171">
        <f>IF(DAY(NOW())&lt;M3,INDIRECT(ADDRESS(171,7))-INDIRECT(ADDRESS(166,13))+INDIRECT(ADDRESS(167,13))-INDIRECT(ADDRESS(170,13)),INDIRECT(ADDRESS(171,7))-INDIRECT(ADDRESS(166,13))+INDIRECT(ADDRESS(169,13))-INDIRECT(ADDRESS(170,13)))</f>
        <v>0</v>
      </c>
      <c r="N171">
        <f>IF(DAY(NOW())&lt;M3,INDIRECT(ADDRESS(171,13))-INDIRECT(ADDRESS(166,14))+INDIRECT(ADDRESS(167,14))-INDIRECT(ADDRESS(170,14)),INDIRECT(ADDRESS(171,13))-INDIRECT(ADDRESS(166,14))+INDIRECT(ADDRESS(169,14))-INDIRECT(ADDRESS(170,14)))</f>
        <v>0</v>
      </c>
      <c r="O171">
        <f>IF(DAY(NOW())&lt;M3,INDIRECT(ADDRESS(171,14))-INDIRECT(ADDRESS(166,15))+INDIRECT(ADDRESS(167,15))-INDIRECT(ADDRESS(170,15)),INDIRECT(ADDRESS(171,14))-INDIRECT(ADDRESS(166,15))+INDIRECT(ADDRESS(169,15))-INDIRECT(ADDRESS(170,15)))</f>
        <v>0</v>
      </c>
      <c r="P171">
        <f>IF(DAY(NOW())&lt;M3,INDIRECT(ADDRESS(171,15))-INDIRECT(ADDRESS(166,16))+INDIRECT(ADDRESS(167,16))-INDIRECT(ADDRESS(170,16)),INDIRECT(ADDRESS(171,15))-INDIRECT(ADDRESS(166,16))+INDIRECT(ADDRESS(169,16))-INDIRECT(ADDRESS(170,16)))</f>
        <v>0</v>
      </c>
      <c r="Q171">
        <f>IF(DAY(NOW())&lt;M3,INDIRECT(ADDRESS(171,16))-INDIRECT(ADDRESS(166,17))+INDIRECT(ADDRESS(167,17))-INDIRECT(ADDRESS(170,17)),INDIRECT(ADDRESS(171,16))-INDIRECT(ADDRESS(166,17))+INDIRECT(ADDRESS(169,17))-INDIRECT(ADDRESS(170,17)))</f>
        <v>0</v>
      </c>
      <c r="R171">
        <f>IF(DAY(NOW())&lt;M3,INDIRECT(ADDRESS(171,17))-INDIRECT(ADDRESS(166,18))+INDIRECT(ADDRESS(167,18))-INDIRECT(ADDRESS(170,18)),INDIRECT(ADDRESS(171,17))-INDIRECT(ADDRESS(166,18))+INDIRECT(ADDRESS(169,18))-INDIRECT(ADDRESS(170,18)))</f>
        <v>0</v>
      </c>
      <c r="S171">
        <f>IF(DAY(NOW())&lt;M3,INDIRECT(ADDRESS(171,18))-INDIRECT(ADDRESS(166,19))+INDIRECT(ADDRESS(167,19))-INDIRECT(ADDRESS(170,19)),INDIRECT(ADDRESS(171,18))-INDIRECT(ADDRESS(166,19))+INDIRECT(ADDRESS(169,19))-INDIRECT(ADDRESS(170,19)))</f>
        <v>0</v>
      </c>
      <c r="T171">
        <f>IF(DAY(NOW())&lt;M3,INDIRECT(ADDRESS(171,19))-INDIRECT(ADDRESS(166,20))+INDIRECT(ADDRESS(167,20))-INDIRECT(ADDRESS(170,20)),INDIRECT(ADDRESS(171,19))-INDIRECT(ADDRESS(166,20))+INDIRECT(ADDRESS(169,20))-INDIRECT(ADDRESS(170,20)))</f>
        <v>0</v>
      </c>
      <c r="U171">
        <f>IF(DAY(NOW())&lt;M3,INDIRECT(ADDRESS(171,20))-INDIRECT(ADDRESS(166,21))+INDIRECT(ADDRESS(167,21))-INDIRECT(ADDRESS(170,21)),INDIRECT(ADDRESS(171,20))-INDIRECT(ADDRESS(166,21))+INDIRECT(ADDRESS(169,21))-INDIRECT(ADDRESS(170,21)))</f>
        <v>0</v>
      </c>
      <c r="V171">
        <f>IF(DAY(NOW())&lt;M3,INDIRECT(ADDRESS(171,21))-INDIRECT(ADDRESS(166,22))+INDIRECT(ADDRESS(167,22))-INDIRECT(ADDRESS(170,22)),INDIRECT(ADDRESS(171,21))-INDIRECT(ADDRESS(166,22))+INDIRECT(ADDRESS(169,22))-INDIRECT(ADDRESS(170,22)))</f>
        <v>0</v>
      </c>
      <c r="W171">
        <f>IF(DAY(NOW())&lt;M3,INDIRECT(ADDRESS(171,22))-INDIRECT(ADDRESS(166,23))+INDIRECT(ADDRESS(167,23))-INDIRECT(ADDRESS(170,23)),INDIRECT(ADDRESS(171,22))-INDIRECT(ADDRESS(166,23))+INDIRECT(ADDRESS(169,23))-INDIRECT(ADDRESS(170,23)))</f>
        <v>0</v>
      </c>
      <c r="X171">
        <f>IF(DAY(NOW())&lt;M3,INDIRECT(ADDRESS(171,23))-INDIRECT(ADDRESS(166,24))+INDIRECT(ADDRESS(167,24))-INDIRECT(ADDRESS(170,24)),INDIRECT(ADDRESS(171,23))-INDIRECT(ADDRESS(166,24))+INDIRECT(ADDRESS(169,24))-INDIRECT(ADDRESS(170,24)))</f>
        <v>0</v>
      </c>
      <c r="Y171">
        <f>IF(DAY(NOW())&lt;M3,INDIRECT(ADDRESS(171,24))-INDIRECT(ADDRESS(166,25))+INDIRECT(ADDRESS(167,25))-INDIRECT(ADDRESS(170,25)),INDIRECT(ADDRESS(171,24))-INDIRECT(ADDRESS(166,25))+INDIRECT(ADDRESS(169,25))-INDIRECT(ADDRESS(170,25)))</f>
        <v>0</v>
      </c>
      <c r="Z171">
        <f>IF(DAY(NOW())&lt;M3,INDIRECT(ADDRESS(171,25))-INDIRECT(ADDRESS(166,26))+INDIRECT(ADDRESS(167,26))-INDIRECT(ADDRESS(170,26)),INDIRECT(ADDRESS(171,25))-INDIRECT(ADDRESS(166,26))+INDIRECT(ADDRESS(169,26))-INDIRECT(ADDRESS(170,26)))</f>
        <v>0</v>
      </c>
      <c r="AA171">
        <f>IF(DAY(NOW())&lt;M3,INDIRECT(ADDRESS(171,26))-INDIRECT(ADDRESS(166,27))+INDIRECT(ADDRESS(167,27))-INDIRECT(ADDRESS(170,27)),INDIRECT(ADDRESS(171,26))-INDIRECT(ADDRESS(166,27))+INDIRECT(ADDRESS(169,27))-INDIRECT(ADDRESS(170,27)))</f>
        <v>0</v>
      </c>
      <c r="AB171">
        <f>IF(DAY(NOW())&lt;M3,INDIRECT(ADDRESS(171,27))-INDIRECT(ADDRESS(166,28))+INDIRECT(ADDRESS(167,28))-INDIRECT(ADDRESS(170,28)),INDIRECT(ADDRESS(171,27))-INDIRECT(ADDRESS(166,28))+INDIRECT(ADDRESS(169,28))-INDIRECT(ADDRESS(170,28)))</f>
        <v>0</v>
      </c>
      <c r="AC171">
        <f>IF(DAY(NOW())&lt;M3,INDIRECT(ADDRESS(171,28))-INDIRECT(ADDRESS(166,29))+INDIRECT(ADDRESS(167,29))-INDIRECT(ADDRESS(170,29)),INDIRECT(ADDRESS(171,28))-INDIRECT(ADDRESS(166,29))+INDIRECT(ADDRESS(169,29))-INDIRECT(ADDRESS(170,29)))</f>
        <v>0</v>
      </c>
      <c r="AD171">
        <f>IF(DAY(NOW())&lt;M3,INDIRECT(ADDRESS(171,29))-INDIRECT(ADDRESS(166,30))+INDIRECT(ADDRESS(167,30))-INDIRECT(ADDRESS(170,30)),INDIRECT(ADDRESS(171,29))-INDIRECT(ADDRESS(166,30))+INDIRECT(ADDRESS(169,30))-INDIRECT(ADDRESS(170,30)))</f>
        <v>0</v>
      </c>
      <c r="AE171">
        <f>IF(DAY(NOW())&lt;M3,INDIRECT(ADDRESS(171,30))-INDIRECT(ADDRESS(166,31))+INDIRECT(ADDRESS(167,31))-INDIRECT(ADDRESS(170,31)),INDIRECT(ADDRESS(171,30))-INDIRECT(ADDRESS(166,31))+INDIRECT(ADDRESS(169,31))-INDIRECT(ADDRESS(170,31)))</f>
        <v>0</v>
      </c>
      <c r="AF171">
        <f>IF(DAY(NOW())&lt;M3,INDIRECT(ADDRESS(171,31))-INDIRECT(ADDRESS(166,32))+INDIRECT(ADDRESS(167,32))-INDIRECT(ADDRESS(170,32)),INDIRECT(ADDRESS(171,31))-INDIRECT(ADDRESS(166,32))+INDIRECT(ADDRESS(169,32))-INDIRECT(ADDRESS(170,32)))</f>
        <v>0</v>
      </c>
      <c r="AG171">
        <f>IF(DAY(NOW())&lt;M3,INDIRECT(ADDRESS(171,32))-INDIRECT(ADDRESS(166,33))+INDIRECT(ADDRESS(167,33))-INDIRECT(ADDRESS(170,33)),INDIRECT(ADDRESS(171,32))-INDIRECT(ADDRESS(166,33))+INDIRECT(ADDRESS(169,33))-INDIRECT(ADDRESS(170,33)))</f>
        <v>0</v>
      </c>
      <c r="AH171">
        <f>IF(DAY(NOW())&lt;M3,INDIRECT(ADDRESS(171,33))-INDIRECT(ADDRESS(166,34))+INDIRECT(ADDRESS(167,34))-INDIRECT(ADDRESS(170,34)),INDIRECT(ADDRESS(171,33))-INDIRECT(ADDRESS(166,34))+INDIRECT(ADDRESS(169,34))-INDIRECT(ADDRESS(170,34)))</f>
        <v>0</v>
      </c>
      <c r="AI171">
        <f>IF(DAY(NOW())&lt;M3,INDIRECT(ADDRESS(171,34))-INDIRECT(ADDRESS(166,35))+INDIRECT(ADDRESS(167,35))-INDIRECT(ADDRESS(170,35)),INDIRECT(ADDRESS(171,34))-INDIRECT(ADDRESS(166,35))+INDIRECT(ADDRESS(169,35))-INDIRECT(ADDRESS(170,35)))</f>
        <v>0</v>
      </c>
      <c r="AJ171">
        <f>IF(DAY(NOW())&lt;M3,INDIRECT(ADDRESS(171,35))-INDIRECT(ADDRESS(166,36))+INDIRECT(ADDRESS(167,36))-INDIRECT(ADDRESS(170,36)),INDIRECT(ADDRESS(171,35))-INDIRECT(ADDRESS(166,36))+INDIRECT(ADDRESS(169,36))-INDIRECT(ADDRESS(170,36)))</f>
        <v>0</v>
      </c>
      <c r="AK171">
        <f>IF(DAY(NOW())&lt;M3,INDIRECT(ADDRESS(171,36))-INDIRECT(ADDRESS(166,37))+INDIRECT(ADDRESS(167,37))-INDIRECT(ADDRESS(170,37)),INDIRECT(ADDRESS(171,36))-INDIRECT(ADDRESS(166,37))+INDIRECT(ADDRESS(169,37))-INDIRECT(ADDRESS(170,37)))</f>
        <v>0</v>
      </c>
      <c r="AL171">
        <f>IF(DAY(NOW())&lt;M3,INDIRECT(ADDRESS(171,37))-INDIRECT(ADDRESS(166,38))+INDIRECT(ADDRESS(167,38))-INDIRECT(ADDRESS(170,38)),INDIRECT(ADDRESS(171,37))-INDIRECT(ADDRESS(166,38))+INDIRECT(ADDRESS(169,38))-INDIRECT(ADDRESS(170,38)))</f>
        <v>0</v>
      </c>
      <c r="AM171">
        <f>IF(DAY(NOW())&lt;M3,INDIRECT(ADDRESS(171,38))-INDIRECT(ADDRESS(166,39))+INDIRECT(ADDRESS(167,39))-INDIRECT(ADDRESS(170,39)),INDIRECT(ADDRESS(171,38))-INDIRECT(ADDRESS(166,39))+INDIRECT(ADDRESS(169,39))-INDIRECT(ADDRESS(170,39)))</f>
        <v>0</v>
      </c>
      <c r="AN171">
        <f>IF(DAY(NOW())&lt;M3,INDIRECT(ADDRESS(171,39))-INDIRECT(ADDRESS(166,40))+INDIRECT(ADDRESS(167,40))-INDIRECT(ADDRESS(170,40)),INDIRECT(ADDRESS(171,39))-INDIRECT(ADDRESS(166,40))+INDIRECT(ADDRESS(169,40))-INDIRECT(ADDRESS(170,40)))</f>
        <v>0</v>
      </c>
      <c r="AO171">
        <f>IF(DAY(NOW())&lt;M3,INDIRECT(ADDRESS(171,40))-INDIRECT(ADDRESS(166,41))+INDIRECT(ADDRESS(167,41))-INDIRECT(ADDRESS(170,41)),INDIRECT(ADDRESS(171,40))-INDIRECT(ADDRESS(166,41))+INDIRECT(ADDRESS(169,41))-INDIRECT(ADDRESS(170,41)))</f>
        <v>0</v>
      </c>
      <c r="AP171">
        <f>IF(DAY(NOW())&lt;M3,INDIRECT(ADDRESS(171,41))-INDIRECT(ADDRESS(166,42))+INDIRECT(ADDRESS(167,42))-INDIRECT(ADDRESS(170,42)),INDIRECT(ADDRESS(171,41))-INDIRECT(ADDRESS(166,42))+INDIRECT(ADDRESS(169,42))-INDIRECT(ADDRESS(170,42)))</f>
        <v>0</v>
      </c>
      <c r="AQ171">
        <f>IF(DAY(NOW())&lt;M3,INDIRECT(ADDRESS(171,42))-INDIRECT(ADDRESS(166,43))+INDIRECT(ADDRESS(167,43))-INDIRECT(ADDRESS(170,43)),INDIRECT(ADDRESS(171,42))-INDIRECT(ADDRESS(166,43))+INDIRECT(ADDRESS(169,43))-INDIRECT(ADDRESS(170,43)))</f>
        <v>0</v>
      </c>
      <c r="AR171">
        <f>IF(DAY(NOW())&lt;M3,INDIRECT(ADDRESS(171,43))-INDIRECT(ADDRESS(166,44))+INDIRECT(ADDRESS(167,44))-INDIRECT(ADDRESS(170,44)),INDIRECT(ADDRESS(171,43))-INDIRECT(ADDRESS(166,44))+INDIRECT(ADDRESS(169,44))-INDIRECT(ADDRESS(170,44)))</f>
        <v>0</v>
      </c>
    </row>
    <row r="172" spans="1:76">
      <c r="A172" t="s">
        <v>31</v>
      </c>
      <c r="B172" t="s">
        <v>120</v>
      </c>
      <c r="C172" t="s">
        <v>121</v>
      </c>
      <c r="D172" t="s">
        <v>17</v>
      </c>
      <c r="E172">
        <v>1</v>
      </c>
      <c r="F172" t="s">
        <v>122</v>
      </c>
      <c r="H172" t="s">
        <v>35</v>
      </c>
      <c r="I172" t="s">
        <v>36</v>
      </c>
      <c r="K172" t="s">
        <v>20</v>
      </c>
      <c r="L172" t="s">
        <v>21</v>
      </c>
      <c r="M172">
        <f>sumifs(BOM!m:m,BOM!A:A,".1",BOM!B:B,"852-246000-100")</f>
        <v>0</v>
      </c>
      <c r="N172">
        <f>sumifs(BOM!n:n,BOM!A:A,".1",BOM!B:B,"852-246000-100")</f>
        <v>0</v>
      </c>
      <c r="O172">
        <f>sumifs(BOM!o:o,BOM!A:A,".1",BOM!B:B,"852-246000-100")</f>
        <v>0</v>
      </c>
      <c r="P172">
        <f>sumifs(BOM!p:p,BOM!A:A,".1",BOM!B:B,"852-246000-100")</f>
        <v>0</v>
      </c>
      <c r="Q172">
        <f>sumifs(BOM!q:q,BOM!A:A,".1",BOM!B:B,"852-246000-100")</f>
        <v>0</v>
      </c>
      <c r="R172">
        <f>sumifs(BOM!r:r,BOM!A:A,".1",BOM!B:B,"852-246000-100")</f>
        <v>0</v>
      </c>
      <c r="S172">
        <f>sumifs(BOM!s:s,BOM!A:A,".1",BOM!B:B,"852-246000-100")</f>
        <v>0</v>
      </c>
      <c r="T172">
        <f>sumifs(BOM!t:t,BOM!A:A,".1",BOM!B:B,"852-246000-100")</f>
        <v>0</v>
      </c>
      <c r="U172">
        <f>sumifs(BOM!u:u,BOM!A:A,".1",BOM!B:B,"852-246000-100")</f>
        <v>0</v>
      </c>
      <c r="V172">
        <f>sumifs(BOM!v:v,BOM!A:A,".1",BOM!B:B,"852-246000-100")</f>
        <v>0</v>
      </c>
      <c r="W172">
        <f>sumifs(BOM!w:w,BOM!A:A,".1",BOM!B:B,"852-246000-100")</f>
        <v>0</v>
      </c>
      <c r="X172">
        <f>sumifs(BOM!x:x,BOM!A:A,".1",BOM!B:B,"852-246000-100")</f>
        <v>0</v>
      </c>
      <c r="Y172">
        <f>sumifs(BOM!y:y,BOM!A:A,".1",BOM!B:B,"852-246000-100")</f>
        <v>0</v>
      </c>
      <c r="Z172">
        <f>sumifs(BOM!z:z,BOM!A:A,".1",BOM!B:B,"852-246000-100")</f>
        <v>0</v>
      </c>
      <c r="AA172">
        <f>sumifs(BOM!aa:aa,BOM!A:A,".1",BOM!B:B,"852-246000-100")</f>
        <v>0</v>
      </c>
      <c r="AB172">
        <f>sumifs(BOM!ab:ab,BOM!A:A,".1",BOM!B:B,"852-246000-100")</f>
        <v>0</v>
      </c>
      <c r="AC172">
        <f>sumifs(BOM!ac:ac,BOM!A:A,".1",BOM!B:B,"852-246000-100")</f>
        <v>0</v>
      </c>
      <c r="AD172">
        <f>sumifs(BOM!ad:ad,BOM!A:A,".1",BOM!B:B,"852-246000-100")</f>
        <v>0</v>
      </c>
      <c r="AE172">
        <f>sumifs(BOM!ae:ae,BOM!A:A,".1",BOM!B:B,"852-246000-100")</f>
        <v>0</v>
      </c>
      <c r="AF172">
        <f>sumifs(BOM!af:af,BOM!A:A,".1",BOM!B:B,"852-246000-100")</f>
        <v>0</v>
      </c>
      <c r="AG172">
        <f>sumifs(BOM!ag:ag,BOM!A:A,".1",BOM!B:B,"852-246000-100")</f>
        <v>0</v>
      </c>
      <c r="AH172">
        <f>sumifs(BOM!ah:ah,BOM!A:A,".1",BOM!B:B,"852-246000-100")</f>
        <v>0</v>
      </c>
      <c r="AI172">
        <f>sumifs(BOM!ai:ai,BOM!A:A,".1",BOM!B:B,"852-246000-100")</f>
        <v>0</v>
      </c>
      <c r="AJ172">
        <f>sumifs(BOM!aj:aj,BOM!A:A,".1",BOM!B:B,"852-246000-100")</f>
        <v>0</v>
      </c>
      <c r="AK172">
        <f>sumifs(BOM!ak:ak,BOM!A:A,".1",BOM!B:B,"852-246000-100")</f>
        <v>0</v>
      </c>
      <c r="AL172">
        <f>sumifs(BOM!al:al,BOM!A:A,".1",BOM!B:B,"852-246000-100")</f>
        <v>0</v>
      </c>
      <c r="AM172">
        <f>sumifs(BOM!am:am,BOM!A:A,".1",BOM!B:B,"852-246000-100")</f>
        <v>0</v>
      </c>
      <c r="AN172">
        <f>sumifs(BOM!an:an,BOM!A:A,".1",BOM!B:B,"852-246000-100")</f>
        <v>0</v>
      </c>
      <c r="AO172">
        <f>sumifs(BOM!ao:ao,BOM!A:A,".1",BOM!B:B,"852-246000-100")</f>
        <v>0</v>
      </c>
      <c r="AP172">
        <f>sumifs(BOM!ap:ap,BOM!A:A,".1",BOM!B:B,"852-246000-100")</f>
        <v>0</v>
      </c>
      <c r="AQ172">
        <f>sumifs(BOM!aq:aq,BOM!A:A,".1",BOM!B:B,"852-246000-100")</f>
        <v>0</v>
      </c>
      <c r="AR172">
        <f>sumifs(BOM!ar:ar,BOM!A:A,".1",BOM!B:B,"852-246000-100")</f>
        <v>0</v>
      </c>
      <c r="BX172">
        <f>sum(j172:an172)</f>
        <v>0</v>
      </c>
    </row>
    <row r="173" spans="1:76">
      <c r="A173" t="s">
        <v>31</v>
      </c>
      <c r="B173" t="s">
        <v>120</v>
      </c>
      <c r="C173" t="s">
        <v>121</v>
      </c>
      <c r="D173" t="s">
        <v>17</v>
      </c>
      <c r="E173">
        <v>1</v>
      </c>
      <c r="F173" t="s">
        <v>122</v>
      </c>
      <c r="H173" t="s">
        <v>35</v>
      </c>
      <c r="I173" t="s">
        <v>36</v>
      </c>
      <c r="K173" t="s">
        <v>20</v>
      </c>
      <c r="L173" t="s">
        <v>37</v>
      </c>
    </row>
    <row r="174" spans="1:76">
      <c r="L174" t="s">
        <v>662</v>
      </c>
    </row>
    <row r="175" spans="1:76">
      <c r="L175" t="s">
        <v>663</v>
      </c>
    </row>
    <row r="176" spans="1:76">
      <c r="L176" t="s">
        <v>664</v>
      </c>
    </row>
    <row r="177" spans="1:76">
      <c r="L177" t="s">
        <v>665</v>
      </c>
      <c r="M177">
        <f>IF(DAY(NOW())&lt;M3,INDIRECT(ADDRESS(177,7))-INDIRECT(ADDRESS(172,13))+INDIRECT(ADDRESS(173,13))-INDIRECT(ADDRESS(176,13)),INDIRECT(ADDRESS(177,7))-INDIRECT(ADDRESS(172,13))+INDIRECT(ADDRESS(175,13))-INDIRECT(ADDRESS(176,13)))</f>
        <v>0</v>
      </c>
      <c r="N177">
        <f>IF(DAY(NOW())&lt;M3,INDIRECT(ADDRESS(177,13))-INDIRECT(ADDRESS(172,14))+INDIRECT(ADDRESS(173,14))-INDIRECT(ADDRESS(176,14)),INDIRECT(ADDRESS(177,13))-INDIRECT(ADDRESS(172,14))+INDIRECT(ADDRESS(175,14))-INDIRECT(ADDRESS(176,14)))</f>
        <v>0</v>
      </c>
      <c r="O177">
        <f>IF(DAY(NOW())&lt;M3,INDIRECT(ADDRESS(177,14))-INDIRECT(ADDRESS(172,15))+INDIRECT(ADDRESS(173,15))-INDIRECT(ADDRESS(176,15)),INDIRECT(ADDRESS(177,14))-INDIRECT(ADDRESS(172,15))+INDIRECT(ADDRESS(175,15))-INDIRECT(ADDRESS(176,15)))</f>
        <v>0</v>
      </c>
      <c r="P177">
        <f>IF(DAY(NOW())&lt;M3,INDIRECT(ADDRESS(177,15))-INDIRECT(ADDRESS(172,16))+INDIRECT(ADDRESS(173,16))-INDIRECT(ADDRESS(176,16)),INDIRECT(ADDRESS(177,15))-INDIRECT(ADDRESS(172,16))+INDIRECT(ADDRESS(175,16))-INDIRECT(ADDRESS(176,16)))</f>
        <v>0</v>
      </c>
      <c r="Q177">
        <f>IF(DAY(NOW())&lt;M3,INDIRECT(ADDRESS(177,16))-INDIRECT(ADDRESS(172,17))+INDIRECT(ADDRESS(173,17))-INDIRECT(ADDRESS(176,17)),INDIRECT(ADDRESS(177,16))-INDIRECT(ADDRESS(172,17))+INDIRECT(ADDRESS(175,17))-INDIRECT(ADDRESS(176,17)))</f>
        <v>0</v>
      </c>
      <c r="R177">
        <f>IF(DAY(NOW())&lt;M3,INDIRECT(ADDRESS(177,17))-INDIRECT(ADDRESS(172,18))+INDIRECT(ADDRESS(173,18))-INDIRECT(ADDRESS(176,18)),INDIRECT(ADDRESS(177,17))-INDIRECT(ADDRESS(172,18))+INDIRECT(ADDRESS(175,18))-INDIRECT(ADDRESS(176,18)))</f>
        <v>0</v>
      </c>
      <c r="S177">
        <f>IF(DAY(NOW())&lt;M3,INDIRECT(ADDRESS(177,18))-INDIRECT(ADDRESS(172,19))+INDIRECT(ADDRESS(173,19))-INDIRECT(ADDRESS(176,19)),INDIRECT(ADDRESS(177,18))-INDIRECT(ADDRESS(172,19))+INDIRECT(ADDRESS(175,19))-INDIRECT(ADDRESS(176,19)))</f>
        <v>0</v>
      </c>
      <c r="T177">
        <f>IF(DAY(NOW())&lt;M3,INDIRECT(ADDRESS(177,19))-INDIRECT(ADDRESS(172,20))+INDIRECT(ADDRESS(173,20))-INDIRECT(ADDRESS(176,20)),INDIRECT(ADDRESS(177,19))-INDIRECT(ADDRESS(172,20))+INDIRECT(ADDRESS(175,20))-INDIRECT(ADDRESS(176,20)))</f>
        <v>0</v>
      </c>
      <c r="U177">
        <f>IF(DAY(NOW())&lt;M3,INDIRECT(ADDRESS(177,20))-INDIRECT(ADDRESS(172,21))+INDIRECT(ADDRESS(173,21))-INDIRECT(ADDRESS(176,21)),INDIRECT(ADDRESS(177,20))-INDIRECT(ADDRESS(172,21))+INDIRECT(ADDRESS(175,21))-INDIRECT(ADDRESS(176,21)))</f>
        <v>0</v>
      </c>
      <c r="V177">
        <f>IF(DAY(NOW())&lt;M3,INDIRECT(ADDRESS(177,21))-INDIRECT(ADDRESS(172,22))+INDIRECT(ADDRESS(173,22))-INDIRECT(ADDRESS(176,22)),INDIRECT(ADDRESS(177,21))-INDIRECT(ADDRESS(172,22))+INDIRECT(ADDRESS(175,22))-INDIRECT(ADDRESS(176,22)))</f>
        <v>0</v>
      </c>
      <c r="W177">
        <f>IF(DAY(NOW())&lt;M3,INDIRECT(ADDRESS(177,22))-INDIRECT(ADDRESS(172,23))+INDIRECT(ADDRESS(173,23))-INDIRECT(ADDRESS(176,23)),INDIRECT(ADDRESS(177,22))-INDIRECT(ADDRESS(172,23))+INDIRECT(ADDRESS(175,23))-INDIRECT(ADDRESS(176,23)))</f>
        <v>0</v>
      </c>
      <c r="X177">
        <f>IF(DAY(NOW())&lt;M3,INDIRECT(ADDRESS(177,23))-INDIRECT(ADDRESS(172,24))+INDIRECT(ADDRESS(173,24))-INDIRECT(ADDRESS(176,24)),INDIRECT(ADDRESS(177,23))-INDIRECT(ADDRESS(172,24))+INDIRECT(ADDRESS(175,24))-INDIRECT(ADDRESS(176,24)))</f>
        <v>0</v>
      </c>
      <c r="Y177">
        <f>IF(DAY(NOW())&lt;M3,INDIRECT(ADDRESS(177,24))-INDIRECT(ADDRESS(172,25))+INDIRECT(ADDRESS(173,25))-INDIRECT(ADDRESS(176,25)),INDIRECT(ADDRESS(177,24))-INDIRECT(ADDRESS(172,25))+INDIRECT(ADDRESS(175,25))-INDIRECT(ADDRESS(176,25)))</f>
        <v>0</v>
      </c>
      <c r="Z177">
        <f>IF(DAY(NOW())&lt;M3,INDIRECT(ADDRESS(177,25))-INDIRECT(ADDRESS(172,26))+INDIRECT(ADDRESS(173,26))-INDIRECT(ADDRESS(176,26)),INDIRECT(ADDRESS(177,25))-INDIRECT(ADDRESS(172,26))+INDIRECT(ADDRESS(175,26))-INDIRECT(ADDRESS(176,26)))</f>
        <v>0</v>
      </c>
      <c r="AA177">
        <f>IF(DAY(NOW())&lt;M3,INDIRECT(ADDRESS(177,26))-INDIRECT(ADDRESS(172,27))+INDIRECT(ADDRESS(173,27))-INDIRECT(ADDRESS(176,27)),INDIRECT(ADDRESS(177,26))-INDIRECT(ADDRESS(172,27))+INDIRECT(ADDRESS(175,27))-INDIRECT(ADDRESS(176,27)))</f>
        <v>0</v>
      </c>
      <c r="AB177">
        <f>IF(DAY(NOW())&lt;M3,INDIRECT(ADDRESS(177,27))-INDIRECT(ADDRESS(172,28))+INDIRECT(ADDRESS(173,28))-INDIRECT(ADDRESS(176,28)),INDIRECT(ADDRESS(177,27))-INDIRECT(ADDRESS(172,28))+INDIRECT(ADDRESS(175,28))-INDIRECT(ADDRESS(176,28)))</f>
        <v>0</v>
      </c>
      <c r="AC177">
        <f>IF(DAY(NOW())&lt;M3,INDIRECT(ADDRESS(177,28))-INDIRECT(ADDRESS(172,29))+INDIRECT(ADDRESS(173,29))-INDIRECT(ADDRESS(176,29)),INDIRECT(ADDRESS(177,28))-INDIRECT(ADDRESS(172,29))+INDIRECT(ADDRESS(175,29))-INDIRECT(ADDRESS(176,29)))</f>
        <v>0</v>
      </c>
      <c r="AD177">
        <f>IF(DAY(NOW())&lt;M3,INDIRECT(ADDRESS(177,29))-INDIRECT(ADDRESS(172,30))+INDIRECT(ADDRESS(173,30))-INDIRECT(ADDRESS(176,30)),INDIRECT(ADDRESS(177,29))-INDIRECT(ADDRESS(172,30))+INDIRECT(ADDRESS(175,30))-INDIRECT(ADDRESS(176,30)))</f>
        <v>0</v>
      </c>
      <c r="AE177">
        <f>IF(DAY(NOW())&lt;M3,INDIRECT(ADDRESS(177,30))-INDIRECT(ADDRESS(172,31))+INDIRECT(ADDRESS(173,31))-INDIRECT(ADDRESS(176,31)),INDIRECT(ADDRESS(177,30))-INDIRECT(ADDRESS(172,31))+INDIRECT(ADDRESS(175,31))-INDIRECT(ADDRESS(176,31)))</f>
        <v>0</v>
      </c>
      <c r="AF177">
        <f>IF(DAY(NOW())&lt;M3,INDIRECT(ADDRESS(177,31))-INDIRECT(ADDRESS(172,32))+INDIRECT(ADDRESS(173,32))-INDIRECT(ADDRESS(176,32)),INDIRECT(ADDRESS(177,31))-INDIRECT(ADDRESS(172,32))+INDIRECT(ADDRESS(175,32))-INDIRECT(ADDRESS(176,32)))</f>
        <v>0</v>
      </c>
      <c r="AG177">
        <f>IF(DAY(NOW())&lt;M3,INDIRECT(ADDRESS(177,32))-INDIRECT(ADDRESS(172,33))+INDIRECT(ADDRESS(173,33))-INDIRECT(ADDRESS(176,33)),INDIRECT(ADDRESS(177,32))-INDIRECT(ADDRESS(172,33))+INDIRECT(ADDRESS(175,33))-INDIRECT(ADDRESS(176,33)))</f>
        <v>0</v>
      </c>
      <c r="AH177">
        <f>IF(DAY(NOW())&lt;M3,INDIRECT(ADDRESS(177,33))-INDIRECT(ADDRESS(172,34))+INDIRECT(ADDRESS(173,34))-INDIRECT(ADDRESS(176,34)),INDIRECT(ADDRESS(177,33))-INDIRECT(ADDRESS(172,34))+INDIRECT(ADDRESS(175,34))-INDIRECT(ADDRESS(176,34)))</f>
        <v>0</v>
      </c>
      <c r="AI177">
        <f>IF(DAY(NOW())&lt;M3,INDIRECT(ADDRESS(177,34))-INDIRECT(ADDRESS(172,35))+INDIRECT(ADDRESS(173,35))-INDIRECT(ADDRESS(176,35)),INDIRECT(ADDRESS(177,34))-INDIRECT(ADDRESS(172,35))+INDIRECT(ADDRESS(175,35))-INDIRECT(ADDRESS(176,35)))</f>
        <v>0</v>
      </c>
      <c r="AJ177">
        <f>IF(DAY(NOW())&lt;M3,INDIRECT(ADDRESS(177,35))-INDIRECT(ADDRESS(172,36))+INDIRECT(ADDRESS(173,36))-INDIRECT(ADDRESS(176,36)),INDIRECT(ADDRESS(177,35))-INDIRECT(ADDRESS(172,36))+INDIRECT(ADDRESS(175,36))-INDIRECT(ADDRESS(176,36)))</f>
        <v>0</v>
      </c>
      <c r="AK177">
        <f>IF(DAY(NOW())&lt;M3,INDIRECT(ADDRESS(177,36))-INDIRECT(ADDRESS(172,37))+INDIRECT(ADDRESS(173,37))-INDIRECT(ADDRESS(176,37)),INDIRECT(ADDRESS(177,36))-INDIRECT(ADDRESS(172,37))+INDIRECT(ADDRESS(175,37))-INDIRECT(ADDRESS(176,37)))</f>
        <v>0</v>
      </c>
      <c r="AL177">
        <f>IF(DAY(NOW())&lt;M3,INDIRECT(ADDRESS(177,37))-INDIRECT(ADDRESS(172,38))+INDIRECT(ADDRESS(173,38))-INDIRECT(ADDRESS(176,38)),INDIRECT(ADDRESS(177,37))-INDIRECT(ADDRESS(172,38))+INDIRECT(ADDRESS(175,38))-INDIRECT(ADDRESS(176,38)))</f>
        <v>0</v>
      </c>
      <c r="AM177">
        <f>IF(DAY(NOW())&lt;M3,INDIRECT(ADDRESS(177,38))-INDIRECT(ADDRESS(172,39))+INDIRECT(ADDRESS(173,39))-INDIRECT(ADDRESS(176,39)),INDIRECT(ADDRESS(177,38))-INDIRECT(ADDRESS(172,39))+INDIRECT(ADDRESS(175,39))-INDIRECT(ADDRESS(176,39)))</f>
        <v>0</v>
      </c>
      <c r="AN177">
        <f>IF(DAY(NOW())&lt;M3,INDIRECT(ADDRESS(177,39))-INDIRECT(ADDRESS(172,40))+INDIRECT(ADDRESS(173,40))-INDIRECT(ADDRESS(176,40)),INDIRECT(ADDRESS(177,39))-INDIRECT(ADDRESS(172,40))+INDIRECT(ADDRESS(175,40))-INDIRECT(ADDRESS(176,40)))</f>
        <v>0</v>
      </c>
      <c r="AO177">
        <f>IF(DAY(NOW())&lt;M3,INDIRECT(ADDRESS(177,40))-INDIRECT(ADDRESS(172,41))+INDIRECT(ADDRESS(173,41))-INDIRECT(ADDRESS(176,41)),INDIRECT(ADDRESS(177,40))-INDIRECT(ADDRESS(172,41))+INDIRECT(ADDRESS(175,41))-INDIRECT(ADDRESS(176,41)))</f>
        <v>0</v>
      </c>
      <c r="AP177">
        <f>IF(DAY(NOW())&lt;M3,INDIRECT(ADDRESS(177,41))-INDIRECT(ADDRESS(172,42))+INDIRECT(ADDRESS(173,42))-INDIRECT(ADDRESS(176,42)),INDIRECT(ADDRESS(177,41))-INDIRECT(ADDRESS(172,42))+INDIRECT(ADDRESS(175,42))-INDIRECT(ADDRESS(176,42)))</f>
        <v>0</v>
      </c>
      <c r="AQ177">
        <f>IF(DAY(NOW())&lt;M3,INDIRECT(ADDRESS(177,42))-INDIRECT(ADDRESS(172,43))+INDIRECT(ADDRESS(173,43))-INDIRECT(ADDRESS(176,43)),INDIRECT(ADDRESS(177,42))-INDIRECT(ADDRESS(172,43))+INDIRECT(ADDRESS(175,43))-INDIRECT(ADDRESS(176,43)))</f>
        <v>0</v>
      </c>
      <c r="AR177">
        <f>IF(DAY(NOW())&lt;M3,INDIRECT(ADDRESS(177,43))-INDIRECT(ADDRESS(172,44))+INDIRECT(ADDRESS(173,44))-INDIRECT(ADDRESS(176,44)),INDIRECT(ADDRESS(177,43))-INDIRECT(ADDRESS(172,44))+INDIRECT(ADDRESS(175,44))-INDIRECT(ADDRESS(176,44)))</f>
        <v>0</v>
      </c>
    </row>
    <row r="178" spans="1:76">
      <c r="A178" t="s">
        <v>14</v>
      </c>
      <c r="B178" t="s">
        <v>123</v>
      </c>
      <c r="C178" t="s">
        <v>124</v>
      </c>
      <c r="D178" t="s">
        <v>46</v>
      </c>
      <c r="E178">
        <v>1</v>
      </c>
      <c r="F178" t="s">
        <v>125</v>
      </c>
      <c r="H178" t="s">
        <v>126</v>
      </c>
      <c r="I178">
        <v>50</v>
      </c>
      <c r="K178" t="s">
        <v>20</v>
      </c>
      <c r="L178" t="s">
        <v>21</v>
      </c>
      <c r="BX178">
        <f>sum(j178:an178)</f>
        <v>0</v>
      </c>
    </row>
    <row r="179" spans="1:76">
      <c r="A179" t="s">
        <v>14</v>
      </c>
      <c r="B179" t="s">
        <v>123</v>
      </c>
      <c r="C179" t="s">
        <v>124</v>
      </c>
      <c r="D179" t="s">
        <v>46</v>
      </c>
      <c r="E179">
        <v>1</v>
      </c>
      <c r="F179" t="s">
        <v>125</v>
      </c>
      <c r="H179" t="s">
        <v>126</v>
      </c>
      <c r="I179">
        <v>50</v>
      </c>
      <c r="K179" t="s">
        <v>20</v>
      </c>
      <c r="L179" t="s">
        <v>37</v>
      </c>
    </row>
    <row r="180" spans="1:76">
      <c r="L180" t="s">
        <v>662</v>
      </c>
    </row>
    <row r="181" spans="1:76">
      <c r="L181" t="s">
        <v>663</v>
      </c>
    </row>
    <row r="182" spans="1:76">
      <c r="L182" t="s">
        <v>664</v>
      </c>
    </row>
    <row r="183" spans="1:76">
      <c r="L183" t="s">
        <v>665</v>
      </c>
      <c r="M183">
        <f>IF(DAY(NOW())&lt;M3,INDIRECT(ADDRESS(183,7))-INDIRECT(ADDRESS(178,13))+INDIRECT(ADDRESS(179,13))-INDIRECT(ADDRESS(182,13)),INDIRECT(ADDRESS(183,7))-INDIRECT(ADDRESS(178,13))+INDIRECT(ADDRESS(181,13))-INDIRECT(ADDRESS(182,13)))</f>
        <v>0</v>
      </c>
      <c r="N183">
        <f>IF(DAY(NOW())&lt;M3,INDIRECT(ADDRESS(183,13))-INDIRECT(ADDRESS(178,14))+INDIRECT(ADDRESS(179,14))-INDIRECT(ADDRESS(182,14)),INDIRECT(ADDRESS(183,13))-INDIRECT(ADDRESS(178,14))+INDIRECT(ADDRESS(181,14))-INDIRECT(ADDRESS(182,14)))</f>
        <v>0</v>
      </c>
      <c r="O183">
        <f>IF(DAY(NOW())&lt;M3,INDIRECT(ADDRESS(183,14))-INDIRECT(ADDRESS(178,15))+INDIRECT(ADDRESS(179,15))-INDIRECT(ADDRESS(182,15)),INDIRECT(ADDRESS(183,14))-INDIRECT(ADDRESS(178,15))+INDIRECT(ADDRESS(181,15))-INDIRECT(ADDRESS(182,15)))</f>
        <v>0</v>
      </c>
      <c r="P183">
        <f>IF(DAY(NOW())&lt;M3,INDIRECT(ADDRESS(183,15))-INDIRECT(ADDRESS(178,16))+INDIRECT(ADDRESS(179,16))-INDIRECT(ADDRESS(182,16)),INDIRECT(ADDRESS(183,15))-INDIRECT(ADDRESS(178,16))+INDIRECT(ADDRESS(181,16))-INDIRECT(ADDRESS(182,16)))</f>
        <v>0</v>
      </c>
      <c r="Q183">
        <f>IF(DAY(NOW())&lt;M3,INDIRECT(ADDRESS(183,16))-INDIRECT(ADDRESS(178,17))+INDIRECT(ADDRESS(179,17))-INDIRECT(ADDRESS(182,17)),INDIRECT(ADDRESS(183,16))-INDIRECT(ADDRESS(178,17))+INDIRECT(ADDRESS(181,17))-INDIRECT(ADDRESS(182,17)))</f>
        <v>0</v>
      </c>
      <c r="R183">
        <f>IF(DAY(NOW())&lt;M3,INDIRECT(ADDRESS(183,17))-INDIRECT(ADDRESS(178,18))+INDIRECT(ADDRESS(179,18))-INDIRECT(ADDRESS(182,18)),INDIRECT(ADDRESS(183,17))-INDIRECT(ADDRESS(178,18))+INDIRECT(ADDRESS(181,18))-INDIRECT(ADDRESS(182,18)))</f>
        <v>0</v>
      </c>
      <c r="S183">
        <f>IF(DAY(NOW())&lt;M3,INDIRECT(ADDRESS(183,18))-INDIRECT(ADDRESS(178,19))+INDIRECT(ADDRESS(179,19))-INDIRECT(ADDRESS(182,19)),INDIRECT(ADDRESS(183,18))-INDIRECT(ADDRESS(178,19))+INDIRECT(ADDRESS(181,19))-INDIRECT(ADDRESS(182,19)))</f>
        <v>0</v>
      </c>
      <c r="T183">
        <f>IF(DAY(NOW())&lt;M3,INDIRECT(ADDRESS(183,19))-INDIRECT(ADDRESS(178,20))+INDIRECT(ADDRESS(179,20))-INDIRECT(ADDRESS(182,20)),INDIRECT(ADDRESS(183,19))-INDIRECT(ADDRESS(178,20))+INDIRECT(ADDRESS(181,20))-INDIRECT(ADDRESS(182,20)))</f>
        <v>0</v>
      </c>
      <c r="U183">
        <f>IF(DAY(NOW())&lt;M3,INDIRECT(ADDRESS(183,20))-INDIRECT(ADDRESS(178,21))+INDIRECT(ADDRESS(179,21))-INDIRECT(ADDRESS(182,21)),INDIRECT(ADDRESS(183,20))-INDIRECT(ADDRESS(178,21))+INDIRECT(ADDRESS(181,21))-INDIRECT(ADDRESS(182,21)))</f>
        <v>0</v>
      </c>
      <c r="V183">
        <f>IF(DAY(NOW())&lt;M3,INDIRECT(ADDRESS(183,21))-INDIRECT(ADDRESS(178,22))+INDIRECT(ADDRESS(179,22))-INDIRECT(ADDRESS(182,22)),INDIRECT(ADDRESS(183,21))-INDIRECT(ADDRESS(178,22))+INDIRECT(ADDRESS(181,22))-INDIRECT(ADDRESS(182,22)))</f>
        <v>0</v>
      </c>
      <c r="W183">
        <f>IF(DAY(NOW())&lt;M3,INDIRECT(ADDRESS(183,22))-INDIRECT(ADDRESS(178,23))+INDIRECT(ADDRESS(179,23))-INDIRECT(ADDRESS(182,23)),INDIRECT(ADDRESS(183,22))-INDIRECT(ADDRESS(178,23))+INDIRECT(ADDRESS(181,23))-INDIRECT(ADDRESS(182,23)))</f>
        <v>0</v>
      </c>
      <c r="X183">
        <f>IF(DAY(NOW())&lt;M3,INDIRECT(ADDRESS(183,23))-INDIRECT(ADDRESS(178,24))+INDIRECT(ADDRESS(179,24))-INDIRECT(ADDRESS(182,24)),INDIRECT(ADDRESS(183,23))-INDIRECT(ADDRESS(178,24))+INDIRECT(ADDRESS(181,24))-INDIRECT(ADDRESS(182,24)))</f>
        <v>0</v>
      </c>
      <c r="Y183">
        <f>IF(DAY(NOW())&lt;M3,INDIRECT(ADDRESS(183,24))-INDIRECT(ADDRESS(178,25))+INDIRECT(ADDRESS(179,25))-INDIRECT(ADDRESS(182,25)),INDIRECT(ADDRESS(183,24))-INDIRECT(ADDRESS(178,25))+INDIRECT(ADDRESS(181,25))-INDIRECT(ADDRESS(182,25)))</f>
        <v>0</v>
      </c>
      <c r="Z183">
        <f>IF(DAY(NOW())&lt;M3,INDIRECT(ADDRESS(183,25))-INDIRECT(ADDRESS(178,26))+INDIRECT(ADDRESS(179,26))-INDIRECT(ADDRESS(182,26)),INDIRECT(ADDRESS(183,25))-INDIRECT(ADDRESS(178,26))+INDIRECT(ADDRESS(181,26))-INDIRECT(ADDRESS(182,26)))</f>
        <v>0</v>
      </c>
      <c r="AA183">
        <f>IF(DAY(NOW())&lt;M3,INDIRECT(ADDRESS(183,26))-INDIRECT(ADDRESS(178,27))+INDIRECT(ADDRESS(179,27))-INDIRECT(ADDRESS(182,27)),INDIRECT(ADDRESS(183,26))-INDIRECT(ADDRESS(178,27))+INDIRECT(ADDRESS(181,27))-INDIRECT(ADDRESS(182,27)))</f>
        <v>0</v>
      </c>
      <c r="AB183">
        <f>IF(DAY(NOW())&lt;M3,INDIRECT(ADDRESS(183,27))-INDIRECT(ADDRESS(178,28))+INDIRECT(ADDRESS(179,28))-INDIRECT(ADDRESS(182,28)),INDIRECT(ADDRESS(183,27))-INDIRECT(ADDRESS(178,28))+INDIRECT(ADDRESS(181,28))-INDIRECT(ADDRESS(182,28)))</f>
        <v>0</v>
      </c>
      <c r="AC183">
        <f>IF(DAY(NOW())&lt;M3,INDIRECT(ADDRESS(183,28))-INDIRECT(ADDRESS(178,29))+INDIRECT(ADDRESS(179,29))-INDIRECT(ADDRESS(182,29)),INDIRECT(ADDRESS(183,28))-INDIRECT(ADDRESS(178,29))+INDIRECT(ADDRESS(181,29))-INDIRECT(ADDRESS(182,29)))</f>
        <v>0</v>
      </c>
      <c r="AD183">
        <f>IF(DAY(NOW())&lt;M3,INDIRECT(ADDRESS(183,29))-INDIRECT(ADDRESS(178,30))+INDIRECT(ADDRESS(179,30))-INDIRECT(ADDRESS(182,30)),INDIRECT(ADDRESS(183,29))-INDIRECT(ADDRESS(178,30))+INDIRECT(ADDRESS(181,30))-INDIRECT(ADDRESS(182,30)))</f>
        <v>0</v>
      </c>
      <c r="AE183">
        <f>IF(DAY(NOW())&lt;M3,INDIRECT(ADDRESS(183,30))-INDIRECT(ADDRESS(178,31))+INDIRECT(ADDRESS(179,31))-INDIRECT(ADDRESS(182,31)),INDIRECT(ADDRESS(183,30))-INDIRECT(ADDRESS(178,31))+INDIRECT(ADDRESS(181,31))-INDIRECT(ADDRESS(182,31)))</f>
        <v>0</v>
      </c>
      <c r="AF183">
        <f>IF(DAY(NOW())&lt;M3,INDIRECT(ADDRESS(183,31))-INDIRECT(ADDRESS(178,32))+INDIRECT(ADDRESS(179,32))-INDIRECT(ADDRESS(182,32)),INDIRECT(ADDRESS(183,31))-INDIRECT(ADDRESS(178,32))+INDIRECT(ADDRESS(181,32))-INDIRECT(ADDRESS(182,32)))</f>
        <v>0</v>
      </c>
      <c r="AG183">
        <f>IF(DAY(NOW())&lt;M3,INDIRECT(ADDRESS(183,32))-INDIRECT(ADDRESS(178,33))+INDIRECT(ADDRESS(179,33))-INDIRECT(ADDRESS(182,33)),INDIRECT(ADDRESS(183,32))-INDIRECT(ADDRESS(178,33))+INDIRECT(ADDRESS(181,33))-INDIRECT(ADDRESS(182,33)))</f>
        <v>0</v>
      </c>
      <c r="AH183">
        <f>IF(DAY(NOW())&lt;M3,INDIRECT(ADDRESS(183,33))-INDIRECT(ADDRESS(178,34))+INDIRECT(ADDRESS(179,34))-INDIRECT(ADDRESS(182,34)),INDIRECT(ADDRESS(183,33))-INDIRECT(ADDRESS(178,34))+INDIRECT(ADDRESS(181,34))-INDIRECT(ADDRESS(182,34)))</f>
        <v>0</v>
      </c>
      <c r="AI183">
        <f>IF(DAY(NOW())&lt;M3,INDIRECT(ADDRESS(183,34))-INDIRECT(ADDRESS(178,35))+INDIRECT(ADDRESS(179,35))-INDIRECT(ADDRESS(182,35)),INDIRECT(ADDRESS(183,34))-INDIRECT(ADDRESS(178,35))+INDIRECT(ADDRESS(181,35))-INDIRECT(ADDRESS(182,35)))</f>
        <v>0</v>
      </c>
      <c r="AJ183">
        <f>IF(DAY(NOW())&lt;M3,INDIRECT(ADDRESS(183,35))-INDIRECT(ADDRESS(178,36))+INDIRECT(ADDRESS(179,36))-INDIRECT(ADDRESS(182,36)),INDIRECT(ADDRESS(183,35))-INDIRECT(ADDRESS(178,36))+INDIRECT(ADDRESS(181,36))-INDIRECT(ADDRESS(182,36)))</f>
        <v>0</v>
      </c>
      <c r="AK183">
        <f>IF(DAY(NOW())&lt;M3,INDIRECT(ADDRESS(183,36))-INDIRECT(ADDRESS(178,37))+INDIRECT(ADDRESS(179,37))-INDIRECT(ADDRESS(182,37)),INDIRECT(ADDRESS(183,36))-INDIRECT(ADDRESS(178,37))+INDIRECT(ADDRESS(181,37))-INDIRECT(ADDRESS(182,37)))</f>
        <v>0</v>
      </c>
      <c r="AL183">
        <f>IF(DAY(NOW())&lt;M3,INDIRECT(ADDRESS(183,37))-INDIRECT(ADDRESS(178,38))+INDIRECT(ADDRESS(179,38))-INDIRECT(ADDRESS(182,38)),INDIRECT(ADDRESS(183,37))-INDIRECT(ADDRESS(178,38))+INDIRECT(ADDRESS(181,38))-INDIRECT(ADDRESS(182,38)))</f>
        <v>0</v>
      </c>
      <c r="AM183">
        <f>IF(DAY(NOW())&lt;M3,INDIRECT(ADDRESS(183,38))-INDIRECT(ADDRESS(178,39))+INDIRECT(ADDRESS(179,39))-INDIRECT(ADDRESS(182,39)),INDIRECT(ADDRESS(183,38))-INDIRECT(ADDRESS(178,39))+INDIRECT(ADDRESS(181,39))-INDIRECT(ADDRESS(182,39)))</f>
        <v>0</v>
      </c>
      <c r="AN183">
        <f>IF(DAY(NOW())&lt;M3,INDIRECT(ADDRESS(183,39))-INDIRECT(ADDRESS(178,40))+INDIRECT(ADDRESS(179,40))-INDIRECT(ADDRESS(182,40)),INDIRECT(ADDRESS(183,39))-INDIRECT(ADDRESS(178,40))+INDIRECT(ADDRESS(181,40))-INDIRECT(ADDRESS(182,40)))</f>
        <v>0</v>
      </c>
      <c r="AO183">
        <f>IF(DAY(NOW())&lt;M3,INDIRECT(ADDRESS(183,40))-INDIRECT(ADDRESS(178,41))+INDIRECT(ADDRESS(179,41))-INDIRECT(ADDRESS(182,41)),INDIRECT(ADDRESS(183,40))-INDIRECT(ADDRESS(178,41))+INDIRECT(ADDRESS(181,41))-INDIRECT(ADDRESS(182,41)))</f>
        <v>0</v>
      </c>
      <c r="AP183">
        <f>IF(DAY(NOW())&lt;M3,INDIRECT(ADDRESS(183,41))-INDIRECT(ADDRESS(178,42))+INDIRECT(ADDRESS(179,42))-INDIRECT(ADDRESS(182,42)),INDIRECT(ADDRESS(183,41))-INDIRECT(ADDRESS(178,42))+INDIRECT(ADDRESS(181,42))-INDIRECT(ADDRESS(182,42)))</f>
        <v>0</v>
      </c>
      <c r="AQ183">
        <f>IF(DAY(NOW())&lt;M3,INDIRECT(ADDRESS(183,42))-INDIRECT(ADDRESS(178,43))+INDIRECT(ADDRESS(179,43))-INDIRECT(ADDRESS(182,43)),INDIRECT(ADDRESS(183,42))-INDIRECT(ADDRESS(178,43))+INDIRECT(ADDRESS(181,43))-INDIRECT(ADDRESS(182,43)))</f>
        <v>0</v>
      </c>
      <c r="AR183">
        <f>IF(DAY(NOW())&lt;M3,INDIRECT(ADDRESS(183,43))-INDIRECT(ADDRESS(178,44))+INDIRECT(ADDRESS(179,44))-INDIRECT(ADDRESS(182,44)),INDIRECT(ADDRESS(183,43))-INDIRECT(ADDRESS(178,44))+INDIRECT(ADDRESS(181,44))-INDIRECT(ADDRESS(182,44)))</f>
        <v>0</v>
      </c>
    </row>
    <row r="184" spans="1:76">
      <c r="A184" t="s">
        <v>31</v>
      </c>
      <c r="B184" t="s">
        <v>127</v>
      </c>
      <c r="C184" t="s">
        <v>128</v>
      </c>
      <c r="D184" t="s">
        <v>17</v>
      </c>
      <c r="E184">
        <v>1</v>
      </c>
      <c r="F184" t="s">
        <v>129</v>
      </c>
      <c r="H184" t="s">
        <v>35</v>
      </c>
      <c r="I184" t="s">
        <v>36</v>
      </c>
      <c r="K184" t="s">
        <v>20</v>
      </c>
      <c r="L184" t="s">
        <v>21</v>
      </c>
      <c r="M184">
        <f>sumifs(BOM!m:m,BOM!A:A,".1",BOM!B:B,"852-246000-200")</f>
        <v>0</v>
      </c>
      <c r="N184">
        <f>sumifs(BOM!n:n,BOM!A:A,".1",BOM!B:B,"852-246000-200")</f>
        <v>0</v>
      </c>
      <c r="O184">
        <f>sumifs(BOM!o:o,BOM!A:A,".1",BOM!B:B,"852-246000-200")</f>
        <v>0</v>
      </c>
      <c r="P184">
        <f>sumifs(BOM!p:p,BOM!A:A,".1",BOM!B:B,"852-246000-200")</f>
        <v>0</v>
      </c>
      <c r="Q184">
        <f>sumifs(BOM!q:q,BOM!A:A,".1",BOM!B:B,"852-246000-200")</f>
        <v>0</v>
      </c>
      <c r="R184">
        <f>sumifs(BOM!r:r,BOM!A:A,".1",BOM!B:B,"852-246000-200")</f>
        <v>0</v>
      </c>
      <c r="S184">
        <f>sumifs(BOM!s:s,BOM!A:A,".1",BOM!B:B,"852-246000-200")</f>
        <v>0</v>
      </c>
      <c r="T184">
        <f>sumifs(BOM!t:t,BOM!A:A,".1",BOM!B:B,"852-246000-200")</f>
        <v>0</v>
      </c>
      <c r="U184">
        <f>sumifs(BOM!u:u,BOM!A:A,".1",BOM!B:B,"852-246000-200")</f>
        <v>0</v>
      </c>
      <c r="V184">
        <f>sumifs(BOM!v:v,BOM!A:A,".1",BOM!B:B,"852-246000-200")</f>
        <v>0</v>
      </c>
      <c r="W184">
        <f>sumifs(BOM!w:w,BOM!A:A,".1",BOM!B:B,"852-246000-200")</f>
        <v>0</v>
      </c>
      <c r="X184">
        <f>sumifs(BOM!x:x,BOM!A:A,".1",BOM!B:B,"852-246000-200")</f>
        <v>0</v>
      </c>
      <c r="Y184">
        <f>sumifs(BOM!y:y,BOM!A:A,".1",BOM!B:B,"852-246000-200")</f>
        <v>0</v>
      </c>
      <c r="Z184">
        <f>sumifs(BOM!z:z,BOM!A:A,".1",BOM!B:B,"852-246000-200")</f>
        <v>0</v>
      </c>
      <c r="AA184">
        <f>sumifs(BOM!aa:aa,BOM!A:A,".1",BOM!B:B,"852-246000-200")</f>
        <v>0</v>
      </c>
      <c r="AB184">
        <f>sumifs(BOM!ab:ab,BOM!A:A,".1",BOM!B:B,"852-246000-200")</f>
        <v>0</v>
      </c>
      <c r="AC184">
        <f>sumifs(BOM!ac:ac,BOM!A:A,".1",BOM!B:B,"852-246000-200")</f>
        <v>0</v>
      </c>
      <c r="AD184">
        <f>sumifs(BOM!ad:ad,BOM!A:A,".1",BOM!B:B,"852-246000-200")</f>
        <v>0</v>
      </c>
      <c r="AE184">
        <f>sumifs(BOM!ae:ae,BOM!A:A,".1",BOM!B:B,"852-246000-200")</f>
        <v>0</v>
      </c>
      <c r="AF184">
        <f>sumifs(BOM!af:af,BOM!A:A,".1",BOM!B:B,"852-246000-200")</f>
        <v>0</v>
      </c>
      <c r="AG184">
        <f>sumifs(BOM!ag:ag,BOM!A:A,".1",BOM!B:B,"852-246000-200")</f>
        <v>0</v>
      </c>
      <c r="AH184">
        <f>sumifs(BOM!ah:ah,BOM!A:A,".1",BOM!B:B,"852-246000-200")</f>
        <v>0</v>
      </c>
      <c r="AI184">
        <f>sumifs(BOM!ai:ai,BOM!A:A,".1",BOM!B:B,"852-246000-200")</f>
        <v>0</v>
      </c>
      <c r="AJ184">
        <f>sumifs(BOM!aj:aj,BOM!A:A,".1",BOM!B:B,"852-246000-200")</f>
        <v>0</v>
      </c>
      <c r="AK184">
        <f>sumifs(BOM!ak:ak,BOM!A:A,".1",BOM!B:B,"852-246000-200")</f>
        <v>0</v>
      </c>
      <c r="AL184">
        <f>sumifs(BOM!al:al,BOM!A:A,".1",BOM!B:B,"852-246000-200")</f>
        <v>0</v>
      </c>
      <c r="AM184">
        <f>sumifs(BOM!am:am,BOM!A:A,".1",BOM!B:B,"852-246000-200")</f>
        <v>0</v>
      </c>
      <c r="AN184">
        <f>sumifs(BOM!an:an,BOM!A:A,".1",BOM!B:B,"852-246000-200")</f>
        <v>0</v>
      </c>
      <c r="AO184">
        <f>sumifs(BOM!ao:ao,BOM!A:A,".1",BOM!B:B,"852-246000-200")</f>
        <v>0</v>
      </c>
      <c r="AP184">
        <f>sumifs(BOM!ap:ap,BOM!A:A,".1",BOM!B:B,"852-246000-200")</f>
        <v>0</v>
      </c>
      <c r="AQ184">
        <f>sumifs(BOM!aq:aq,BOM!A:A,".1",BOM!B:B,"852-246000-200")</f>
        <v>0</v>
      </c>
      <c r="AR184">
        <f>sumifs(BOM!ar:ar,BOM!A:A,".1",BOM!B:B,"852-246000-200")</f>
        <v>0</v>
      </c>
      <c r="BX184">
        <f>sum(j184:an184)</f>
        <v>0</v>
      </c>
    </row>
    <row r="185" spans="1:76">
      <c r="A185" t="s">
        <v>31</v>
      </c>
      <c r="B185" t="s">
        <v>127</v>
      </c>
      <c r="C185" t="s">
        <v>128</v>
      </c>
      <c r="D185" t="s">
        <v>17</v>
      </c>
      <c r="E185">
        <v>1</v>
      </c>
      <c r="F185" t="s">
        <v>129</v>
      </c>
      <c r="H185" t="s">
        <v>35</v>
      </c>
      <c r="I185" t="s">
        <v>36</v>
      </c>
      <c r="K185" t="s">
        <v>20</v>
      </c>
      <c r="L185" t="s">
        <v>37</v>
      </c>
    </row>
    <row r="186" spans="1:76">
      <c r="L186" t="s">
        <v>662</v>
      </c>
    </row>
    <row r="187" spans="1:76">
      <c r="L187" t="s">
        <v>663</v>
      </c>
    </row>
    <row r="188" spans="1:76">
      <c r="L188" t="s">
        <v>664</v>
      </c>
    </row>
    <row r="189" spans="1:76">
      <c r="L189" t="s">
        <v>665</v>
      </c>
      <c r="M189">
        <f>IF(DAY(NOW())&lt;M3,INDIRECT(ADDRESS(189,7))-INDIRECT(ADDRESS(184,13))+INDIRECT(ADDRESS(185,13))-INDIRECT(ADDRESS(188,13)),INDIRECT(ADDRESS(189,7))-INDIRECT(ADDRESS(184,13))+INDIRECT(ADDRESS(187,13))-INDIRECT(ADDRESS(188,13)))</f>
        <v>0</v>
      </c>
      <c r="N189">
        <f>IF(DAY(NOW())&lt;M3,INDIRECT(ADDRESS(189,13))-INDIRECT(ADDRESS(184,14))+INDIRECT(ADDRESS(185,14))-INDIRECT(ADDRESS(188,14)),INDIRECT(ADDRESS(189,13))-INDIRECT(ADDRESS(184,14))+INDIRECT(ADDRESS(187,14))-INDIRECT(ADDRESS(188,14)))</f>
        <v>0</v>
      </c>
      <c r="O189">
        <f>IF(DAY(NOW())&lt;M3,INDIRECT(ADDRESS(189,14))-INDIRECT(ADDRESS(184,15))+INDIRECT(ADDRESS(185,15))-INDIRECT(ADDRESS(188,15)),INDIRECT(ADDRESS(189,14))-INDIRECT(ADDRESS(184,15))+INDIRECT(ADDRESS(187,15))-INDIRECT(ADDRESS(188,15)))</f>
        <v>0</v>
      </c>
      <c r="P189">
        <f>IF(DAY(NOW())&lt;M3,INDIRECT(ADDRESS(189,15))-INDIRECT(ADDRESS(184,16))+INDIRECT(ADDRESS(185,16))-INDIRECT(ADDRESS(188,16)),INDIRECT(ADDRESS(189,15))-INDIRECT(ADDRESS(184,16))+INDIRECT(ADDRESS(187,16))-INDIRECT(ADDRESS(188,16)))</f>
        <v>0</v>
      </c>
      <c r="Q189">
        <f>IF(DAY(NOW())&lt;M3,INDIRECT(ADDRESS(189,16))-INDIRECT(ADDRESS(184,17))+INDIRECT(ADDRESS(185,17))-INDIRECT(ADDRESS(188,17)),INDIRECT(ADDRESS(189,16))-INDIRECT(ADDRESS(184,17))+INDIRECT(ADDRESS(187,17))-INDIRECT(ADDRESS(188,17)))</f>
        <v>0</v>
      </c>
      <c r="R189">
        <f>IF(DAY(NOW())&lt;M3,INDIRECT(ADDRESS(189,17))-INDIRECT(ADDRESS(184,18))+INDIRECT(ADDRESS(185,18))-INDIRECT(ADDRESS(188,18)),INDIRECT(ADDRESS(189,17))-INDIRECT(ADDRESS(184,18))+INDIRECT(ADDRESS(187,18))-INDIRECT(ADDRESS(188,18)))</f>
        <v>0</v>
      </c>
      <c r="S189">
        <f>IF(DAY(NOW())&lt;M3,INDIRECT(ADDRESS(189,18))-INDIRECT(ADDRESS(184,19))+INDIRECT(ADDRESS(185,19))-INDIRECT(ADDRESS(188,19)),INDIRECT(ADDRESS(189,18))-INDIRECT(ADDRESS(184,19))+INDIRECT(ADDRESS(187,19))-INDIRECT(ADDRESS(188,19)))</f>
        <v>0</v>
      </c>
      <c r="T189">
        <f>IF(DAY(NOW())&lt;M3,INDIRECT(ADDRESS(189,19))-INDIRECT(ADDRESS(184,20))+INDIRECT(ADDRESS(185,20))-INDIRECT(ADDRESS(188,20)),INDIRECT(ADDRESS(189,19))-INDIRECT(ADDRESS(184,20))+INDIRECT(ADDRESS(187,20))-INDIRECT(ADDRESS(188,20)))</f>
        <v>0</v>
      </c>
      <c r="U189">
        <f>IF(DAY(NOW())&lt;M3,INDIRECT(ADDRESS(189,20))-INDIRECT(ADDRESS(184,21))+INDIRECT(ADDRESS(185,21))-INDIRECT(ADDRESS(188,21)),INDIRECT(ADDRESS(189,20))-INDIRECT(ADDRESS(184,21))+INDIRECT(ADDRESS(187,21))-INDIRECT(ADDRESS(188,21)))</f>
        <v>0</v>
      </c>
      <c r="V189">
        <f>IF(DAY(NOW())&lt;M3,INDIRECT(ADDRESS(189,21))-INDIRECT(ADDRESS(184,22))+INDIRECT(ADDRESS(185,22))-INDIRECT(ADDRESS(188,22)),INDIRECT(ADDRESS(189,21))-INDIRECT(ADDRESS(184,22))+INDIRECT(ADDRESS(187,22))-INDIRECT(ADDRESS(188,22)))</f>
        <v>0</v>
      </c>
      <c r="W189">
        <f>IF(DAY(NOW())&lt;M3,INDIRECT(ADDRESS(189,22))-INDIRECT(ADDRESS(184,23))+INDIRECT(ADDRESS(185,23))-INDIRECT(ADDRESS(188,23)),INDIRECT(ADDRESS(189,22))-INDIRECT(ADDRESS(184,23))+INDIRECT(ADDRESS(187,23))-INDIRECT(ADDRESS(188,23)))</f>
        <v>0</v>
      </c>
      <c r="X189">
        <f>IF(DAY(NOW())&lt;M3,INDIRECT(ADDRESS(189,23))-INDIRECT(ADDRESS(184,24))+INDIRECT(ADDRESS(185,24))-INDIRECT(ADDRESS(188,24)),INDIRECT(ADDRESS(189,23))-INDIRECT(ADDRESS(184,24))+INDIRECT(ADDRESS(187,24))-INDIRECT(ADDRESS(188,24)))</f>
        <v>0</v>
      </c>
      <c r="Y189">
        <f>IF(DAY(NOW())&lt;M3,INDIRECT(ADDRESS(189,24))-INDIRECT(ADDRESS(184,25))+INDIRECT(ADDRESS(185,25))-INDIRECT(ADDRESS(188,25)),INDIRECT(ADDRESS(189,24))-INDIRECT(ADDRESS(184,25))+INDIRECT(ADDRESS(187,25))-INDIRECT(ADDRESS(188,25)))</f>
        <v>0</v>
      </c>
      <c r="Z189">
        <f>IF(DAY(NOW())&lt;M3,INDIRECT(ADDRESS(189,25))-INDIRECT(ADDRESS(184,26))+INDIRECT(ADDRESS(185,26))-INDIRECT(ADDRESS(188,26)),INDIRECT(ADDRESS(189,25))-INDIRECT(ADDRESS(184,26))+INDIRECT(ADDRESS(187,26))-INDIRECT(ADDRESS(188,26)))</f>
        <v>0</v>
      </c>
      <c r="AA189">
        <f>IF(DAY(NOW())&lt;M3,INDIRECT(ADDRESS(189,26))-INDIRECT(ADDRESS(184,27))+INDIRECT(ADDRESS(185,27))-INDIRECT(ADDRESS(188,27)),INDIRECT(ADDRESS(189,26))-INDIRECT(ADDRESS(184,27))+INDIRECT(ADDRESS(187,27))-INDIRECT(ADDRESS(188,27)))</f>
        <v>0</v>
      </c>
      <c r="AB189">
        <f>IF(DAY(NOW())&lt;M3,INDIRECT(ADDRESS(189,27))-INDIRECT(ADDRESS(184,28))+INDIRECT(ADDRESS(185,28))-INDIRECT(ADDRESS(188,28)),INDIRECT(ADDRESS(189,27))-INDIRECT(ADDRESS(184,28))+INDIRECT(ADDRESS(187,28))-INDIRECT(ADDRESS(188,28)))</f>
        <v>0</v>
      </c>
      <c r="AC189">
        <f>IF(DAY(NOW())&lt;M3,INDIRECT(ADDRESS(189,28))-INDIRECT(ADDRESS(184,29))+INDIRECT(ADDRESS(185,29))-INDIRECT(ADDRESS(188,29)),INDIRECT(ADDRESS(189,28))-INDIRECT(ADDRESS(184,29))+INDIRECT(ADDRESS(187,29))-INDIRECT(ADDRESS(188,29)))</f>
        <v>0</v>
      </c>
      <c r="AD189">
        <f>IF(DAY(NOW())&lt;M3,INDIRECT(ADDRESS(189,29))-INDIRECT(ADDRESS(184,30))+INDIRECT(ADDRESS(185,30))-INDIRECT(ADDRESS(188,30)),INDIRECT(ADDRESS(189,29))-INDIRECT(ADDRESS(184,30))+INDIRECT(ADDRESS(187,30))-INDIRECT(ADDRESS(188,30)))</f>
        <v>0</v>
      </c>
      <c r="AE189">
        <f>IF(DAY(NOW())&lt;M3,INDIRECT(ADDRESS(189,30))-INDIRECT(ADDRESS(184,31))+INDIRECT(ADDRESS(185,31))-INDIRECT(ADDRESS(188,31)),INDIRECT(ADDRESS(189,30))-INDIRECT(ADDRESS(184,31))+INDIRECT(ADDRESS(187,31))-INDIRECT(ADDRESS(188,31)))</f>
        <v>0</v>
      </c>
      <c r="AF189">
        <f>IF(DAY(NOW())&lt;M3,INDIRECT(ADDRESS(189,31))-INDIRECT(ADDRESS(184,32))+INDIRECT(ADDRESS(185,32))-INDIRECT(ADDRESS(188,32)),INDIRECT(ADDRESS(189,31))-INDIRECT(ADDRESS(184,32))+INDIRECT(ADDRESS(187,32))-INDIRECT(ADDRESS(188,32)))</f>
        <v>0</v>
      </c>
      <c r="AG189">
        <f>IF(DAY(NOW())&lt;M3,INDIRECT(ADDRESS(189,32))-INDIRECT(ADDRESS(184,33))+INDIRECT(ADDRESS(185,33))-INDIRECT(ADDRESS(188,33)),INDIRECT(ADDRESS(189,32))-INDIRECT(ADDRESS(184,33))+INDIRECT(ADDRESS(187,33))-INDIRECT(ADDRESS(188,33)))</f>
        <v>0</v>
      </c>
      <c r="AH189">
        <f>IF(DAY(NOW())&lt;M3,INDIRECT(ADDRESS(189,33))-INDIRECT(ADDRESS(184,34))+INDIRECT(ADDRESS(185,34))-INDIRECT(ADDRESS(188,34)),INDIRECT(ADDRESS(189,33))-INDIRECT(ADDRESS(184,34))+INDIRECT(ADDRESS(187,34))-INDIRECT(ADDRESS(188,34)))</f>
        <v>0</v>
      </c>
      <c r="AI189">
        <f>IF(DAY(NOW())&lt;M3,INDIRECT(ADDRESS(189,34))-INDIRECT(ADDRESS(184,35))+INDIRECT(ADDRESS(185,35))-INDIRECT(ADDRESS(188,35)),INDIRECT(ADDRESS(189,34))-INDIRECT(ADDRESS(184,35))+INDIRECT(ADDRESS(187,35))-INDIRECT(ADDRESS(188,35)))</f>
        <v>0</v>
      </c>
      <c r="AJ189">
        <f>IF(DAY(NOW())&lt;M3,INDIRECT(ADDRESS(189,35))-INDIRECT(ADDRESS(184,36))+INDIRECT(ADDRESS(185,36))-INDIRECT(ADDRESS(188,36)),INDIRECT(ADDRESS(189,35))-INDIRECT(ADDRESS(184,36))+INDIRECT(ADDRESS(187,36))-INDIRECT(ADDRESS(188,36)))</f>
        <v>0</v>
      </c>
      <c r="AK189">
        <f>IF(DAY(NOW())&lt;M3,INDIRECT(ADDRESS(189,36))-INDIRECT(ADDRESS(184,37))+INDIRECT(ADDRESS(185,37))-INDIRECT(ADDRESS(188,37)),INDIRECT(ADDRESS(189,36))-INDIRECT(ADDRESS(184,37))+INDIRECT(ADDRESS(187,37))-INDIRECT(ADDRESS(188,37)))</f>
        <v>0</v>
      </c>
      <c r="AL189">
        <f>IF(DAY(NOW())&lt;M3,INDIRECT(ADDRESS(189,37))-INDIRECT(ADDRESS(184,38))+INDIRECT(ADDRESS(185,38))-INDIRECT(ADDRESS(188,38)),INDIRECT(ADDRESS(189,37))-INDIRECT(ADDRESS(184,38))+INDIRECT(ADDRESS(187,38))-INDIRECT(ADDRESS(188,38)))</f>
        <v>0</v>
      </c>
      <c r="AM189">
        <f>IF(DAY(NOW())&lt;M3,INDIRECT(ADDRESS(189,38))-INDIRECT(ADDRESS(184,39))+INDIRECT(ADDRESS(185,39))-INDIRECT(ADDRESS(188,39)),INDIRECT(ADDRESS(189,38))-INDIRECT(ADDRESS(184,39))+INDIRECT(ADDRESS(187,39))-INDIRECT(ADDRESS(188,39)))</f>
        <v>0</v>
      </c>
      <c r="AN189">
        <f>IF(DAY(NOW())&lt;M3,INDIRECT(ADDRESS(189,39))-INDIRECT(ADDRESS(184,40))+INDIRECT(ADDRESS(185,40))-INDIRECT(ADDRESS(188,40)),INDIRECT(ADDRESS(189,39))-INDIRECT(ADDRESS(184,40))+INDIRECT(ADDRESS(187,40))-INDIRECT(ADDRESS(188,40)))</f>
        <v>0</v>
      </c>
      <c r="AO189">
        <f>IF(DAY(NOW())&lt;M3,INDIRECT(ADDRESS(189,40))-INDIRECT(ADDRESS(184,41))+INDIRECT(ADDRESS(185,41))-INDIRECT(ADDRESS(188,41)),INDIRECT(ADDRESS(189,40))-INDIRECT(ADDRESS(184,41))+INDIRECT(ADDRESS(187,41))-INDIRECT(ADDRESS(188,41)))</f>
        <v>0</v>
      </c>
      <c r="AP189">
        <f>IF(DAY(NOW())&lt;M3,INDIRECT(ADDRESS(189,41))-INDIRECT(ADDRESS(184,42))+INDIRECT(ADDRESS(185,42))-INDIRECT(ADDRESS(188,42)),INDIRECT(ADDRESS(189,41))-INDIRECT(ADDRESS(184,42))+INDIRECT(ADDRESS(187,42))-INDIRECT(ADDRESS(188,42)))</f>
        <v>0</v>
      </c>
      <c r="AQ189">
        <f>IF(DAY(NOW())&lt;M3,INDIRECT(ADDRESS(189,42))-INDIRECT(ADDRESS(184,43))+INDIRECT(ADDRESS(185,43))-INDIRECT(ADDRESS(188,43)),INDIRECT(ADDRESS(189,42))-INDIRECT(ADDRESS(184,43))+INDIRECT(ADDRESS(187,43))-INDIRECT(ADDRESS(188,43)))</f>
        <v>0</v>
      </c>
      <c r="AR189">
        <f>IF(DAY(NOW())&lt;M3,INDIRECT(ADDRESS(189,43))-INDIRECT(ADDRESS(184,44))+INDIRECT(ADDRESS(185,44))-INDIRECT(ADDRESS(188,44)),INDIRECT(ADDRESS(189,43))-INDIRECT(ADDRESS(184,44))+INDIRECT(ADDRESS(187,44))-INDIRECT(ADDRESS(188,44)))</f>
        <v>0</v>
      </c>
    </row>
    <row r="190" spans="1:76">
      <c r="A190" t="s">
        <v>14</v>
      </c>
      <c r="B190" t="s">
        <v>130</v>
      </c>
      <c r="C190" t="s">
        <v>131</v>
      </c>
      <c r="D190" t="s">
        <v>46</v>
      </c>
      <c r="E190">
        <v>1</v>
      </c>
      <c r="F190" t="s">
        <v>132</v>
      </c>
      <c r="H190" t="s">
        <v>133</v>
      </c>
      <c r="I190">
        <v>20</v>
      </c>
      <c r="K190" t="s">
        <v>20</v>
      </c>
      <c r="L190" t="s">
        <v>21</v>
      </c>
      <c r="BX190">
        <f>sum(j190:an190)</f>
        <v>0</v>
      </c>
    </row>
    <row r="191" spans="1:76">
      <c r="A191" t="s">
        <v>14</v>
      </c>
      <c r="B191" t="s">
        <v>130</v>
      </c>
      <c r="C191" t="s">
        <v>131</v>
      </c>
      <c r="D191" t="s">
        <v>46</v>
      </c>
      <c r="E191">
        <v>1</v>
      </c>
      <c r="F191" t="s">
        <v>132</v>
      </c>
      <c r="H191" t="s">
        <v>133</v>
      </c>
      <c r="I191">
        <v>20</v>
      </c>
      <c r="K191" t="s">
        <v>20</v>
      </c>
      <c r="L191" t="s">
        <v>37</v>
      </c>
    </row>
    <row r="192" spans="1:76">
      <c r="L192" t="s">
        <v>662</v>
      </c>
    </row>
    <row r="193" spans="1:76">
      <c r="L193" t="s">
        <v>663</v>
      </c>
    </row>
    <row r="194" spans="1:76">
      <c r="L194" t="s">
        <v>664</v>
      </c>
    </row>
    <row r="195" spans="1:76">
      <c r="L195" t="s">
        <v>665</v>
      </c>
      <c r="M195">
        <f>IF(DAY(NOW())&lt;M3,INDIRECT(ADDRESS(195,7))-INDIRECT(ADDRESS(190,13))+INDIRECT(ADDRESS(191,13))-INDIRECT(ADDRESS(194,13)),INDIRECT(ADDRESS(195,7))-INDIRECT(ADDRESS(190,13))+INDIRECT(ADDRESS(193,13))-INDIRECT(ADDRESS(194,13)))</f>
        <v>0</v>
      </c>
      <c r="N195">
        <f>IF(DAY(NOW())&lt;M3,INDIRECT(ADDRESS(195,13))-INDIRECT(ADDRESS(190,14))+INDIRECT(ADDRESS(191,14))-INDIRECT(ADDRESS(194,14)),INDIRECT(ADDRESS(195,13))-INDIRECT(ADDRESS(190,14))+INDIRECT(ADDRESS(193,14))-INDIRECT(ADDRESS(194,14)))</f>
        <v>0</v>
      </c>
      <c r="O195">
        <f>IF(DAY(NOW())&lt;M3,INDIRECT(ADDRESS(195,14))-INDIRECT(ADDRESS(190,15))+INDIRECT(ADDRESS(191,15))-INDIRECT(ADDRESS(194,15)),INDIRECT(ADDRESS(195,14))-INDIRECT(ADDRESS(190,15))+INDIRECT(ADDRESS(193,15))-INDIRECT(ADDRESS(194,15)))</f>
        <v>0</v>
      </c>
      <c r="P195">
        <f>IF(DAY(NOW())&lt;M3,INDIRECT(ADDRESS(195,15))-INDIRECT(ADDRESS(190,16))+INDIRECT(ADDRESS(191,16))-INDIRECT(ADDRESS(194,16)),INDIRECT(ADDRESS(195,15))-INDIRECT(ADDRESS(190,16))+INDIRECT(ADDRESS(193,16))-INDIRECT(ADDRESS(194,16)))</f>
        <v>0</v>
      </c>
      <c r="Q195">
        <f>IF(DAY(NOW())&lt;M3,INDIRECT(ADDRESS(195,16))-INDIRECT(ADDRESS(190,17))+INDIRECT(ADDRESS(191,17))-INDIRECT(ADDRESS(194,17)),INDIRECT(ADDRESS(195,16))-INDIRECT(ADDRESS(190,17))+INDIRECT(ADDRESS(193,17))-INDIRECT(ADDRESS(194,17)))</f>
        <v>0</v>
      </c>
      <c r="R195">
        <f>IF(DAY(NOW())&lt;M3,INDIRECT(ADDRESS(195,17))-INDIRECT(ADDRESS(190,18))+INDIRECT(ADDRESS(191,18))-INDIRECT(ADDRESS(194,18)),INDIRECT(ADDRESS(195,17))-INDIRECT(ADDRESS(190,18))+INDIRECT(ADDRESS(193,18))-INDIRECT(ADDRESS(194,18)))</f>
        <v>0</v>
      </c>
      <c r="S195">
        <f>IF(DAY(NOW())&lt;M3,INDIRECT(ADDRESS(195,18))-INDIRECT(ADDRESS(190,19))+INDIRECT(ADDRESS(191,19))-INDIRECT(ADDRESS(194,19)),INDIRECT(ADDRESS(195,18))-INDIRECT(ADDRESS(190,19))+INDIRECT(ADDRESS(193,19))-INDIRECT(ADDRESS(194,19)))</f>
        <v>0</v>
      </c>
      <c r="T195">
        <f>IF(DAY(NOW())&lt;M3,INDIRECT(ADDRESS(195,19))-INDIRECT(ADDRESS(190,20))+INDIRECT(ADDRESS(191,20))-INDIRECT(ADDRESS(194,20)),INDIRECT(ADDRESS(195,19))-INDIRECT(ADDRESS(190,20))+INDIRECT(ADDRESS(193,20))-INDIRECT(ADDRESS(194,20)))</f>
        <v>0</v>
      </c>
      <c r="U195">
        <f>IF(DAY(NOW())&lt;M3,INDIRECT(ADDRESS(195,20))-INDIRECT(ADDRESS(190,21))+INDIRECT(ADDRESS(191,21))-INDIRECT(ADDRESS(194,21)),INDIRECT(ADDRESS(195,20))-INDIRECT(ADDRESS(190,21))+INDIRECT(ADDRESS(193,21))-INDIRECT(ADDRESS(194,21)))</f>
        <v>0</v>
      </c>
      <c r="V195">
        <f>IF(DAY(NOW())&lt;M3,INDIRECT(ADDRESS(195,21))-INDIRECT(ADDRESS(190,22))+INDIRECT(ADDRESS(191,22))-INDIRECT(ADDRESS(194,22)),INDIRECT(ADDRESS(195,21))-INDIRECT(ADDRESS(190,22))+INDIRECT(ADDRESS(193,22))-INDIRECT(ADDRESS(194,22)))</f>
        <v>0</v>
      </c>
      <c r="W195">
        <f>IF(DAY(NOW())&lt;M3,INDIRECT(ADDRESS(195,22))-INDIRECT(ADDRESS(190,23))+INDIRECT(ADDRESS(191,23))-INDIRECT(ADDRESS(194,23)),INDIRECT(ADDRESS(195,22))-INDIRECT(ADDRESS(190,23))+INDIRECT(ADDRESS(193,23))-INDIRECT(ADDRESS(194,23)))</f>
        <v>0</v>
      </c>
      <c r="X195">
        <f>IF(DAY(NOW())&lt;M3,INDIRECT(ADDRESS(195,23))-INDIRECT(ADDRESS(190,24))+INDIRECT(ADDRESS(191,24))-INDIRECT(ADDRESS(194,24)),INDIRECT(ADDRESS(195,23))-INDIRECT(ADDRESS(190,24))+INDIRECT(ADDRESS(193,24))-INDIRECT(ADDRESS(194,24)))</f>
        <v>0</v>
      </c>
      <c r="Y195">
        <f>IF(DAY(NOW())&lt;M3,INDIRECT(ADDRESS(195,24))-INDIRECT(ADDRESS(190,25))+INDIRECT(ADDRESS(191,25))-INDIRECT(ADDRESS(194,25)),INDIRECT(ADDRESS(195,24))-INDIRECT(ADDRESS(190,25))+INDIRECT(ADDRESS(193,25))-INDIRECT(ADDRESS(194,25)))</f>
        <v>0</v>
      </c>
      <c r="Z195">
        <f>IF(DAY(NOW())&lt;M3,INDIRECT(ADDRESS(195,25))-INDIRECT(ADDRESS(190,26))+INDIRECT(ADDRESS(191,26))-INDIRECT(ADDRESS(194,26)),INDIRECT(ADDRESS(195,25))-INDIRECT(ADDRESS(190,26))+INDIRECT(ADDRESS(193,26))-INDIRECT(ADDRESS(194,26)))</f>
        <v>0</v>
      </c>
      <c r="AA195">
        <f>IF(DAY(NOW())&lt;M3,INDIRECT(ADDRESS(195,26))-INDIRECT(ADDRESS(190,27))+INDIRECT(ADDRESS(191,27))-INDIRECT(ADDRESS(194,27)),INDIRECT(ADDRESS(195,26))-INDIRECT(ADDRESS(190,27))+INDIRECT(ADDRESS(193,27))-INDIRECT(ADDRESS(194,27)))</f>
        <v>0</v>
      </c>
      <c r="AB195">
        <f>IF(DAY(NOW())&lt;M3,INDIRECT(ADDRESS(195,27))-INDIRECT(ADDRESS(190,28))+INDIRECT(ADDRESS(191,28))-INDIRECT(ADDRESS(194,28)),INDIRECT(ADDRESS(195,27))-INDIRECT(ADDRESS(190,28))+INDIRECT(ADDRESS(193,28))-INDIRECT(ADDRESS(194,28)))</f>
        <v>0</v>
      </c>
      <c r="AC195">
        <f>IF(DAY(NOW())&lt;M3,INDIRECT(ADDRESS(195,28))-INDIRECT(ADDRESS(190,29))+INDIRECT(ADDRESS(191,29))-INDIRECT(ADDRESS(194,29)),INDIRECT(ADDRESS(195,28))-INDIRECT(ADDRESS(190,29))+INDIRECT(ADDRESS(193,29))-INDIRECT(ADDRESS(194,29)))</f>
        <v>0</v>
      </c>
      <c r="AD195">
        <f>IF(DAY(NOW())&lt;M3,INDIRECT(ADDRESS(195,29))-INDIRECT(ADDRESS(190,30))+INDIRECT(ADDRESS(191,30))-INDIRECT(ADDRESS(194,30)),INDIRECT(ADDRESS(195,29))-INDIRECT(ADDRESS(190,30))+INDIRECT(ADDRESS(193,30))-INDIRECT(ADDRESS(194,30)))</f>
        <v>0</v>
      </c>
      <c r="AE195">
        <f>IF(DAY(NOW())&lt;M3,INDIRECT(ADDRESS(195,30))-INDIRECT(ADDRESS(190,31))+INDIRECT(ADDRESS(191,31))-INDIRECT(ADDRESS(194,31)),INDIRECT(ADDRESS(195,30))-INDIRECT(ADDRESS(190,31))+INDIRECT(ADDRESS(193,31))-INDIRECT(ADDRESS(194,31)))</f>
        <v>0</v>
      </c>
      <c r="AF195">
        <f>IF(DAY(NOW())&lt;M3,INDIRECT(ADDRESS(195,31))-INDIRECT(ADDRESS(190,32))+INDIRECT(ADDRESS(191,32))-INDIRECT(ADDRESS(194,32)),INDIRECT(ADDRESS(195,31))-INDIRECT(ADDRESS(190,32))+INDIRECT(ADDRESS(193,32))-INDIRECT(ADDRESS(194,32)))</f>
        <v>0</v>
      </c>
      <c r="AG195">
        <f>IF(DAY(NOW())&lt;M3,INDIRECT(ADDRESS(195,32))-INDIRECT(ADDRESS(190,33))+INDIRECT(ADDRESS(191,33))-INDIRECT(ADDRESS(194,33)),INDIRECT(ADDRESS(195,32))-INDIRECT(ADDRESS(190,33))+INDIRECT(ADDRESS(193,33))-INDIRECT(ADDRESS(194,33)))</f>
        <v>0</v>
      </c>
      <c r="AH195">
        <f>IF(DAY(NOW())&lt;M3,INDIRECT(ADDRESS(195,33))-INDIRECT(ADDRESS(190,34))+INDIRECT(ADDRESS(191,34))-INDIRECT(ADDRESS(194,34)),INDIRECT(ADDRESS(195,33))-INDIRECT(ADDRESS(190,34))+INDIRECT(ADDRESS(193,34))-INDIRECT(ADDRESS(194,34)))</f>
        <v>0</v>
      </c>
      <c r="AI195">
        <f>IF(DAY(NOW())&lt;M3,INDIRECT(ADDRESS(195,34))-INDIRECT(ADDRESS(190,35))+INDIRECT(ADDRESS(191,35))-INDIRECT(ADDRESS(194,35)),INDIRECT(ADDRESS(195,34))-INDIRECT(ADDRESS(190,35))+INDIRECT(ADDRESS(193,35))-INDIRECT(ADDRESS(194,35)))</f>
        <v>0</v>
      </c>
      <c r="AJ195">
        <f>IF(DAY(NOW())&lt;M3,INDIRECT(ADDRESS(195,35))-INDIRECT(ADDRESS(190,36))+INDIRECT(ADDRESS(191,36))-INDIRECT(ADDRESS(194,36)),INDIRECT(ADDRESS(195,35))-INDIRECT(ADDRESS(190,36))+INDIRECT(ADDRESS(193,36))-INDIRECT(ADDRESS(194,36)))</f>
        <v>0</v>
      </c>
      <c r="AK195">
        <f>IF(DAY(NOW())&lt;M3,INDIRECT(ADDRESS(195,36))-INDIRECT(ADDRESS(190,37))+INDIRECT(ADDRESS(191,37))-INDIRECT(ADDRESS(194,37)),INDIRECT(ADDRESS(195,36))-INDIRECT(ADDRESS(190,37))+INDIRECT(ADDRESS(193,37))-INDIRECT(ADDRESS(194,37)))</f>
        <v>0</v>
      </c>
      <c r="AL195">
        <f>IF(DAY(NOW())&lt;M3,INDIRECT(ADDRESS(195,37))-INDIRECT(ADDRESS(190,38))+INDIRECT(ADDRESS(191,38))-INDIRECT(ADDRESS(194,38)),INDIRECT(ADDRESS(195,37))-INDIRECT(ADDRESS(190,38))+INDIRECT(ADDRESS(193,38))-INDIRECT(ADDRESS(194,38)))</f>
        <v>0</v>
      </c>
      <c r="AM195">
        <f>IF(DAY(NOW())&lt;M3,INDIRECT(ADDRESS(195,38))-INDIRECT(ADDRESS(190,39))+INDIRECT(ADDRESS(191,39))-INDIRECT(ADDRESS(194,39)),INDIRECT(ADDRESS(195,38))-INDIRECT(ADDRESS(190,39))+INDIRECT(ADDRESS(193,39))-INDIRECT(ADDRESS(194,39)))</f>
        <v>0</v>
      </c>
      <c r="AN195">
        <f>IF(DAY(NOW())&lt;M3,INDIRECT(ADDRESS(195,39))-INDIRECT(ADDRESS(190,40))+INDIRECT(ADDRESS(191,40))-INDIRECT(ADDRESS(194,40)),INDIRECT(ADDRESS(195,39))-INDIRECT(ADDRESS(190,40))+INDIRECT(ADDRESS(193,40))-INDIRECT(ADDRESS(194,40)))</f>
        <v>0</v>
      </c>
      <c r="AO195">
        <f>IF(DAY(NOW())&lt;M3,INDIRECT(ADDRESS(195,40))-INDIRECT(ADDRESS(190,41))+INDIRECT(ADDRESS(191,41))-INDIRECT(ADDRESS(194,41)),INDIRECT(ADDRESS(195,40))-INDIRECT(ADDRESS(190,41))+INDIRECT(ADDRESS(193,41))-INDIRECT(ADDRESS(194,41)))</f>
        <v>0</v>
      </c>
      <c r="AP195">
        <f>IF(DAY(NOW())&lt;M3,INDIRECT(ADDRESS(195,41))-INDIRECT(ADDRESS(190,42))+INDIRECT(ADDRESS(191,42))-INDIRECT(ADDRESS(194,42)),INDIRECT(ADDRESS(195,41))-INDIRECT(ADDRESS(190,42))+INDIRECT(ADDRESS(193,42))-INDIRECT(ADDRESS(194,42)))</f>
        <v>0</v>
      </c>
      <c r="AQ195">
        <f>IF(DAY(NOW())&lt;M3,INDIRECT(ADDRESS(195,42))-INDIRECT(ADDRESS(190,43))+INDIRECT(ADDRESS(191,43))-INDIRECT(ADDRESS(194,43)),INDIRECT(ADDRESS(195,42))-INDIRECT(ADDRESS(190,43))+INDIRECT(ADDRESS(193,43))-INDIRECT(ADDRESS(194,43)))</f>
        <v>0</v>
      </c>
      <c r="AR195">
        <f>IF(DAY(NOW())&lt;M3,INDIRECT(ADDRESS(195,43))-INDIRECT(ADDRESS(190,44))+INDIRECT(ADDRESS(191,44))-INDIRECT(ADDRESS(194,44)),INDIRECT(ADDRESS(195,43))-INDIRECT(ADDRESS(190,44))+INDIRECT(ADDRESS(193,44))-INDIRECT(ADDRESS(194,44)))</f>
        <v>0</v>
      </c>
    </row>
    <row r="196" spans="1:76">
      <c r="A196" t="s">
        <v>31</v>
      </c>
      <c r="B196" t="s">
        <v>134</v>
      </c>
      <c r="C196" t="s">
        <v>135</v>
      </c>
      <c r="D196" t="s">
        <v>17</v>
      </c>
      <c r="E196">
        <v>1</v>
      </c>
      <c r="F196" t="s">
        <v>136</v>
      </c>
      <c r="H196" t="s">
        <v>35</v>
      </c>
      <c r="I196" t="s">
        <v>36</v>
      </c>
      <c r="K196" t="s">
        <v>20</v>
      </c>
      <c r="L196" t="s">
        <v>21</v>
      </c>
      <c r="M196">
        <f>sumifs(BOM!m:m,BOM!A:A,".1",BOM!B:B,"852-247000-100")</f>
        <v>0</v>
      </c>
      <c r="N196">
        <f>sumifs(BOM!n:n,BOM!A:A,".1",BOM!B:B,"852-247000-100")</f>
        <v>0</v>
      </c>
      <c r="O196">
        <f>sumifs(BOM!o:o,BOM!A:A,".1",BOM!B:B,"852-247000-100")</f>
        <v>0</v>
      </c>
      <c r="P196">
        <f>sumifs(BOM!p:p,BOM!A:A,".1",BOM!B:B,"852-247000-100")</f>
        <v>0</v>
      </c>
      <c r="Q196">
        <f>sumifs(BOM!q:q,BOM!A:A,".1",BOM!B:B,"852-247000-100")</f>
        <v>0</v>
      </c>
      <c r="R196">
        <f>sumifs(BOM!r:r,BOM!A:A,".1",BOM!B:B,"852-247000-100")</f>
        <v>0</v>
      </c>
      <c r="S196">
        <f>sumifs(BOM!s:s,BOM!A:A,".1",BOM!B:B,"852-247000-100")</f>
        <v>0</v>
      </c>
      <c r="T196">
        <f>sumifs(BOM!t:t,BOM!A:A,".1",BOM!B:B,"852-247000-100")</f>
        <v>0</v>
      </c>
      <c r="U196">
        <f>sumifs(BOM!u:u,BOM!A:A,".1",BOM!B:B,"852-247000-100")</f>
        <v>0</v>
      </c>
      <c r="V196">
        <f>sumifs(BOM!v:v,BOM!A:A,".1",BOM!B:B,"852-247000-100")</f>
        <v>0</v>
      </c>
      <c r="W196">
        <f>sumifs(BOM!w:w,BOM!A:A,".1",BOM!B:B,"852-247000-100")</f>
        <v>0</v>
      </c>
      <c r="X196">
        <f>sumifs(BOM!x:x,BOM!A:A,".1",BOM!B:B,"852-247000-100")</f>
        <v>0</v>
      </c>
      <c r="Y196">
        <f>sumifs(BOM!y:y,BOM!A:A,".1",BOM!B:B,"852-247000-100")</f>
        <v>0</v>
      </c>
      <c r="Z196">
        <f>sumifs(BOM!z:z,BOM!A:A,".1",BOM!B:B,"852-247000-100")</f>
        <v>0</v>
      </c>
      <c r="AA196">
        <f>sumifs(BOM!aa:aa,BOM!A:A,".1",BOM!B:B,"852-247000-100")</f>
        <v>0</v>
      </c>
      <c r="AB196">
        <f>sumifs(BOM!ab:ab,BOM!A:A,".1",BOM!B:B,"852-247000-100")</f>
        <v>0</v>
      </c>
      <c r="AC196">
        <f>sumifs(BOM!ac:ac,BOM!A:A,".1",BOM!B:B,"852-247000-100")</f>
        <v>0</v>
      </c>
      <c r="AD196">
        <f>sumifs(BOM!ad:ad,BOM!A:A,".1",BOM!B:B,"852-247000-100")</f>
        <v>0</v>
      </c>
      <c r="AE196">
        <f>sumifs(BOM!ae:ae,BOM!A:A,".1",BOM!B:B,"852-247000-100")</f>
        <v>0</v>
      </c>
      <c r="AF196">
        <f>sumifs(BOM!af:af,BOM!A:A,".1",BOM!B:B,"852-247000-100")</f>
        <v>0</v>
      </c>
      <c r="AG196">
        <f>sumifs(BOM!ag:ag,BOM!A:A,".1",BOM!B:B,"852-247000-100")</f>
        <v>0</v>
      </c>
      <c r="AH196">
        <f>sumifs(BOM!ah:ah,BOM!A:A,".1",BOM!B:B,"852-247000-100")</f>
        <v>0</v>
      </c>
      <c r="AI196">
        <f>sumifs(BOM!ai:ai,BOM!A:A,".1",BOM!B:B,"852-247000-100")</f>
        <v>0</v>
      </c>
      <c r="AJ196">
        <f>sumifs(BOM!aj:aj,BOM!A:A,".1",BOM!B:B,"852-247000-100")</f>
        <v>0</v>
      </c>
      <c r="AK196">
        <f>sumifs(BOM!ak:ak,BOM!A:A,".1",BOM!B:B,"852-247000-100")</f>
        <v>0</v>
      </c>
      <c r="AL196">
        <f>sumifs(BOM!al:al,BOM!A:A,".1",BOM!B:B,"852-247000-100")</f>
        <v>0</v>
      </c>
      <c r="AM196">
        <f>sumifs(BOM!am:am,BOM!A:A,".1",BOM!B:B,"852-247000-100")</f>
        <v>0</v>
      </c>
      <c r="AN196">
        <f>sumifs(BOM!an:an,BOM!A:A,".1",BOM!B:B,"852-247000-100")</f>
        <v>0</v>
      </c>
      <c r="AO196">
        <f>sumifs(BOM!ao:ao,BOM!A:A,".1",BOM!B:B,"852-247000-100")</f>
        <v>0</v>
      </c>
      <c r="AP196">
        <f>sumifs(BOM!ap:ap,BOM!A:A,".1",BOM!B:B,"852-247000-100")</f>
        <v>0</v>
      </c>
      <c r="AQ196">
        <f>sumifs(BOM!aq:aq,BOM!A:A,".1",BOM!B:B,"852-247000-100")</f>
        <v>0</v>
      </c>
      <c r="AR196">
        <f>sumifs(BOM!ar:ar,BOM!A:A,".1",BOM!B:B,"852-247000-100")</f>
        <v>0</v>
      </c>
      <c r="BX196">
        <f>sum(j196:an196)</f>
        <v>0</v>
      </c>
    </row>
    <row r="197" spans="1:76">
      <c r="A197" t="s">
        <v>31</v>
      </c>
      <c r="B197" t="s">
        <v>134</v>
      </c>
      <c r="C197" t="s">
        <v>135</v>
      </c>
      <c r="D197" t="s">
        <v>17</v>
      </c>
      <c r="E197">
        <v>1</v>
      </c>
      <c r="F197" t="s">
        <v>136</v>
      </c>
      <c r="H197" t="s">
        <v>35</v>
      </c>
      <c r="I197" t="s">
        <v>36</v>
      </c>
      <c r="K197" t="s">
        <v>20</v>
      </c>
      <c r="L197" t="s">
        <v>37</v>
      </c>
    </row>
    <row r="198" spans="1:76">
      <c r="L198" t="s">
        <v>662</v>
      </c>
    </row>
    <row r="199" spans="1:76">
      <c r="L199" t="s">
        <v>663</v>
      </c>
    </row>
    <row r="200" spans="1:76">
      <c r="L200" t="s">
        <v>664</v>
      </c>
    </row>
    <row r="201" spans="1:76">
      <c r="L201" t="s">
        <v>665</v>
      </c>
      <c r="M201">
        <f>IF(DAY(NOW())&lt;M3,INDIRECT(ADDRESS(201,7))-INDIRECT(ADDRESS(196,13))+INDIRECT(ADDRESS(197,13))-INDIRECT(ADDRESS(200,13)),INDIRECT(ADDRESS(201,7))-INDIRECT(ADDRESS(196,13))+INDIRECT(ADDRESS(199,13))-INDIRECT(ADDRESS(200,13)))</f>
        <v>0</v>
      </c>
      <c r="N201">
        <f>IF(DAY(NOW())&lt;M3,INDIRECT(ADDRESS(201,13))-INDIRECT(ADDRESS(196,14))+INDIRECT(ADDRESS(197,14))-INDIRECT(ADDRESS(200,14)),INDIRECT(ADDRESS(201,13))-INDIRECT(ADDRESS(196,14))+INDIRECT(ADDRESS(199,14))-INDIRECT(ADDRESS(200,14)))</f>
        <v>0</v>
      </c>
      <c r="O201">
        <f>IF(DAY(NOW())&lt;M3,INDIRECT(ADDRESS(201,14))-INDIRECT(ADDRESS(196,15))+INDIRECT(ADDRESS(197,15))-INDIRECT(ADDRESS(200,15)),INDIRECT(ADDRESS(201,14))-INDIRECT(ADDRESS(196,15))+INDIRECT(ADDRESS(199,15))-INDIRECT(ADDRESS(200,15)))</f>
        <v>0</v>
      </c>
      <c r="P201">
        <f>IF(DAY(NOW())&lt;M3,INDIRECT(ADDRESS(201,15))-INDIRECT(ADDRESS(196,16))+INDIRECT(ADDRESS(197,16))-INDIRECT(ADDRESS(200,16)),INDIRECT(ADDRESS(201,15))-INDIRECT(ADDRESS(196,16))+INDIRECT(ADDRESS(199,16))-INDIRECT(ADDRESS(200,16)))</f>
        <v>0</v>
      </c>
      <c r="Q201">
        <f>IF(DAY(NOW())&lt;M3,INDIRECT(ADDRESS(201,16))-INDIRECT(ADDRESS(196,17))+INDIRECT(ADDRESS(197,17))-INDIRECT(ADDRESS(200,17)),INDIRECT(ADDRESS(201,16))-INDIRECT(ADDRESS(196,17))+INDIRECT(ADDRESS(199,17))-INDIRECT(ADDRESS(200,17)))</f>
        <v>0</v>
      </c>
      <c r="R201">
        <f>IF(DAY(NOW())&lt;M3,INDIRECT(ADDRESS(201,17))-INDIRECT(ADDRESS(196,18))+INDIRECT(ADDRESS(197,18))-INDIRECT(ADDRESS(200,18)),INDIRECT(ADDRESS(201,17))-INDIRECT(ADDRESS(196,18))+INDIRECT(ADDRESS(199,18))-INDIRECT(ADDRESS(200,18)))</f>
        <v>0</v>
      </c>
      <c r="S201">
        <f>IF(DAY(NOW())&lt;M3,INDIRECT(ADDRESS(201,18))-INDIRECT(ADDRESS(196,19))+INDIRECT(ADDRESS(197,19))-INDIRECT(ADDRESS(200,19)),INDIRECT(ADDRESS(201,18))-INDIRECT(ADDRESS(196,19))+INDIRECT(ADDRESS(199,19))-INDIRECT(ADDRESS(200,19)))</f>
        <v>0</v>
      </c>
      <c r="T201">
        <f>IF(DAY(NOW())&lt;M3,INDIRECT(ADDRESS(201,19))-INDIRECT(ADDRESS(196,20))+INDIRECT(ADDRESS(197,20))-INDIRECT(ADDRESS(200,20)),INDIRECT(ADDRESS(201,19))-INDIRECT(ADDRESS(196,20))+INDIRECT(ADDRESS(199,20))-INDIRECT(ADDRESS(200,20)))</f>
        <v>0</v>
      </c>
      <c r="U201">
        <f>IF(DAY(NOW())&lt;M3,INDIRECT(ADDRESS(201,20))-INDIRECT(ADDRESS(196,21))+INDIRECT(ADDRESS(197,21))-INDIRECT(ADDRESS(200,21)),INDIRECT(ADDRESS(201,20))-INDIRECT(ADDRESS(196,21))+INDIRECT(ADDRESS(199,21))-INDIRECT(ADDRESS(200,21)))</f>
        <v>0</v>
      </c>
      <c r="V201">
        <f>IF(DAY(NOW())&lt;M3,INDIRECT(ADDRESS(201,21))-INDIRECT(ADDRESS(196,22))+INDIRECT(ADDRESS(197,22))-INDIRECT(ADDRESS(200,22)),INDIRECT(ADDRESS(201,21))-INDIRECT(ADDRESS(196,22))+INDIRECT(ADDRESS(199,22))-INDIRECT(ADDRESS(200,22)))</f>
        <v>0</v>
      </c>
      <c r="W201">
        <f>IF(DAY(NOW())&lt;M3,INDIRECT(ADDRESS(201,22))-INDIRECT(ADDRESS(196,23))+INDIRECT(ADDRESS(197,23))-INDIRECT(ADDRESS(200,23)),INDIRECT(ADDRESS(201,22))-INDIRECT(ADDRESS(196,23))+INDIRECT(ADDRESS(199,23))-INDIRECT(ADDRESS(200,23)))</f>
        <v>0</v>
      </c>
      <c r="X201">
        <f>IF(DAY(NOW())&lt;M3,INDIRECT(ADDRESS(201,23))-INDIRECT(ADDRESS(196,24))+INDIRECT(ADDRESS(197,24))-INDIRECT(ADDRESS(200,24)),INDIRECT(ADDRESS(201,23))-INDIRECT(ADDRESS(196,24))+INDIRECT(ADDRESS(199,24))-INDIRECT(ADDRESS(200,24)))</f>
        <v>0</v>
      </c>
      <c r="Y201">
        <f>IF(DAY(NOW())&lt;M3,INDIRECT(ADDRESS(201,24))-INDIRECT(ADDRESS(196,25))+INDIRECT(ADDRESS(197,25))-INDIRECT(ADDRESS(200,25)),INDIRECT(ADDRESS(201,24))-INDIRECT(ADDRESS(196,25))+INDIRECT(ADDRESS(199,25))-INDIRECT(ADDRESS(200,25)))</f>
        <v>0</v>
      </c>
      <c r="Z201">
        <f>IF(DAY(NOW())&lt;M3,INDIRECT(ADDRESS(201,25))-INDIRECT(ADDRESS(196,26))+INDIRECT(ADDRESS(197,26))-INDIRECT(ADDRESS(200,26)),INDIRECT(ADDRESS(201,25))-INDIRECT(ADDRESS(196,26))+INDIRECT(ADDRESS(199,26))-INDIRECT(ADDRESS(200,26)))</f>
        <v>0</v>
      </c>
      <c r="AA201">
        <f>IF(DAY(NOW())&lt;M3,INDIRECT(ADDRESS(201,26))-INDIRECT(ADDRESS(196,27))+INDIRECT(ADDRESS(197,27))-INDIRECT(ADDRESS(200,27)),INDIRECT(ADDRESS(201,26))-INDIRECT(ADDRESS(196,27))+INDIRECT(ADDRESS(199,27))-INDIRECT(ADDRESS(200,27)))</f>
        <v>0</v>
      </c>
      <c r="AB201">
        <f>IF(DAY(NOW())&lt;M3,INDIRECT(ADDRESS(201,27))-INDIRECT(ADDRESS(196,28))+INDIRECT(ADDRESS(197,28))-INDIRECT(ADDRESS(200,28)),INDIRECT(ADDRESS(201,27))-INDIRECT(ADDRESS(196,28))+INDIRECT(ADDRESS(199,28))-INDIRECT(ADDRESS(200,28)))</f>
        <v>0</v>
      </c>
      <c r="AC201">
        <f>IF(DAY(NOW())&lt;M3,INDIRECT(ADDRESS(201,28))-INDIRECT(ADDRESS(196,29))+INDIRECT(ADDRESS(197,29))-INDIRECT(ADDRESS(200,29)),INDIRECT(ADDRESS(201,28))-INDIRECT(ADDRESS(196,29))+INDIRECT(ADDRESS(199,29))-INDIRECT(ADDRESS(200,29)))</f>
        <v>0</v>
      </c>
      <c r="AD201">
        <f>IF(DAY(NOW())&lt;M3,INDIRECT(ADDRESS(201,29))-INDIRECT(ADDRESS(196,30))+INDIRECT(ADDRESS(197,30))-INDIRECT(ADDRESS(200,30)),INDIRECT(ADDRESS(201,29))-INDIRECT(ADDRESS(196,30))+INDIRECT(ADDRESS(199,30))-INDIRECT(ADDRESS(200,30)))</f>
        <v>0</v>
      </c>
      <c r="AE201">
        <f>IF(DAY(NOW())&lt;M3,INDIRECT(ADDRESS(201,30))-INDIRECT(ADDRESS(196,31))+INDIRECT(ADDRESS(197,31))-INDIRECT(ADDRESS(200,31)),INDIRECT(ADDRESS(201,30))-INDIRECT(ADDRESS(196,31))+INDIRECT(ADDRESS(199,31))-INDIRECT(ADDRESS(200,31)))</f>
        <v>0</v>
      </c>
      <c r="AF201">
        <f>IF(DAY(NOW())&lt;M3,INDIRECT(ADDRESS(201,31))-INDIRECT(ADDRESS(196,32))+INDIRECT(ADDRESS(197,32))-INDIRECT(ADDRESS(200,32)),INDIRECT(ADDRESS(201,31))-INDIRECT(ADDRESS(196,32))+INDIRECT(ADDRESS(199,32))-INDIRECT(ADDRESS(200,32)))</f>
        <v>0</v>
      </c>
      <c r="AG201">
        <f>IF(DAY(NOW())&lt;M3,INDIRECT(ADDRESS(201,32))-INDIRECT(ADDRESS(196,33))+INDIRECT(ADDRESS(197,33))-INDIRECT(ADDRESS(200,33)),INDIRECT(ADDRESS(201,32))-INDIRECT(ADDRESS(196,33))+INDIRECT(ADDRESS(199,33))-INDIRECT(ADDRESS(200,33)))</f>
        <v>0</v>
      </c>
      <c r="AH201">
        <f>IF(DAY(NOW())&lt;M3,INDIRECT(ADDRESS(201,33))-INDIRECT(ADDRESS(196,34))+INDIRECT(ADDRESS(197,34))-INDIRECT(ADDRESS(200,34)),INDIRECT(ADDRESS(201,33))-INDIRECT(ADDRESS(196,34))+INDIRECT(ADDRESS(199,34))-INDIRECT(ADDRESS(200,34)))</f>
        <v>0</v>
      </c>
      <c r="AI201">
        <f>IF(DAY(NOW())&lt;M3,INDIRECT(ADDRESS(201,34))-INDIRECT(ADDRESS(196,35))+INDIRECT(ADDRESS(197,35))-INDIRECT(ADDRESS(200,35)),INDIRECT(ADDRESS(201,34))-INDIRECT(ADDRESS(196,35))+INDIRECT(ADDRESS(199,35))-INDIRECT(ADDRESS(200,35)))</f>
        <v>0</v>
      </c>
      <c r="AJ201">
        <f>IF(DAY(NOW())&lt;M3,INDIRECT(ADDRESS(201,35))-INDIRECT(ADDRESS(196,36))+INDIRECT(ADDRESS(197,36))-INDIRECT(ADDRESS(200,36)),INDIRECT(ADDRESS(201,35))-INDIRECT(ADDRESS(196,36))+INDIRECT(ADDRESS(199,36))-INDIRECT(ADDRESS(200,36)))</f>
        <v>0</v>
      </c>
      <c r="AK201">
        <f>IF(DAY(NOW())&lt;M3,INDIRECT(ADDRESS(201,36))-INDIRECT(ADDRESS(196,37))+INDIRECT(ADDRESS(197,37))-INDIRECT(ADDRESS(200,37)),INDIRECT(ADDRESS(201,36))-INDIRECT(ADDRESS(196,37))+INDIRECT(ADDRESS(199,37))-INDIRECT(ADDRESS(200,37)))</f>
        <v>0</v>
      </c>
      <c r="AL201">
        <f>IF(DAY(NOW())&lt;M3,INDIRECT(ADDRESS(201,37))-INDIRECT(ADDRESS(196,38))+INDIRECT(ADDRESS(197,38))-INDIRECT(ADDRESS(200,38)),INDIRECT(ADDRESS(201,37))-INDIRECT(ADDRESS(196,38))+INDIRECT(ADDRESS(199,38))-INDIRECT(ADDRESS(200,38)))</f>
        <v>0</v>
      </c>
      <c r="AM201">
        <f>IF(DAY(NOW())&lt;M3,INDIRECT(ADDRESS(201,38))-INDIRECT(ADDRESS(196,39))+INDIRECT(ADDRESS(197,39))-INDIRECT(ADDRESS(200,39)),INDIRECT(ADDRESS(201,38))-INDIRECT(ADDRESS(196,39))+INDIRECT(ADDRESS(199,39))-INDIRECT(ADDRESS(200,39)))</f>
        <v>0</v>
      </c>
      <c r="AN201">
        <f>IF(DAY(NOW())&lt;M3,INDIRECT(ADDRESS(201,39))-INDIRECT(ADDRESS(196,40))+INDIRECT(ADDRESS(197,40))-INDIRECT(ADDRESS(200,40)),INDIRECT(ADDRESS(201,39))-INDIRECT(ADDRESS(196,40))+INDIRECT(ADDRESS(199,40))-INDIRECT(ADDRESS(200,40)))</f>
        <v>0</v>
      </c>
      <c r="AO201">
        <f>IF(DAY(NOW())&lt;M3,INDIRECT(ADDRESS(201,40))-INDIRECT(ADDRESS(196,41))+INDIRECT(ADDRESS(197,41))-INDIRECT(ADDRESS(200,41)),INDIRECT(ADDRESS(201,40))-INDIRECT(ADDRESS(196,41))+INDIRECT(ADDRESS(199,41))-INDIRECT(ADDRESS(200,41)))</f>
        <v>0</v>
      </c>
      <c r="AP201">
        <f>IF(DAY(NOW())&lt;M3,INDIRECT(ADDRESS(201,41))-INDIRECT(ADDRESS(196,42))+INDIRECT(ADDRESS(197,42))-INDIRECT(ADDRESS(200,42)),INDIRECT(ADDRESS(201,41))-INDIRECT(ADDRESS(196,42))+INDIRECT(ADDRESS(199,42))-INDIRECT(ADDRESS(200,42)))</f>
        <v>0</v>
      </c>
      <c r="AQ201">
        <f>IF(DAY(NOW())&lt;M3,INDIRECT(ADDRESS(201,42))-INDIRECT(ADDRESS(196,43))+INDIRECT(ADDRESS(197,43))-INDIRECT(ADDRESS(200,43)),INDIRECT(ADDRESS(201,42))-INDIRECT(ADDRESS(196,43))+INDIRECT(ADDRESS(199,43))-INDIRECT(ADDRESS(200,43)))</f>
        <v>0</v>
      </c>
      <c r="AR201">
        <f>IF(DAY(NOW())&lt;M3,INDIRECT(ADDRESS(201,43))-INDIRECT(ADDRESS(196,44))+INDIRECT(ADDRESS(197,44))-INDIRECT(ADDRESS(200,44)),INDIRECT(ADDRESS(201,43))-INDIRECT(ADDRESS(196,44))+INDIRECT(ADDRESS(199,44))-INDIRECT(ADDRESS(200,44)))</f>
        <v>0</v>
      </c>
    </row>
    <row r="202" spans="1:76">
      <c r="A202" t="s">
        <v>14</v>
      </c>
      <c r="B202" t="s">
        <v>137</v>
      </c>
      <c r="C202" t="s">
        <v>138</v>
      </c>
      <c r="D202" t="s">
        <v>46</v>
      </c>
      <c r="E202">
        <v>1</v>
      </c>
      <c r="F202" t="s">
        <v>139</v>
      </c>
      <c r="H202" t="s">
        <v>133</v>
      </c>
      <c r="I202">
        <v>20</v>
      </c>
      <c r="K202" t="s">
        <v>20</v>
      </c>
      <c r="L202" t="s">
        <v>21</v>
      </c>
      <c r="BX202">
        <f>sum(j202:an202)</f>
        <v>0</v>
      </c>
    </row>
    <row r="203" spans="1:76">
      <c r="A203" t="s">
        <v>14</v>
      </c>
      <c r="B203" t="s">
        <v>137</v>
      </c>
      <c r="C203" t="s">
        <v>138</v>
      </c>
      <c r="D203" t="s">
        <v>46</v>
      </c>
      <c r="E203">
        <v>1</v>
      </c>
      <c r="F203" t="s">
        <v>139</v>
      </c>
      <c r="H203" t="s">
        <v>133</v>
      </c>
      <c r="I203">
        <v>20</v>
      </c>
      <c r="K203" t="s">
        <v>20</v>
      </c>
      <c r="L203" t="s">
        <v>37</v>
      </c>
    </row>
    <row r="204" spans="1:76">
      <c r="L204" t="s">
        <v>662</v>
      </c>
    </row>
    <row r="205" spans="1:76">
      <c r="L205" t="s">
        <v>663</v>
      </c>
    </row>
    <row r="206" spans="1:76">
      <c r="L206" t="s">
        <v>664</v>
      </c>
    </row>
    <row r="207" spans="1:76">
      <c r="L207" t="s">
        <v>665</v>
      </c>
      <c r="M207">
        <f>IF(DAY(NOW())&lt;M3,INDIRECT(ADDRESS(207,7))-INDIRECT(ADDRESS(202,13))+INDIRECT(ADDRESS(203,13))-INDIRECT(ADDRESS(206,13)),INDIRECT(ADDRESS(207,7))-INDIRECT(ADDRESS(202,13))+INDIRECT(ADDRESS(205,13))-INDIRECT(ADDRESS(206,13)))</f>
        <v>0</v>
      </c>
      <c r="N207">
        <f>IF(DAY(NOW())&lt;M3,INDIRECT(ADDRESS(207,13))-INDIRECT(ADDRESS(202,14))+INDIRECT(ADDRESS(203,14))-INDIRECT(ADDRESS(206,14)),INDIRECT(ADDRESS(207,13))-INDIRECT(ADDRESS(202,14))+INDIRECT(ADDRESS(205,14))-INDIRECT(ADDRESS(206,14)))</f>
        <v>0</v>
      </c>
      <c r="O207">
        <f>IF(DAY(NOW())&lt;M3,INDIRECT(ADDRESS(207,14))-INDIRECT(ADDRESS(202,15))+INDIRECT(ADDRESS(203,15))-INDIRECT(ADDRESS(206,15)),INDIRECT(ADDRESS(207,14))-INDIRECT(ADDRESS(202,15))+INDIRECT(ADDRESS(205,15))-INDIRECT(ADDRESS(206,15)))</f>
        <v>0</v>
      </c>
      <c r="P207">
        <f>IF(DAY(NOW())&lt;M3,INDIRECT(ADDRESS(207,15))-INDIRECT(ADDRESS(202,16))+INDIRECT(ADDRESS(203,16))-INDIRECT(ADDRESS(206,16)),INDIRECT(ADDRESS(207,15))-INDIRECT(ADDRESS(202,16))+INDIRECT(ADDRESS(205,16))-INDIRECT(ADDRESS(206,16)))</f>
        <v>0</v>
      </c>
      <c r="Q207">
        <f>IF(DAY(NOW())&lt;M3,INDIRECT(ADDRESS(207,16))-INDIRECT(ADDRESS(202,17))+INDIRECT(ADDRESS(203,17))-INDIRECT(ADDRESS(206,17)),INDIRECT(ADDRESS(207,16))-INDIRECT(ADDRESS(202,17))+INDIRECT(ADDRESS(205,17))-INDIRECT(ADDRESS(206,17)))</f>
        <v>0</v>
      </c>
      <c r="R207">
        <f>IF(DAY(NOW())&lt;M3,INDIRECT(ADDRESS(207,17))-INDIRECT(ADDRESS(202,18))+INDIRECT(ADDRESS(203,18))-INDIRECT(ADDRESS(206,18)),INDIRECT(ADDRESS(207,17))-INDIRECT(ADDRESS(202,18))+INDIRECT(ADDRESS(205,18))-INDIRECT(ADDRESS(206,18)))</f>
        <v>0</v>
      </c>
      <c r="S207">
        <f>IF(DAY(NOW())&lt;M3,INDIRECT(ADDRESS(207,18))-INDIRECT(ADDRESS(202,19))+INDIRECT(ADDRESS(203,19))-INDIRECT(ADDRESS(206,19)),INDIRECT(ADDRESS(207,18))-INDIRECT(ADDRESS(202,19))+INDIRECT(ADDRESS(205,19))-INDIRECT(ADDRESS(206,19)))</f>
        <v>0</v>
      </c>
      <c r="T207">
        <f>IF(DAY(NOW())&lt;M3,INDIRECT(ADDRESS(207,19))-INDIRECT(ADDRESS(202,20))+INDIRECT(ADDRESS(203,20))-INDIRECT(ADDRESS(206,20)),INDIRECT(ADDRESS(207,19))-INDIRECT(ADDRESS(202,20))+INDIRECT(ADDRESS(205,20))-INDIRECT(ADDRESS(206,20)))</f>
        <v>0</v>
      </c>
      <c r="U207">
        <f>IF(DAY(NOW())&lt;M3,INDIRECT(ADDRESS(207,20))-INDIRECT(ADDRESS(202,21))+INDIRECT(ADDRESS(203,21))-INDIRECT(ADDRESS(206,21)),INDIRECT(ADDRESS(207,20))-INDIRECT(ADDRESS(202,21))+INDIRECT(ADDRESS(205,21))-INDIRECT(ADDRESS(206,21)))</f>
        <v>0</v>
      </c>
      <c r="V207">
        <f>IF(DAY(NOW())&lt;M3,INDIRECT(ADDRESS(207,21))-INDIRECT(ADDRESS(202,22))+INDIRECT(ADDRESS(203,22))-INDIRECT(ADDRESS(206,22)),INDIRECT(ADDRESS(207,21))-INDIRECT(ADDRESS(202,22))+INDIRECT(ADDRESS(205,22))-INDIRECT(ADDRESS(206,22)))</f>
        <v>0</v>
      </c>
      <c r="W207">
        <f>IF(DAY(NOW())&lt;M3,INDIRECT(ADDRESS(207,22))-INDIRECT(ADDRESS(202,23))+INDIRECT(ADDRESS(203,23))-INDIRECT(ADDRESS(206,23)),INDIRECT(ADDRESS(207,22))-INDIRECT(ADDRESS(202,23))+INDIRECT(ADDRESS(205,23))-INDIRECT(ADDRESS(206,23)))</f>
        <v>0</v>
      </c>
      <c r="X207">
        <f>IF(DAY(NOW())&lt;M3,INDIRECT(ADDRESS(207,23))-INDIRECT(ADDRESS(202,24))+INDIRECT(ADDRESS(203,24))-INDIRECT(ADDRESS(206,24)),INDIRECT(ADDRESS(207,23))-INDIRECT(ADDRESS(202,24))+INDIRECT(ADDRESS(205,24))-INDIRECT(ADDRESS(206,24)))</f>
        <v>0</v>
      </c>
      <c r="Y207">
        <f>IF(DAY(NOW())&lt;M3,INDIRECT(ADDRESS(207,24))-INDIRECT(ADDRESS(202,25))+INDIRECT(ADDRESS(203,25))-INDIRECT(ADDRESS(206,25)),INDIRECT(ADDRESS(207,24))-INDIRECT(ADDRESS(202,25))+INDIRECT(ADDRESS(205,25))-INDIRECT(ADDRESS(206,25)))</f>
        <v>0</v>
      </c>
      <c r="Z207">
        <f>IF(DAY(NOW())&lt;M3,INDIRECT(ADDRESS(207,25))-INDIRECT(ADDRESS(202,26))+INDIRECT(ADDRESS(203,26))-INDIRECT(ADDRESS(206,26)),INDIRECT(ADDRESS(207,25))-INDIRECT(ADDRESS(202,26))+INDIRECT(ADDRESS(205,26))-INDIRECT(ADDRESS(206,26)))</f>
        <v>0</v>
      </c>
      <c r="AA207">
        <f>IF(DAY(NOW())&lt;M3,INDIRECT(ADDRESS(207,26))-INDIRECT(ADDRESS(202,27))+INDIRECT(ADDRESS(203,27))-INDIRECT(ADDRESS(206,27)),INDIRECT(ADDRESS(207,26))-INDIRECT(ADDRESS(202,27))+INDIRECT(ADDRESS(205,27))-INDIRECT(ADDRESS(206,27)))</f>
        <v>0</v>
      </c>
      <c r="AB207">
        <f>IF(DAY(NOW())&lt;M3,INDIRECT(ADDRESS(207,27))-INDIRECT(ADDRESS(202,28))+INDIRECT(ADDRESS(203,28))-INDIRECT(ADDRESS(206,28)),INDIRECT(ADDRESS(207,27))-INDIRECT(ADDRESS(202,28))+INDIRECT(ADDRESS(205,28))-INDIRECT(ADDRESS(206,28)))</f>
        <v>0</v>
      </c>
      <c r="AC207">
        <f>IF(DAY(NOW())&lt;M3,INDIRECT(ADDRESS(207,28))-INDIRECT(ADDRESS(202,29))+INDIRECT(ADDRESS(203,29))-INDIRECT(ADDRESS(206,29)),INDIRECT(ADDRESS(207,28))-INDIRECT(ADDRESS(202,29))+INDIRECT(ADDRESS(205,29))-INDIRECT(ADDRESS(206,29)))</f>
        <v>0</v>
      </c>
      <c r="AD207">
        <f>IF(DAY(NOW())&lt;M3,INDIRECT(ADDRESS(207,29))-INDIRECT(ADDRESS(202,30))+INDIRECT(ADDRESS(203,30))-INDIRECT(ADDRESS(206,30)),INDIRECT(ADDRESS(207,29))-INDIRECT(ADDRESS(202,30))+INDIRECT(ADDRESS(205,30))-INDIRECT(ADDRESS(206,30)))</f>
        <v>0</v>
      </c>
      <c r="AE207">
        <f>IF(DAY(NOW())&lt;M3,INDIRECT(ADDRESS(207,30))-INDIRECT(ADDRESS(202,31))+INDIRECT(ADDRESS(203,31))-INDIRECT(ADDRESS(206,31)),INDIRECT(ADDRESS(207,30))-INDIRECT(ADDRESS(202,31))+INDIRECT(ADDRESS(205,31))-INDIRECT(ADDRESS(206,31)))</f>
        <v>0</v>
      </c>
      <c r="AF207">
        <f>IF(DAY(NOW())&lt;M3,INDIRECT(ADDRESS(207,31))-INDIRECT(ADDRESS(202,32))+INDIRECT(ADDRESS(203,32))-INDIRECT(ADDRESS(206,32)),INDIRECT(ADDRESS(207,31))-INDIRECT(ADDRESS(202,32))+INDIRECT(ADDRESS(205,32))-INDIRECT(ADDRESS(206,32)))</f>
        <v>0</v>
      </c>
      <c r="AG207">
        <f>IF(DAY(NOW())&lt;M3,INDIRECT(ADDRESS(207,32))-INDIRECT(ADDRESS(202,33))+INDIRECT(ADDRESS(203,33))-INDIRECT(ADDRESS(206,33)),INDIRECT(ADDRESS(207,32))-INDIRECT(ADDRESS(202,33))+INDIRECT(ADDRESS(205,33))-INDIRECT(ADDRESS(206,33)))</f>
        <v>0</v>
      </c>
      <c r="AH207">
        <f>IF(DAY(NOW())&lt;M3,INDIRECT(ADDRESS(207,33))-INDIRECT(ADDRESS(202,34))+INDIRECT(ADDRESS(203,34))-INDIRECT(ADDRESS(206,34)),INDIRECT(ADDRESS(207,33))-INDIRECT(ADDRESS(202,34))+INDIRECT(ADDRESS(205,34))-INDIRECT(ADDRESS(206,34)))</f>
        <v>0</v>
      </c>
      <c r="AI207">
        <f>IF(DAY(NOW())&lt;M3,INDIRECT(ADDRESS(207,34))-INDIRECT(ADDRESS(202,35))+INDIRECT(ADDRESS(203,35))-INDIRECT(ADDRESS(206,35)),INDIRECT(ADDRESS(207,34))-INDIRECT(ADDRESS(202,35))+INDIRECT(ADDRESS(205,35))-INDIRECT(ADDRESS(206,35)))</f>
        <v>0</v>
      </c>
      <c r="AJ207">
        <f>IF(DAY(NOW())&lt;M3,INDIRECT(ADDRESS(207,35))-INDIRECT(ADDRESS(202,36))+INDIRECT(ADDRESS(203,36))-INDIRECT(ADDRESS(206,36)),INDIRECT(ADDRESS(207,35))-INDIRECT(ADDRESS(202,36))+INDIRECT(ADDRESS(205,36))-INDIRECT(ADDRESS(206,36)))</f>
        <v>0</v>
      </c>
      <c r="AK207">
        <f>IF(DAY(NOW())&lt;M3,INDIRECT(ADDRESS(207,36))-INDIRECT(ADDRESS(202,37))+INDIRECT(ADDRESS(203,37))-INDIRECT(ADDRESS(206,37)),INDIRECT(ADDRESS(207,36))-INDIRECT(ADDRESS(202,37))+INDIRECT(ADDRESS(205,37))-INDIRECT(ADDRESS(206,37)))</f>
        <v>0</v>
      </c>
      <c r="AL207">
        <f>IF(DAY(NOW())&lt;M3,INDIRECT(ADDRESS(207,37))-INDIRECT(ADDRESS(202,38))+INDIRECT(ADDRESS(203,38))-INDIRECT(ADDRESS(206,38)),INDIRECT(ADDRESS(207,37))-INDIRECT(ADDRESS(202,38))+INDIRECT(ADDRESS(205,38))-INDIRECT(ADDRESS(206,38)))</f>
        <v>0</v>
      </c>
      <c r="AM207">
        <f>IF(DAY(NOW())&lt;M3,INDIRECT(ADDRESS(207,38))-INDIRECT(ADDRESS(202,39))+INDIRECT(ADDRESS(203,39))-INDIRECT(ADDRESS(206,39)),INDIRECT(ADDRESS(207,38))-INDIRECT(ADDRESS(202,39))+INDIRECT(ADDRESS(205,39))-INDIRECT(ADDRESS(206,39)))</f>
        <v>0</v>
      </c>
      <c r="AN207">
        <f>IF(DAY(NOW())&lt;M3,INDIRECT(ADDRESS(207,39))-INDIRECT(ADDRESS(202,40))+INDIRECT(ADDRESS(203,40))-INDIRECT(ADDRESS(206,40)),INDIRECT(ADDRESS(207,39))-INDIRECT(ADDRESS(202,40))+INDIRECT(ADDRESS(205,40))-INDIRECT(ADDRESS(206,40)))</f>
        <v>0</v>
      </c>
      <c r="AO207">
        <f>IF(DAY(NOW())&lt;M3,INDIRECT(ADDRESS(207,40))-INDIRECT(ADDRESS(202,41))+INDIRECT(ADDRESS(203,41))-INDIRECT(ADDRESS(206,41)),INDIRECT(ADDRESS(207,40))-INDIRECT(ADDRESS(202,41))+INDIRECT(ADDRESS(205,41))-INDIRECT(ADDRESS(206,41)))</f>
        <v>0</v>
      </c>
      <c r="AP207">
        <f>IF(DAY(NOW())&lt;M3,INDIRECT(ADDRESS(207,41))-INDIRECT(ADDRESS(202,42))+INDIRECT(ADDRESS(203,42))-INDIRECT(ADDRESS(206,42)),INDIRECT(ADDRESS(207,41))-INDIRECT(ADDRESS(202,42))+INDIRECT(ADDRESS(205,42))-INDIRECT(ADDRESS(206,42)))</f>
        <v>0</v>
      </c>
      <c r="AQ207">
        <f>IF(DAY(NOW())&lt;M3,INDIRECT(ADDRESS(207,42))-INDIRECT(ADDRESS(202,43))+INDIRECT(ADDRESS(203,43))-INDIRECT(ADDRESS(206,43)),INDIRECT(ADDRESS(207,42))-INDIRECT(ADDRESS(202,43))+INDIRECT(ADDRESS(205,43))-INDIRECT(ADDRESS(206,43)))</f>
        <v>0</v>
      </c>
      <c r="AR207">
        <f>IF(DAY(NOW())&lt;M3,INDIRECT(ADDRESS(207,43))-INDIRECT(ADDRESS(202,44))+INDIRECT(ADDRESS(203,44))-INDIRECT(ADDRESS(206,44)),INDIRECT(ADDRESS(207,43))-INDIRECT(ADDRESS(202,44))+INDIRECT(ADDRESS(205,44))-INDIRECT(ADDRESS(206,44)))</f>
        <v>0</v>
      </c>
    </row>
    <row r="208" spans="1:76">
      <c r="A208" t="s">
        <v>31</v>
      </c>
      <c r="B208" t="s">
        <v>140</v>
      </c>
      <c r="C208" t="s">
        <v>141</v>
      </c>
      <c r="D208" t="s">
        <v>17</v>
      </c>
      <c r="E208">
        <v>1</v>
      </c>
      <c r="F208" t="s">
        <v>142</v>
      </c>
      <c r="H208" t="s">
        <v>35</v>
      </c>
      <c r="I208" t="s">
        <v>36</v>
      </c>
      <c r="K208" t="s">
        <v>20</v>
      </c>
      <c r="L208" t="s">
        <v>21</v>
      </c>
      <c r="M208">
        <f>sumifs(BOM!m:m,BOM!A:A,".1",BOM!B:B,"852-247000-200")</f>
        <v>0</v>
      </c>
      <c r="N208">
        <f>sumifs(BOM!n:n,BOM!A:A,".1",BOM!B:B,"852-247000-200")</f>
        <v>0</v>
      </c>
      <c r="O208">
        <f>sumifs(BOM!o:o,BOM!A:A,".1",BOM!B:B,"852-247000-200")</f>
        <v>0</v>
      </c>
      <c r="P208">
        <f>sumifs(BOM!p:p,BOM!A:A,".1",BOM!B:B,"852-247000-200")</f>
        <v>0</v>
      </c>
      <c r="Q208">
        <f>sumifs(BOM!q:q,BOM!A:A,".1",BOM!B:B,"852-247000-200")</f>
        <v>0</v>
      </c>
      <c r="R208">
        <f>sumifs(BOM!r:r,BOM!A:A,".1",BOM!B:B,"852-247000-200")</f>
        <v>0</v>
      </c>
      <c r="S208">
        <f>sumifs(BOM!s:s,BOM!A:A,".1",BOM!B:B,"852-247000-200")</f>
        <v>0</v>
      </c>
      <c r="T208">
        <f>sumifs(BOM!t:t,BOM!A:A,".1",BOM!B:B,"852-247000-200")</f>
        <v>0</v>
      </c>
      <c r="U208">
        <f>sumifs(BOM!u:u,BOM!A:A,".1",BOM!B:B,"852-247000-200")</f>
        <v>0</v>
      </c>
      <c r="V208">
        <f>sumifs(BOM!v:v,BOM!A:A,".1",BOM!B:B,"852-247000-200")</f>
        <v>0</v>
      </c>
      <c r="W208">
        <f>sumifs(BOM!w:w,BOM!A:A,".1",BOM!B:B,"852-247000-200")</f>
        <v>0</v>
      </c>
      <c r="X208">
        <f>sumifs(BOM!x:x,BOM!A:A,".1",BOM!B:B,"852-247000-200")</f>
        <v>0</v>
      </c>
      <c r="Y208">
        <f>sumifs(BOM!y:y,BOM!A:A,".1",BOM!B:B,"852-247000-200")</f>
        <v>0</v>
      </c>
      <c r="Z208">
        <f>sumifs(BOM!z:z,BOM!A:A,".1",BOM!B:B,"852-247000-200")</f>
        <v>0</v>
      </c>
      <c r="AA208">
        <f>sumifs(BOM!aa:aa,BOM!A:A,".1",BOM!B:B,"852-247000-200")</f>
        <v>0</v>
      </c>
      <c r="AB208">
        <f>sumifs(BOM!ab:ab,BOM!A:A,".1",BOM!B:B,"852-247000-200")</f>
        <v>0</v>
      </c>
      <c r="AC208">
        <f>sumifs(BOM!ac:ac,BOM!A:A,".1",BOM!B:B,"852-247000-200")</f>
        <v>0</v>
      </c>
      <c r="AD208">
        <f>sumifs(BOM!ad:ad,BOM!A:A,".1",BOM!B:B,"852-247000-200")</f>
        <v>0</v>
      </c>
      <c r="AE208">
        <f>sumifs(BOM!ae:ae,BOM!A:A,".1",BOM!B:B,"852-247000-200")</f>
        <v>0</v>
      </c>
      <c r="AF208">
        <f>sumifs(BOM!af:af,BOM!A:A,".1",BOM!B:B,"852-247000-200")</f>
        <v>0</v>
      </c>
      <c r="AG208">
        <f>sumifs(BOM!ag:ag,BOM!A:A,".1",BOM!B:B,"852-247000-200")</f>
        <v>0</v>
      </c>
      <c r="AH208">
        <f>sumifs(BOM!ah:ah,BOM!A:A,".1",BOM!B:B,"852-247000-200")</f>
        <v>0</v>
      </c>
      <c r="AI208">
        <f>sumifs(BOM!ai:ai,BOM!A:A,".1",BOM!B:B,"852-247000-200")</f>
        <v>0</v>
      </c>
      <c r="AJ208">
        <f>sumifs(BOM!aj:aj,BOM!A:A,".1",BOM!B:B,"852-247000-200")</f>
        <v>0</v>
      </c>
      <c r="AK208">
        <f>sumifs(BOM!ak:ak,BOM!A:A,".1",BOM!B:B,"852-247000-200")</f>
        <v>0</v>
      </c>
      <c r="AL208">
        <f>sumifs(BOM!al:al,BOM!A:A,".1",BOM!B:B,"852-247000-200")</f>
        <v>0</v>
      </c>
      <c r="AM208">
        <f>sumifs(BOM!am:am,BOM!A:A,".1",BOM!B:B,"852-247000-200")</f>
        <v>0</v>
      </c>
      <c r="AN208">
        <f>sumifs(BOM!an:an,BOM!A:A,".1",BOM!B:B,"852-247000-200")</f>
        <v>0</v>
      </c>
      <c r="AO208">
        <f>sumifs(BOM!ao:ao,BOM!A:A,".1",BOM!B:B,"852-247000-200")</f>
        <v>0</v>
      </c>
      <c r="AP208">
        <f>sumifs(BOM!ap:ap,BOM!A:A,".1",BOM!B:B,"852-247000-200")</f>
        <v>0</v>
      </c>
      <c r="AQ208">
        <f>sumifs(BOM!aq:aq,BOM!A:A,".1",BOM!B:B,"852-247000-200")</f>
        <v>0</v>
      </c>
      <c r="AR208">
        <f>sumifs(BOM!ar:ar,BOM!A:A,".1",BOM!B:B,"852-247000-200")</f>
        <v>0</v>
      </c>
      <c r="BX208">
        <f>sum(j208:an208)</f>
        <v>0</v>
      </c>
    </row>
    <row r="209" spans="1:76">
      <c r="A209" t="s">
        <v>31</v>
      </c>
      <c r="B209" t="s">
        <v>140</v>
      </c>
      <c r="C209" t="s">
        <v>141</v>
      </c>
      <c r="D209" t="s">
        <v>17</v>
      </c>
      <c r="E209">
        <v>1</v>
      </c>
      <c r="F209" t="s">
        <v>142</v>
      </c>
      <c r="H209" t="s">
        <v>35</v>
      </c>
      <c r="I209" t="s">
        <v>36</v>
      </c>
      <c r="K209" t="s">
        <v>20</v>
      </c>
      <c r="L209" t="s">
        <v>37</v>
      </c>
    </row>
    <row r="210" spans="1:76">
      <c r="L210" t="s">
        <v>662</v>
      </c>
    </row>
    <row r="211" spans="1:76">
      <c r="L211" t="s">
        <v>663</v>
      </c>
    </row>
    <row r="212" spans="1:76">
      <c r="L212" t="s">
        <v>664</v>
      </c>
    </row>
    <row r="213" spans="1:76">
      <c r="L213" t="s">
        <v>665</v>
      </c>
      <c r="M213">
        <f>IF(DAY(NOW())&lt;M3,INDIRECT(ADDRESS(213,7))-INDIRECT(ADDRESS(208,13))+INDIRECT(ADDRESS(209,13))-INDIRECT(ADDRESS(212,13)),INDIRECT(ADDRESS(213,7))-INDIRECT(ADDRESS(208,13))+INDIRECT(ADDRESS(211,13))-INDIRECT(ADDRESS(212,13)))</f>
        <v>0</v>
      </c>
      <c r="N213">
        <f>IF(DAY(NOW())&lt;M3,INDIRECT(ADDRESS(213,13))-INDIRECT(ADDRESS(208,14))+INDIRECT(ADDRESS(209,14))-INDIRECT(ADDRESS(212,14)),INDIRECT(ADDRESS(213,13))-INDIRECT(ADDRESS(208,14))+INDIRECT(ADDRESS(211,14))-INDIRECT(ADDRESS(212,14)))</f>
        <v>0</v>
      </c>
      <c r="O213">
        <f>IF(DAY(NOW())&lt;M3,INDIRECT(ADDRESS(213,14))-INDIRECT(ADDRESS(208,15))+INDIRECT(ADDRESS(209,15))-INDIRECT(ADDRESS(212,15)),INDIRECT(ADDRESS(213,14))-INDIRECT(ADDRESS(208,15))+INDIRECT(ADDRESS(211,15))-INDIRECT(ADDRESS(212,15)))</f>
        <v>0</v>
      </c>
      <c r="P213">
        <f>IF(DAY(NOW())&lt;M3,INDIRECT(ADDRESS(213,15))-INDIRECT(ADDRESS(208,16))+INDIRECT(ADDRESS(209,16))-INDIRECT(ADDRESS(212,16)),INDIRECT(ADDRESS(213,15))-INDIRECT(ADDRESS(208,16))+INDIRECT(ADDRESS(211,16))-INDIRECT(ADDRESS(212,16)))</f>
        <v>0</v>
      </c>
      <c r="Q213">
        <f>IF(DAY(NOW())&lt;M3,INDIRECT(ADDRESS(213,16))-INDIRECT(ADDRESS(208,17))+INDIRECT(ADDRESS(209,17))-INDIRECT(ADDRESS(212,17)),INDIRECT(ADDRESS(213,16))-INDIRECT(ADDRESS(208,17))+INDIRECT(ADDRESS(211,17))-INDIRECT(ADDRESS(212,17)))</f>
        <v>0</v>
      </c>
      <c r="R213">
        <f>IF(DAY(NOW())&lt;M3,INDIRECT(ADDRESS(213,17))-INDIRECT(ADDRESS(208,18))+INDIRECT(ADDRESS(209,18))-INDIRECT(ADDRESS(212,18)),INDIRECT(ADDRESS(213,17))-INDIRECT(ADDRESS(208,18))+INDIRECT(ADDRESS(211,18))-INDIRECT(ADDRESS(212,18)))</f>
        <v>0</v>
      </c>
      <c r="S213">
        <f>IF(DAY(NOW())&lt;M3,INDIRECT(ADDRESS(213,18))-INDIRECT(ADDRESS(208,19))+INDIRECT(ADDRESS(209,19))-INDIRECT(ADDRESS(212,19)),INDIRECT(ADDRESS(213,18))-INDIRECT(ADDRESS(208,19))+INDIRECT(ADDRESS(211,19))-INDIRECT(ADDRESS(212,19)))</f>
        <v>0</v>
      </c>
      <c r="T213">
        <f>IF(DAY(NOW())&lt;M3,INDIRECT(ADDRESS(213,19))-INDIRECT(ADDRESS(208,20))+INDIRECT(ADDRESS(209,20))-INDIRECT(ADDRESS(212,20)),INDIRECT(ADDRESS(213,19))-INDIRECT(ADDRESS(208,20))+INDIRECT(ADDRESS(211,20))-INDIRECT(ADDRESS(212,20)))</f>
        <v>0</v>
      </c>
      <c r="U213">
        <f>IF(DAY(NOW())&lt;M3,INDIRECT(ADDRESS(213,20))-INDIRECT(ADDRESS(208,21))+INDIRECT(ADDRESS(209,21))-INDIRECT(ADDRESS(212,21)),INDIRECT(ADDRESS(213,20))-INDIRECT(ADDRESS(208,21))+INDIRECT(ADDRESS(211,21))-INDIRECT(ADDRESS(212,21)))</f>
        <v>0</v>
      </c>
      <c r="V213">
        <f>IF(DAY(NOW())&lt;M3,INDIRECT(ADDRESS(213,21))-INDIRECT(ADDRESS(208,22))+INDIRECT(ADDRESS(209,22))-INDIRECT(ADDRESS(212,22)),INDIRECT(ADDRESS(213,21))-INDIRECT(ADDRESS(208,22))+INDIRECT(ADDRESS(211,22))-INDIRECT(ADDRESS(212,22)))</f>
        <v>0</v>
      </c>
      <c r="W213">
        <f>IF(DAY(NOW())&lt;M3,INDIRECT(ADDRESS(213,22))-INDIRECT(ADDRESS(208,23))+INDIRECT(ADDRESS(209,23))-INDIRECT(ADDRESS(212,23)),INDIRECT(ADDRESS(213,22))-INDIRECT(ADDRESS(208,23))+INDIRECT(ADDRESS(211,23))-INDIRECT(ADDRESS(212,23)))</f>
        <v>0</v>
      </c>
      <c r="X213">
        <f>IF(DAY(NOW())&lt;M3,INDIRECT(ADDRESS(213,23))-INDIRECT(ADDRESS(208,24))+INDIRECT(ADDRESS(209,24))-INDIRECT(ADDRESS(212,24)),INDIRECT(ADDRESS(213,23))-INDIRECT(ADDRESS(208,24))+INDIRECT(ADDRESS(211,24))-INDIRECT(ADDRESS(212,24)))</f>
        <v>0</v>
      </c>
      <c r="Y213">
        <f>IF(DAY(NOW())&lt;M3,INDIRECT(ADDRESS(213,24))-INDIRECT(ADDRESS(208,25))+INDIRECT(ADDRESS(209,25))-INDIRECT(ADDRESS(212,25)),INDIRECT(ADDRESS(213,24))-INDIRECT(ADDRESS(208,25))+INDIRECT(ADDRESS(211,25))-INDIRECT(ADDRESS(212,25)))</f>
        <v>0</v>
      </c>
      <c r="Z213">
        <f>IF(DAY(NOW())&lt;M3,INDIRECT(ADDRESS(213,25))-INDIRECT(ADDRESS(208,26))+INDIRECT(ADDRESS(209,26))-INDIRECT(ADDRESS(212,26)),INDIRECT(ADDRESS(213,25))-INDIRECT(ADDRESS(208,26))+INDIRECT(ADDRESS(211,26))-INDIRECT(ADDRESS(212,26)))</f>
        <v>0</v>
      </c>
      <c r="AA213">
        <f>IF(DAY(NOW())&lt;M3,INDIRECT(ADDRESS(213,26))-INDIRECT(ADDRESS(208,27))+INDIRECT(ADDRESS(209,27))-INDIRECT(ADDRESS(212,27)),INDIRECT(ADDRESS(213,26))-INDIRECT(ADDRESS(208,27))+INDIRECT(ADDRESS(211,27))-INDIRECT(ADDRESS(212,27)))</f>
        <v>0</v>
      </c>
      <c r="AB213">
        <f>IF(DAY(NOW())&lt;M3,INDIRECT(ADDRESS(213,27))-INDIRECT(ADDRESS(208,28))+INDIRECT(ADDRESS(209,28))-INDIRECT(ADDRESS(212,28)),INDIRECT(ADDRESS(213,27))-INDIRECT(ADDRESS(208,28))+INDIRECT(ADDRESS(211,28))-INDIRECT(ADDRESS(212,28)))</f>
        <v>0</v>
      </c>
      <c r="AC213">
        <f>IF(DAY(NOW())&lt;M3,INDIRECT(ADDRESS(213,28))-INDIRECT(ADDRESS(208,29))+INDIRECT(ADDRESS(209,29))-INDIRECT(ADDRESS(212,29)),INDIRECT(ADDRESS(213,28))-INDIRECT(ADDRESS(208,29))+INDIRECT(ADDRESS(211,29))-INDIRECT(ADDRESS(212,29)))</f>
        <v>0</v>
      </c>
      <c r="AD213">
        <f>IF(DAY(NOW())&lt;M3,INDIRECT(ADDRESS(213,29))-INDIRECT(ADDRESS(208,30))+INDIRECT(ADDRESS(209,30))-INDIRECT(ADDRESS(212,30)),INDIRECT(ADDRESS(213,29))-INDIRECT(ADDRESS(208,30))+INDIRECT(ADDRESS(211,30))-INDIRECT(ADDRESS(212,30)))</f>
        <v>0</v>
      </c>
      <c r="AE213">
        <f>IF(DAY(NOW())&lt;M3,INDIRECT(ADDRESS(213,30))-INDIRECT(ADDRESS(208,31))+INDIRECT(ADDRESS(209,31))-INDIRECT(ADDRESS(212,31)),INDIRECT(ADDRESS(213,30))-INDIRECT(ADDRESS(208,31))+INDIRECT(ADDRESS(211,31))-INDIRECT(ADDRESS(212,31)))</f>
        <v>0</v>
      </c>
      <c r="AF213">
        <f>IF(DAY(NOW())&lt;M3,INDIRECT(ADDRESS(213,31))-INDIRECT(ADDRESS(208,32))+INDIRECT(ADDRESS(209,32))-INDIRECT(ADDRESS(212,32)),INDIRECT(ADDRESS(213,31))-INDIRECT(ADDRESS(208,32))+INDIRECT(ADDRESS(211,32))-INDIRECT(ADDRESS(212,32)))</f>
        <v>0</v>
      </c>
      <c r="AG213">
        <f>IF(DAY(NOW())&lt;M3,INDIRECT(ADDRESS(213,32))-INDIRECT(ADDRESS(208,33))+INDIRECT(ADDRESS(209,33))-INDIRECT(ADDRESS(212,33)),INDIRECT(ADDRESS(213,32))-INDIRECT(ADDRESS(208,33))+INDIRECT(ADDRESS(211,33))-INDIRECT(ADDRESS(212,33)))</f>
        <v>0</v>
      </c>
      <c r="AH213">
        <f>IF(DAY(NOW())&lt;M3,INDIRECT(ADDRESS(213,33))-INDIRECT(ADDRESS(208,34))+INDIRECT(ADDRESS(209,34))-INDIRECT(ADDRESS(212,34)),INDIRECT(ADDRESS(213,33))-INDIRECT(ADDRESS(208,34))+INDIRECT(ADDRESS(211,34))-INDIRECT(ADDRESS(212,34)))</f>
        <v>0</v>
      </c>
      <c r="AI213">
        <f>IF(DAY(NOW())&lt;M3,INDIRECT(ADDRESS(213,34))-INDIRECT(ADDRESS(208,35))+INDIRECT(ADDRESS(209,35))-INDIRECT(ADDRESS(212,35)),INDIRECT(ADDRESS(213,34))-INDIRECT(ADDRESS(208,35))+INDIRECT(ADDRESS(211,35))-INDIRECT(ADDRESS(212,35)))</f>
        <v>0</v>
      </c>
      <c r="AJ213">
        <f>IF(DAY(NOW())&lt;M3,INDIRECT(ADDRESS(213,35))-INDIRECT(ADDRESS(208,36))+INDIRECT(ADDRESS(209,36))-INDIRECT(ADDRESS(212,36)),INDIRECT(ADDRESS(213,35))-INDIRECT(ADDRESS(208,36))+INDIRECT(ADDRESS(211,36))-INDIRECT(ADDRESS(212,36)))</f>
        <v>0</v>
      </c>
      <c r="AK213">
        <f>IF(DAY(NOW())&lt;M3,INDIRECT(ADDRESS(213,36))-INDIRECT(ADDRESS(208,37))+INDIRECT(ADDRESS(209,37))-INDIRECT(ADDRESS(212,37)),INDIRECT(ADDRESS(213,36))-INDIRECT(ADDRESS(208,37))+INDIRECT(ADDRESS(211,37))-INDIRECT(ADDRESS(212,37)))</f>
        <v>0</v>
      </c>
      <c r="AL213">
        <f>IF(DAY(NOW())&lt;M3,INDIRECT(ADDRESS(213,37))-INDIRECT(ADDRESS(208,38))+INDIRECT(ADDRESS(209,38))-INDIRECT(ADDRESS(212,38)),INDIRECT(ADDRESS(213,37))-INDIRECT(ADDRESS(208,38))+INDIRECT(ADDRESS(211,38))-INDIRECT(ADDRESS(212,38)))</f>
        <v>0</v>
      </c>
      <c r="AM213">
        <f>IF(DAY(NOW())&lt;M3,INDIRECT(ADDRESS(213,38))-INDIRECT(ADDRESS(208,39))+INDIRECT(ADDRESS(209,39))-INDIRECT(ADDRESS(212,39)),INDIRECT(ADDRESS(213,38))-INDIRECT(ADDRESS(208,39))+INDIRECT(ADDRESS(211,39))-INDIRECT(ADDRESS(212,39)))</f>
        <v>0</v>
      </c>
      <c r="AN213">
        <f>IF(DAY(NOW())&lt;M3,INDIRECT(ADDRESS(213,39))-INDIRECT(ADDRESS(208,40))+INDIRECT(ADDRESS(209,40))-INDIRECT(ADDRESS(212,40)),INDIRECT(ADDRESS(213,39))-INDIRECT(ADDRESS(208,40))+INDIRECT(ADDRESS(211,40))-INDIRECT(ADDRESS(212,40)))</f>
        <v>0</v>
      </c>
      <c r="AO213">
        <f>IF(DAY(NOW())&lt;M3,INDIRECT(ADDRESS(213,40))-INDIRECT(ADDRESS(208,41))+INDIRECT(ADDRESS(209,41))-INDIRECT(ADDRESS(212,41)),INDIRECT(ADDRESS(213,40))-INDIRECT(ADDRESS(208,41))+INDIRECT(ADDRESS(211,41))-INDIRECT(ADDRESS(212,41)))</f>
        <v>0</v>
      </c>
      <c r="AP213">
        <f>IF(DAY(NOW())&lt;M3,INDIRECT(ADDRESS(213,41))-INDIRECT(ADDRESS(208,42))+INDIRECT(ADDRESS(209,42))-INDIRECT(ADDRESS(212,42)),INDIRECT(ADDRESS(213,41))-INDIRECT(ADDRESS(208,42))+INDIRECT(ADDRESS(211,42))-INDIRECT(ADDRESS(212,42)))</f>
        <v>0</v>
      </c>
      <c r="AQ213">
        <f>IF(DAY(NOW())&lt;M3,INDIRECT(ADDRESS(213,42))-INDIRECT(ADDRESS(208,43))+INDIRECT(ADDRESS(209,43))-INDIRECT(ADDRESS(212,43)),INDIRECT(ADDRESS(213,42))-INDIRECT(ADDRESS(208,43))+INDIRECT(ADDRESS(211,43))-INDIRECT(ADDRESS(212,43)))</f>
        <v>0</v>
      </c>
      <c r="AR213">
        <f>IF(DAY(NOW())&lt;M3,INDIRECT(ADDRESS(213,43))-INDIRECT(ADDRESS(208,44))+INDIRECT(ADDRESS(209,44))-INDIRECT(ADDRESS(212,44)),INDIRECT(ADDRESS(213,43))-INDIRECT(ADDRESS(208,44))+INDIRECT(ADDRESS(211,44))-INDIRECT(ADDRESS(212,44)))</f>
        <v>0</v>
      </c>
    </row>
    <row r="214" spans="1:76">
      <c r="A214" t="s">
        <v>14</v>
      </c>
      <c r="B214" t="s">
        <v>143</v>
      </c>
      <c r="C214" t="s">
        <v>144</v>
      </c>
      <c r="D214" t="s">
        <v>46</v>
      </c>
      <c r="E214">
        <v>1</v>
      </c>
      <c r="F214" t="s">
        <v>145</v>
      </c>
      <c r="H214" t="s">
        <v>146</v>
      </c>
      <c r="I214">
        <v>10</v>
      </c>
      <c r="K214" t="s">
        <v>20</v>
      </c>
      <c r="L214" t="s">
        <v>21</v>
      </c>
      <c r="BX214">
        <f>sum(j214:an214)</f>
        <v>0</v>
      </c>
    </row>
    <row r="215" spans="1:76">
      <c r="A215" t="s">
        <v>14</v>
      </c>
      <c r="B215" t="s">
        <v>143</v>
      </c>
      <c r="C215" t="s">
        <v>144</v>
      </c>
      <c r="D215" t="s">
        <v>46</v>
      </c>
      <c r="E215">
        <v>1</v>
      </c>
      <c r="F215" t="s">
        <v>145</v>
      </c>
      <c r="H215" t="s">
        <v>146</v>
      </c>
      <c r="I215">
        <v>10</v>
      </c>
      <c r="K215" t="s">
        <v>20</v>
      </c>
      <c r="L215" t="s">
        <v>37</v>
      </c>
    </row>
    <row r="216" spans="1:76">
      <c r="L216" t="s">
        <v>662</v>
      </c>
    </row>
    <row r="217" spans="1:76">
      <c r="L217" t="s">
        <v>663</v>
      </c>
    </row>
    <row r="218" spans="1:76">
      <c r="L218" t="s">
        <v>664</v>
      </c>
    </row>
    <row r="219" spans="1:76">
      <c r="L219" t="s">
        <v>665</v>
      </c>
      <c r="M219">
        <f>IF(DAY(NOW())&lt;M3,INDIRECT(ADDRESS(219,7))-INDIRECT(ADDRESS(214,13))+INDIRECT(ADDRESS(215,13))-INDIRECT(ADDRESS(218,13)),INDIRECT(ADDRESS(219,7))-INDIRECT(ADDRESS(214,13))+INDIRECT(ADDRESS(217,13))-INDIRECT(ADDRESS(218,13)))</f>
        <v>0</v>
      </c>
      <c r="N219">
        <f>IF(DAY(NOW())&lt;M3,INDIRECT(ADDRESS(219,13))-INDIRECT(ADDRESS(214,14))+INDIRECT(ADDRESS(215,14))-INDIRECT(ADDRESS(218,14)),INDIRECT(ADDRESS(219,13))-INDIRECT(ADDRESS(214,14))+INDIRECT(ADDRESS(217,14))-INDIRECT(ADDRESS(218,14)))</f>
        <v>0</v>
      </c>
      <c r="O219">
        <f>IF(DAY(NOW())&lt;M3,INDIRECT(ADDRESS(219,14))-INDIRECT(ADDRESS(214,15))+INDIRECT(ADDRESS(215,15))-INDIRECT(ADDRESS(218,15)),INDIRECT(ADDRESS(219,14))-INDIRECT(ADDRESS(214,15))+INDIRECT(ADDRESS(217,15))-INDIRECT(ADDRESS(218,15)))</f>
        <v>0</v>
      </c>
      <c r="P219">
        <f>IF(DAY(NOW())&lt;M3,INDIRECT(ADDRESS(219,15))-INDIRECT(ADDRESS(214,16))+INDIRECT(ADDRESS(215,16))-INDIRECT(ADDRESS(218,16)),INDIRECT(ADDRESS(219,15))-INDIRECT(ADDRESS(214,16))+INDIRECT(ADDRESS(217,16))-INDIRECT(ADDRESS(218,16)))</f>
        <v>0</v>
      </c>
      <c r="Q219">
        <f>IF(DAY(NOW())&lt;M3,INDIRECT(ADDRESS(219,16))-INDIRECT(ADDRESS(214,17))+INDIRECT(ADDRESS(215,17))-INDIRECT(ADDRESS(218,17)),INDIRECT(ADDRESS(219,16))-INDIRECT(ADDRESS(214,17))+INDIRECT(ADDRESS(217,17))-INDIRECT(ADDRESS(218,17)))</f>
        <v>0</v>
      </c>
      <c r="R219">
        <f>IF(DAY(NOW())&lt;M3,INDIRECT(ADDRESS(219,17))-INDIRECT(ADDRESS(214,18))+INDIRECT(ADDRESS(215,18))-INDIRECT(ADDRESS(218,18)),INDIRECT(ADDRESS(219,17))-INDIRECT(ADDRESS(214,18))+INDIRECT(ADDRESS(217,18))-INDIRECT(ADDRESS(218,18)))</f>
        <v>0</v>
      </c>
      <c r="S219">
        <f>IF(DAY(NOW())&lt;M3,INDIRECT(ADDRESS(219,18))-INDIRECT(ADDRESS(214,19))+INDIRECT(ADDRESS(215,19))-INDIRECT(ADDRESS(218,19)),INDIRECT(ADDRESS(219,18))-INDIRECT(ADDRESS(214,19))+INDIRECT(ADDRESS(217,19))-INDIRECT(ADDRESS(218,19)))</f>
        <v>0</v>
      </c>
      <c r="T219">
        <f>IF(DAY(NOW())&lt;M3,INDIRECT(ADDRESS(219,19))-INDIRECT(ADDRESS(214,20))+INDIRECT(ADDRESS(215,20))-INDIRECT(ADDRESS(218,20)),INDIRECT(ADDRESS(219,19))-INDIRECT(ADDRESS(214,20))+INDIRECT(ADDRESS(217,20))-INDIRECT(ADDRESS(218,20)))</f>
        <v>0</v>
      </c>
      <c r="U219">
        <f>IF(DAY(NOW())&lt;M3,INDIRECT(ADDRESS(219,20))-INDIRECT(ADDRESS(214,21))+INDIRECT(ADDRESS(215,21))-INDIRECT(ADDRESS(218,21)),INDIRECT(ADDRESS(219,20))-INDIRECT(ADDRESS(214,21))+INDIRECT(ADDRESS(217,21))-INDIRECT(ADDRESS(218,21)))</f>
        <v>0</v>
      </c>
      <c r="V219">
        <f>IF(DAY(NOW())&lt;M3,INDIRECT(ADDRESS(219,21))-INDIRECT(ADDRESS(214,22))+INDIRECT(ADDRESS(215,22))-INDIRECT(ADDRESS(218,22)),INDIRECT(ADDRESS(219,21))-INDIRECT(ADDRESS(214,22))+INDIRECT(ADDRESS(217,22))-INDIRECT(ADDRESS(218,22)))</f>
        <v>0</v>
      </c>
      <c r="W219">
        <f>IF(DAY(NOW())&lt;M3,INDIRECT(ADDRESS(219,22))-INDIRECT(ADDRESS(214,23))+INDIRECT(ADDRESS(215,23))-INDIRECT(ADDRESS(218,23)),INDIRECT(ADDRESS(219,22))-INDIRECT(ADDRESS(214,23))+INDIRECT(ADDRESS(217,23))-INDIRECT(ADDRESS(218,23)))</f>
        <v>0</v>
      </c>
      <c r="X219">
        <f>IF(DAY(NOW())&lt;M3,INDIRECT(ADDRESS(219,23))-INDIRECT(ADDRESS(214,24))+INDIRECT(ADDRESS(215,24))-INDIRECT(ADDRESS(218,24)),INDIRECT(ADDRESS(219,23))-INDIRECT(ADDRESS(214,24))+INDIRECT(ADDRESS(217,24))-INDIRECT(ADDRESS(218,24)))</f>
        <v>0</v>
      </c>
      <c r="Y219">
        <f>IF(DAY(NOW())&lt;M3,INDIRECT(ADDRESS(219,24))-INDIRECT(ADDRESS(214,25))+INDIRECT(ADDRESS(215,25))-INDIRECT(ADDRESS(218,25)),INDIRECT(ADDRESS(219,24))-INDIRECT(ADDRESS(214,25))+INDIRECT(ADDRESS(217,25))-INDIRECT(ADDRESS(218,25)))</f>
        <v>0</v>
      </c>
      <c r="Z219">
        <f>IF(DAY(NOW())&lt;M3,INDIRECT(ADDRESS(219,25))-INDIRECT(ADDRESS(214,26))+INDIRECT(ADDRESS(215,26))-INDIRECT(ADDRESS(218,26)),INDIRECT(ADDRESS(219,25))-INDIRECT(ADDRESS(214,26))+INDIRECT(ADDRESS(217,26))-INDIRECT(ADDRESS(218,26)))</f>
        <v>0</v>
      </c>
      <c r="AA219">
        <f>IF(DAY(NOW())&lt;M3,INDIRECT(ADDRESS(219,26))-INDIRECT(ADDRESS(214,27))+INDIRECT(ADDRESS(215,27))-INDIRECT(ADDRESS(218,27)),INDIRECT(ADDRESS(219,26))-INDIRECT(ADDRESS(214,27))+INDIRECT(ADDRESS(217,27))-INDIRECT(ADDRESS(218,27)))</f>
        <v>0</v>
      </c>
      <c r="AB219">
        <f>IF(DAY(NOW())&lt;M3,INDIRECT(ADDRESS(219,27))-INDIRECT(ADDRESS(214,28))+INDIRECT(ADDRESS(215,28))-INDIRECT(ADDRESS(218,28)),INDIRECT(ADDRESS(219,27))-INDIRECT(ADDRESS(214,28))+INDIRECT(ADDRESS(217,28))-INDIRECT(ADDRESS(218,28)))</f>
        <v>0</v>
      </c>
      <c r="AC219">
        <f>IF(DAY(NOW())&lt;M3,INDIRECT(ADDRESS(219,28))-INDIRECT(ADDRESS(214,29))+INDIRECT(ADDRESS(215,29))-INDIRECT(ADDRESS(218,29)),INDIRECT(ADDRESS(219,28))-INDIRECT(ADDRESS(214,29))+INDIRECT(ADDRESS(217,29))-INDIRECT(ADDRESS(218,29)))</f>
        <v>0</v>
      </c>
      <c r="AD219">
        <f>IF(DAY(NOW())&lt;M3,INDIRECT(ADDRESS(219,29))-INDIRECT(ADDRESS(214,30))+INDIRECT(ADDRESS(215,30))-INDIRECT(ADDRESS(218,30)),INDIRECT(ADDRESS(219,29))-INDIRECT(ADDRESS(214,30))+INDIRECT(ADDRESS(217,30))-INDIRECT(ADDRESS(218,30)))</f>
        <v>0</v>
      </c>
      <c r="AE219">
        <f>IF(DAY(NOW())&lt;M3,INDIRECT(ADDRESS(219,30))-INDIRECT(ADDRESS(214,31))+INDIRECT(ADDRESS(215,31))-INDIRECT(ADDRESS(218,31)),INDIRECT(ADDRESS(219,30))-INDIRECT(ADDRESS(214,31))+INDIRECT(ADDRESS(217,31))-INDIRECT(ADDRESS(218,31)))</f>
        <v>0</v>
      </c>
      <c r="AF219">
        <f>IF(DAY(NOW())&lt;M3,INDIRECT(ADDRESS(219,31))-INDIRECT(ADDRESS(214,32))+INDIRECT(ADDRESS(215,32))-INDIRECT(ADDRESS(218,32)),INDIRECT(ADDRESS(219,31))-INDIRECT(ADDRESS(214,32))+INDIRECT(ADDRESS(217,32))-INDIRECT(ADDRESS(218,32)))</f>
        <v>0</v>
      </c>
      <c r="AG219">
        <f>IF(DAY(NOW())&lt;M3,INDIRECT(ADDRESS(219,32))-INDIRECT(ADDRESS(214,33))+INDIRECT(ADDRESS(215,33))-INDIRECT(ADDRESS(218,33)),INDIRECT(ADDRESS(219,32))-INDIRECT(ADDRESS(214,33))+INDIRECT(ADDRESS(217,33))-INDIRECT(ADDRESS(218,33)))</f>
        <v>0</v>
      </c>
      <c r="AH219">
        <f>IF(DAY(NOW())&lt;M3,INDIRECT(ADDRESS(219,33))-INDIRECT(ADDRESS(214,34))+INDIRECT(ADDRESS(215,34))-INDIRECT(ADDRESS(218,34)),INDIRECT(ADDRESS(219,33))-INDIRECT(ADDRESS(214,34))+INDIRECT(ADDRESS(217,34))-INDIRECT(ADDRESS(218,34)))</f>
        <v>0</v>
      </c>
      <c r="AI219">
        <f>IF(DAY(NOW())&lt;M3,INDIRECT(ADDRESS(219,34))-INDIRECT(ADDRESS(214,35))+INDIRECT(ADDRESS(215,35))-INDIRECT(ADDRESS(218,35)),INDIRECT(ADDRESS(219,34))-INDIRECT(ADDRESS(214,35))+INDIRECT(ADDRESS(217,35))-INDIRECT(ADDRESS(218,35)))</f>
        <v>0</v>
      </c>
      <c r="AJ219">
        <f>IF(DAY(NOW())&lt;M3,INDIRECT(ADDRESS(219,35))-INDIRECT(ADDRESS(214,36))+INDIRECT(ADDRESS(215,36))-INDIRECT(ADDRESS(218,36)),INDIRECT(ADDRESS(219,35))-INDIRECT(ADDRESS(214,36))+INDIRECT(ADDRESS(217,36))-INDIRECT(ADDRESS(218,36)))</f>
        <v>0</v>
      </c>
      <c r="AK219">
        <f>IF(DAY(NOW())&lt;M3,INDIRECT(ADDRESS(219,36))-INDIRECT(ADDRESS(214,37))+INDIRECT(ADDRESS(215,37))-INDIRECT(ADDRESS(218,37)),INDIRECT(ADDRESS(219,36))-INDIRECT(ADDRESS(214,37))+INDIRECT(ADDRESS(217,37))-INDIRECT(ADDRESS(218,37)))</f>
        <v>0</v>
      </c>
      <c r="AL219">
        <f>IF(DAY(NOW())&lt;M3,INDIRECT(ADDRESS(219,37))-INDIRECT(ADDRESS(214,38))+INDIRECT(ADDRESS(215,38))-INDIRECT(ADDRESS(218,38)),INDIRECT(ADDRESS(219,37))-INDIRECT(ADDRESS(214,38))+INDIRECT(ADDRESS(217,38))-INDIRECT(ADDRESS(218,38)))</f>
        <v>0</v>
      </c>
      <c r="AM219">
        <f>IF(DAY(NOW())&lt;M3,INDIRECT(ADDRESS(219,38))-INDIRECT(ADDRESS(214,39))+INDIRECT(ADDRESS(215,39))-INDIRECT(ADDRESS(218,39)),INDIRECT(ADDRESS(219,38))-INDIRECT(ADDRESS(214,39))+INDIRECT(ADDRESS(217,39))-INDIRECT(ADDRESS(218,39)))</f>
        <v>0</v>
      </c>
      <c r="AN219">
        <f>IF(DAY(NOW())&lt;M3,INDIRECT(ADDRESS(219,39))-INDIRECT(ADDRESS(214,40))+INDIRECT(ADDRESS(215,40))-INDIRECT(ADDRESS(218,40)),INDIRECT(ADDRESS(219,39))-INDIRECT(ADDRESS(214,40))+INDIRECT(ADDRESS(217,40))-INDIRECT(ADDRESS(218,40)))</f>
        <v>0</v>
      </c>
      <c r="AO219">
        <f>IF(DAY(NOW())&lt;M3,INDIRECT(ADDRESS(219,40))-INDIRECT(ADDRESS(214,41))+INDIRECT(ADDRESS(215,41))-INDIRECT(ADDRESS(218,41)),INDIRECT(ADDRESS(219,40))-INDIRECT(ADDRESS(214,41))+INDIRECT(ADDRESS(217,41))-INDIRECT(ADDRESS(218,41)))</f>
        <v>0</v>
      </c>
      <c r="AP219">
        <f>IF(DAY(NOW())&lt;M3,INDIRECT(ADDRESS(219,41))-INDIRECT(ADDRESS(214,42))+INDIRECT(ADDRESS(215,42))-INDIRECT(ADDRESS(218,42)),INDIRECT(ADDRESS(219,41))-INDIRECT(ADDRESS(214,42))+INDIRECT(ADDRESS(217,42))-INDIRECT(ADDRESS(218,42)))</f>
        <v>0</v>
      </c>
      <c r="AQ219">
        <f>IF(DAY(NOW())&lt;M3,INDIRECT(ADDRESS(219,42))-INDIRECT(ADDRESS(214,43))+INDIRECT(ADDRESS(215,43))-INDIRECT(ADDRESS(218,43)),INDIRECT(ADDRESS(219,42))-INDIRECT(ADDRESS(214,43))+INDIRECT(ADDRESS(217,43))-INDIRECT(ADDRESS(218,43)))</f>
        <v>0</v>
      </c>
      <c r="AR219">
        <f>IF(DAY(NOW())&lt;M3,INDIRECT(ADDRESS(219,43))-INDIRECT(ADDRESS(214,44))+INDIRECT(ADDRESS(215,44))-INDIRECT(ADDRESS(218,44)),INDIRECT(ADDRESS(219,43))-INDIRECT(ADDRESS(214,44))+INDIRECT(ADDRESS(217,44))-INDIRECT(ADDRESS(218,44)))</f>
        <v>0</v>
      </c>
    </row>
    <row r="220" spans="1:76">
      <c r="A220" t="s">
        <v>31</v>
      </c>
      <c r="B220" t="s">
        <v>147</v>
      </c>
      <c r="C220" t="s">
        <v>148</v>
      </c>
      <c r="D220" t="s">
        <v>17</v>
      </c>
      <c r="E220">
        <v>1</v>
      </c>
      <c r="F220" t="s">
        <v>149</v>
      </c>
      <c r="H220" t="s">
        <v>35</v>
      </c>
      <c r="I220" t="s">
        <v>36</v>
      </c>
      <c r="K220" t="s">
        <v>20</v>
      </c>
      <c r="L220" t="s">
        <v>21</v>
      </c>
      <c r="M220">
        <f>sumifs(BOM!m:m,BOM!A:A,".1",BOM!B:B,"852-248000-100")</f>
        <v>0</v>
      </c>
      <c r="N220">
        <f>sumifs(BOM!n:n,BOM!A:A,".1",BOM!B:B,"852-248000-100")</f>
        <v>0</v>
      </c>
      <c r="O220">
        <f>sumifs(BOM!o:o,BOM!A:A,".1",BOM!B:B,"852-248000-100")</f>
        <v>0</v>
      </c>
      <c r="P220">
        <f>sumifs(BOM!p:p,BOM!A:A,".1",BOM!B:B,"852-248000-100")</f>
        <v>0</v>
      </c>
      <c r="Q220">
        <f>sumifs(BOM!q:q,BOM!A:A,".1",BOM!B:B,"852-248000-100")</f>
        <v>0</v>
      </c>
      <c r="R220">
        <f>sumifs(BOM!r:r,BOM!A:A,".1",BOM!B:B,"852-248000-100")</f>
        <v>0</v>
      </c>
      <c r="S220">
        <f>sumifs(BOM!s:s,BOM!A:A,".1",BOM!B:B,"852-248000-100")</f>
        <v>0</v>
      </c>
      <c r="T220">
        <f>sumifs(BOM!t:t,BOM!A:A,".1",BOM!B:B,"852-248000-100")</f>
        <v>0</v>
      </c>
      <c r="U220">
        <f>sumifs(BOM!u:u,BOM!A:A,".1",BOM!B:B,"852-248000-100")</f>
        <v>0</v>
      </c>
      <c r="V220">
        <f>sumifs(BOM!v:v,BOM!A:A,".1",BOM!B:B,"852-248000-100")</f>
        <v>0</v>
      </c>
      <c r="W220">
        <f>sumifs(BOM!w:w,BOM!A:A,".1",BOM!B:B,"852-248000-100")</f>
        <v>0</v>
      </c>
      <c r="X220">
        <f>sumifs(BOM!x:x,BOM!A:A,".1",BOM!B:B,"852-248000-100")</f>
        <v>0</v>
      </c>
      <c r="Y220">
        <f>sumifs(BOM!y:y,BOM!A:A,".1",BOM!B:B,"852-248000-100")</f>
        <v>0</v>
      </c>
      <c r="Z220">
        <f>sumifs(BOM!z:z,BOM!A:A,".1",BOM!B:B,"852-248000-100")</f>
        <v>0</v>
      </c>
      <c r="AA220">
        <f>sumifs(BOM!aa:aa,BOM!A:A,".1",BOM!B:B,"852-248000-100")</f>
        <v>0</v>
      </c>
      <c r="AB220">
        <f>sumifs(BOM!ab:ab,BOM!A:A,".1",BOM!B:B,"852-248000-100")</f>
        <v>0</v>
      </c>
      <c r="AC220">
        <f>sumifs(BOM!ac:ac,BOM!A:A,".1",BOM!B:B,"852-248000-100")</f>
        <v>0</v>
      </c>
      <c r="AD220">
        <f>sumifs(BOM!ad:ad,BOM!A:A,".1",BOM!B:B,"852-248000-100")</f>
        <v>0</v>
      </c>
      <c r="AE220">
        <f>sumifs(BOM!ae:ae,BOM!A:A,".1",BOM!B:B,"852-248000-100")</f>
        <v>0</v>
      </c>
      <c r="AF220">
        <f>sumifs(BOM!af:af,BOM!A:A,".1",BOM!B:B,"852-248000-100")</f>
        <v>0</v>
      </c>
      <c r="AG220">
        <f>sumifs(BOM!ag:ag,BOM!A:A,".1",BOM!B:B,"852-248000-100")</f>
        <v>0</v>
      </c>
      <c r="AH220">
        <f>sumifs(BOM!ah:ah,BOM!A:A,".1",BOM!B:B,"852-248000-100")</f>
        <v>0</v>
      </c>
      <c r="AI220">
        <f>sumifs(BOM!ai:ai,BOM!A:A,".1",BOM!B:B,"852-248000-100")</f>
        <v>0</v>
      </c>
      <c r="AJ220">
        <f>sumifs(BOM!aj:aj,BOM!A:A,".1",BOM!B:B,"852-248000-100")</f>
        <v>0</v>
      </c>
      <c r="AK220">
        <f>sumifs(BOM!ak:ak,BOM!A:A,".1",BOM!B:B,"852-248000-100")</f>
        <v>0</v>
      </c>
      <c r="AL220">
        <f>sumifs(BOM!al:al,BOM!A:A,".1",BOM!B:B,"852-248000-100")</f>
        <v>0</v>
      </c>
      <c r="AM220">
        <f>sumifs(BOM!am:am,BOM!A:A,".1",BOM!B:B,"852-248000-100")</f>
        <v>0</v>
      </c>
      <c r="AN220">
        <f>sumifs(BOM!an:an,BOM!A:A,".1",BOM!B:B,"852-248000-100")</f>
        <v>0</v>
      </c>
      <c r="AO220">
        <f>sumifs(BOM!ao:ao,BOM!A:A,".1",BOM!B:B,"852-248000-100")</f>
        <v>0</v>
      </c>
      <c r="AP220">
        <f>sumifs(BOM!ap:ap,BOM!A:A,".1",BOM!B:B,"852-248000-100")</f>
        <v>0</v>
      </c>
      <c r="AQ220">
        <f>sumifs(BOM!aq:aq,BOM!A:A,".1",BOM!B:B,"852-248000-100")</f>
        <v>0</v>
      </c>
      <c r="AR220">
        <f>sumifs(BOM!ar:ar,BOM!A:A,".1",BOM!B:B,"852-248000-100")</f>
        <v>0</v>
      </c>
      <c r="BX220">
        <f>sum(j220:an220)</f>
        <v>0</v>
      </c>
    </row>
    <row r="221" spans="1:76">
      <c r="A221" t="s">
        <v>31</v>
      </c>
      <c r="B221" t="s">
        <v>147</v>
      </c>
      <c r="C221" t="s">
        <v>148</v>
      </c>
      <c r="D221" t="s">
        <v>17</v>
      </c>
      <c r="E221">
        <v>1</v>
      </c>
      <c r="F221" t="s">
        <v>149</v>
      </c>
      <c r="H221" t="s">
        <v>35</v>
      </c>
      <c r="I221" t="s">
        <v>36</v>
      </c>
      <c r="K221" t="s">
        <v>20</v>
      </c>
      <c r="L221" t="s">
        <v>37</v>
      </c>
    </row>
    <row r="222" spans="1:76">
      <c r="L222" t="s">
        <v>662</v>
      </c>
    </row>
    <row r="223" spans="1:76">
      <c r="L223" t="s">
        <v>663</v>
      </c>
    </row>
    <row r="224" spans="1:76">
      <c r="L224" t="s">
        <v>664</v>
      </c>
    </row>
    <row r="225" spans="1:76">
      <c r="L225" t="s">
        <v>665</v>
      </c>
      <c r="M225">
        <f>IF(DAY(NOW())&lt;M3,INDIRECT(ADDRESS(225,7))-INDIRECT(ADDRESS(220,13))+INDIRECT(ADDRESS(221,13))-INDIRECT(ADDRESS(224,13)),INDIRECT(ADDRESS(225,7))-INDIRECT(ADDRESS(220,13))+INDIRECT(ADDRESS(223,13))-INDIRECT(ADDRESS(224,13)))</f>
        <v>0</v>
      </c>
      <c r="N225">
        <f>IF(DAY(NOW())&lt;M3,INDIRECT(ADDRESS(225,13))-INDIRECT(ADDRESS(220,14))+INDIRECT(ADDRESS(221,14))-INDIRECT(ADDRESS(224,14)),INDIRECT(ADDRESS(225,13))-INDIRECT(ADDRESS(220,14))+INDIRECT(ADDRESS(223,14))-INDIRECT(ADDRESS(224,14)))</f>
        <v>0</v>
      </c>
      <c r="O225">
        <f>IF(DAY(NOW())&lt;M3,INDIRECT(ADDRESS(225,14))-INDIRECT(ADDRESS(220,15))+INDIRECT(ADDRESS(221,15))-INDIRECT(ADDRESS(224,15)),INDIRECT(ADDRESS(225,14))-INDIRECT(ADDRESS(220,15))+INDIRECT(ADDRESS(223,15))-INDIRECT(ADDRESS(224,15)))</f>
        <v>0</v>
      </c>
      <c r="P225">
        <f>IF(DAY(NOW())&lt;M3,INDIRECT(ADDRESS(225,15))-INDIRECT(ADDRESS(220,16))+INDIRECT(ADDRESS(221,16))-INDIRECT(ADDRESS(224,16)),INDIRECT(ADDRESS(225,15))-INDIRECT(ADDRESS(220,16))+INDIRECT(ADDRESS(223,16))-INDIRECT(ADDRESS(224,16)))</f>
        <v>0</v>
      </c>
      <c r="Q225">
        <f>IF(DAY(NOW())&lt;M3,INDIRECT(ADDRESS(225,16))-INDIRECT(ADDRESS(220,17))+INDIRECT(ADDRESS(221,17))-INDIRECT(ADDRESS(224,17)),INDIRECT(ADDRESS(225,16))-INDIRECT(ADDRESS(220,17))+INDIRECT(ADDRESS(223,17))-INDIRECT(ADDRESS(224,17)))</f>
        <v>0</v>
      </c>
      <c r="R225">
        <f>IF(DAY(NOW())&lt;M3,INDIRECT(ADDRESS(225,17))-INDIRECT(ADDRESS(220,18))+INDIRECT(ADDRESS(221,18))-INDIRECT(ADDRESS(224,18)),INDIRECT(ADDRESS(225,17))-INDIRECT(ADDRESS(220,18))+INDIRECT(ADDRESS(223,18))-INDIRECT(ADDRESS(224,18)))</f>
        <v>0</v>
      </c>
      <c r="S225">
        <f>IF(DAY(NOW())&lt;M3,INDIRECT(ADDRESS(225,18))-INDIRECT(ADDRESS(220,19))+INDIRECT(ADDRESS(221,19))-INDIRECT(ADDRESS(224,19)),INDIRECT(ADDRESS(225,18))-INDIRECT(ADDRESS(220,19))+INDIRECT(ADDRESS(223,19))-INDIRECT(ADDRESS(224,19)))</f>
        <v>0</v>
      </c>
      <c r="T225">
        <f>IF(DAY(NOW())&lt;M3,INDIRECT(ADDRESS(225,19))-INDIRECT(ADDRESS(220,20))+INDIRECT(ADDRESS(221,20))-INDIRECT(ADDRESS(224,20)),INDIRECT(ADDRESS(225,19))-INDIRECT(ADDRESS(220,20))+INDIRECT(ADDRESS(223,20))-INDIRECT(ADDRESS(224,20)))</f>
        <v>0</v>
      </c>
      <c r="U225">
        <f>IF(DAY(NOW())&lt;M3,INDIRECT(ADDRESS(225,20))-INDIRECT(ADDRESS(220,21))+INDIRECT(ADDRESS(221,21))-INDIRECT(ADDRESS(224,21)),INDIRECT(ADDRESS(225,20))-INDIRECT(ADDRESS(220,21))+INDIRECT(ADDRESS(223,21))-INDIRECT(ADDRESS(224,21)))</f>
        <v>0</v>
      </c>
      <c r="V225">
        <f>IF(DAY(NOW())&lt;M3,INDIRECT(ADDRESS(225,21))-INDIRECT(ADDRESS(220,22))+INDIRECT(ADDRESS(221,22))-INDIRECT(ADDRESS(224,22)),INDIRECT(ADDRESS(225,21))-INDIRECT(ADDRESS(220,22))+INDIRECT(ADDRESS(223,22))-INDIRECT(ADDRESS(224,22)))</f>
        <v>0</v>
      </c>
      <c r="W225">
        <f>IF(DAY(NOW())&lt;M3,INDIRECT(ADDRESS(225,22))-INDIRECT(ADDRESS(220,23))+INDIRECT(ADDRESS(221,23))-INDIRECT(ADDRESS(224,23)),INDIRECT(ADDRESS(225,22))-INDIRECT(ADDRESS(220,23))+INDIRECT(ADDRESS(223,23))-INDIRECT(ADDRESS(224,23)))</f>
        <v>0</v>
      </c>
      <c r="X225">
        <f>IF(DAY(NOW())&lt;M3,INDIRECT(ADDRESS(225,23))-INDIRECT(ADDRESS(220,24))+INDIRECT(ADDRESS(221,24))-INDIRECT(ADDRESS(224,24)),INDIRECT(ADDRESS(225,23))-INDIRECT(ADDRESS(220,24))+INDIRECT(ADDRESS(223,24))-INDIRECT(ADDRESS(224,24)))</f>
        <v>0</v>
      </c>
      <c r="Y225">
        <f>IF(DAY(NOW())&lt;M3,INDIRECT(ADDRESS(225,24))-INDIRECT(ADDRESS(220,25))+INDIRECT(ADDRESS(221,25))-INDIRECT(ADDRESS(224,25)),INDIRECT(ADDRESS(225,24))-INDIRECT(ADDRESS(220,25))+INDIRECT(ADDRESS(223,25))-INDIRECT(ADDRESS(224,25)))</f>
        <v>0</v>
      </c>
      <c r="Z225">
        <f>IF(DAY(NOW())&lt;M3,INDIRECT(ADDRESS(225,25))-INDIRECT(ADDRESS(220,26))+INDIRECT(ADDRESS(221,26))-INDIRECT(ADDRESS(224,26)),INDIRECT(ADDRESS(225,25))-INDIRECT(ADDRESS(220,26))+INDIRECT(ADDRESS(223,26))-INDIRECT(ADDRESS(224,26)))</f>
        <v>0</v>
      </c>
      <c r="AA225">
        <f>IF(DAY(NOW())&lt;M3,INDIRECT(ADDRESS(225,26))-INDIRECT(ADDRESS(220,27))+INDIRECT(ADDRESS(221,27))-INDIRECT(ADDRESS(224,27)),INDIRECT(ADDRESS(225,26))-INDIRECT(ADDRESS(220,27))+INDIRECT(ADDRESS(223,27))-INDIRECT(ADDRESS(224,27)))</f>
        <v>0</v>
      </c>
      <c r="AB225">
        <f>IF(DAY(NOW())&lt;M3,INDIRECT(ADDRESS(225,27))-INDIRECT(ADDRESS(220,28))+INDIRECT(ADDRESS(221,28))-INDIRECT(ADDRESS(224,28)),INDIRECT(ADDRESS(225,27))-INDIRECT(ADDRESS(220,28))+INDIRECT(ADDRESS(223,28))-INDIRECT(ADDRESS(224,28)))</f>
        <v>0</v>
      </c>
      <c r="AC225">
        <f>IF(DAY(NOW())&lt;M3,INDIRECT(ADDRESS(225,28))-INDIRECT(ADDRESS(220,29))+INDIRECT(ADDRESS(221,29))-INDIRECT(ADDRESS(224,29)),INDIRECT(ADDRESS(225,28))-INDIRECT(ADDRESS(220,29))+INDIRECT(ADDRESS(223,29))-INDIRECT(ADDRESS(224,29)))</f>
        <v>0</v>
      </c>
      <c r="AD225">
        <f>IF(DAY(NOW())&lt;M3,INDIRECT(ADDRESS(225,29))-INDIRECT(ADDRESS(220,30))+INDIRECT(ADDRESS(221,30))-INDIRECT(ADDRESS(224,30)),INDIRECT(ADDRESS(225,29))-INDIRECT(ADDRESS(220,30))+INDIRECT(ADDRESS(223,30))-INDIRECT(ADDRESS(224,30)))</f>
        <v>0</v>
      </c>
      <c r="AE225">
        <f>IF(DAY(NOW())&lt;M3,INDIRECT(ADDRESS(225,30))-INDIRECT(ADDRESS(220,31))+INDIRECT(ADDRESS(221,31))-INDIRECT(ADDRESS(224,31)),INDIRECT(ADDRESS(225,30))-INDIRECT(ADDRESS(220,31))+INDIRECT(ADDRESS(223,31))-INDIRECT(ADDRESS(224,31)))</f>
        <v>0</v>
      </c>
      <c r="AF225">
        <f>IF(DAY(NOW())&lt;M3,INDIRECT(ADDRESS(225,31))-INDIRECT(ADDRESS(220,32))+INDIRECT(ADDRESS(221,32))-INDIRECT(ADDRESS(224,32)),INDIRECT(ADDRESS(225,31))-INDIRECT(ADDRESS(220,32))+INDIRECT(ADDRESS(223,32))-INDIRECT(ADDRESS(224,32)))</f>
        <v>0</v>
      </c>
      <c r="AG225">
        <f>IF(DAY(NOW())&lt;M3,INDIRECT(ADDRESS(225,32))-INDIRECT(ADDRESS(220,33))+INDIRECT(ADDRESS(221,33))-INDIRECT(ADDRESS(224,33)),INDIRECT(ADDRESS(225,32))-INDIRECT(ADDRESS(220,33))+INDIRECT(ADDRESS(223,33))-INDIRECT(ADDRESS(224,33)))</f>
        <v>0</v>
      </c>
      <c r="AH225">
        <f>IF(DAY(NOW())&lt;M3,INDIRECT(ADDRESS(225,33))-INDIRECT(ADDRESS(220,34))+INDIRECT(ADDRESS(221,34))-INDIRECT(ADDRESS(224,34)),INDIRECT(ADDRESS(225,33))-INDIRECT(ADDRESS(220,34))+INDIRECT(ADDRESS(223,34))-INDIRECT(ADDRESS(224,34)))</f>
        <v>0</v>
      </c>
      <c r="AI225">
        <f>IF(DAY(NOW())&lt;M3,INDIRECT(ADDRESS(225,34))-INDIRECT(ADDRESS(220,35))+INDIRECT(ADDRESS(221,35))-INDIRECT(ADDRESS(224,35)),INDIRECT(ADDRESS(225,34))-INDIRECT(ADDRESS(220,35))+INDIRECT(ADDRESS(223,35))-INDIRECT(ADDRESS(224,35)))</f>
        <v>0</v>
      </c>
      <c r="AJ225">
        <f>IF(DAY(NOW())&lt;M3,INDIRECT(ADDRESS(225,35))-INDIRECT(ADDRESS(220,36))+INDIRECT(ADDRESS(221,36))-INDIRECT(ADDRESS(224,36)),INDIRECT(ADDRESS(225,35))-INDIRECT(ADDRESS(220,36))+INDIRECT(ADDRESS(223,36))-INDIRECT(ADDRESS(224,36)))</f>
        <v>0</v>
      </c>
      <c r="AK225">
        <f>IF(DAY(NOW())&lt;M3,INDIRECT(ADDRESS(225,36))-INDIRECT(ADDRESS(220,37))+INDIRECT(ADDRESS(221,37))-INDIRECT(ADDRESS(224,37)),INDIRECT(ADDRESS(225,36))-INDIRECT(ADDRESS(220,37))+INDIRECT(ADDRESS(223,37))-INDIRECT(ADDRESS(224,37)))</f>
        <v>0</v>
      </c>
      <c r="AL225">
        <f>IF(DAY(NOW())&lt;M3,INDIRECT(ADDRESS(225,37))-INDIRECT(ADDRESS(220,38))+INDIRECT(ADDRESS(221,38))-INDIRECT(ADDRESS(224,38)),INDIRECT(ADDRESS(225,37))-INDIRECT(ADDRESS(220,38))+INDIRECT(ADDRESS(223,38))-INDIRECT(ADDRESS(224,38)))</f>
        <v>0</v>
      </c>
      <c r="AM225">
        <f>IF(DAY(NOW())&lt;M3,INDIRECT(ADDRESS(225,38))-INDIRECT(ADDRESS(220,39))+INDIRECT(ADDRESS(221,39))-INDIRECT(ADDRESS(224,39)),INDIRECT(ADDRESS(225,38))-INDIRECT(ADDRESS(220,39))+INDIRECT(ADDRESS(223,39))-INDIRECT(ADDRESS(224,39)))</f>
        <v>0</v>
      </c>
      <c r="AN225">
        <f>IF(DAY(NOW())&lt;M3,INDIRECT(ADDRESS(225,39))-INDIRECT(ADDRESS(220,40))+INDIRECT(ADDRESS(221,40))-INDIRECT(ADDRESS(224,40)),INDIRECT(ADDRESS(225,39))-INDIRECT(ADDRESS(220,40))+INDIRECT(ADDRESS(223,40))-INDIRECT(ADDRESS(224,40)))</f>
        <v>0</v>
      </c>
      <c r="AO225">
        <f>IF(DAY(NOW())&lt;M3,INDIRECT(ADDRESS(225,40))-INDIRECT(ADDRESS(220,41))+INDIRECT(ADDRESS(221,41))-INDIRECT(ADDRESS(224,41)),INDIRECT(ADDRESS(225,40))-INDIRECT(ADDRESS(220,41))+INDIRECT(ADDRESS(223,41))-INDIRECT(ADDRESS(224,41)))</f>
        <v>0</v>
      </c>
      <c r="AP225">
        <f>IF(DAY(NOW())&lt;M3,INDIRECT(ADDRESS(225,41))-INDIRECT(ADDRESS(220,42))+INDIRECT(ADDRESS(221,42))-INDIRECT(ADDRESS(224,42)),INDIRECT(ADDRESS(225,41))-INDIRECT(ADDRESS(220,42))+INDIRECT(ADDRESS(223,42))-INDIRECT(ADDRESS(224,42)))</f>
        <v>0</v>
      </c>
      <c r="AQ225">
        <f>IF(DAY(NOW())&lt;M3,INDIRECT(ADDRESS(225,42))-INDIRECT(ADDRESS(220,43))+INDIRECT(ADDRESS(221,43))-INDIRECT(ADDRESS(224,43)),INDIRECT(ADDRESS(225,42))-INDIRECT(ADDRESS(220,43))+INDIRECT(ADDRESS(223,43))-INDIRECT(ADDRESS(224,43)))</f>
        <v>0</v>
      </c>
      <c r="AR225">
        <f>IF(DAY(NOW())&lt;M3,INDIRECT(ADDRESS(225,43))-INDIRECT(ADDRESS(220,44))+INDIRECT(ADDRESS(221,44))-INDIRECT(ADDRESS(224,44)),INDIRECT(ADDRESS(225,43))-INDIRECT(ADDRESS(220,44))+INDIRECT(ADDRESS(223,44))-INDIRECT(ADDRESS(224,44)))</f>
        <v>0</v>
      </c>
    </row>
    <row r="226" spans="1:76">
      <c r="A226" t="s">
        <v>14</v>
      </c>
      <c r="B226" t="s">
        <v>150</v>
      </c>
      <c r="C226" t="s">
        <v>151</v>
      </c>
      <c r="D226" t="s">
        <v>46</v>
      </c>
      <c r="E226">
        <v>1</v>
      </c>
      <c r="F226" t="s">
        <v>152</v>
      </c>
      <c r="H226" t="s">
        <v>153</v>
      </c>
      <c r="I226">
        <v>10</v>
      </c>
      <c r="K226" t="s">
        <v>20</v>
      </c>
      <c r="L226" t="s">
        <v>21</v>
      </c>
      <c r="BX226">
        <f>sum(j226:an226)</f>
        <v>0</v>
      </c>
    </row>
    <row r="227" spans="1:76">
      <c r="A227" t="s">
        <v>14</v>
      </c>
      <c r="B227" t="s">
        <v>150</v>
      </c>
      <c r="C227" t="s">
        <v>151</v>
      </c>
      <c r="D227" t="s">
        <v>46</v>
      </c>
      <c r="E227">
        <v>1</v>
      </c>
      <c r="F227" t="s">
        <v>152</v>
      </c>
      <c r="H227" t="s">
        <v>153</v>
      </c>
      <c r="I227">
        <v>10</v>
      </c>
      <c r="K227" t="s">
        <v>20</v>
      </c>
      <c r="L227" t="s">
        <v>37</v>
      </c>
    </row>
    <row r="228" spans="1:76">
      <c r="L228" t="s">
        <v>662</v>
      </c>
    </row>
    <row r="229" spans="1:76">
      <c r="L229" t="s">
        <v>663</v>
      </c>
    </row>
    <row r="230" spans="1:76">
      <c r="L230" t="s">
        <v>664</v>
      </c>
    </row>
    <row r="231" spans="1:76">
      <c r="L231" t="s">
        <v>665</v>
      </c>
      <c r="M231">
        <f>IF(DAY(NOW())&lt;M3,INDIRECT(ADDRESS(231,7))-INDIRECT(ADDRESS(226,13))+INDIRECT(ADDRESS(227,13))-INDIRECT(ADDRESS(230,13)),INDIRECT(ADDRESS(231,7))-INDIRECT(ADDRESS(226,13))+INDIRECT(ADDRESS(229,13))-INDIRECT(ADDRESS(230,13)))</f>
        <v>0</v>
      </c>
      <c r="N231">
        <f>IF(DAY(NOW())&lt;M3,INDIRECT(ADDRESS(231,13))-INDIRECT(ADDRESS(226,14))+INDIRECT(ADDRESS(227,14))-INDIRECT(ADDRESS(230,14)),INDIRECT(ADDRESS(231,13))-INDIRECT(ADDRESS(226,14))+INDIRECT(ADDRESS(229,14))-INDIRECT(ADDRESS(230,14)))</f>
        <v>0</v>
      </c>
      <c r="O231">
        <f>IF(DAY(NOW())&lt;M3,INDIRECT(ADDRESS(231,14))-INDIRECT(ADDRESS(226,15))+INDIRECT(ADDRESS(227,15))-INDIRECT(ADDRESS(230,15)),INDIRECT(ADDRESS(231,14))-INDIRECT(ADDRESS(226,15))+INDIRECT(ADDRESS(229,15))-INDIRECT(ADDRESS(230,15)))</f>
        <v>0</v>
      </c>
      <c r="P231">
        <f>IF(DAY(NOW())&lt;M3,INDIRECT(ADDRESS(231,15))-INDIRECT(ADDRESS(226,16))+INDIRECT(ADDRESS(227,16))-INDIRECT(ADDRESS(230,16)),INDIRECT(ADDRESS(231,15))-INDIRECT(ADDRESS(226,16))+INDIRECT(ADDRESS(229,16))-INDIRECT(ADDRESS(230,16)))</f>
        <v>0</v>
      </c>
      <c r="Q231">
        <f>IF(DAY(NOW())&lt;M3,INDIRECT(ADDRESS(231,16))-INDIRECT(ADDRESS(226,17))+INDIRECT(ADDRESS(227,17))-INDIRECT(ADDRESS(230,17)),INDIRECT(ADDRESS(231,16))-INDIRECT(ADDRESS(226,17))+INDIRECT(ADDRESS(229,17))-INDIRECT(ADDRESS(230,17)))</f>
        <v>0</v>
      </c>
      <c r="R231">
        <f>IF(DAY(NOW())&lt;M3,INDIRECT(ADDRESS(231,17))-INDIRECT(ADDRESS(226,18))+INDIRECT(ADDRESS(227,18))-INDIRECT(ADDRESS(230,18)),INDIRECT(ADDRESS(231,17))-INDIRECT(ADDRESS(226,18))+INDIRECT(ADDRESS(229,18))-INDIRECT(ADDRESS(230,18)))</f>
        <v>0</v>
      </c>
      <c r="S231">
        <f>IF(DAY(NOW())&lt;M3,INDIRECT(ADDRESS(231,18))-INDIRECT(ADDRESS(226,19))+INDIRECT(ADDRESS(227,19))-INDIRECT(ADDRESS(230,19)),INDIRECT(ADDRESS(231,18))-INDIRECT(ADDRESS(226,19))+INDIRECT(ADDRESS(229,19))-INDIRECT(ADDRESS(230,19)))</f>
        <v>0</v>
      </c>
      <c r="T231">
        <f>IF(DAY(NOW())&lt;M3,INDIRECT(ADDRESS(231,19))-INDIRECT(ADDRESS(226,20))+INDIRECT(ADDRESS(227,20))-INDIRECT(ADDRESS(230,20)),INDIRECT(ADDRESS(231,19))-INDIRECT(ADDRESS(226,20))+INDIRECT(ADDRESS(229,20))-INDIRECT(ADDRESS(230,20)))</f>
        <v>0</v>
      </c>
      <c r="U231">
        <f>IF(DAY(NOW())&lt;M3,INDIRECT(ADDRESS(231,20))-INDIRECT(ADDRESS(226,21))+INDIRECT(ADDRESS(227,21))-INDIRECT(ADDRESS(230,21)),INDIRECT(ADDRESS(231,20))-INDIRECT(ADDRESS(226,21))+INDIRECT(ADDRESS(229,21))-INDIRECT(ADDRESS(230,21)))</f>
        <v>0</v>
      </c>
      <c r="V231">
        <f>IF(DAY(NOW())&lt;M3,INDIRECT(ADDRESS(231,21))-INDIRECT(ADDRESS(226,22))+INDIRECT(ADDRESS(227,22))-INDIRECT(ADDRESS(230,22)),INDIRECT(ADDRESS(231,21))-INDIRECT(ADDRESS(226,22))+INDIRECT(ADDRESS(229,22))-INDIRECT(ADDRESS(230,22)))</f>
        <v>0</v>
      </c>
      <c r="W231">
        <f>IF(DAY(NOW())&lt;M3,INDIRECT(ADDRESS(231,22))-INDIRECT(ADDRESS(226,23))+INDIRECT(ADDRESS(227,23))-INDIRECT(ADDRESS(230,23)),INDIRECT(ADDRESS(231,22))-INDIRECT(ADDRESS(226,23))+INDIRECT(ADDRESS(229,23))-INDIRECT(ADDRESS(230,23)))</f>
        <v>0</v>
      </c>
      <c r="X231">
        <f>IF(DAY(NOW())&lt;M3,INDIRECT(ADDRESS(231,23))-INDIRECT(ADDRESS(226,24))+INDIRECT(ADDRESS(227,24))-INDIRECT(ADDRESS(230,24)),INDIRECT(ADDRESS(231,23))-INDIRECT(ADDRESS(226,24))+INDIRECT(ADDRESS(229,24))-INDIRECT(ADDRESS(230,24)))</f>
        <v>0</v>
      </c>
      <c r="Y231">
        <f>IF(DAY(NOW())&lt;M3,INDIRECT(ADDRESS(231,24))-INDIRECT(ADDRESS(226,25))+INDIRECT(ADDRESS(227,25))-INDIRECT(ADDRESS(230,25)),INDIRECT(ADDRESS(231,24))-INDIRECT(ADDRESS(226,25))+INDIRECT(ADDRESS(229,25))-INDIRECT(ADDRESS(230,25)))</f>
        <v>0</v>
      </c>
      <c r="Z231">
        <f>IF(DAY(NOW())&lt;M3,INDIRECT(ADDRESS(231,25))-INDIRECT(ADDRESS(226,26))+INDIRECT(ADDRESS(227,26))-INDIRECT(ADDRESS(230,26)),INDIRECT(ADDRESS(231,25))-INDIRECT(ADDRESS(226,26))+INDIRECT(ADDRESS(229,26))-INDIRECT(ADDRESS(230,26)))</f>
        <v>0</v>
      </c>
      <c r="AA231">
        <f>IF(DAY(NOW())&lt;M3,INDIRECT(ADDRESS(231,26))-INDIRECT(ADDRESS(226,27))+INDIRECT(ADDRESS(227,27))-INDIRECT(ADDRESS(230,27)),INDIRECT(ADDRESS(231,26))-INDIRECT(ADDRESS(226,27))+INDIRECT(ADDRESS(229,27))-INDIRECT(ADDRESS(230,27)))</f>
        <v>0</v>
      </c>
      <c r="AB231">
        <f>IF(DAY(NOW())&lt;M3,INDIRECT(ADDRESS(231,27))-INDIRECT(ADDRESS(226,28))+INDIRECT(ADDRESS(227,28))-INDIRECT(ADDRESS(230,28)),INDIRECT(ADDRESS(231,27))-INDIRECT(ADDRESS(226,28))+INDIRECT(ADDRESS(229,28))-INDIRECT(ADDRESS(230,28)))</f>
        <v>0</v>
      </c>
      <c r="AC231">
        <f>IF(DAY(NOW())&lt;M3,INDIRECT(ADDRESS(231,28))-INDIRECT(ADDRESS(226,29))+INDIRECT(ADDRESS(227,29))-INDIRECT(ADDRESS(230,29)),INDIRECT(ADDRESS(231,28))-INDIRECT(ADDRESS(226,29))+INDIRECT(ADDRESS(229,29))-INDIRECT(ADDRESS(230,29)))</f>
        <v>0</v>
      </c>
      <c r="AD231">
        <f>IF(DAY(NOW())&lt;M3,INDIRECT(ADDRESS(231,29))-INDIRECT(ADDRESS(226,30))+INDIRECT(ADDRESS(227,30))-INDIRECT(ADDRESS(230,30)),INDIRECT(ADDRESS(231,29))-INDIRECT(ADDRESS(226,30))+INDIRECT(ADDRESS(229,30))-INDIRECT(ADDRESS(230,30)))</f>
        <v>0</v>
      </c>
      <c r="AE231">
        <f>IF(DAY(NOW())&lt;M3,INDIRECT(ADDRESS(231,30))-INDIRECT(ADDRESS(226,31))+INDIRECT(ADDRESS(227,31))-INDIRECT(ADDRESS(230,31)),INDIRECT(ADDRESS(231,30))-INDIRECT(ADDRESS(226,31))+INDIRECT(ADDRESS(229,31))-INDIRECT(ADDRESS(230,31)))</f>
        <v>0</v>
      </c>
      <c r="AF231">
        <f>IF(DAY(NOW())&lt;M3,INDIRECT(ADDRESS(231,31))-INDIRECT(ADDRESS(226,32))+INDIRECT(ADDRESS(227,32))-INDIRECT(ADDRESS(230,32)),INDIRECT(ADDRESS(231,31))-INDIRECT(ADDRESS(226,32))+INDIRECT(ADDRESS(229,32))-INDIRECT(ADDRESS(230,32)))</f>
        <v>0</v>
      </c>
      <c r="AG231">
        <f>IF(DAY(NOW())&lt;M3,INDIRECT(ADDRESS(231,32))-INDIRECT(ADDRESS(226,33))+INDIRECT(ADDRESS(227,33))-INDIRECT(ADDRESS(230,33)),INDIRECT(ADDRESS(231,32))-INDIRECT(ADDRESS(226,33))+INDIRECT(ADDRESS(229,33))-INDIRECT(ADDRESS(230,33)))</f>
        <v>0</v>
      </c>
      <c r="AH231">
        <f>IF(DAY(NOW())&lt;M3,INDIRECT(ADDRESS(231,33))-INDIRECT(ADDRESS(226,34))+INDIRECT(ADDRESS(227,34))-INDIRECT(ADDRESS(230,34)),INDIRECT(ADDRESS(231,33))-INDIRECT(ADDRESS(226,34))+INDIRECT(ADDRESS(229,34))-INDIRECT(ADDRESS(230,34)))</f>
        <v>0</v>
      </c>
      <c r="AI231">
        <f>IF(DAY(NOW())&lt;M3,INDIRECT(ADDRESS(231,34))-INDIRECT(ADDRESS(226,35))+INDIRECT(ADDRESS(227,35))-INDIRECT(ADDRESS(230,35)),INDIRECT(ADDRESS(231,34))-INDIRECT(ADDRESS(226,35))+INDIRECT(ADDRESS(229,35))-INDIRECT(ADDRESS(230,35)))</f>
        <v>0</v>
      </c>
      <c r="AJ231">
        <f>IF(DAY(NOW())&lt;M3,INDIRECT(ADDRESS(231,35))-INDIRECT(ADDRESS(226,36))+INDIRECT(ADDRESS(227,36))-INDIRECT(ADDRESS(230,36)),INDIRECT(ADDRESS(231,35))-INDIRECT(ADDRESS(226,36))+INDIRECT(ADDRESS(229,36))-INDIRECT(ADDRESS(230,36)))</f>
        <v>0</v>
      </c>
      <c r="AK231">
        <f>IF(DAY(NOW())&lt;M3,INDIRECT(ADDRESS(231,36))-INDIRECT(ADDRESS(226,37))+INDIRECT(ADDRESS(227,37))-INDIRECT(ADDRESS(230,37)),INDIRECT(ADDRESS(231,36))-INDIRECT(ADDRESS(226,37))+INDIRECT(ADDRESS(229,37))-INDIRECT(ADDRESS(230,37)))</f>
        <v>0</v>
      </c>
      <c r="AL231">
        <f>IF(DAY(NOW())&lt;M3,INDIRECT(ADDRESS(231,37))-INDIRECT(ADDRESS(226,38))+INDIRECT(ADDRESS(227,38))-INDIRECT(ADDRESS(230,38)),INDIRECT(ADDRESS(231,37))-INDIRECT(ADDRESS(226,38))+INDIRECT(ADDRESS(229,38))-INDIRECT(ADDRESS(230,38)))</f>
        <v>0</v>
      </c>
      <c r="AM231">
        <f>IF(DAY(NOW())&lt;M3,INDIRECT(ADDRESS(231,38))-INDIRECT(ADDRESS(226,39))+INDIRECT(ADDRESS(227,39))-INDIRECT(ADDRESS(230,39)),INDIRECT(ADDRESS(231,38))-INDIRECT(ADDRESS(226,39))+INDIRECT(ADDRESS(229,39))-INDIRECT(ADDRESS(230,39)))</f>
        <v>0</v>
      </c>
      <c r="AN231">
        <f>IF(DAY(NOW())&lt;M3,INDIRECT(ADDRESS(231,39))-INDIRECT(ADDRESS(226,40))+INDIRECT(ADDRESS(227,40))-INDIRECT(ADDRESS(230,40)),INDIRECT(ADDRESS(231,39))-INDIRECT(ADDRESS(226,40))+INDIRECT(ADDRESS(229,40))-INDIRECT(ADDRESS(230,40)))</f>
        <v>0</v>
      </c>
      <c r="AO231">
        <f>IF(DAY(NOW())&lt;M3,INDIRECT(ADDRESS(231,40))-INDIRECT(ADDRESS(226,41))+INDIRECT(ADDRESS(227,41))-INDIRECT(ADDRESS(230,41)),INDIRECT(ADDRESS(231,40))-INDIRECT(ADDRESS(226,41))+INDIRECT(ADDRESS(229,41))-INDIRECT(ADDRESS(230,41)))</f>
        <v>0</v>
      </c>
      <c r="AP231">
        <f>IF(DAY(NOW())&lt;M3,INDIRECT(ADDRESS(231,41))-INDIRECT(ADDRESS(226,42))+INDIRECT(ADDRESS(227,42))-INDIRECT(ADDRESS(230,42)),INDIRECT(ADDRESS(231,41))-INDIRECT(ADDRESS(226,42))+INDIRECT(ADDRESS(229,42))-INDIRECT(ADDRESS(230,42)))</f>
        <v>0</v>
      </c>
      <c r="AQ231">
        <f>IF(DAY(NOW())&lt;M3,INDIRECT(ADDRESS(231,42))-INDIRECT(ADDRESS(226,43))+INDIRECT(ADDRESS(227,43))-INDIRECT(ADDRESS(230,43)),INDIRECT(ADDRESS(231,42))-INDIRECT(ADDRESS(226,43))+INDIRECT(ADDRESS(229,43))-INDIRECT(ADDRESS(230,43)))</f>
        <v>0</v>
      </c>
      <c r="AR231">
        <f>IF(DAY(NOW())&lt;M3,INDIRECT(ADDRESS(231,43))-INDIRECT(ADDRESS(226,44))+INDIRECT(ADDRESS(227,44))-INDIRECT(ADDRESS(230,44)),INDIRECT(ADDRESS(231,43))-INDIRECT(ADDRESS(226,44))+INDIRECT(ADDRESS(229,44))-INDIRECT(ADDRESS(230,44)))</f>
        <v>0</v>
      </c>
    </row>
    <row r="232" spans="1:76">
      <c r="A232" t="s">
        <v>31</v>
      </c>
      <c r="B232" t="s">
        <v>154</v>
      </c>
      <c r="C232" t="s">
        <v>155</v>
      </c>
      <c r="D232" t="s">
        <v>17</v>
      </c>
      <c r="E232">
        <v>1</v>
      </c>
      <c r="F232" t="s">
        <v>156</v>
      </c>
      <c r="H232" t="s">
        <v>35</v>
      </c>
      <c r="I232" t="s">
        <v>36</v>
      </c>
      <c r="K232" t="s">
        <v>20</v>
      </c>
      <c r="L232" t="s">
        <v>21</v>
      </c>
      <c r="M232">
        <f>sumifs(BOM!m:m,BOM!A:A,".1",BOM!B:B,"852-248000-200")</f>
        <v>0</v>
      </c>
      <c r="N232">
        <f>sumifs(BOM!n:n,BOM!A:A,".1",BOM!B:B,"852-248000-200")</f>
        <v>0</v>
      </c>
      <c r="O232">
        <f>sumifs(BOM!o:o,BOM!A:A,".1",BOM!B:B,"852-248000-200")</f>
        <v>0</v>
      </c>
      <c r="P232">
        <f>sumifs(BOM!p:p,BOM!A:A,".1",BOM!B:B,"852-248000-200")</f>
        <v>0</v>
      </c>
      <c r="Q232">
        <f>sumifs(BOM!q:q,BOM!A:A,".1",BOM!B:B,"852-248000-200")</f>
        <v>0</v>
      </c>
      <c r="R232">
        <f>sumifs(BOM!r:r,BOM!A:A,".1",BOM!B:B,"852-248000-200")</f>
        <v>0</v>
      </c>
      <c r="S232">
        <f>sumifs(BOM!s:s,BOM!A:A,".1",BOM!B:B,"852-248000-200")</f>
        <v>0</v>
      </c>
      <c r="T232">
        <f>sumifs(BOM!t:t,BOM!A:A,".1",BOM!B:B,"852-248000-200")</f>
        <v>0</v>
      </c>
      <c r="U232">
        <f>sumifs(BOM!u:u,BOM!A:A,".1",BOM!B:B,"852-248000-200")</f>
        <v>0</v>
      </c>
      <c r="V232">
        <f>sumifs(BOM!v:v,BOM!A:A,".1",BOM!B:B,"852-248000-200")</f>
        <v>0</v>
      </c>
      <c r="W232">
        <f>sumifs(BOM!w:w,BOM!A:A,".1",BOM!B:B,"852-248000-200")</f>
        <v>0</v>
      </c>
      <c r="X232">
        <f>sumifs(BOM!x:x,BOM!A:A,".1",BOM!B:B,"852-248000-200")</f>
        <v>0</v>
      </c>
      <c r="Y232">
        <f>sumifs(BOM!y:y,BOM!A:A,".1",BOM!B:B,"852-248000-200")</f>
        <v>0</v>
      </c>
      <c r="Z232">
        <f>sumifs(BOM!z:z,BOM!A:A,".1",BOM!B:B,"852-248000-200")</f>
        <v>0</v>
      </c>
      <c r="AA232">
        <f>sumifs(BOM!aa:aa,BOM!A:A,".1",BOM!B:B,"852-248000-200")</f>
        <v>0</v>
      </c>
      <c r="AB232">
        <f>sumifs(BOM!ab:ab,BOM!A:A,".1",BOM!B:B,"852-248000-200")</f>
        <v>0</v>
      </c>
      <c r="AC232">
        <f>sumifs(BOM!ac:ac,BOM!A:A,".1",BOM!B:B,"852-248000-200")</f>
        <v>0</v>
      </c>
      <c r="AD232">
        <f>sumifs(BOM!ad:ad,BOM!A:A,".1",BOM!B:B,"852-248000-200")</f>
        <v>0</v>
      </c>
      <c r="AE232">
        <f>sumifs(BOM!ae:ae,BOM!A:A,".1",BOM!B:B,"852-248000-200")</f>
        <v>0</v>
      </c>
      <c r="AF232">
        <f>sumifs(BOM!af:af,BOM!A:A,".1",BOM!B:B,"852-248000-200")</f>
        <v>0</v>
      </c>
      <c r="AG232">
        <f>sumifs(BOM!ag:ag,BOM!A:A,".1",BOM!B:B,"852-248000-200")</f>
        <v>0</v>
      </c>
      <c r="AH232">
        <f>sumifs(BOM!ah:ah,BOM!A:A,".1",BOM!B:B,"852-248000-200")</f>
        <v>0</v>
      </c>
      <c r="AI232">
        <f>sumifs(BOM!ai:ai,BOM!A:A,".1",BOM!B:B,"852-248000-200")</f>
        <v>0</v>
      </c>
      <c r="AJ232">
        <f>sumifs(BOM!aj:aj,BOM!A:A,".1",BOM!B:B,"852-248000-200")</f>
        <v>0</v>
      </c>
      <c r="AK232">
        <f>sumifs(BOM!ak:ak,BOM!A:A,".1",BOM!B:B,"852-248000-200")</f>
        <v>0</v>
      </c>
      <c r="AL232">
        <f>sumifs(BOM!al:al,BOM!A:A,".1",BOM!B:B,"852-248000-200")</f>
        <v>0</v>
      </c>
      <c r="AM232">
        <f>sumifs(BOM!am:am,BOM!A:A,".1",BOM!B:B,"852-248000-200")</f>
        <v>0</v>
      </c>
      <c r="AN232">
        <f>sumifs(BOM!an:an,BOM!A:A,".1",BOM!B:B,"852-248000-200")</f>
        <v>0</v>
      </c>
      <c r="AO232">
        <f>sumifs(BOM!ao:ao,BOM!A:A,".1",BOM!B:B,"852-248000-200")</f>
        <v>0</v>
      </c>
      <c r="AP232">
        <f>sumifs(BOM!ap:ap,BOM!A:A,".1",BOM!B:B,"852-248000-200")</f>
        <v>0</v>
      </c>
      <c r="AQ232">
        <f>sumifs(BOM!aq:aq,BOM!A:A,".1",BOM!B:B,"852-248000-200")</f>
        <v>0</v>
      </c>
      <c r="AR232">
        <f>sumifs(BOM!ar:ar,BOM!A:A,".1",BOM!B:B,"852-248000-200")</f>
        <v>0</v>
      </c>
      <c r="BX232">
        <f>sum(j232:an232)</f>
        <v>0</v>
      </c>
    </row>
    <row r="233" spans="1:76">
      <c r="A233" t="s">
        <v>31</v>
      </c>
      <c r="B233" t="s">
        <v>154</v>
      </c>
      <c r="C233" t="s">
        <v>155</v>
      </c>
      <c r="D233" t="s">
        <v>17</v>
      </c>
      <c r="E233">
        <v>1</v>
      </c>
      <c r="F233" t="s">
        <v>156</v>
      </c>
      <c r="H233" t="s">
        <v>35</v>
      </c>
      <c r="I233" t="s">
        <v>36</v>
      </c>
      <c r="K233" t="s">
        <v>20</v>
      </c>
      <c r="L233" t="s">
        <v>37</v>
      </c>
    </row>
    <row r="234" spans="1:76">
      <c r="L234" t="s">
        <v>662</v>
      </c>
    </row>
    <row r="235" spans="1:76">
      <c r="L235" t="s">
        <v>663</v>
      </c>
    </row>
    <row r="236" spans="1:76">
      <c r="L236" t="s">
        <v>664</v>
      </c>
    </row>
    <row r="237" spans="1:76">
      <c r="L237" t="s">
        <v>665</v>
      </c>
      <c r="M237">
        <f>IF(DAY(NOW())&lt;M3,INDIRECT(ADDRESS(237,7))-INDIRECT(ADDRESS(232,13))+INDIRECT(ADDRESS(233,13))-INDIRECT(ADDRESS(236,13)),INDIRECT(ADDRESS(237,7))-INDIRECT(ADDRESS(232,13))+INDIRECT(ADDRESS(235,13))-INDIRECT(ADDRESS(236,13)))</f>
        <v>0</v>
      </c>
      <c r="N237">
        <f>IF(DAY(NOW())&lt;M3,INDIRECT(ADDRESS(237,13))-INDIRECT(ADDRESS(232,14))+INDIRECT(ADDRESS(233,14))-INDIRECT(ADDRESS(236,14)),INDIRECT(ADDRESS(237,13))-INDIRECT(ADDRESS(232,14))+INDIRECT(ADDRESS(235,14))-INDIRECT(ADDRESS(236,14)))</f>
        <v>0</v>
      </c>
      <c r="O237">
        <f>IF(DAY(NOW())&lt;M3,INDIRECT(ADDRESS(237,14))-INDIRECT(ADDRESS(232,15))+INDIRECT(ADDRESS(233,15))-INDIRECT(ADDRESS(236,15)),INDIRECT(ADDRESS(237,14))-INDIRECT(ADDRESS(232,15))+INDIRECT(ADDRESS(235,15))-INDIRECT(ADDRESS(236,15)))</f>
        <v>0</v>
      </c>
      <c r="P237">
        <f>IF(DAY(NOW())&lt;M3,INDIRECT(ADDRESS(237,15))-INDIRECT(ADDRESS(232,16))+INDIRECT(ADDRESS(233,16))-INDIRECT(ADDRESS(236,16)),INDIRECT(ADDRESS(237,15))-INDIRECT(ADDRESS(232,16))+INDIRECT(ADDRESS(235,16))-INDIRECT(ADDRESS(236,16)))</f>
        <v>0</v>
      </c>
      <c r="Q237">
        <f>IF(DAY(NOW())&lt;M3,INDIRECT(ADDRESS(237,16))-INDIRECT(ADDRESS(232,17))+INDIRECT(ADDRESS(233,17))-INDIRECT(ADDRESS(236,17)),INDIRECT(ADDRESS(237,16))-INDIRECT(ADDRESS(232,17))+INDIRECT(ADDRESS(235,17))-INDIRECT(ADDRESS(236,17)))</f>
        <v>0</v>
      </c>
      <c r="R237">
        <f>IF(DAY(NOW())&lt;M3,INDIRECT(ADDRESS(237,17))-INDIRECT(ADDRESS(232,18))+INDIRECT(ADDRESS(233,18))-INDIRECT(ADDRESS(236,18)),INDIRECT(ADDRESS(237,17))-INDIRECT(ADDRESS(232,18))+INDIRECT(ADDRESS(235,18))-INDIRECT(ADDRESS(236,18)))</f>
        <v>0</v>
      </c>
      <c r="S237">
        <f>IF(DAY(NOW())&lt;M3,INDIRECT(ADDRESS(237,18))-INDIRECT(ADDRESS(232,19))+INDIRECT(ADDRESS(233,19))-INDIRECT(ADDRESS(236,19)),INDIRECT(ADDRESS(237,18))-INDIRECT(ADDRESS(232,19))+INDIRECT(ADDRESS(235,19))-INDIRECT(ADDRESS(236,19)))</f>
        <v>0</v>
      </c>
      <c r="T237">
        <f>IF(DAY(NOW())&lt;M3,INDIRECT(ADDRESS(237,19))-INDIRECT(ADDRESS(232,20))+INDIRECT(ADDRESS(233,20))-INDIRECT(ADDRESS(236,20)),INDIRECT(ADDRESS(237,19))-INDIRECT(ADDRESS(232,20))+INDIRECT(ADDRESS(235,20))-INDIRECT(ADDRESS(236,20)))</f>
        <v>0</v>
      </c>
      <c r="U237">
        <f>IF(DAY(NOW())&lt;M3,INDIRECT(ADDRESS(237,20))-INDIRECT(ADDRESS(232,21))+INDIRECT(ADDRESS(233,21))-INDIRECT(ADDRESS(236,21)),INDIRECT(ADDRESS(237,20))-INDIRECT(ADDRESS(232,21))+INDIRECT(ADDRESS(235,21))-INDIRECT(ADDRESS(236,21)))</f>
        <v>0</v>
      </c>
      <c r="V237">
        <f>IF(DAY(NOW())&lt;M3,INDIRECT(ADDRESS(237,21))-INDIRECT(ADDRESS(232,22))+INDIRECT(ADDRESS(233,22))-INDIRECT(ADDRESS(236,22)),INDIRECT(ADDRESS(237,21))-INDIRECT(ADDRESS(232,22))+INDIRECT(ADDRESS(235,22))-INDIRECT(ADDRESS(236,22)))</f>
        <v>0</v>
      </c>
      <c r="W237">
        <f>IF(DAY(NOW())&lt;M3,INDIRECT(ADDRESS(237,22))-INDIRECT(ADDRESS(232,23))+INDIRECT(ADDRESS(233,23))-INDIRECT(ADDRESS(236,23)),INDIRECT(ADDRESS(237,22))-INDIRECT(ADDRESS(232,23))+INDIRECT(ADDRESS(235,23))-INDIRECT(ADDRESS(236,23)))</f>
        <v>0</v>
      </c>
      <c r="X237">
        <f>IF(DAY(NOW())&lt;M3,INDIRECT(ADDRESS(237,23))-INDIRECT(ADDRESS(232,24))+INDIRECT(ADDRESS(233,24))-INDIRECT(ADDRESS(236,24)),INDIRECT(ADDRESS(237,23))-INDIRECT(ADDRESS(232,24))+INDIRECT(ADDRESS(235,24))-INDIRECT(ADDRESS(236,24)))</f>
        <v>0</v>
      </c>
      <c r="Y237">
        <f>IF(DAY(NOW())&lt;M3,INDIRECT(ADDRESS(237,24))-INDIRECT(ADDRESS(232,25))+INDIRECT(ADDRESS(233,25))-INDIRECT(ADDRESS(236,25)),INDIRECT(ADDRESS(237,24))-INDIRECT(ADDRESS(232,25))+INDIRECT(ADDRESS(235,25))-INDIRECT(ADDRESS(236,25)))</f>
        <v>0</v>
      </c>
      <c r="Z237">
        <f>IF(DAY(NOW())&lt;M3,INDIRECT(ADDRESS(237,25))-INDIRECT(ADDRESS(232,26))+INDIRECT(ADDRESS(233,26))-INDIRECT(ADDRESS(236,26)),INDIRECT(ADDRESS(237,25))-INDIRECT(ADDRESS(232,26))+INDIRECT(ADDRESS(235,26))-INDIRECT(ADDRESS(236,26)))</f>
        <v>0</v>
      </c>
      <c r="AA237">
        <f>IF(DAY(NOW())&lt;M3,INDIRECT(ADDRESS(237,26))-INDIRECT(ADDRESS(232,27))+INDIRECT(ADDRESS(233,27))-INDIRECT(ADDRESS(236,27)),INDIRECT(ADDRESS(237,26))-INDIRECT(ADDRESS(232,27))+INDIRECT(ADDRESS(235,27))-INDIRECT(ADDRESS(236,27)))</f>
        <v>0</v>
      </c>
      <c r="AB237">
        <f>IF(DAY(NOW())&lt;M3,INDIRECT(ADDRESS(237,27))-INDIRECT(ADDRESS(232,28))+INDIRECT(ADDRESS(233,28))-INDIRECT(ADDRESS(236,28)),INDIRECT(ADDRESS(237,27))-INDIRECT(ADDRESS(232,28))+INDIRECT(ADDRESS(235,28))-INDIRECT(ADDRESS(236,28)))</f>
        <v>0</v>
      </c>
      <c r="AC237">
        <f>IF(DAY(NOW())&lt;M3,INDIRECT(ADDRESS(237,28))-INDIRECT(ADDRESS(232,29))+INDIRECT(ADDRESS(233,29))-INDIRECT(ADDRESS(236,29)),INDIRECT(ADDRESS(237,28))-INDIRECT(ADDRESS(232,29))+INDIRECT(ADDRESS(235,29))-INDIRECT(ADDRESS(236,29)))</f>
        <v>0</v>
      </c>
      <c r="AD237">
        <f>IF(DAY(NOW())&lt;M3,INDIRECT(ADDRESS(237,29))-INDIRECT(ADDRESS(232,30))+INDIRECT(ADDRESS(233,30))-INDIRECT(ADDRESS(236,30)),INDIRECT(ADDRESS(237,29))-INDIRECT(ADDRESS(232,30))+INDIRECT(ADDRESS(235,30))-INDIRECT(ADDRESS(236,30)))</f>
        <v>0</v>
      </c>
      <c r="AE237">
        <f>IF(DAY(NOW())&lt;M3,INDIRECT(ADDRESS(237,30))-INDIRECT(ADDRESS(232,31))+INDIRECT(ADDRESS(233,31))-INDIRECT(ADDRESS(236,31)),INDIRECT(ADDRESS(237,30))-INDIRECT(ADDRESS(232,31))+INDIRECT(ADDRESS(235,31))-INDIRECT(ADDRESS(236,31)))</f>
        <v>0</v>
      </c>
      <c r="AF237">
        <f>IF(DAY(NOW())&lt;M3,INDIRECT(ADDRESS(237,31))-INDIRECT(ADDRESS(232,32))+INDIRECT(ADDRESS(233,32))-INDIRECT(ADDRESS(236,32)),INDIRECT(ADDRESS(237,31))-INDIRECT(ADDRESS(232,32))+INDIRECT(ADDRESS(235,32))-INDIRECT(ADDRESS(236,32)))</f>
        <v>0</v>
      </c>
      <c r="AG237">
        <f>IF(DAY(NOW())&lt;M3,INDIRECT(ADDRESS(237,32))-INDIRECT(ADDRESS(232,33))+INDIRECT(ADDRESS(233,33))-INDIRECT(ADDRESS(236,33)),INDIRECT(ADDRESS(237,32))-INDIRECT(ADDRESS(232,33))+INDIRECT(ADDRESS(235,33))-INDIRECT(ADDRESS(236,33)))</f>
        <v>0</v>
      </c>
      <c r="AH237">
        <f>IF(DAY(NOW())&lt;M3,INDIRECT(ADDRESS(237,33))-INDIRECT(ADDRESS(232,34))+INDIRECT(ADDRESS(233,34))-INDIRECT(ADDRESS(236,34)),INDIRECT(ADDRESS(237,33))-INDIRECT(ADDRESS(232,34))+INDIRECT(ADDRESS(235,34))-INDIRECT(ADDRESS(236,34)))</f>
        <v>0</v>
      </c>
      <c r="AI237">
        <f>IF(DAY(NOW())&lt;M3,INDIRECT(ADDRESS(237,34))-INDIRECT(ADDRESS(232,35))+INDIRECT(ADDRESS(233,35))-INDIRECT(ADDRESS(236,35)),INDIRECT(ADDRESS(237,34))-INDIRECT(ADDRESS(232,35))+INDIRECT(ADDRESS(235,35))-INDIRECT(ADDRESS(236,35)))</f>
        <v>0</v>
      </c>
      <c r="AJ237">
        <f>IF(DAY(NOW())&lt;M3,INDIRECT(ADDRESS(237,35))-INDIRECT(ADDRESS(232,36))+INDIRECT(ADDRESS(233,36))-INDIRECT(ADDRESS(236,36)),INDIRECT(ADDRESS(237,35))-INDIRECT(ADDRESS(232,36))+INDIRECT(ADDRESS(235,36))-INDIRECT(ADDRESS(236,36)))</f>
        <v>0</v>
      </c>
      <c r="AK237">
        <f>IF(DAY(NOW())&lt;M3,INDIRECT(ADDRESS(237,36))-INDIRECT(ADDRESS(232,37))+INDIRECT(ADDRESS(233,37))-INDIRECT(ADDRESS(236,37)),INDIRECT(ADDRESS(237,36))-INDIRECT(ADDRESS(232,37))+INDIRECT(ADDRESS(235,37))-INDIRECT(ADDRESS(236,37)))</f>
        <v>0</v>
      </c>
      <c r="AL237">
        <f>IF(DAY(NOW())&lt;M3,INDIRECT(ADDRESS(237,37))-INDIRECT(ADDRESS(232,38))+INDIRECT(ADDRESS(233,38))-INDIRECT(ADDRESS(236,38)),INDIRECT(ADDRESS(237,37))-INDIRECT(ADDRESS(232,38))+INDIRECT(ADDRESS(235,38))-INDIRECT(ADDRESS(236,38)))</f>
        <v>0</v>
      </c>
      <c r="AM237">
        <f>IF(DAY(NOW())&lt;M3,INDIRECT(ADDRESS(237,38))-INDIRECT(ADDRESS(232,39))+INDIRECT(ADDRESS(233,39))-INDIRECT(ADDRESS(236,39)),INDIRECT(ADDRESS(237,38))-INDIRECT(ADDRESS(232,39))+INDIRECT(ADDRESS(235,39))-INDIRECT(ADDRESS(236,39)))</f>
        <v>0</v>
      </c>
      <c r="AN237">
        <f>IF(DAY(NOW())&lt;M3,INDIRECT(ADDRESS(237,39))-INDIRECT(ADDRESS(232,40))+INDIRECT(ADDRESS(233,40))-INDIRECT(ADDRESS(236,40)),INDIRECT(ADDRESS(237,39))-INDIRECT(ADDRESS(232,40))+INDIRECT(ADDRESS(235,40))-INDIRECT(ADDRESS(236,40)))</f>
        <v>0</v>
      </c>
      <c r="AO237">
        <f>IF(DAY(NOW())&lt;M3,INDIRECT(ADDRESS(237,40))-INDIRECT(ADDRESS(232,41))+INDIRECT(ADDRESS(233,41))-INDIRECT(ADDRESS(236,41)),INDIRECT(ADDRESS(237,40))-INDIRECT(ADDRESS(232,41))+INDIRECT(ADDRESS(235,41))-INDIRECT(ADDRESS(236,41)))</f>
        <v>0</v>
      </c>
      <c r="AP237">
        <f>IF(DAY(NOW())&lt;M3,INDIRECT(ADDRESS(237,41))-INDIRECT(ADDRESS(232,42))+INDIRECT(ADDRESS(233,42))-INDIRECT(ADDRESS(236,42)),INDIRECT(ADDRESS(237,41))-INDIRECT(ADDRESS(232,42))+INDIRECT(ADDRESS(235,42))-INDIRECT(ADDRESS(236,42)))</f>
        <v>0</v>
      </c>
      <c r="AQ237">
        <f>IF(DAY(NOW())&lt;M3,INDIRECT(ADDRESS(237,42))-INDIRECT(ADDRESS(232,43))+INDIRECT(ADDRESS(233,43))-INDIRECT(ADDRESS(236,43)),INDIRECT(ADDRESS(237,42))-INDIRECT(ADDRESS(232,43))+INDIRECT(ADDRESS(235,43))-INDIRECT(ADDRESS(236,43)))</f>
        <v>0</v>
      </c>
      <c r="AR237">
        <f>IF(DAY(NOW())&lt;M3,INDIRECT(ADDRESS(237,43))-INDIRECT(ADDRESS(232,44))+INDIRECT(ADDRESS(233,44))-INDIRECT(ADDRESS(236,44)),INDIRECT(ADDRESS(237,43))-INDIRECT(ADDRESS(232,44))+INDIRECT(ADDRESS(235,44))-INDIRECT(ADDRESS(236,44)))</f>
        <v>0</v>
      </c>
    </row>
    <row r="238" spans="1:76">
      <c r="A238" t="s">
        <v>14</v>
      </c>
      <c r="B238" t="s">
        <v>157</v>
      </c>
      <c r="C238" t="s">
        <v>158</v>
      </c>
      <c r="D238" t="s">
        <v>17</v>
      </c>
      <c r="E238">
        <v>1</v>
      </c>
      <c r="F238" t="s">
        <v>159</v>
      </c>
      <c r="H238" t="s">
        <v>160</v>
      </c>
      <c r="I238">
        <v>18</v>
      </c>
      <c r="K238" t="s">
        <v>20</v>
      </c>
      <c r="L238" t="s">
        <v>21</v>
      </c>
      <c r="BX238">
        <f>sum(j238:an238)</f>
        <v>0</v>
      </c>
    </row>
    <row r="239" spans="1:76">
      <c r="A239" t="s">
        <v>14</v>
      </c>
      <c r="B239" t="s">
        <v>157</v>
      </c>
      <c r="C239" t="s">
        <v>158</v>
      </c>
      <c r="D239" t="s">
        <v>17</v>
      </c>
      <c r="E239">
        <v>1</v>
      </c>
      <c r="F239" t="s">
        <v>159</v>
      </c>
      <c r="H239" t="s">
        <v>160</v>
      </c>
      <c r="I239">
        <v>18</v>
      </c>
      <c r="K239" t="s">
        <v>20</v>
      </c>
      <c r="L239" t="s">
        <v>37</v>
      </c>
    </row>
    <row r="240" spans="1:76">
      <c r="L240" t="s">
        <v>662</v>
      </c>
    </row>
    <row r="241" spans="1:76">
      <c r="L241" t="s">
        <v>663</v>
      </c>
    </row>
    <row r="242" spans="1:76">
      <c r="L242" t="s">
        <v>664</v>
      </c>
    </row>
    <row r="243" spans="1:76">
      <c r="L243" t="s">
        <v>665</v>
      </c>
      <c r="M243">
        <f>IF(DAY(NOW())&lt;M3,INDIRECT(ADDRESS(243,7))-INDIRECT(ADDRESS(238,13))+INDIRECT(ADDRESS(239,13))-INDIRECT(ADDRESS(242,13)),INDIRECT(ADDRESS(243,7))-INDIRECT(ADDRESS(238,13))+INDIRECT(ADDRESS(241,13))-INDIRECT(ADDRESS(242,13)))</f>
        <v>0</v>
      </c>
      <c r="N243">
        <f>IF(DAY(NOW())&lt;M3,INDIRECT(ADDRESS(243,13))-INDIRECT(ADDRESS(238,14))+INDIRECT(ADDRESS(239,14))-INDIRECT(ADDRESS(242,14)),INDIRECT(ADDRESS(243,13))-INDIRECT(ADDRESS(238,14))+INDIRECT(ADDRESS(241,14))-INDIRECT(ADDRESS(242,14)))</f>
        <v>0</v>
      </c>
      <c r="O243">
        <f>IF(DAY(NOW())&lt;M3,INDIRECT(ADDRESS(243,14))-INDIRECT(ADDRESS(238,15))+INDIRECT(ADDRESS(239,15))-INDIRECT(ADDRESS(242,15)),INDIRECT(ADDRESS(243,14))-INDIRECT(ADDRESS(238,15))+INDIRECT(ADDRESS(241,15))-INDIRECT(ADDRESS(242,15)))</f>
        <v>0</v>
      </c>
      <c r="P243">
        <f>IF(DAY(NOW())&lt;M3,INDIRECT(ADDRESS(243,15))-INDIRECT(ADDRESS(238,16))+INDIRECT(ADDRESS(239,16))-INDIRECT(ADDRESS(242,16)),INDIRECT(ADDRESS(243,15))-INDIRECT(ADDRESS(238,16))+INDIRECT(ADDRESS(241,16))-INDIRECT(ADDRESS(242,16)))</f>
        <v>0</v>
      </c>
      <c r="Q243">
        <f>IF(DAY(NOW())&lt;M3,INDIRECT(ADDRESS(243,16))-INDIRECT(ADDRESS(238,17))+INDIRECT(ADDRESS(239,17))-INDIRECT(ADDRESS(242,17)),INDIRECT(ADDRESS(243,16))-INDIRECT(ADDRESS(238,17))+INDIRECT(ADDRESS(241,17))-INDIRECT(ADDRESS(242,17)))</f>
        <v>0</v>
      </c>
      <c r="R243">
        <f>IF(DAY(NOW())&lt;M3,INDIRECT(ADDRESS(243,17))-INDIRECT(ADDRESS(238,18))+INDIRECT(ADDRESS(239,18))-INDIRECT(ADDRESS(242,18)),INDIRECT(ADDRESS(243,17))-INDIRECT(ADDRESS(238,18))+INDIRECT(ADDRESS(241,18))-INDIRECT(ADDRESS(242,18)))</f>
        <v>0</v>
      </c>
      <c r="S243">
        <f>IF(DAY(NOW())&lt;M3,INDIRECT(ADDRESS(243,18))-INDIRECT(ADDRESS(238,19))+INDIRECT(ADDRESS(239,19))-INDIRECT(ADDRESS(242,19)),INDIRECT(ADDRESS(243,18))-INDIRECT(ADDRESS(238,19))+INDIRECT(ADDRESS(241,19))-INDIRECT(ADDRESS(242,19)))</f>
        <v>0</v>
      </c>
      <c r="T243">
        <f>IF(DAY(NOW())&lt;M3,INDIRECT(ADDRESS(243,19))-INDIRECT(ADDRESS(238,20))+INDIRECT(ADDRESS(239,20))-INDIRECT(ADDRESS(242,20)),INDIRECT(ADDRESS(243,19))-INDIRECT(ADDRESS(238,20))+INDIRECT(ADDRESS(241,20))-INDIRECT(ADDRESS(242,20)))</f>
        <v>0</v>
      </c>
      <c r="U243">
        <f>IF(DAY(NOW())&lt;M3,INDIRECT(ADDRESS(243,20))-INDIRECT(ADDRESS(238,21))+INDIRECT(ADDRESS(239,21))-INDIRECT(ADDRESS(242,21)),INDIRECT(ADDRESS(243,20))-INDIRECT(ADDRESS(238,21))+INDIRECT(ADDRESS(241,21))-INDIRECT(ADDRESS(242,21)))</f>
        <v>0</v>
      </c>
      <c r="V243">
        <f>IF(DAY(NOW())&lt;M3,INDIRECT(ADDRESS(243,21))-INDIRECT(ADDRESS(238,22))+INDIRECT(ADDRESS(239,22))-INDIRECT(ADDRESS(242,22)),INDIRECT(ADDRESS(243,21))-INDIRECT(ADDRESS(238,22))+INDIRECT(ADDRESS(241,22))-INDIRECT(ADDRESS(242,22)))</f>
        <v>0</v>
      </c>
      <c r="W243">
        <f>IF(DAY(NOW())&lt;M3,INDIRECT(ADDRESS(243,22))-INDIRECT(ADDRESS(238,23))+INDIRECT(ADDRESS(239,23))-INDIRECT(ADDRESS(242,23)),INDIRECT(ADDRESS(243,22))-INDIRECT(ADDRESS(238,23))+INDIRECT(ADDRESS(241,23))-INDIRECT(ADDRESS(242,23)))</f>
        <v>0</v>
      </c>
      <c r="X243">
        <f>IF(DAY(NOW())&lt;M3,INDIRECT(ADDRESS(243,23))-INDIRECT(ADDRESS(238,24))+INDIRECT(ADDRESS(239,24))-INDIRECT(ADDRESS(242,24)),INDIRECT(ADDRESS(243,23))-INDIRECT(ADDRESS(238,24))+INDIRECT(ADDRESS(241,24))-INDIRECT(ADDRESS(242,24)))</f>
        <v>0</v>
      </c>
      <c r="Y243">
        <f>IF(DAY(NOW())&lt;M3,INDIRECT(ADDRESS(243,24))-INDIRECT(ADDRESS(238,25))+INDIRECT(ADDRESS(239,25))-INDIRECT(ADDRESS(242,25)),INDIRECT(ADDRESS(243,24))-INDIRECT(ADDRESS(238,25))+INDIRECT(ADDRESS(241,25))-INDIRECT(ADDRESS(242,25)))</f>
        <v>0</v>
      </c>
      <c r="Z243">
        <f>IF(DAY(NOW())&lt;M3,INDIRECT(ADDRESS(243,25))-INDIRECT(ADDRESS(238,26))+INDIRECT(ADDRESS(239,26))-INDIRECT(ADDRESS(242,26)),INDIRECT(ADDRESS(243,25))-INDIRECT(ADDRESS(238,26))+INDIRECT(ADDRESS(241,26))-INDIRECT(ADDRESS(242,26)))</f>
        <v>0</v>
      </c>
      <c r="AA243">
        <f>IF(DAY(NOW())&lt;M3,INDIRECT(ADDRESS(243,26))-INDIRECT(ADDRESS(238,27))+INDIRECT(ADDRESS(239,27))-INDIRECT(ADDRESS(242,27)),INDIRECT(ADDRESS(243,26))-INDIRECT(ADDRESS(238,27))+INDIRECT(ADDRESS(241,27))-INDIRECT(ADDRESS(242,27)))</f>
        <v>0</v>
      </c>
      <c r="AB243">
        <f>IF(DAY(NOW())&lt;M3,INDIRECT(ADDRESS(243,27))-INDIRECT(ADDRESS(238,28))+INDIRECT(ADDRESS(239,28))-INDIRECT(ADDRESS(242,28)),INDIRECT(ADDRESS(243,27))-INDIRECT(ADDRESS(238,28))+INDIRECT(ADDRESS(241,28))-INDIRECT(ADDRESS(242,28)))</f>
        <v>0</v>
      </c>
      <c r="AC243">
        <f>IF(DAY(NOW())&lt;M3,INDIRECT(ADDRESS(243,28))-INDIRECT(ADDRESS(238,29))+INDIRECT(ADDRESS(239,29))-INDIRECT(ADDRESS(242,29)),INDIRECT(ADDRESS(243,28))-INDIRECT(ADDRESS(238,29))+INDIRECT(ADDRESS(241,29))-INDIRECT(ADDRESS(242,29)))</f>
        <v>0</v>
      </c>
      <c r="AD243">
        <f>IF(DAY(NOW())&lt;M3,INDIRECT(ADDRESS(243,29))-INDIRECT(ADDRESS(238,30))+INDIRECT(ADDRESS(239,30))-INDIRECT(ADDRESS(242,30)),INDIRECT(ADDRESS(243,29))-INDIRECT(ADDRESS(238,30))+INDIRECT(ADDRESS(241,30))-INDIRECT(ADDRESS(242,30)))</f>
        <v>0</v>
      </c>
      <c r="AE243">
        <f>IF(DAY(NOW())&lt;M3,INDIRECT(ADDRESS(243,30))-INDIRECT(ADDRESS(238,31))+INDIRECT(ADDRESS(239,31))-INDIRECT(ADDRESS(242,31)),INDIRECT(ADDRESS(243,30))-INDIRECT(ADDRESS(238,31))+INDIRECT(ADDRESS(241,31))-INDIRECT(ADDRESS(242,31)))</f>
        <v>0</v>
      </c>
      <c r="AF243">
        <f>IF(DAY(NOW())&lt;M3,INDIRECT(ADDRESS(243,31))-INDIRECT(ADDRESS(238,32))+INDIRECT(ADDRESS(239,32))-INDIRECT(ADDRESS(242,32)),INDIRECT(ADDRESS(243,31))-INDIRECT(ADDRESS(238,32))+INDIRECT(ADDRESS(241,32))-INDIRECT(ADDRESS(242,32)))</f>
        <v>0</v>
      </c>
      <c r="AG243">
        <f>IF(DAY(NOW())&lt;M3,INDIRECT(ADDRESS(243,32))-INDIRECT(ADDRESS(238,33))+INDIRECT(ADDRESS(239,33))-INDIRECT(ADDRESS(242,33)),INDIRECT(ADDRESS(243,32))-INDIRECT(ADDRESS(238,33))+INDIRECT(ADDRESS(241,33))-INDIRECT(ADDRESS(242,33)))</f>
        <v>0</v>
      </c>
      <c r="AH243">
        <f>IF(DAY(NOW())&lt;M3,INDIRECT(ADDRESS(243,33))-INDIRECT(ADDRESS(238,34))+INDIRECT(ADDRESS(239,34))-INDIRECT(ADDRESS(242,34)),INDIRECT(ADDRESS(243,33))-INDIRECT(ADDRESS(238,34))+INDIRECT(ADDRESS(241,34))-INDIRECT(ADDRESS(242,34)))</f>
        <v>0</v>
      </c>
      <c r="AI243">
        <f>IF(DAY(NOW())&lt;M3,INDIRECT(ADDRESS(243,34))-INDIRECT(ADDRESS(238,35))+INDIRECT(ADDRESS(239,35))-INDIRECT(ADDRESS(242,35)),INDIRECT(ADDRESS(243,34))-INDIRECT(ADDRESS(238,35))+INDIRECT(ADDRESS(241,35))-INDIRECT(ADDRESS(242,35)))</f>
        <v>0</v>
      </c>
      <c r="AJ243">
        <f>IF(DAY(NOW())&lt;M3,INDIRECT(ADDRESS(243,35))-INDIRECT(ADDRESS(238,36))+INDIRECT(ADDRESS(239,36))-INDIRECT(ADDRESS(242,36)),INDIRECT(ADDRESS(243,35))-INDIRECT(ADDRESS(238,36))+INDIRECT(ADDRESS(241,36))-INDIRECT(ADDRESS(242,36)))</f>
        <v>0</v>
      </c>
      <c r="AK243">
        <f>IF(DAY(NOW())&lt;M3,INDIRECT(ADDRESS(243,36))-INDIRECT(ADDRESS(238,37))+INDIRECT(ADDRESS(239,37))-INDIRECT(ADDRESS(242,37)),INDIRECT(ADDRESS(243,36))-INDIRECT(ADDRESS(238,37))+INDIRECT(ADDRESS(241,37))-INDIRECT(ADDRESS(242,37)))</f>
        <v>0</v>
      </c>
      <c r="AL243">
        <f>IF(DAY(NOW())&lt;M3,INDIRECT(ADDRESS(243,37))-INDIRECT(ADDRESS(238,38))+INDIRECT(ADDRESS(239,38))-INDIRECT(ADDRESS(242,38)),INDIRECT(ADDRESS(243,37))-INDIRECT(ADDRESS(238,38))+INDIRECT(ADDRESS(241,38))-INDIRECT(ADDRESS(242,38)))</f>
        <v>0</v>
      </c>
      <c r="AM243">
        <f>IF(DAY(NOW())&lt;M3,INDIRECT(ADDRESS(243,38))-INDIRECT(ADDRESS(238,39))+INDIRECT(ADDRESS(239,39))-INDIRECT(ADDRESS(242,39)),INDIRECT(ADDRESS(243,38))-INDIRECT(ADDRESS(238,39))+INDIRECT(ADDRESS(241,39))-INDIRECT(ADDRESS(242,39)))</f>
        <v>0</v>
      </c>
      <c r="AN243">
        <f>IF(DAY(NOW())&lt;M3,INDIRECT(ADDRESS(243,39))-INDIRECT(ADDRESS(238,40))+INDIRECT(ADDRESS(239,40))-INDIRECT(ADDRESS(242,40)),INDIRECT(ADDRESS(243,39))-INDIRECT(ADDRESS(238,40))+INDIRECT(ADDRESS(241,40))-INDIRECT(ADDRESS(242,40)))</f>
        <v>0</v>
      </c>
      <c r="AO243">
        <f>IF(DAY(NOW())&lt;M3,INDIRECT(ADDRESS(243,40))-INDIRECT(ADDRESS(238,41))+INDIRECT(ADDRESS(239,41))-INDIRECT(ADDRESS(242,41)),INDIRECT(ADDRESS(243,40))-INDIRECT(ADDRESS(238,41))+INDIRECT(ADDRESS(241,41))-INDIRECT(ADDRESS(242,41)))</f>
        <v>0</v>
      </c>
      <c r="AP243">
        <f>IF(DAY(NOW())&lt;M3,INDIRECT(ADDRESS(243,41))-INDIRECT(ADDRESS(238,42))+INDIRECT(ADDRESS(239,42))-INDIRECT(ADDRESS(242,42)),INDIRECT(ADDRESS(243,41))-INDIRECT(ADDRESS(238,42))+INDIRECT(ADDRESS(241,42))-INDIRECT(ADDRESS(242,42)))</f>
        <v>0</v>
      </c>
      <c r="AQ243">
        <f>IF(DAY(NOW())&lt;M3,INDIRECT(ADDRESS(243,42))-INDIRECT(ADDRESS(238,43))+INDIRECT(ADDRESS(239,43))-INDIRECT(ADDRESS(242,43)),INDIRECT(ADDRESS(243,42))-INDIRECT(ADDRESS(238,43))+INDIRECT(ADDRESS(241,43))-INDIRECT(ADDRESS(242,43)))</f>
        <v>0</v>
      </c>
      <c r="AR243">
        <f>IF(DAY(NOW())&lt;M3,INDIRECT(ADDRESS(243,43))-INDIRECT(ADDRESS(238,44))+INDIRECT(ADDRESS(239,44))-INDIRECT(ADDRESS(242,44)),INDIRECT(ADDRESS(243,43))-INDIRECT(ADDRESS(238,44))+INDIRECT(ADDRESS(241,44))-INDIRECT(ADDRESS(242,44)))</f>
        <v>0</v>
      </c>
    </row>
    <row r="244" spans="1:76">
      <c r="A244" t="s">
        <v>14</v>
      </c>
      <c r="B244" t="s">
        <v>161</v>
      </c>
      <c r="C244" t="s">
        <v>162</v>
      </c>
      <c r="D244" t="s">
        <v>163</v>
      </c>
      <c r="E244">
        <v>1</v>
      </c>
      <c r="F244" t="s">
        <v>164</v>
      </c>
      <c r="H244" t="s">
        <v>165</v>
      </c>
      <c r="I244" t="s">
        <v>166</v>
      </c>
      <c r="K244" t="s">
        <v>20</v>
      </c>
      <c r="L244" t="s">
        <v>21</v>
      </c>
      <c r="BX244">
        <f>sum(j244:an244)</f>
        <v>0</v>
      </c>
    </row>
    <row r="245" spans="1:76">
      <c r="A245" t="s">
        <v>14</v>
      </c>
      <c r="B245" t="s">
        <v>161</v>
      </c>
      <c r="C245" t="s">
        <v>162</v>
      </c>
      <c r="D245" t="s">
        <v>163</v>
      </c>
      <c r="E245">
        <v>1</v>
      </c>
      <c r="F245" t="s">
        <v>164</v>
      </c>
      <c r="H245" t="s">
        <v>165</v>
      </c>
      <c r="I245" t="s">
        <v>166</v>
      </c>
      <c r="K245" t="s">
        <v>20</v>
      </c>
      <c r="L245" t="s">
        <v>37</v>
      </c>
    </row>
    <row r="246" spans="1:76">
      <c r="L246" t="s">
        <v>662</v>
      </c>
    </row>
    <row r="247" spans="1:76">
      <c r="L247" t="s">
        <v>663</v>
      </c>
    </row>
    <row r="248" spans="1:76">
      <c r="L248" t="s">
        <v>664</v>
      </c>
    </row>
    <row r="249" spans="1:76">
      <c r="L249" t="s">
        <v>665</v>
      </c>
      <c r="M249">
        <f>IF(DAY(NOW())&lt;M3,INDIRECT(ADDRESS(249,7))-INDIRECT(ADDRESS(244,13))+INDIRECT(ADDRESS(245,13))-INDIRECT(ADDRESS(248,13)),INDIRECT(ADDRESS(249,7))-INDIRECT(ADDRESS(244,13))+INDIRECT(ADDRESS(247,13))-INDIRECT(ADDRESS(248,13)))</f>
        <v>0</v>
      </c>
      <c r="N249">
        <f>IF(DAY(NOW())&lt;M3,INDIRECT(ADDRESS(249,13))-INDIRECT(ADDRESS(244,14))+INDIRECT(ADDRESS(245,14))-INDIRECT(ADDRESS(248,14)),INDIRECT(ADDRESS(249,13))-INDIRECT(ADDRESS(244,14))+INDIRECT(ADDRESS(247,14))-INDIRECT(ADDRESS(248,14)))</f>
        <v>0</v>
      </c>
      <c r="O249">
        <f>IF(DAY(NOW())&lt;M3,INDIRECT(ADDRESS(249,14))-INDIRECT(ADDRESS(244,15))+INDIRECT(ADDRESS(245,15))-INDIRECT(ADDRESS(248,15)),INDIRECT(ADDRESS(249,14))-INDIRECT(ADDRESS(244,15))+INDIRECT(ADDRESS(247,15))-INDIRECT(ADDRESS(248,15)))</f>
        <v>0</v>
      </c>
      <c r="P249">
        <f>IF(DAY(NOW())&lt;M3,INDIRECT(ADDRESS(249,15))-INDIRECT(ADDRESS(244,16))+INDIRECT(ADDRESS(245,16))-INDIRECT(ADDRESS(248,16)),INDIRECT(ADDRESS(249,15))-INDIRECT(ADDRESS(244,16))+INDIRECT(ADDRESS(247,16))-INDIRECT(ADDRESS(248,16)))</f>
        <v>0</v>
      </c>
      <c r="Q249">
        <f>IF(DAY(NOW())&lt;M3,INDIRECT(ADDRESS(249,16))-INDIRECT(ADDRESS(244,17))+INDIRECT(ADDRESS(245,17))-INDIRECT(ADDRESS(248,17)),INDIRECT(ADDRESS(249,16))-INDIRECT(ADDRESS(244,17))+INDIRECT(ADDRESS(247,17))-INDIRECT(ADDRESS(248,17)))</f>
        <v>0</v>
      </c>
      <c r="R249">
        <f>IF(DAY(NOW())&lt;M3,INDIRECT(ADDRESS(249,17))-INDIRECT(ADDRESS(244,18))+INDIRECT(ADDRESS(245,18))-INDIRECT(ADDRESS(248,18)),INDIRECT(ADDRESS(249,17))-INDIRECT(ADDRESS(244,18))+INDIRECT(ADDRESS(247,18))-INDIRECT(ADDRESS(248,18)))</f>
        <v>0</v>
      </c>
      <c r="S249">
        <f>IF(DAY(NOW())&lt;M3,INDIRECT(ADDRESS(249,18))-INDIRECT(ADDRESS(244,19))+INDIRECT(ADDRESS(245,19))-INDIRECT(ADDRESS(248,19)),INDIRECT(ADDRESS(249,18))-INDIRECT(ADDRESS(244,19))+INDIRECT(ADDRESS(247,19))-INDIRECT(ADDRESS(248,19)))</f>
        <v>0</v>
      </c>
      <c r="T249">
        <f>IF(DAY(NOW())&lt;M3,INDIRECT(ADDRESS(249,19))-INDIRECT(ADDRESS(244,20))+INDIRECT(ADDRESS(245,20))-INDIRECT(ADDRESS(248,20)),INDIRECT(ADDRESS(249,19))-INDIRECT(ADDRESS(244,20))+INDIRECT(ADDRESS(247,20))-INDIRECT(ADDRESS(248,20)))</f>
        <v>0</v>
      </c>
      <c r="U249">
        <f>IF(DAY(NOW())&lt;M3,INDIRECT(ADDRESS(249,20))-INDIRECT(ADDRESS(244,21))+INDIRECT(ADDRESS(245,21))-INDIRECT(ADDRESS(248,21)),INDIRECT(ADDRESS(249,20))-INDIRECT(ADDRESS(244,21))+INDIRECT(ADDRESS(247,21))-INDIRECT(ADDRESS(248,21)))</f>
        <v>0</v>
      </c>
      <c r="V249">
        <f>IF(DAY(NOW())&lt;M3,INDIRECT(ADDRESS(249,21))-INDIRECT(ADDRESS(244,22))+INDIRECT(ADDRESS(245,22))-INDIRECT(ADDRESS(248,22)),INDIRECT(ADDRESS(249,21))-INDIRECT(ADDRESS(244,22))+INDIRECT(ADDRESS(247,22))-INDIRECT(ADDRESS(248,22)))</f>
        <v>0</v>
      </c>
      <c r="W249">
        <f>IF(DAY(NOW())&lt;M3,INDIRECT(ADDRESS(249,22))-INDIRECT(ADDRESS(244,23))+INDIRECT(ADDRESS(245,23))-INDIRECT(ADDRESS(248,23)),INDIRECT(ADDRESS(249,22))-INDIRECT(ADDRESS(244,23))+INDIRECT(ADDRESS(247,23))-INDIRECT(ADDRESS(248,23)))</f>
        <v>0</v>
      </c>
      <c r="X249">
        <f>IF(DAY(NOW())&lt;M3,INDIRECT(ADDRESS(249,23))-INDIRECT(ADDRESS(244,24))+INDIRECT(ADDRESS(245,24))-INDIRECT(ADDRESS(248,24)),INDIRECT(ADDRESS(249,23))-INDIRECT(ADDRESS(244,24))+INDIRECT(ADDRESS(247,24))-INDIRECT(ADDRESS(248,24)))</f>
        <v>0</v>
      </c>
      <c r="Y249">
        <f>IF(DAY(NOW())&lt;M3,INDIRECT(ADDRESS(249,24))-INDIRECT(ADDRESS(244,25))+INDIRECT(ADDRESS(245,25))-INDIRECT(ADDRESS(248,25)),INDIRECT(ADDRESS(249,24))-INDIRECT(ADDRESS(244,25))+INDIRECT(ADDRESS(247,25))-INDIRECT(ADDRESS(248,25)))</f>
        <v>0</v>
      </c>
      <c r="Z249">
        <f>IF(DAY(NOW())&lt;M3,INDIRECT(ADDRESS(249,25))-INDIRECT(ADDRESS(244,26))+INDIRECT(ADDRESS(245,26))-INDIRECT(ADDRESS(248,26)),INDIRECT(ADDRESS(249,25))-INDIRECT(ADDRESS(244,26))+INDIRECT(ADDRESS(247,26))-INDIRECT(ADDRESS(248,26)))</f>
        <v>0</v>
      </c>
      <c r="AA249">
        <f>IF(DAY(NOW())&lt;M3,INDIRECT(ADDRESS(249,26))-INDIRECT(ADDRESS(244,27))+INDIRECT(ADDRESS(245,27))-INDIRECT(ADDRESS(248,27)),INDIRECT(ADDRESS(249,26))-INDIRECT(ADDRESS(244,27))+INDIRECT(ADDRESS(247,27))-INDIRECT(ADDRESS(248,27)))</f>
        <v>0</v>
      </c>
      <c r="AB249">
        <f>IF(DAY(NOW())&lt;M3,INDIRECT(ADDRESS(249,27))-INDIRECT(ADDRESS(244,28))+INDIRECT(ADDRESS(245,28))-INDIRECT(ADDRESS(248,28)),INDIRECT(ADDRESS(249,27))-INDIRECT(ADDRESS(244,28))+INDIRECT(ADDRESS(247,28))-INDIRECT(ADDRESS(248,28)))</f>
        <v>0</v>
      </c>
      <c r="AC249">
        <f>IF(DAY(NOW())&lt;M3,INDIRECT(ADDRESS(249,28))-INDIRECT(ADDRESS(244,29))+INDIRECT(ADDRESS(245,29))-INDIRECT(ADDRESS(248,29)),INDIRECT(ADDRESS(249,28))-INDIRECT(ADDRESS(244,29))+INDIRECT(ADDRESS(247,29))-INDIRECT(ADDRESS(248,29)))</f>
        <v>0</v>
      </c>
      <c r="AD249">
        <f>IF(DAY(NOW())&lt;M3,INDIRECT(ADDRESS(249,29))-INDIRECT(ADDRESS(244,30))+INDIRECT(ADDRESS(245,30))-INDIRECT(ADDRESS(248,30)),INDIRECT(ADDRESS(249,29))-INDIRECT(ADDRESS(244,30))+INDIRECT(ADDRESS(247,30))-INDIRECT(ADDRESS(248,30)))</f>
        <v>0</v>
      </c>
      <c r="AE249">
        <f>IF(DAY(NOW())&lt;M3,INDIRECT(ADDRESS(249,30))-INDIRECT(ADDRESS(244,31))+INDIRECT(ADDRESS(245,31))-INDIRECT(ADDRESS(248,31)),INDIRECT(ADDRESS(249,30))-INDIRECT(ADDRESS(244,31))+INDIRECT(ADDRESS(247,31))-INDIRECT(ADDRESS(248,31)))</f>
        <v>0</v>
      </c>
      <c r="AF249">
        <f>IF(DAY(NOW())&lt;M3,INDIRECT(ADDRESS(249,31))-INDIRECT(ADDRESS(244,32))+INDIRECT(ADDRESS(245,32))-INDIRECT(ADDRESS(248,32)),INDIRECT(ADDRESS(249,31))-INDIRECT(ADDRESS(244,32))+INDIRECT(ADDRESS(247,32))-INDIRECT(ADDRESS(248,32)))</f>
        <v>0</v>
      </c>
      <c r="AG249">
        <f>IF(DAY(NOW())&lt;M3,INDIRECT(ADDRESS(249,32))-INDIRECT(ADDRESS(244,33))+INDIRECT(ADDRESS(245,33))-INDIRECT(ADDRESS(248,33)),INDIRECT(ADDRESS(249,32))-INDIRECT(ADDRESS(244,33))+INDIRECT(ADDRESS(247,33))-INDIRECT(ADDRESS(248,33)))</f>
        <v>0</v>
      </c>
      <c r="AH249">
        <f>IF(DAY(NOW())&lt;M3,INDIRECT(ADDRESS(249,33))-INDIRECT(ADDRESS(244,34))+INDIRECT(ADDRESS(245,34))-INDIRECT(ADDRESS(248,34)),INDIRECT(ADDRESS(249,33))-INDIRECT(ADDRESS(244,34))+INDIRECT(ADDRESS(247,34))-INDIRECT(ADDRESS(248,34)))</f>
        <v>0</v>
      </c>
      <c r="AI249">
        <f>IF(DAY(NOW())&lt;M3,INDIRECT(ADDRESS(249,34))-INDIRECT(ADDRESS(244,35))+INDIRECT(ADDRESS(245,35))-INDIRECT(ADDRESS(248,35)),INDIRECT(ADDRESS(249,34))-INDIRECT(ADDRESS(244,35))+INDIRECT(ADDRESS(247,35))-INDIRECT(ADDRESS(248,35)))</f>
        <v>0</v>
      </c>
      <c r="AJ249">
        <f>IF(DAY(NOW())&lt;M3,INDIRECT(ADDRESS(249,35))-INDIRECT(ADDRESS(244,36))+INDIRECT(ADDRESS(245,36))-INDIRECT(ADDRESS(248,36)),INDIRECT(ADDRESS(249,35))-INDIRECT(ADDRESS(244,36))+INDIRECT(ADDRESS(247,36))-INDIRECT(ADDRESS(248,36)))</f>
        <v>0</v>
      </c>
      <c r="AK249">
        <f>IF(DAY(NOW())&lt;M3,INDIRECT(ADDRESS(249,36))-INDIRECT(ADDRESS(244,37))+INDIRECT(ADDRESS(245,37))-INDIRECT(ADDRESS(248,37)),INDIRECT(ADDRESS(249,36))-INDIRECT(ADDRESS(244,37))+INDIRECT(ADDRESS(247,37))-INDIRECT(ADDRESS(248,37)))</f>
        <v>0</v>
      </c>
      <c r="AL249">
        <f>IF(DAY(NOW())&lt;M3,INDIRECT(ADDRESS(249,37))-INDIRECT(ADDRESS(244,38))+INDIRECT(ADDRESS(245,38))-INDIRECT(ADDRESS(248,38)),INDIRECT(ADDRESS(249,37))-INDIRECT(ADDRESS(244,38))+INDIRECT(ADDRESS(247,38))-INDIRECT(ADDRESS(248,38)))</f>
        <v>0</v>
      </c>
      <c r="AM249">
        <f>IF(DAY(NOW())&lt;M3,INDIRECT(ADDRESS(249,38))-INDIRECT(ADDRESS(244,39))+INDIRECT(ADDRESS(245,39))-INDIRECT(ADDRESS(248,39)),INDIRECT(ADDRESS(249,38))-INDIRECT(ADDRESS(244,39))+INDIRECT(ADDRESS(247,39))-INDIRECT(ADDRESS(248,39)))</f>
        <v>0</v>
      </c>
      <c r="AN249">
        <f>IF(DAY(NOW())&lt;M3,INDIRECT(ADDRESS(249,39))-INDIRECT(ADDRESS(244,40))+INDIRECT(ADDRESS(245,40))-INDIRECT(ADDRESS(248,40)),INDIRECT(ADDRESS(249,39))-INDIRECT(ADDRESS(244,40))+INDIRECT(ADDRESS(247,40))-INDIRECT(ADDRESS(248,40)))</f>
        <v>0</v>
      </c>
      <c r="AO249">
        <f>IF(DAY(NOW())&lt;M3,INDIRECT(ADDRESS(249,40))-INDIRECT(ADDRESS(244,41))+INDIRECT(ADDRESS(245,41))-INDIRECT(ADDRESS(248,41)),INDIRECT(ADDRESS(249,40))-INDIRECT(ADDRESS(244,41))+INDIRECT(ADDRESS(247,41))-INDIRECT(ADDRESS(248,41)))</f>
        <v>0</v>
      </c>
      <c r="AP249">
        <f>IF(DAY(NOW())&lt;M3,INDIRECT(ADDRESS(249,41))-INDIRECT(ADDRESS(244,42))+INDIRECT(ADDRESS(245,42))-INDIRECT(ADDRESS(248,42)),INDIRECT(ADDRESS(249,41))-INDIRECT(ADDRESS(244,42))+INDIRECT(ADDRESS(247,42))-INDIRECT(ADDRESS(248,42)))</f>
        <v>0</v>
      </c>
      <c r="AQ249">
        <f>IF(DAY(NOW())&lt;M3,INDIRECT(ADDRESS(249,42))-INDIRECT(ADDRESS(244,43))+INDIRECT(ADDRESS(245,43))-INDIRECT(ADDRESS(248,43)),INDIRECT(ADDRESS(249,42))-INDIRECT(ADDRESS(244,43))+INDIRECT(ADDRESS(247,43))-INDIRECT(ADDRESS(248,43)))</f>
        <v>0</v>
      </c>
      <c r="AR249">
        <f>IF(DAY(NOW())&lt;M3,INDIRECT(ADDRESS(249,43))-INDIRECT(ADDRESS(244,44))+INDIRECT(ADDRESS(245,44))-INDIRECT(ADDRESS(248,44)),INDIRECT(ADDRESS(249,43))-INDIRECT(ADDRESS(244,44))+INDIRECT(ADDRESS(247,44))-INDIRECT(ADDRESS(248,44)))</f>
        <v>0</v>
      </c>
    </row>
    <row r="250" spans="1:76">
      <c r="A250" t="s">
        <v>31</v>
      </c>
      <c r="B250" t="s">
        <v>167</v>
      </c>
      <c r="C250" t="s">
        <v>168</v>
      </c>
      <c r="D250" t="s">
        <v>17</v>
      </c>
      <c r="E250">
        <v>1</v>
      </c>
      <c r="F250" t="s">
        <v>169</v>
      </c>
      <c r="H250" t="s">
        <v>35</v>
      </c>
      <c r="I250" t="s">
        <v>36</v>
      </c>
      <c r="K250" t="s">
        <v>20</v>
      </c>
      <c r="L250" t="s">
        <v>21</v>
      </c>
      <c r="M250">
        <f>sumifs(BOM!m:m,BOM!A:A,".1",BOM!B:B,"852-241000-100")</f>
        <v>0</v>
      </c>
      <c r="N250">
        <f>sumifs(BOM!n:n,BOM!A:A,".1",BOM!B:B,"852-241000-100")</f>
        <v>0</v>
      </c>
      <c r="O250">
        <f>sumifs(BOM!o:o,BOM!A:A,".1",BOM!B:B,"852-241000-100")</f>
        <v>0</v>
      </c>
      <c r="P250">
        <f>sumifs(BOM!p:p,BOM!A:A,".1",BOM!B:B,"852-241000-100")</f>
        <v>0</v>
      </c>
      <c r="Q250">
        <f>sumifs(BOM!q:q,BOM!A:A,".1",BOM!B:B,"852-241000-100")</f>
        <v>0</v>
      </c>
      <c r="R250">
        <f>sumifs(BOM!r:r,BOM!A:A,".1",BOM!B:B,"852-241000-100")</f>
        <v>0</v>
      </c>
      <c r="S250">
        <f>sumifs(BOM!s:s,BOM!A:A,".1",BOM!B:B,"852-241000-100")</f>
        <v>0</v>
      </c>
      <c r="T250">
        <f>sumifs(BOM!t:t,BOM!A:A,".1",BOM!B:B,"852-241000-100")</f>
        <v>0</v>
      </c>
      <c r="U250">
        <f>sumifs(BOM!u:u,BOM!A:A,".1",BOM!B:B,"852-241000-100")</f>
        <v>0</v>
      </c>
      <c r="V250">
        <f>sumifs(BOM!v:v,BOM!A:A,".1",BOM!B:B,"852-241000-100")</f>
        <v>0</v>
      </c>
      <c r="W250">
        <f>sumifs(BOM!w:w,BOM!A:A,".1",BOM!B:B,"852-241000-100")</f>
        <v>0</v>
      </c>
      <c r="X250">
        <f>sumifs(BOM!x:x,BOM!A:A,".1",BOM!B:B,"852-241000-100")</f>
        <v>0</v>
      </c>
      <c r="Y250">
        <f>sumifs(BOM!y:y,BOM!A:A,".1",BOM!B:B,"852-241000-100")</f>
        <v>0</v>
      </c>
      <c r="Z250">
        <f>sumifs(BOM!z:z,BOM!A:A,".1",BOM!B:B,"852-241000-100")</f>
        <v>0</v>
      </c>
      <c r="AA250">
        <f>sumifs(BOM!aa:aa,BOM!A:A,".1",BOM!B:B,"852-241000-100")</f>
        <v>0</v>
      </c>
      <c r="AB250">
        <f>sumifs(BOM!ab:ab,BOM!A:A,".1",BOM!B:B,"852-241000-100")</f>
        <v>0</v>
      </c>
      <c r="AC250">
        <f>sumifs(BOM!ac:ac,BOM!A:A,".1",BOM!B:B,"852-241000-100")</f>
        <v>0</v>
      </c>
      <c r="AD250">
        <f>sumifs(BOM!ad:ad,BOM!A:A,".1",BOM!B:B,"852-241000-100")</f>
        <v>0</v>
      </c>
      <c r="AE250">
        <f>sumifs(BOM!ae:ae,BOM!A:A,".1",BOM!B:B,"852-241000-100")</f>
        <v>0</v>
      </c>
      <c r="AF250">
        <f>sumifs(BOM!af:af,BOM!A:A,".1",BOM!B:B,"852-241000-100")</f>
        <v>0</v>
      </c>
      <c r="AG250">
        <f>sumifs(BOM!ag:ag,BOM!A:A,".1",BOM!B:B,"852-241000-100")</f>
        <v>0</v>
      </c>
      <c r="AH250">
        <f>sumifs(BOM!ah:ah,BOM!A:A,".1",BOM!B:B,"852-241000-100")</f>
        <v>0</v>
      </c>
      <c r="AI250">
        <f>sumifs(BOM!ai:ai,BOM!A:A,".1",BOM!B:B,"852-241000-100")</f>
        <v>0</v>
      </c>
      <c r="AJ250">
        <f>sumifs(BOM!aj:aj,BOM!A:A,".1",BOM!B:B,"852-241000-100")</f>
        <v>0</v>
      </c>
      <c r="AK250">
        <f>sumifs(BOM!ak:ak,BOM!A:A,".1",BOM!B:B,"852-241000-100")</f>
        <v>0</v>
      </c>
      <c r="AL250">
        <f>sumifs(BOM!al:al,BOM!A:A,".1",BOM!B:B,"852-241000-100")</f>
        <v>0</v>
      </c>
      <c r="AM250">
        <f>sumifs(BOM!am:am,BOM!A:A,".1",BOM!B:B,"852-241000-100")</f>
        <v>0</v>
      </c>
      <c r="AN250">
        <f>sumifs(BOM!an:an,BOM!A:A,".1",BOM!B:B,"852-241000-100")</f>
        <v>0</v>
      </c>
      <c r="AO250">
        <f>sumifs(BOM!ao:ao,BOM!A:A,".1",BOM!B:B,"852-241000-100")</f>
        <v>0</v>
      </c>
      <c r="AP250">
        <f>sumifs(BOM!ap:ap,BOM!A:A,".1",BOM!B:B,"852-241000-100")</f>
        <v>0</v>
      </c>
      <c r="AQ250">
        <f>sumifs(BOM!aq:aq,BOM!A:A,".1",BOM!B:B,"852-241000-100")</f>
        <v>0</v>
      </c>
      <c r="AR250">
        <f>sumifs(BOM!ar:ar,BOM!A:A,".1",BOM!B:B,"852-241000-100")</f>
        <v>0</v>
      </c>
      <c r="BX250">
        <f>sum(j250:an250)</f>
        <v>0</v>
      </c>
    </row>
    <row r="251" spans="1:76">
      <c r="A251" t="s">
        <v>31</v>
      </c>
      <c r="B251" t="s">
        <v>167</v>
      </c>
      <c r="C251" t="s">
        <v>168</v>
      </c>
      <c r="D251" t="s">
        <v>17</v>
      </c>
      <c r="E251">
        <v>1</v>
      </c>
      <c r="F251" t="s">
        <v>169</v>
      </c>
      <c r="H251" t="s">
        <v>35</v>
      </c>
      <c r="I251" t="s">
        <v>36</v>
      </c>
      <c r="K251" t="s">
        <v>20</v>
      </c>
      <c r="L251" t="s">
        <v>37</v>
      </c>
    </row>
    <row r="252" spans="1:76">
      <c r="L252" t="s">
        <v>662</v>
      </c>
    </row>
    <row r="253" spans="1:76">
      <c r="L253" t="s">
        <v>663</v>
      </c>
    </row>
    <row r="254" spans="1:76">
      <c r="L254" t="s">
        <v>664</v>
      </c>
    </row>
    <row r="255" spans="1:76">
      <c r="L255" t="s">
        <v>665</v>
      </c>
      <c r="M255">
        <f>IF(DAY(NOW())&lt;M3,INDIRECT(ADDRESS(255,7))-INDIRECT(ADDRESS(250,13))+INDIRECT(ADDRESS(251,13))-INDIRECT(ADDRESS(254,13)),INDIRECT(ADDRESS(255,7))-INDIRECT(ADDRESS(250,13))+INDIRECT(ADDRESS(253,13))-INDIRECT(ADDRESS(254,13)))</f>
        <v>0</v>
      </c>
      <c r="N255">
        <f>IF(DAY(NOW())&lt;M3,INDIRECT(ADDRESS(255,13))-INDIRECT(ADDRESS(250,14))+INDIRECT(ADDRESS(251,14))-INDIRECT(ADDRESS(254,14)),INDIRECT(ADDRESS(255,13))-INDIRECT(ADDRESS(250,14))+INDIRECT(ADDRESS(253,14))-INDIRECT(ADDRESS(254,14)))</f>
        <v>0</v>
      </c>
      <c r="O255">
        <f>IF(DAY(NOW())&lt;M3,INDIRECT(ADDRESS(255,14))-INDIRECT(ADDRESS(250,15))+INDIRECT(ADDRESS(251,15))-INDIRECT(ADDRESS(254,15)),INDIRECT(ADDRESS(255,14))-INDIRECT(ADDRESS(250,15))+INDIRECT(ADDRESS(253,15))-INDIRECT(ADDRESS(254,15)))</f>
        <v>0</v>
      </c>
      <c r="P255">
        <f>IF(DAY(NOW())&lt;M3,INDIRECT(ADDRESS(255,15))-INDIRECT(ADDRESS(250,16))+INDIRECT(ADDRESS(251,16))-INDIRECT(ADDRESS(254,16)),INDIRECT(ADDRESS(255,15))-INDIRECT(ADDRESS(250,16))+INDIRECT(ADDRESS(253,16))-INDIRECT(ADDRESS(254,16)))</f>
        <v>0</v>
      </c>
      <c r="Q255">
        <f>IF(DAY(NOW())&lt;M3,INDIRECT(ADDRESS(255,16))-INDIRECT(ADDRESS(250,17))+INDIRECT(ADDRESS(251,17))-INDIRECT(ADDRESS(254,17)),INDIRECT(ADDRESS(255,16))-INDIRECT(ADDRESS(250,17))+INDIRECT(ADDRESS(253,17))-INDIRECT(ADDRESS(254,17)))</f>
        <v>0</v>
      </c>
      <c r="R255">
        <f>IF(DAY(NOW())&lt;M3,INDIRECT(ADDRESS(255,17))-INDIRECT(ADDRESS(250,18))+INDIRECT(ADDRESS(251,18))-INDIRECT(ADDRESS(254,18)),INDIRECT(ADDRESS(255,17))-INDIRECT(ADDRESS(250,18))+INDIRECT(ADDRESS(253,18))-INDIRECT(ADDRESS(254,18)))</f>
        <v>0</v>
      </c>
      <c r="S255">
        <f>IF(DAY(NOW())&lt;M3,INDIRECT(ADDRESS(255,18))-INDIRECT(ADDRESS(250,19))+INDIRECT(ADDRESS(251,19))-INDIRECT(ADDRESS(254,19)),INDIRECT(ADDRESS(255,18))-INDIRECT(ADDRESS(250,19))+INDIRECT(ADDRESS(253,19))-INDIRECT(ADDRESS(254,19)))</f>
        <v>0</v>
      </c>
      <c r="T255">
        <f>IF(DAY(NOW())&lt;M3,INDIRECT(ADDRESS(255,19))-INDIRECT(ADDRESS(250,20))+INDIRECT(ADDRESS(251,20))-INDIRECT(ADDRESS(254,20)),INDIRECT(ADDRESS(255,19))-INDIRECT(ADDRESS(250,20))+INDIRECT(ADDRESS(253,20))-INDIRECT(ADDRESS(254,20)))</f>
        <v>0</v>
      </c>
      <c r="U255">
        <f>IF(DAY(NOW())&lt;M3,INDIRECT(ADDRESS(255,20))-INDIRECT(ADDRESS(250,21))+INDIRECT(ADDRESS(251,21))-INDIRECT(ADDRESS(254,21)),INDIRECT(ADDRESS(255,20))-INDIRECT(ADDRESS(250,21))+INDIRECT(ADDRESS(253,21))-INDIRECT(ADDRESS(254,21)))</f>
        <v>0</v>
      </c>
      <c r="V255">
        <f>IF(DAY(NOW())&lt;M3,INDIRECT(ADDRESS(255,21))-INDIRECT(ADDRESS(250,22))+INDIRECT(ADDRESS(251,22))-INDIRECT(ADDRESS(254,22)),INDIRECT(ADDRESS(255,21))-INDIRECT(ADDRESS(250,22))+INDIRECT(ADDRESS(253,22))-INDIRECT(ADDRESS(254,22)))</f>
        <v>0</v>
      </c>
      <c r="W255">
        <f>IF(DAY(NOW())&lt;M3,INDIRECT(ADDRESS(255,22))-INDIRECT(ADDRESS(250,23))+INDIRECT(ADDRESS(251,23))-INDIRECT(ADDRESS(254,23)),INDIRECT(ADDRESS(255,22))-INDIRECT(ADDRESS(250,23))+INDIRECT(ADDRESS(253,23))-INDIRECT(ADDRESS(254,23)))</f>
        <v>0</v>
      </c>
      <c r="X255">
        <f>IF(DAY(NOW())&lt;M3,INDIRECT(ADDRESS(255,23))-INDIRECT(ADDRESS(250,24))+INDIRECT(ADDRESS(251,24))-INDIRECT(ADDRESS(254,24)),INDIRECT(ADDRESS(255,23))-INDIRECT(ADDRESS(250,24))+INDIRECT(ADDRESS(253,24))-INDIRECT(ADDRESS(254,24)))</f>
        <v>0</v>
      </c>
      <c r="Y255">
        <f>IF(DAY(NOW())&lt;M3,INDIRECT(ADDRESS(255,24))-INDIRECT(ADDRESS(250,25))+INDIRECT(ADDRESS(251,25))-INDIRECT(ADDRESS(254,25)),INDIRECT(ADDRESS(255,24))-INDIRECT(ADDRESS(250,25))+INDIRECT(ADDRESS(253,25))-INDIRECT(ADDRESS(254,25)))</f>
        <v>0</v>
      </c>
      <c r="Z255">
        <f>IF(DAY(NOW())&lt;M3,INDIRECT(ADDRESS(255,25))-INDIRECT(ADDRESS(250,26))+INDIRECT(ADDRESS(251,26))-INDIRECT(ADDRESS(254,26)),INDIRECT(ADDRESS(255,25))-INDIRECT(ADDRESS(250,26))+INDIRECT(ADDRESS(253,26))-INDIRECT(ADDRESS(254,26)))</f>
        <v>0</v>
      </c>
      <c r="AA255">
        <f>IF(DAY(NOW())&lt;M3,INDIRECT(ADDRESS(255,26))-INDIRECT(ADDRESS(250,27))+INDIRECT(ADDRESS(251,27))-INDIRECT(ADDRESS(254,27)),INDIRECT(ADDRESS(255,26))-INDIRECT(ADDRESS(250,27))+INDIRECT(ADDRESS(253,27))-INDIRECT(ADDRESS(254,27)))</f>
        <v>0</v>
      </c>
      <c r="AB255">
        <f>IF(DAY(NOW())&lt;M3,INDIRECT(ADDRESS(255,27))-INDIRECT(ADDRESS(250,28))+INDIRECT(ADDRESS(251,28))-INDIRECT(ADDRESS(254,28)),INDIRECT(ADDRESS(255,27))-INDIRECT(ADDRESS(250,28))+INDIRECT(ADDRESS(253,28))-INDIRECT(ADDRESS(254,28)))</f>
        <v>0</v>
      </c>
      <c r="AC255">
        <f>IF(DAY(NOW())&lt;M3,INDIRECT(ADDRESS(255,28))-INDIRECT(ADDRESS(250,29))+INDIRECT(ADDRESS(251,29))-INDIRECT(ADDRESS(254,29)),INDIRECT(ADDRESS(255,28))-INDIRECT(ADDRESS(250,29))+INDIRECT(ADDRESS(253,29))-INDIRECT(ADDRESS(254,29)))</f>
        <v>0</v>
      </c>
      <c r="AD255">
        <f>IF(DAY(NOW())&lt;M3,INDIRECT(ADDRESS(255,29))-INDIRECT(ADDRESS(250,30))+INDIRECT(ADDRESS(251,30))-INDIRECT(ADDRESS(254,30)),INDIRECT(ADDRESS(255,29))-INDIRECT(ADDRESS(250,30))+INDIRECT(ADDRESS(253,30))-INDIRECT(ADDRESS(254,30)))</f>
        <v>0</v>
      </c>
      <c r="AE255">
        <f>IF(DAY(NOW())&lt;M3,INDIRECT(ADDRESS(255,30))-INDIRECT(ADDRESS(250,31))+INDIRECT(ADDRESS(251,31))-INDIRECT(ADDRESS(254,31)),INDIRECT(ADDRESS(255,30))-INDIRECT(ADDRESS(250,31))+INDIRECT(ADDRESS(253,31))-INDIRECT(ADDRESS(254,31)))</f>
        <v>0</v>
      </c>
      <c r="AF255">
        <f>IF(DAY(NOW())&lt;M3,INDIRECT(ADDRESS(255,31))-INDIRECT(ADDRESS(250,32))+INDIRECT(ADDRESS(251,32))-INDIRECT(ADDRESS(254,32)),INDIRECT(ADDRESS(255,31))-INDIRECT(ADDRESS(250,32))+INDIRECT(ADDRESS(253,32))-INDIRECT(ADDRESS(254,32)))</f>
        <v>0</v>
      </c>
      <c r="AG255">
        <f>IF(DAY(NOW())&lt;M3,INDIRECT(ADDRESS(255,32))-INDIRECT(ADDRESS(250,33))+INDIRECT(ADDRESS(251,33))-INDIRECT(ADDRESS(254,33)),INDIRECT(ADDRESS(255,32))-INDIRECT(ADDRESS(250,33))+INDIRECT(ADDRESS(253,33))-INDIRECT(ADDRESS(254,33)))</f>
        <v>0</v>
      </c>
      <c r="AH255">
        <f>IF(DAY(NOW())&lt;M3,INDIRECT(ADDRESS(255,33))-INDIRECT(ADDRESS(250,34))+INDIRECT(ADDRESS(251,34))-INDIRECT(ADDRESS(254,34)),INDIRECT(ADDRESS(255,33))-INDIRECT(ADDRESS(250,34))+INDIRECT(ADDRESS(253,34))-INDIRECT(ADDRESS(254,34)))</f>
        <v>0</v>
      </c>
      <c r="AI255">
        <f>IF(DAY(NOW())&lt;M3,INDIRECT(ADDRESS(255,34))-INDIRECT(ADDRESS(250,35))+INDIRECT(ADDRESS(251,35))-INDIRECT(ADDRESS(254,35)),INDIRECT(ADDRESS(255,34))-INDIRECT(ADDRESS(250,35))+INDIRECT(ADDRESS(253,35))-INDIRECT(ADDRESS(254,35)))</f>
        <v>0</v>
      </c>
      <c r="AJ255">
        <f>IF(DAY(NOW())&lt;M3,INDIRECT(ADDRESS(255,35))-INDIRECT(ADDRESS(250,36))+INDIRECT(ADDRESS(251,36))-INDIRECT(ADDRESS(254,36)),INDIRECT(ADDRESS(255,35))-INDIRECT(ADDRESS(250,36))+INDIRECT(ADDRESS(253,36))-INDIRECT(ADDRESS(254,36)))</f>
        <v>0</v>
      </c>
      <c r="AK255">
        <f>IF(DAY(NOW())&lt;M3,INDIRECT(ADDRESS(255,36))-INDIRECT(ADDRESS(250,37))+INDIRECT(ADDRESS(251,37))-INDIRECT(ADDRESS(254,37)),INDIRECT(ADDRESS(255,36))-INDIRECT(ADDRESS(250,37))+INDIRECT(ADDRESS(253,37))-INDIRECT(ADDRESS(254,37)))</f>
        <v>0</v>
      </c>
      <c r="AL255">
        <f>IF(DAY(NOW())&lt;M3,INDIRECT(ADDRESS(255,37))-INDIRECT(ADDRESS(250,38))+INDIRECT(ADDRESS(251,38))-INDIRECT(ADDRESS(254,38)),INDIRECT(ADDRESS(255,37))-INDIRECT(ADDRESS(250,38))+INDIRECT(ADDRESS(253,38))-INDIRECT(ADDRESS(254,38)))</f>
        <v>0</v>
      </c>
      <c r="AM255">
        <f>IF(DAY(NOW())&lt;M3,INDIRECT(ADDRESS(255,38))-INDIRECT(ADDRESS(250,39))+INDIRECT(ADDRESS(251,39))-INDIRECT(ADDRESS(254,39)),INDIRECT(ADDRESS(255,38))-INDIRECT(ADDRESS(250,39))+INDIRECT(ADDRESS(253,39))-INDIRECT(ADDRESS(254,39)))</f>
        <v>0</v>
      </c>
      <c r="AN255">
        <f>IF(DAY(NOW())&lt;M3,INDIRECT(ADDRESS(255,39))-INDIRECT(ADDRESS(250,40))+INDIRECT(ADDRESS(251,40))-INDIRECT(ADDRESS(254,40)),INDIRECT(ADDRESS(255,39))-INDIRECT(ADDRESS(250,40))+INDIRECT(ADDRESS(253,40))-INDIRECT(ADDRESS(254,40)))</f>
        <v>0</v>
      </c>
      <c r="AO255">
        <f>IF(DAY(NOW())&lt;M3,INDIRECT(ADDRESS(255,40))-INDIRECT(ADDRESS(250,41))+INDIRECT(ADDRESS(251,41))-INDIRECT(ADDRESS(254,41)),INDIRECT(ADDRESS(255,40))-INDIRECT(ADDRESS(250,41))+INDIRECT(ADDRESS(253,41))-INDIRECT(ADDRESS(254,41)))</f>
        <v>0</v>
      </c>
      <c r="AP255">
        <f>IF(DAY(NOW())&lt;M3,INDIRECT(ADDRESS(255,41))-INDIRECT(ADDRESS(250,42))+INDIRECT(ADDRESS(251,42))-INDIRECT(ADDRESS(254,42)),INDIRECT(ADDRESS(255,41))-INDIRECT(ADDRESS(250,42))+INDIRECT(ADDRESS(253,42))-INDIRECT(ADDRESS(254,42)))</f>
        <v>0</v>
      </c>
      <c r="AQ255">
        <f>IF(DAY(NOW())&lt;M3,INDIRECT(ADDRESS(255,42))-INDIRECT(ADDRESS(250,43))+INDIRECT(ADDRESS(251,43))-INDIRECT(ADDRESS(254,43)),INDIRECT(ADDRESS(255,42))-INDIRECT(ADDRESS(250,43))+INDIRECT(ADDRESS(253,43))-INDIRECT(ADDRESS(254,43)))</f>
        <v>0</v>
      </c>
      <c r="AR255">
        <f>IF(DAY(NOW())&lt;M3,INDIRECT(ADDRESS(255,43))-INDIRECT(ADDRESS(250,44))+INDIRECT(ADDRESS(251,44))-INDIRECT(ADDRESS(254,44)),INDIRECT(ADDRESS(255,43))-INDIRECT(ADDRESS(250,44))+INDIRECT(ADDRESS(253,44))-INDIRECT(ADDRESS(254,44)))</f>
        <v>0</v>
      </c>
    </row>
    <row r="256" spans="1:76">
      <c r="A256" t="s">
        <v>14</v>
      </c>
      <c r="B256" t="s">
        <v>170</v>
      </c>
      <c r="C256" t="s">
        <v>171</v>
      </c>
      <c r="D256" t="s">
        <v>163</v>
      </c>
      <c r="E256">
        <v>1</v>
      </c>
      <c r="F256" t="s">
        <v>172</v>
      </c>
      <c r="H256" t="s">
        <v>165</v>
      </c>
      <c r="I256" t="s">
        <v>166</v>
      </c>
      <c r="K256" t="s">
        <v>20</v>
      </c>
      <c r="L256" t="s">
        <v>21</v>
      </c>
      <c r="BX256">
        <f>sum(j256:an256)</f>
        <v>0</v>
      </c>
    </row>
    <row r="257" spans="1:76">
      <c r="A257" t="s">
        <v>14</v>
      </c>
      <c r="B257" t="s">
        <v>170</v>
      </c>
      <c r="C257" t="s">
        <v>171</v>
      </c>
      <c r="D257" t="s">
        <v>163</v>
      </c>
      <c r="E257">
        <v>1</v>
      </c>
      <c r="F257" t="s">
        <v>172</v>
      </c>
      <c r="H257" t="s">
        <v>165</v>
      </c>
      <c r="I257" t="s">
        <v>166</v>
      </c>
      <c r="K257" t="s">
        <v>20</v>
      </c>
      <c r="L257" t="s">
        <v>37</v>
      </c>
    </row>
    <row r="258" spans="1:76">
      <c r="L258" t="s">
        <v>662</v>
      </c>
    </row>
    <row r="259" spans="1:76">
      <c r="L259" t="s">
        <v>663</v>
      </c>
    </row>
    <row r="260" spans="1:76">
      <c r="L260" t="s">
        <v>664</v>
      </c>
    </row>
    <row r="261" spans="1:76">
      <c r="L261" t="s">
        <v>665</v>
      </c>
      <c r="M261">
        <f>IF(DAY(NOW())&lt;M3,INDIRECT(ADDRESS(261,7))-INDIRECT(ADDRESS(256,13))+INDIRECT(ADDRESS(257,13))-INDIRECT(ADDRESS(260,13)),INDIRECT(ADDRESS(261,7))-INDIRECT(ADDRESS(256,13))+INDIRECT(ADDRESS(259,13))-INDIRECT(ADDRESS(260,13)))</f>
        <v>0</v>
      </c>
      <c r="N261">
        <f>IF(DAY(NOW())&lt;M3,INDIRECT(ADDRESS(261,13))-INDIRECT(ADDRESS(256,14))+INDIRECT(ADDRESS(257,14))-INDIRECT(ADDRESS(260,14)),INDIRECT(ADDRESS(261,13))-INDIRECT(ADDRESS(256,14))+INDIRECT(ADDRESS(259,14))-INDIRECT(ADDRESS(260,14)))</f>
        <v>0</v>
      </c>
      <c r="O261">
        <f>IF(DAY(NOW())&lt;M3,INDIRECT(ADDRESS(261,14))-INDIRECT(ADDRESS(256,15))+INDIRECT(ADDRESS(257,15))-INDIRECT(ADDRESS(260,15)),INDIRECT(ADDRESS(261,14))-INDIRECT(ADDRESS(256,15))+INDIRECT(ADDRESS(259,15))-INDIRECT(ADDRESS(260,15)))</f>
        <v>0</v>
      </c>
      <c r="P261">
        <f>IF(DAY(NOW())&lt;M3,INDIRECT(ADDRESS(261,15))-INDIRECT(ADDRESS(256,16))+INDIRECT(ADDRESS(257,16))-INDIRECT(ADDRESS(260,16)),INDIRECT(ADDRESS(261,15))-INDIRECT(ADDRESS(256,16))+INDIRECT(ADDRESS(259,16))-INDIRECT(ADDRESS(260,16)))</f>
        <v>0</v>
      </c>
      <c r="Q261">
        <f>IF(DAY(NOW())&lt;M3,INDIRECT(ADDRESS(261,16))-INDIRECT(ADDRESS(256,17))+INDIRECT(ADDRESS(257,17))-INDIRECT(ADDRESS(260,17)),INDIRECT(ADDRESS(261,16))-INDIRECT(ADDRESS(256,17))+INDIRECT(ADDRESS(259,17))-INDIRECT(ADDRESS(260,17)))</f>
        <v>0</v>
      </c>
      <c r="R261">
        <f>IF(DAY(NOW())&lt;M3,INDIRECT(ADDRESS(261,17))-INDIRECT(ADDRESS(256,18))+INDIRECT(ADDRESS(257,18))-INDIRECT(ADDRESS(260,18)),INDIRECT(ADDRESS(261,17))-INDIRECT(ADDRESS(256,18))+INDIRECT(ADDRESS(259,18))-INDIRECT(ADDRESS(260,18)))</f>
        <v>0</v>
      </c>
      <c r="S261">
        <f>IF(DAY(NOW())&lt;M3,INDIRECT(ADDRESS(261,18))-INDIRECT(ADDRESS(256,19))+INDIRECT(ADDRESS(257,19))-INDIRECT(ADDRESS(260,19)),INDIRECT(ADDRESS(261,18))-INDIRECT(ADDRESS(256,19))+INDIRECT(ADDRESS(259,19))-INDIRECT(ADDRESS(260,19)))</f>
        <v>0</v>
      </c>
      <c r="T261">
        <f>IF(DAY(NOW())&lt;M3,INDIRECT(ADDRESS(261,19))-INDIRECT(ADDRESS(256,20))+INDIRECT(ADDRESS(257,20))-INDIRECT(ADDRESS(260,20)),INDIRECT(ADDRESS(261,19))-INDIRECT(ADDRESS(256,20))+INDIRECT(ADDRESS(259,20))-INDIRECT(ADDRESS(260,20)))</f>
        <v>0</v>
      </c>
      <c r="U261">
        <f>IF(DAY(NOW())&lt;M3,INDIRECT(ADDRESS(261,20))-INDIRECT(ADDRESS(256,21))+INDIRECT(ADDRESS(257,21))-INDIRECT(ADDRESS(260,21)),INDIRECT(ADDRESS(261,20))-INDIRECT(ADDRESS(256,21))+INDIRECT(ADDRESS(259,21))-INDIRECT(ADDRESS(260,21)))</f>
        <v>0</v>
      </c>
      <c r="V261">
        <f>IF(DAY(NOW())&lt;M3,INDIRECT(ADDRESS(261,21))-INDIRECT(ADDRESS(256,22))+INDIRECT(ADDRESS(257,22))-INDIRECT(ADDRESS(260,22)),INDIRECT(ADDRESS(261,21))-INDIRECT(ADDRESS(256,22))+INDIRECT(ADDRESS(259,22))-INDIRECT(ADDRESS(260,22)))</f>
        <v>0</v>
      </c>
      <c r="W261">
        <f>IF(DAY(NOW())&lt;M3,INDIRECT(ADDRESS(261,22))-INDIRECT(ADDRESS(256,23))+INDIRECT(ADDRESS(257,23))-INDIRECT(ADDRESS(260,23)),INDIRECT(ADDRESS(261,22))-INDIRECT(ADDRESS(256,23))+INDIRECT(ADDRESS(259,23))-INDIRECT(ADDRESS(260,23)))</f>
        <v>0</v>
      </c>
      <c r="X261">
        <f>IF(DAY(NOW())&lt;M3,INDIRECT(ADDRESS(261,23))-INDIRECT(ADDRESS(256,24))+INDIRECT(ADDRESS(257,24))-INDIRECT(ADDRESS(260,24)),INDIRECT(ADDRESS(261,23))-INDIRECT(ADDRESS(256,24))+INDIRECT(ADDRESS(259,24))-INDIRECT(ADDRESS(260,24)))</f>
        <v>0</v>
      </c>
      <c r="Y261">
        <f>IF(DAY(NOW())&lt;M3,INDIRECT(ADDRESS(261,24))-INDIRECT(ADDRESS(256,25))+INDIRECT(ADDRESS(257,25))-INDIRECT(ADDRESS(260,25)),INDIRECT(ADDRESS(261,24))-INDIRECT(ADDRESS(256,25))+INDIRECT(ADDRESS(259,25))-INDIRECT(ADDRESS(260,25)))</f>
        <v>0</v>
      </c>
      <c r="Z261">
        <f>IF(DAY(NOW())&lt;M3,INDIRECT(ADDRESS(261,25))-INDIRECT(ADDRESS(256,26))+INDIRECT(ADDRESS(257,26))-INDIRECT(ADDRESS(260,26)),INDIRECT(ADDRESS(261,25))-INDIRECT(ADDRESS(256,26))+INDIRECT(ADDRESS(259,26))-INDIRECT(ADDRESS(260,26)))</f>
        <v>0</v>
      </c>
      <c r="AA261">
        <f>IF(DAY(NOW())&lt;M3,INDIRECT(ADDRESS(261,26))-INDIRECT(ADDRESS(256,27))+INDIRECT(ADDRESS(257,27))-INDIRECT(ADDRESS(260,27)),INDIRECT(ADDRESS(261,26))-INDIRECT(ADDRESS(256,27))+INDIRECT(ADDRESS(259,27))-INDIRECT(ADDRESS(260,27)))</f>
        <v>0</v>
      </c>
      <c r="AB261">
        <f>IF(DAY(NOW())&lt;M3,INDIRECT(ADDRESS(261,27))-INDIRECT(ADDRESS(256,28))+INDIRECT(ADDRESS(257,28))-INDIRECT(ADDRESS(260,28)),INDIRECT(ADDRESS(261,27))-INDIRECT(ADDRESS(256,28))+INDIRECT(ADDRESS(259,28))-INDIRECT(ADDRESS(260,28)))</f>
        <v>0</v>
      </c>
      <c r="AC261">
        <f>IF(DAY(NOW())&lt;M3,INDIRECT(ADDRESS(261,28))-INDIRECT(ADDRESS(256,29))+INDIRECT(ADDRESS(257,29))-INDIRECT(ADDRESS(260,29)),INDIRECT(ADDRESS(261,28))-INDIRECT(ADDRESS(256,29))+INDIRECT(ADDRESS(259,29))-INDIRECT(ADDRESS(260,29)))</f>
        <v>0</v>
      </c>
      <c r="AD261">
        <f>IF(DAY(NOW())&lt;M3,INDIRECT(ADDRESS(261,29))-INDIRECT(ADDRESS(256,30))+INDIRECT(ADDRESS(257,30))-INDIRECT(ADDRESS(260,30)),INDIRECT(ADDRESS(261,29))-INDIRECT(ADDRESS(256,30))+INDIRECT(ADDRESS(259,30))-INDIRECT(ADDRESS(260,30)))</f>
        <v>0</v>
      </c>
      <c r="AE261">
        <f>IF(DAY(NOW())&lt;M3,INDIRECT(ADDRESS(261,30))-INDIRECT(ADDRESS(256,31))+INDIRECT(ADDRESS(257,31))-INDIRECT(ADDRESS(260,31)),INDIRECT(ADDRESS(261,30))-INDIRECT(ADDRESS(256,31))+INDIRECT(ADDRESS(259,31))-INDIRECT(ADDRESS(260,31)))</f>
        <v>0</v>
      </c>
      <c r="AF261">
        <f>IF(DAY(NOW())&lt;M3,INDIRECT(ADDRESS(261,31))-INDIRECT(ADDRESS(256,32))+INDIRECT(ADDRESS(257,32))-INDIRECT(ADDRESS(260,32)),INDIRECT(ADDRESS(261,31))-INDIRECT(ADDRESS(256,32))+INDIRECT(ADDRESS(259,32))-INDIRECT(ADDRESS(260,32)))</f>
        <v>0</v>
      </c>
      <c r="AG261">
        <f>IF(DAY(NOW())&lt;M3,INDIRECT(ADDRESS(261,32))-INDIRECT(ADDRESS(256,33))+INDIRECT(ADDRESS(257,33))-INDIRECT(ADDRESS(260,33)),INDIRECT(ADDRESS(261,32))-INDIRECT(ADDRESS(256,33))+INDIRECT(ADDRESS(259,33))-INDIRECT(ADDRESS(260,33)))</f>
        <v>0</v>
      </c>
      <c r="AH261">
        <f>IF(DAY(NOW())&lt;M3,INDIRECT(ADDRESS(261,33))-INDIRECT(ADDRESS(256,34))+INDIRECT(ADDRESS(257,34))-INDIRECT(ADDRESS(260,34)),INDIRECT(ADDRESS(261,33))-INDIRECT(ADDRESS(256,34))+INDIRECT(ADDRESS(259,34))-INDIRECT(ADDRESS(260,34)))</f>
        <v>0</v>
      </c>
      <c r="AI261">
        <f>IF(DAY(NOW())&lt;M3,INDIRECT(ADDRESS(261,34))-INDIRECT(ADDRESS(256,35))+INDIRECT(ADDRESS(257,35))-INDIRECT(ADDRESS(260,35)),INDIRECT(ADDRESS(261,34))-INDIRECT(ADDRESS(256,35))+INDIRECT(ADDRESS(259,35))-INDIRECT(ADDRESS(260,35)))</f>
        <v>0</v>
      </c>
      <c r="AJ261">
        <f>IF(DAY(NOW())&lt;M3,INDIRECT(ADDRESS(261,35))-INDIRECT(ADDRESS(256,36))+INDIRECT(ADDRESS(257,36))-INDIRECT(ADDRESS(260,36)),INDIRECT(ADDRESS(261,35))-INDIRECT(ADDRESS(256,36))+INDIRECT(ADDRESS(259,36))-INDIRECT(ADDRESS(260,36)))</f>
        <v>0</v>
      </c>
      <c r="AK261">
        <f>IF(DAY(NOW())&lt;M3,INDIRECT(ADDRESS(261,36))-INDIRECT(ADDRESS(256,37))+INDIRECT(ADDRESS(257,37))-INDIRECT(ADDRESS(260,37)),INDIRECT(ADDRESS(261,36))-INDIRECT(ADDRESS(256,37))+INDIRECT(ADDRESS(259,37))-INDIRECT(ADDRESS(260,37)))</f>
        <v>0</v>
      </c>
      <c r="AL261">
        <f>IF(DAY(NOW())&lt;M3,INDIRECT(ADDRESS(261,37))-INDIRECT(ADDRESS(256,38))+INDIRECT(ADDRESS(257,38))-INDIRECT(ADDRESS(260,38)),INDIRECT(ADDRESS(261,37))-INDIRECT(ADDRESS(256,38))+INDIRECT(ADDRESS(259,38))-INDIRECT(ADDRESS(260,38)))</f>
        <v>0</v>
      </c>
      <c r="AM261">
        <f>IF(DAY(NOW())&lt;M3,INDIRECT(ADDRESS(261,38))-INDIRECT(ADDRESS(256,39))+INDIRECT(ADDRESS(257,39))-INDIRECT(ADDRESS(260,39)),INDIRECT(ADDRESS(261,38))-INDIRECT(ADDRESS(256,39))+INDIRECT(ADDRESS(259,39))-INDIRECT(ADDRESS(260,39)))</f>
        <v>0</v>
      </c>
      <c r="AN261">
        <f>IF(DAY(NOW())&lt;M3,INDIRECT(ADDRESS(261,39))-INDIRECT(ADDRESS(256,40))+INDIRECT(ADDRESS(257,40))-INDIRECT(ADDRESS(260,40)),INDIRECT(ADDRESS(261,39))-INDIRECT(ADDRESS(256,40))+INDIRECT(ADDRESS(259,40))-INDIRECT(ADDRESS(260,40)))</f>
        <v>0</v>
      </c>
      <c r="AO261">
        <f>IF(DAY(NOW())&lt;M3,INDIRECT(ADDRESS(261,40))-INDIRECT(ADDRESS(256,41))+INDIRECT(ADDRESS(257,41))-INDIRECT(ADDRESS(260,41)),INDIRECT(ADDRESS(261,40))-INDIRECT(ADDRESS(256,41))+INDIRECT(ADDRESS(259,41))-INDIRECT(ADDRESS(260,41)))</f>
        <v>0</v>
      </c>
      <c r="AP261">
        <f>IF(DAY(NOW())&lt;M3,INDIRECT(ADDRESS(261,41))-INDIRECT(ADDRESS(256,42))+INDIRECT(ADDRESS(257,42))-INDIRECT(ADDRESS(260,42)),INDIRECT(ADDRESS(261,41))-INDIRECT(ADDRESS(256,42))+INDIRECT(ADDRESS(259,42))-INDIRECT(ADDRESS(260,42)))</f>
        <v>0</v>
      </c>
      <c r="AQ261">
        <f>IF(DAY(NOW())&lt;M3,INDIRECT(ADDRESS(261,42))-INDIRECT(ADDRESS(256,43))+INDIRECT(ADDRESS(257,43))-INDIRECT(ADDRESS(260,43)),INDIRECT(ADDRESS(261,42))-INDIRECT(ADDRESS(256,43))+INDIRECT(ADDRESS(259,43))-INDIRECT(ADDRESS(260,43)))</f>
        <v>0</v>
      </c>
      <c r="AR261">
        <f>IF(DAY(NOW())&lt;M3,INDIRECT(ADDRESS(261,43))-INDIRECT(ADDRESS(256,44))+INDIRECT(ADDRESS(257,44))-INDIRECT(ADDRESS(260,44)),INDIRECT(ADDRESS(261,43))-INDIRECT(ADDRESS(256,44))+INDIRECT(ADDRESS(259,44))-INDIRECT(ADDRESS(260,44)))</f>
        <v>0</v>
      </c>
    </row>
    <row r="262" spans="1:76">
      <c r="A262" t="s">
        <v>31</v>
      </c>
      <c r="B262" t="s">
        <v>173</v>
      </c>
      <c r="C262" t="s">
        <v>174</v>
      </c>
      <c r="D262" t="s">
        <v>17</v>
      </c>
      <c r="E262">
        <v>1</v>
      </c>
      <c r="F262" t="s">
        <v>175</v>
      </c>
      <c r="H262" t="s">
        <v>35</v>
      </c>
      <c r="I262" t="s">
        <v>36</v>
      </c>
      <c r="K262" t="s">
        <v>20</v>
      </c>
      <c r="L262" t="s">
        <v>21</v>
      </c>
      <c r="M262">
        <f>sumifs(BOM!m:m,BOM!A:A,".1",BOM!B:B,"852-241000-200")</f>
        <v>0</v>
      </c>
      <c r="N262">
        <f>sumifs(BOM!n:n,BOM!A:A,".1",BOM!B:B,"852-241000-200")</f>
        <v>0</v>
      </c>
      <c r="O262">
        <f>sumifs(BOM!o:o,BOM!A:A,".1",BOM!B:B,"852-241000-200")</f>
        <v>0</v>
      </c>
      <c r="P262">
        <f>sumifs(BOM!p:p,BOM!A:A,".1",BOM!B:B,"852-241000-200")</f>
        <v>0</v>
      </c>
      <c r="Q262">
        <f>sumifs(BOM!q:q,BOM!A:A,".1",BOM!B:B,"852-241000-200")</f>
        <v>0</v>
      </c>
      <c r="R262">
        <f>sumifs(BOM!r:r,BOM!A:A,".1",BOM!B:B,"852-241000-200")</f>
        <v>0</v>
      </c>
      <c r="S262">
        <f>sumifs(BOM!s:s,BOM!A:A,".1",BOM!B:B,"852-241000-200")</f>
        <v>0</v>
      </c>
      <c r="T262">
        <f>sumifs(BOM!t:t,BOM!A:A,".1",BOM!B:B,"852-241000-200")</f>
        <v>0</v>
      </c>
      <c r="U262">
        <f>sumifs(BOM!u:u,BOM!A:A,".1",BOM!B:B,"852-241000-200")</f>
        <v>0</v>
      </c>
      <c r="V262">
        <f>sumifs(BOM!v:v,BOM!A:A,".1",BOM!B:B,"852-241000-200")</f>
        <v>0</v>
      </c>
      <c r="W262">
        <f>sumifs(BOM!w:w,BOM!A:A,".1",BOM!B:B,"852-241000-200")</f>
        <v>0</v>
      </c>
      <c r="X262">
        <f>sumifs(BOM!x:x,BOM!A:A,".1",BOM!B:B,"852-241000-200")</f>
        <v>0</v>
      </c>
      <c r="Y262">
        <f>sumifs(BOM!y:y,BOM!A:A,".1",BOM!B:B,"852-241000-200")</f>
        <v>0</v>
      </c>
      <c r="Z262">
        <f>sumifs(BOM!z:z,BOM!A:A,".1",BOM!B:B,"852-241000-200")</f>
        <v>0</v>
      </c>
      <c r="AA262">
        <f>sumifs(BOM!aa:aa,BOM!A:A,".1",BOM!B:B,"852-241000-200")</f>
        <v>0</v>
      </c>
      <c r="AB262">
        <f>sumifs(BOM!ab:ab,BOM!A:A,".1",BOM!B:B,"852-241000-200")</f>
        <v>0</v>
      </c>
      <c r="AC262">
        <f>sumifs(BOM!ac:ac,BOM!A:A,".1",BOM!B:B,"852-241000-200")</f>
        <v>0</v>
      </c>
      <c r="AD262">
        <f>sumifs(BOM!ad:ad,BOM!A:A,".1",BOM!B:B,"852-241000-200")</f>
        <v>0</v>
      </c>
      <c r="AE262">
        <f>sumifs(BOM!ae:ae,BOM!A:A,".1",BOM!B:B,"852-241000-200")</f>
        <v>0</v>
      </c>
      <c r="AF262">
        <f>sumifs(BOM!af:af,BOM!A:A,".1",BOM!B:B,"852-241000-200")</f>
        <v>0</v>
      </c>
      <c r="AG262">
        <f>sumifs(BOM!ag:ag,BOM!A:A,".1",BOM!B:B,"852-241000-200")</f>
        <v>0</v>
      </c>
      <c r="AH262">
        <f>sumifs(BOM!ah:ah,BOM!A:A,".1",BOM!B:B,"852-241000-200")</f>
        <v>0</v>
      </c>
      <c r="AI262">
        <f>sumifs(BOM!ai:ai,BOM!A:A,".1",BOM!B:B,"852-241000-200")</f>
        <v>0</v>
      </c>
      <c r="AJ262">
        <f>sumifs(BOM!aj:aj,BOM!A:A,".1",BOM!B:B,"852-241000-200")</f>
        <v>0</v>
      </c>
      <c r="AK262">
        <f>sumifs(BOM!ak:ak,BOM!A:A,".1",BOM!B:B,"852-241000-200")</f>
        <v>0</v>
      </c>
      <c r="AL262">
        <f>sumifs(BOM!al:al,BOM!A:A,".1",BOM!B:B,"852-241000-200")</f>
        <v>0</v>
      </c>
      <c r="AM262">
        <f>sumifs(BOM!am:am,BOM!A:A,".1",BOM!B:B,"852-241000-200")</f>
        <v>0</v>
      </c>
      <c r="AN262">
        <f>sumifs(BOM!an:an,BOM!A:A,".1",BOM!B:B,"852-241000-200")</f>
        <v>0</v>
      </c>
      <c r="AO262">
        <f>sumifs(BOM!ao:ao,BOM!A:A,".1",BOM!B:B,"852-241000-200")</f>
        <v>0</v>
      </c>
      <c r="AP262">
        <f>sumifs(BOM!ap:ap,BOM!A:A,".1",BOM!B:B,"852-241000-200")</f>
        <v>0</v>
      </c>
      <c r="AQ262">
        <f>sumifs(BOM!aq:aq,BOM!A:A,".1",BOM!B:B,"852-241000-200")</f>
        <v>0</v>
      </c>
      <c r="AR262">
        <f>sumifs(BOM!ar:ar,BOM!A:A,".1",BOM!B:B,"852-241000-200")</f>
        <v>0</v>
      </c>
      <c r="BX262">
        <f>sum(j262:an262)</f>
        <v>0</v>
      </c>
    </row>
    <row r="263" spans="1:76">
      <c r="A263" t="s">
        <v>31</v>
      </c>
      <c r="B263" t="s">
        <v>173</v>
      </c>
      <c r="C263" t="s">
        <v>174</v>
      </c>
      <c r="D263" t="s">
        <v>17</v>
      </c>
      <c r="E263">
        <v>1</v>
      </c>
      <c r="F263" t="s">
        <v>175</v>
      </c>
      <c r="H263" t="s">
        <v>35</v>
      </c>
      <c r="I263" t="s">
        <v>36</v>
      </c>
      <c r="K263" t="s">
        <v>20</v>
      </c>
      <c r="L263" t="s">
        <v>37</v>
      </c>
    </row>
    <row r="264" spans="1:76">
      <c r="L264" t="s">
        <v>662</v>
      </c>
    </row>
    <row r="265" spans="1:76">
      <c r="L265" t="s">
        <v>663</v>
      </c>
    </row>
    <row r="266" spans="1:76">
      <c r="L266" t="s">
        <v>664</v>
      </c>
    </row>
    <row r="267" spans="1:76">
      <c r="L267" t="s">
        <v>665</v>
      </c>
      <c r="M267">
        <f>IF(DAY(NOW())&lt;M3,INDIRECT(ADDRESS(267,7))-INDIRECT(ADDRESS(262,13))+INDIRECT(ADDRESS(263,13))-INDIRECT(ADDRESS(266,13)),INDIRECT(ADDRESS(267,7))-INDIRECT(ADDRESS(262,13))+INDIRECT(ADDRESS(265,13))-INDIRECT(ADDRESS(266,13)))</f>
        <v>0</v>
      </c>
      <c r="N267">
        <f>IF(DAY(NOW())&lt;M3,INDIRECT(ADDRESS(267,13))-INDIRECT(ADDRESS(262,14))+INDIRECT(ADDRESS(263,14))-INDIRECT(ADDRESS(266,14)),INDIRECT(ADDRESS(267,13))-INDIRECT(ADDRESS(262,14))+INDIRECT(ADDRESS(265,14))-INDIRECT(ADDRESS(266,14)))</f>
        <v>0</v>
      </c>
      <c r="O267">
        <f>IF(DAY(NOW())&lt;M3,INDIRECT(ADDRESS(267,14))-INDIRECT(ADDRESS(262,15))+INDIRECT(ADDRESS(263,15))-INDIRECT(ADDRESS(266,15)),INDIRECT(ADDRESS(267,14))-INDIRECT(ADDRESS(262,15))+INDIRECT(ADDRESS(265,15))-INDIRECT(ADDRESS(266,15)))</f>
        <v>0</v>
      </c>
      <c r="P267">
        <f>IF(DAY(NOW())&lt;M3,INDIRECT(ADDRESS(267,15))-INDIRECT(ADDRESS(262,16))+INDIRECT(ADDRESS(263,16))-INDIRECT(ADDRESS(266,16)),INDIRECT(ADDRESS(267,15))-INDIRECT(ADDRESS(262,16))+INDIRECT(ADDRESS(265,16))-INDIRECT(ADDRESS(266,16)))</f>
        <v>0</v>
      </c>
      <c r="Q267">
        <f>IF(DAY(NOW())&lt;M3,INDIRECT(ADDRESS(267,16))-INDIRECT(ADDRESS(262,17))+INDIRECT(ADDRESS(263,17))-INDIRECT(ADDRESS(266,17)),INDIRECT(ADDRESS(267,16))-INDIRECT(ADDRESS(262,17))+INDIRECT(ADDRESS(265,17))-INDIRECT(ADDRESS(266,17)))</f>
        <v>0</v>
      </c>
      <c r="R267">
        <f>IF(DAY(NOW())&lt;M3,INDIRECT(ADDRESS(267,17))-INDIRECT(ADDRESS(262,18))+INDIRECT(ADDRESS(263,18))-INDIRECT(ADDRESS(266,18)),INDIRECT(ADDRESS(267,17))-INDIRECT(ADDRESS(262,18))+INDIRECT(ADDRESS(265,18))-INDIRECT(ADDRESS(266,18)))</f>
        <v>0</v>
      </c>
      <c r="S267">
        <f>IF(DAY(NOW())&lt;M3,INDIRECT(ADDRESS(267,18))-INDIRECT(ADDRESS(262,19))+INDIRECT(ADDRESS(263,19))-INDIRECT(ADDRESS(266,19)),INDIRECT(ADDRESS(267,18))-INDIRECT(ADDRESS(262,19))+INDIRECT(ADDRESS(265,19))-INDIRECT(ADDRESS(266,19)))</f>
        <v>0</v>
      </c>
      <c r="T267">
        <f>IF(DAY(NOW())&lt;M3,INDIRECT(ADDRESS(267,19))-INDIRECT(ADDRESS(262,20))+INDIRECT(ADDRESS(263,20))-INDIRECT(ADDRESS(266,20)),INDIRECT(ADDRESS(267,19))-INDIRECT(ADDRESS(262,20))+INDIRECT(ADDRESS(265,20))-INDIRECT(ADDRESS(266,20)))</f>
        <v>0</v>
      </c>
      <c r="U267">
        <f>IF(DAY(NOW())&lt;M3,INDIRECT(ADDRESS(267,20))-INDIRECT(ADDRESS(262,21))+INDIRECT(ADDRESS(263,21))-INDIRECT(ADDRESS(266,21)),INDIRECT(ADDRESS(267,20))-INDIRECT(ADDRESS(262,21))+INDIRECT(ADDRESS(265,21))-INDIRECT(ADDRESS(266,21)))</f>
        <v>0</v>
      </c>
      <c r="V267">
        <f>IF(DAY(NOW())&lt;M3,INDIRECT(ADDRESS(267,21))-INDIRECT(ADDRESS(262,22))+INDIRECT(ADDRESS(263,22))-INDIRECT(ADDRESS(266,22)),INDIRECT(ADDRESS(267,21))-INDIRECT(ADDRESS(262,22))+INDIRECT(ADDRESS(265,22))-INDIRECT(ADDRESS(266,22)))</f>
        <v>0</v>
      </c>
      <c r="W267">
        <f>IF(DAY(NOW())&lt;M3,INDIRECT(ADDRESS(267,22))-INDIRECT(ADDRESS(262,23))+INDIRECT(ADDRESS(263,23))-INDIRECT(ADDRESS(266,23)),INDIRECT(ADDRESS(267,22))-INDIRECT(ADDRESS(262,23))+INDIRECT(ADDRESS(265,23))-INDIRECT(ADDRESS(266,23)))</f>
        <v>0</v>
      </c>
      <c r="X267">
        <f>IF(DAY(NOW())&lt;M3,INDIRECT(ADDRESS(267,23))-INDIRECT(ADDRESS(262,24))+INDIRECT(ADDRESS(263,24))-INDIRECT(ADDRESS(266,24)),INDIRECT(ADDRESS(267,23))-INDIRECT(ADDRESS(262,24))+INDIRECT(ADDRESS(265,24))-INDIRECT(ADDRESS(266,24)))</f>
        <v>0</v>
      </c>
      <c r="Y267">
        <f>IF(DAY(NOW())&lt;M3,INDIRECT(ADDRESS(267,24))-INDIRECT(ADDRESS(262,25))+INDIRECT(ADDRESS(263,25))-INDIRECT(ADDRESS(266,25)),INDIRECT(ADDRESS(267,24))-INDIRECT(ADDRESS(262,25))+INDIRECT(ADDRESS(265,25))-INDIRECT(ADDRESS(266,25)))</f>
        <v>0</v>
      </c>
      <c r="Z267">
        <f>IF(DAY(NOW())&lt;M3,INDIRECT(ADDRESS(267,25))-INDIRECT(ADDRESS(262,26))+INDIRECT(ADDRESS(263,26))-INDIRECT(ADDRESS(266,26)),INDIRECT(ADDRESS(267,25))-INDIRECT(ADDRESS(262,26))+INDIRECT(ADDRESS(265,26))-INDIRECT(ADDRESS(266,26)))</f>
        <v>0</v>
      </c>
      <c r="AA267">
        <f>IF(DAY(NOW())&lt;M3,INDIRECT(ADDRESS(267,26))-INDIRECT(ADDRESS(262,27))+INDIRECT(ADDRESS(263,27))-INDIRECT(ADDRESS(266,27)),INDIRECT(ADDRESS(267,26))-INDIRECT(ADDRESS(262,27))+INDIRECT(ADDRESS(265,27))-INDIRECT(ADDRESS(266,27)))</f>
        <v>0</v>
      </c>
      <c r="AB267">
        <f>IF(DAY(NOW())&lt;M3,INDIRECT(ADDRESS(267,27))-INDIRECT(ADDRESS(262,28))+INDIRECT(ADDRESS(263,28))-INDIRECT(ADDRESS(266,28)),INDIRECT(ADDRESS(267,27))-INDIRECT(ADDRESS(262,28))+INDIRECT(ADDRESS(265,28))-INDIRECT(ADDRESS(266,28)))</f>
        <v>0</v>
      </c>
      <c r="AC267">
        <f>IF(DAY(NOW())&lt;M3,INDIRECT(ADDRESS(267,28))-INDIRECT(ADDRESS(262,29))+INDIRECT(ADDRESS(263,29))-INDIRECT(ADDRESS(266,29)),INDIRECT(ADDRESS(267,28))-INDIRECT(ADDRESS(262,29))+INDIRECT(ADDRESS(265,29))-INDIRECT(ADDRESS(266,29)))</f>
        <v>0</v>
      </c>
      <c r="AD267">
        <f>IF(DAY(NOW())&lt;M3,INDIRECT(ADDRESS(267,29))-INDIRECT(ADDRESS(262,30))+INDIRECT(ADDRESS(263,30))-INDIRECT(ADDRESS(266,30)),INDIRECT(ADDRESS(267,29))-INDIRECT(ADDRESS(262,30))+INDIRECT(ADDRESS(265,30))-INDIRECT(ADDRESS(266,30)))</f>
        <v>0</v>
      </c>
      <c r="AE267">
        <f>IF(DAY(NOW())&lt;M3,INDIRECT(ADDRESS(267,30))-INDIRECT(ADDRESS(262,31))+INDIRECT(ADDRESS(263,31))-INDIRECT(ADDRESS(266,31)),INDIRECT(ADDRESS(267,30))-INDIRECT(ADDRESS(262,31))+INDIRECT(ADDRESS(265,31))-INDIRECT(ADDRESS(266,31)))</f>
        <v>0</v>
      </c>
      <c r="AF267">
        <f>IF(DAY(NOW())&lt;M3,INDIRECT(ADDRESS(267,31))-INDIRECT(ADDRESS(262,32))+INDIRECT(ADDRESS(263,32))-INDIRECT(ADDRESS(266,32)),INDIRECT(ADDRESS(267,31))-INDIRECT(ADDRESS(262,32))+INDIRECT(ADDRESS(265,32))-INDIRECT(ADDRESS(266,32)))</f>
        <v>0</v>
      </c>
      <c r="AG267">
        <f>IF(DAY(NOW())&lt;M3,INDIRECT(ADDRESS(267,32))-INDIRECT(ADDRESS(262,33))+INDIRECT(ADDRESS(263,33))-INDIRECT(ADDRESS(266,33)),INDIRECT(ADDRESS(267,32))-INDIRECT(ADDRESS(262,33))+INDIRECT(ADDRESS(265,33))-INDIRECT(ADDRESS(266,33)))</f>
        <v>0</v>
      </c>
      <c r="AH267">
        <f>IF(DAY(NOW())&lt;M3,INDIRECT(ADDRESS(267,33))-INDIRECT(ADDRESS(262,34))+INDIRECT(ADDRESS(263,34))-INDIRECT(ADDRESS(266,34)),INDIRECT(ADDRESS(267,33))-INDIRECT(ADDRESS(262,34))+INDIRECT(ADDRESS(265,34))-INDIRECT(ADDRESS(266,34)))</f>
        <v>0</v>
      </c>
      <c r="AI267">
        <f>IF(DAY(NOW())&lt;M3,INDIRECT(ADDRESS(267,34))-INDIRECT(ADDRESS(262,35))+INDIRECT(ADDRESS(263,35))-INDIRECT(ADDRESS(266,35)),INDIRECT(ADDRESS(267,34))-INDIRECT(ADDRESS(262,35))+INDIRECT(ADDRESS(265,35))-INDIRECT(ADDRESS(266,35)))</f>
        <v>0</v>
      </c>
      <c r="AJ267">
        <f>IF(DAY(NOW())&lt;M3,INDIRECT(ADDRESS(267,35))-INDIRECT(ADDRESS(262,36))+INDIRECT(ADDRESS(263,36))-INDIRECT(ADDRESS(266,36)),INDIRECT(ADDRESS(267,35))-INDIRECT(ADDRESS(262,36))+INDIRECT(ADDRESS(265,36))-INDIRECT(ADDRESS(266,36)))</f>
        <v>0</v>
      </c>
      <c r="AK267">
        <f>IF(DAY(NOW())&lt;M3,INDIRECT(ADDRESS(267,36))-INDIRECT(ADDRESS(262,37))+INDIRECT(ADDRESS(263,37))-INDIRECT(ADDRESS(266,37)),INDIRECT(ADDRESS(267,36))-INDIRECT(ADDRESS(262,37))+INDIRECT(ADDRESS(265,37))-INDIRECT(ADDRESS(266,37)))</f>
        <v>0</v>
      </c>
      <c r="AL267">
        <f>IF(DAY(NOW())&lt;M3,INDIRECT(ADDRESS(267,37))-INDIRECT(ADDRESS(262,38))+INDIRECT(ADDRESS(263,38))-INDIRECT(ADDRESS(266,38)),INDIRECT(ADDRESS(267,37))-INDIRECT(ADDRESS(262,38))+INDIRECT(ADDRESS(265,38))-INDIRECT(ADDRESS(266,38)))</f>
        <v>0</v>
      </c>
      <c r="AM267">
        <f>IF(DAY(NOW())&lt;M3,INDIRECT(ADDRESS(267,38))-INDIRECT(ADDRESS(262,39))+INDIRECT(ADDRESS(263,39))-INDIRECT(ADDRESS(266,39)),INDIRECT(ADDRESS(267,38))-INDIRECT(ADDRESS(262,39))+INDIRECT(ADDRESS(265,39))-INDIRECT(ADDRESS(266,39)))</f>
        <v>0</v>
      </c>
      <c r="AN267">
        <f>IF(DAY(NOW())&lt;M3,INDIRECT(ADDRESS(267,39))-INDIRECT(ADDRESS(262,40))+INDIRECT(ADDRESS(263,40))-INDIRECT(ADDRESS(266,40)),INDIRECT(ADDRESS(267,39))-INDIRECT(ADDRESS(262,40))+INDIRECT(ADDRESS(265,40))-INDIRECT(ADDRESS(266,40)))</f>
        <v>0</v>
      </c>
      <c r="AO267">
        <f>IF(DAY(NOW())&lt;M3,INDIRECT(ADDRESS(267,40))-INDIRECT(ADDRESS(262,41))+INDIRECT(ADDRESS(263,41))-INDIRECT(ADDRESS(266,41)),INDIRECT(ADDRESS(267,40))-INDIRECT(ADDRESS(262,41))+INDIRECT(ADDRESS(265,41))-INDIRECT(ADDRESS(266,41)))</f>
        <v>0</v>
      </c>
      <c r="AP267">
        <f>IF(DAY(NOW())&lt;M3,INDIRECT(ADDRESS(267,41))-INDIRECT(ADDRESS(262,42))+INDIRECT(ADDRESS(263,42))-INDIRECT(ADDRESS(266,42)),INDIRECT(ADDRESS(267,41))-INDIRECT(ADDRESS(262,42))+INDIRECT(ADDRESS(265,42))-INDIRECT(ADDRESS(266,42)))</f>
        <v>0</v>
      </c>
      <c r="AQ267">
        <f>IF(DAY(NOW())&lt;M3,INDIRECT(ADDRESS(267,42))-INDIRECT(ADDRESS(262,43))+INDIRECT(ADDRESS(263,43))-INDIRECT(ADDRESS(266,43)),INDIRECT(ADDRESS(267,42))-INDIRECT(ADDRESS(262,43))+INDIRECT(ADDRESS(265,43))-INDIRECT(ADDRESS(266,43)))</f>
        <v>0</v>
      </c>
      <c r="AR267">
        <f>IF(DAY(NOW())&lt;M3,INDIRECT(ADDRESS(267,43))-INDIRECT(ADDRESS(262,44))+INDIRECT(ADDRESS(263,44))-INDIRECT(ADDRESS(266,44)),INDIRECT(ADDRESS(267,43))-INDIRECT(ADDRESS(262,44))+INDIRECT(ADDRESS(265,44))-INDIRECT(ADDRESS(266,44)))</f>
        <v>0</v>
      </c>
    </row>
    <row r="268" spans="1:76">
      <c r="A268" t="s">
        <v>14</v>
      </c>
      <c r="B268" t="s">
        <v>176</v>
      </c>
      <c r="C268" t="s">
        <v>177</v>
      </c>
      <c r="D268" t="s">
        <v>27</v>
      </c>
      <c r="E268">
        <v>1</v>
      </c>
      <c r="F268" t="s">
        <v>178</v>
      </c>
      <c r="H268" t="s">
        <v>165</v>
      </c>
      <c r="I268" t="s">
        <v>166</v>
      </c>
      <c r="K268" t="s">
        <v>20</v>
      </c>
      <c r="L268" t="s">
        <v>21</v>
      </c>
      <c r="BX268">
        <f>sum(j268:an268)</f>
        <v>0</v>
      </c>
    </row>
    <row r="269" spans="1:76">
      <c r="A269" t="s">
        <v>14</v>
      </c>
      <c r="B269" t="s">
        <v>176</v>
      </c>
      <c r="C269" t="s">
        <v>177</v>
      </c>
      <c r="D269" t="s">
        <v>27</v>
      </c>
      <c r="E269">
        <v>1</v>
      </c>
      <c r="F269" t="s">
        <v>178</v>
      </c>
      <c r="H269" t="s">
        <v>165</v>
      </c>
      <c r="I269" t="s">
        <v>166</v>
      </c>
      <c r="K269" t="s">
        <v>20</v>
      </c>
      <c r="L269" t="s">
        <v>37</v>
      </c>
    </row>
    <row r="270" spans="1:76">
      <c r="L270" t="s">
        <v>662</v>
      </c>
    </row>
    <row r="271" spans="1:76">
      <c r="L271" t="s">
        <v>663</v>
      </c>
    </row>
    <row r="272" spans="1:76">
      <c r="L272" t="s">
        <v>664</v>
      </c>
    </row>
    <row r="273" spans="1:76">
      <c r="L273" t="s">
        <v>665</v>
      </c>
      <c r="M273">
        <f>IF(DAY(NOW())&lt;M3,INDIRECT(ADDRESS(273,7))-INDIRECT(ADDRESS(268,13))+INDIRECT(ADDRESS(269,13))-INDIRECT(ADDRESS(272,13)),INDIRECT(ADDRESS(273,7))-INDIRECT(ADDRESS(268,13))+INDIRECT(ADDRESS(271,13))-INDIRECT(ADDRESS(272,13)))</f>
        <v>0</v>
      </c>
      <c r="N273">
        <f>IF(DAY(NOW())&lt;M3,INDIRECT(ADDRESS(273,13))-INDIRECT(ADDRESS(268,14))+INDIRECT(ADDRESS(269,14))-INDIRECT(ADDRESS(272,14)),INDIRECT(ADDRESS(273,13))-INDIRECT(ADDRESS(268,14))+INDIRECT(ADDRESS(271,14))-INDIRECT(ADDRESS(272,14)))</f>
        <v>0</v>
      </c>
      <c r="O273">
        <f>IF(DAY(NOW())&lt;M3,INDIRECT(ADDRESS(273,14))-INDIRECT(ADDRESS(268,15))+INDIRECT(ADDRESS(269,15))-INDIRECT(ADDRESS(272,15)),INDIRECT(ADDRESS(273,14))-INDIRECT(ADDRESS(268,15))+INDIRECT(ADDRESS(271,15))-INDIRECT(ADDRESS(272,15)))</f>
        <v>0</v>
      </c>
      <c r="P273">
        <f>IF(DAY(NOW())&lt;M3,INDIRECT(ADDRESS(273,15))-INDIRECT(ADDRESS(268,16))+INDIRECT(ADDRESS(269,16))-INDIRECT(ADDRESS(272,16)),INDIRECT(ADDRESS(273,15))-INDIRECT(ADDRESS(268,16))+INDIRECT(ADDRESS(271,16))-INDIRECT(ADDRESS(272,16)))</f>
        <v>0</v>
      </c>
      <c r="Q273">
        <f>IF(DAY(NOW())&lt;M3,INDIRECT(ADDRESS(273,16))-INDIRECT(ADDRESS(268,17))+INDIRECT(ADDRESS(269,17))-INDIRECT(ADDRESS(272,17)),INDIRECT(ADDRESS(273,16))-INDIRECT(ADDRESS(268,17))+INDIRECT(ADDRESS(271,17))-INDIRECT(ADDRESS(272,17)))</f>
        <v>0</v>
      </c>
      <c r="R273">
        <f>IF(DAY(NOW())&lt;M3,INDIRECT(ADDRESS(273,17))-INDIRECT(ADDRESS(268,18))+INDIRECT(ADDRESS(269,18))-INDIRECT(ADDRESS(272,18)),INDIRECT(ADDRESS(273,17))-INDIRECT(ADDRESS(268,18))+INDIRECT(ADDRESS(271,18))-INDIRECT(ADDRESS(272,18)))</f>
        <v>0</v>
      </c>
      <c r="S273">
        <f>IF(DAY(NOW())&lt;M3,INDIRECT(ADDRESS(273,18))-INDIRECT(ADDRESS(268,19))+INDIRECT(ADDRESS(269,19))-INDIRECT(ADDRESS(272,19)),INDIRECT(ADDRESS(273,18))-INDIRECT(ADDRESS(268,19))+INDIRECT(ADDRESS(271,19))-INDIRECT(ADDRESS(272,19)))</f>
        <v>0</v>
      </c>
      <c r="T273">
        <f>IF(DAY(NOW())&lt;M3,INDIRECT(ADDRESS(273,19))-INDIRECT(ADDRESS(268,20))+INDIRECT(ADDRESS(269,20))-INDIRECT(ADDRESS(272,20)),INDIRECT(ADDRESS(273,19))-INDIRECT(ADDRESS(268,20))+INDIRECT(ADDRESS(271,20))-INDIRECT(ADDRESS(272,20)))</f>
        <v>0</v>
      </c>
      <c r="U273">
        <f>IF(DAY(NOW())&lt;M3,INDIRECT(ADDRESS(273,20))-INDIRECT(ADDRESS(268,21))+INDIRECT(ADDRESS(269,21))-INDIRECT(ADDRESS(272,21)),INDIRECT(ADDRESS(273,20))-INDIRECT(ADDRESS(268,21))+INDIRECT(ADDRESS(271,21))-INDIRECT(ADDRESS(272,21)))</f>
        <v>0</v>
      </c>
      <c r="V273">
        <f>IF(DAY(NOW())&lt;M3,INDIRECT(ADDRESS(273,21))-INDIRECT(ADDRESS(268,22))+INDIRECT(ADDRESS(269,22))-INDIRECT(ADDRESS(272,22)),INDIRECT(ADDRESS(273,21))-INDIRECT(ADDRESS(268,22))+INDIRECT(ADDRESS(271,22))-INDIRECT(ADDRESS(272,22)))</f>
        <v>0</v>
      </c>
      <c r="W273">
        <f>IF(DAY(NOW())&lt;M3,INDIRECT(ADDRESS(273,22))-INDIRECT(ADDRESS(268,23))+INDIRECT(ADDRESS(269,23))-INDIRECT(ADDRESS(272,23)),INDIRECT(ADDRESS(273,22))-INDIRECT(ADDRESS(268,23))+INDIRECT(ADDRESS(271,23))-INDIRECT(ADDRESS(272,23)))</f>
        <v>0</v>
      </c>
      <c r="X273">
        <f>IF(DAY(NOW())&lt;M3,INDIRECT(ADDRESS(273,23))-INDIRECT(ADDRESS(268,24))+INDIRECT(ADDRESS(269,24))-INDIRECT(ADDRESS(272,24)),INDIRECT(ADDRESS(273,23))-INDIRECT(ADDRESS(268,24))+INDIRECT(ADDRESS(271,24))-INDIRECT(ADDRESS(272,24)))</f>
        <v>0</v>
      </c>
      <c r="Y273">
        <f>IF(DAY(NOW())&lt;M3,INDIRECT(ADDRESS(273,24))-INDIRECT(ADDRESS(268,25))+INDIRECT(ADDRESS(269,25))-INDIRECT(ADDRESS(272,25)),INDIRECT(ADDRESS(273,24))-INDIRECT(ADDRESS(268,25))+INDIRECT(ADDRESS(271,25))-INDIRECT(ADDRESS(272,25)))</f>
        <v>0</v>
      </c>
      <c r="Z273">
        <f>IF(DAY(NOW())&lt;M3,INDIRECT(ADDRESS(273,25))-INDIRECT(ADDRESS(268,26))+INDIRECT(ADDRESS(269,26))-INDIRECT(ADDRESS(272,26)),INDIRECT(ADDRESS(273,25))-INDIRECT(ADDRESS(268,26))+INDIRECT(ADDRESS(271,26))-INDIRECT(ADDRESS(272,26)))</f>
        <v>0</v>
      </c>
      <c r="AA273">
        <f>IF(DAY(NOW())&lt;M3,INDIRECT(ADDRESS(273,26))-INDIRECT(ADDRESS(268,27))+INDIRECT(ADDRESS(269,27))-INDIRECT(ADDRESS(272,27)),INDIRECT(ADDRESS(273,26))-INDIRECT(ADDRESS(268,27))+INDIRECT(ADDRESS(271,27))-INDIRECT(ADDRESS(272,27)))</f>
        <v>0</v>
      </c>
      <c r="AB273">
        <f>IF(DAY(NOW())&lt;M3,INDIRECT(ADDRESS(273,27))-INDIRECT(ADDRESS(268,28))+INDIRECT(ADDRESS(269,28))-INDIRECT(ADDRESS(272,28)),INDIRECT(ADDRESS(273,27))-INDIRECT(ADDRESS(268,28))+INDIRECT(ADDRESS(271,28))-INDIRECT(ADDRESS(272,28)))</f>
        <v>0</v>
      </c>
      <c r="AC273">
        <f>IF(DAY(NOW())&lt;M3,INDIRECT(ADDRESS(273,28))-INDIRECT(ADDRESS(268,29))+INDIRECT(ADDRESS(269,29))-INDIRECT(ADDRESS(272,29)),INDIRECT(ADDRESS(273,28))-INDIRECT(ADDRESS(268,29))+INDIRECT(ADDRESS(271,29))-INDIRECT(ADDRESS(272,29)))</f>
        <v>0</v>
      </c>
      <c r="AD273">
        <f>IF(DAY(NOW())&lt;M3,INDIRECT(ADDRESS(273,29))-INDIRECT(ADDRESS(268,30))+INDIRECT(ADDRESS(269,30))-INDIRECT(ADDRESS(272,30)),INDIRECT(ADDRESS(273,29))-INDIRECT(ADDRESS(268,30))+INDIRECT(ADDRESS(271,30))-INDIRECT(ADDRESS(272,30)))</f>
        <v>0</v>
      </c>
      <c r="AE273">
        <f>IF(DAY(NOW())&lt;M3,INDIRECT(ADDRESS(273,30))-INDIRECT(ADDRESS(268,31))+INDIRECT(ADDRESS(269,31))-INDIRECT(ADDRESS(272,31)),INDIRECT(ADDRESS(273,30))-INDIRECT(ADDRESS(268,31))+INDIRECT(ADDRESS(271,31))-INDIRECT(ADDRESS(272,31)))</f>
        <v>0</v>
      </c>
      <c r="AF273">
        <f>IF(DAY(NOW())&lt;M3,INDIRECT(ADDRESS(273,31))-INDIRECT(ADDRESS(268,32))+INDIRECT(ADDRESS(269,32))-INDIRECT(ADDRESS(272,32)),INDIRECT(ADDRESS(273,31))-INDIRECT(ADDRESS(268,32))+INDIRECT(ADDRESS(271,32))-INDIRECT(ADDRESS(272,32)))</f>
        <v>0</v>
      </c>
      <c r="AG273">
        <f>IF(DAY(NOW())&lt;M3,INDIRECT(ADDRESS(273,32))-INDIRECT(ADDRESS(268,33))+INDIRECT(ADDRESS(269,33))-INDIRECT(ADDRESS(272,33)),INDIRECT(ADDRESS(273,32))-INDIRECT(ADDRESS(268,33))+INDIRECT(ADDRESS(271,33))-INDIRECT(ADDRESS(272,33)))</f>
        <v>0</v>
      </c>
      <c r="AH273">
        <f>IF(DAY(NOW())&lt;M3,INDIRECT(ADDRESS(273,33))-INDIRECT(ADDRESS(268,34))+INDIRECT(ADDRESS(269,34))-INDIRECT(ADDRESS(272,34)),INDIRECT(ADDRESS(273,33))-INDIRECT(ADDRESS(268,34))+INDIRECT(ADDRESS(271,34))-INDIRECT(ADDRESS(272,34)))</f>
        <v>0</v>
      </c>
      <c r="AI273">
        <f>IF(DAY(NOW())&lt;M3,INDIRECT(ADDRESS(273,34))-INDIRECT(ADDRESS(268,35))+INDIRECT(ADDRESS(269,35))-INDIRECT(ADDRESS(272,35)),INDIRECT(ADDRESS(273,34))-INDIRECT(ADDRESS(268,35))+INDIRECT(ADDRESS(271,35))-INDIRECT(ADDRESS(272,35)))</f>
        <v>0</v>
      </c>
      <c r="AJ273">
        <f>IF(DAY(NOW())&lt;M3,INDIRECT(ADDRESS(273,35))-INDIRECT(ADDRESS(268,36))+INDIRECT(ADDRESS(269,36))-INDIRECT(ADDRESS(272,36)),INDIRECT(ADDRESS(273,35))-INDIRECT(ADDRESS(268,36))+INDIRECT(ADDRESS(271,36))-INDIRECT(ADDRESS(272,36)))</f>
        <v>0</v>
      </c>
      <c r="AK273">
        <f>IF(DAY(NOW())&lt;M3,INDIRECT(ADDRESS(273,36))-INDIRECT(ADDRESS(268,37))+INDIRECT(ADDRESS(269,37))-INDIRECT(ADDRESS(272,37)),INDIRECT(ADDRESS(273,36))-INDIRECT(ADDRESS(268,37))+INDIRECT(ADDRESS(271,37))-INDIRECT(ADDRESS(272,37)))</f>
        <v>0</v>
      </c>
      <c r="AL273">
        <f>IF(DAY(NOW())&lt;M3,INDIRECT(ADDRESS(273,37))-INDIRECT(ADDRESS(268,38))+INDIRECT(ADDRESS(269,38))-INDIRECT(ADDRESS(272,38)),INDIRECT(ADDRESS(273,37))-INDIRECT(ADDRESS(268,38))+INDIRECT(ADDRESS(271,38))-INDIRECT(ADDRESS(272,38)))</f>
        <v>0</v>
      </c>
      <c r="AM273">
        <f>IF(DAY(NOW())&lt;M3,INDIRECT(ADDRESS(273,38))-INDIRECT(ADDRESS(268,39))+INDIRECT(ADDRESS(269,39))-INDIRECT(ADDRESS(272,39)),INDIRECT(ADDRESS(273,38))-INDIRECT(ADDRESS(268,39))+INDIRECT(ADDRESS(271,39))-INDIRECT(ADDRESS(272,39)))</f>
        <v>0</v>
      </c>
      <c r="AN273">
        <f>IF(DAY(NOW())&lt;M3,INDIRECT(ADDRESS(273,39))-INDIRECT(ADDRESS(268,40))+INDIRECT(ADDRESS(269,40))-INDIRECT(ADDRESS(272,40)),INDIRECT(ADDRESS(273,39))-INDIRECT(ADDRESS(268,40))+INDIRECT(ADDRESS(271,40))-INDIRECT(ADDRESS(272,40)))</f>
        <v>0</v>
      </c>
      <c r="AO273">
        <f>IF(DAY(NOW())&lt;M3,INDIRECT(ADDRESS(273,40))-INDIRECT(ADDRESS(268,41))+INDIRECT(ADDRESS(269,41))-INDIRECT(ADDRESS(272,41)),INDIRECT(ADDRESS(273,40))-INDIRECT(ADDRESS(268,41))+INDIRECT(ADDRESS(271,41))-INDIRECT(ADDRESS(272,41)))</f>
        <v>0</v>
      </c>
      <c r="AP273">
        <f>IF(DAY(NOW())&lt;M3,INDIRECT(ADDRESS(273,41))-INDIRECT(ADDRESS(268,42))+INDIRECT(ADDRESS(269,42))-INDIRECT(ADDRESS(272,42)),INDIRECT(ADDRESS(273,41))-INDIRECT(ADDRESS(268,42))+INDIRECT(ADDRESS(271,42))-INDIRECT(ADDRESS(272,42)))</f>
        <v>0</v>
      </c>
      <c r="AQ273">
        <f>IF(DAY(NOW())&lt;M3,INDIRECT(ADDRESS(273,42))-INDIRECT(ADDRESS(268,43))+INDIRECT(ADDRESS(269,43))-INDIRECT(ADDRESS(272,43)),INDIRECT(ADDRESS(273,42))-INDIRECT(ADDRESS(268,43))+INDIRECT(ADDRESS(271,43))-INDIRECT(ADDRESS(272,43)))</f>
        <v>0</v>
      </c>
      <c r="AR273">
        <f>IF(DAY(NOW())&lt;M3,INDIRECT(ADDRESS(273,43))-INDIRECT(ADDRESS(268,44))+INDIRECT(ADDRESS(269,44))-INDIRECT(ADDRESS(272,44)),INDIRECT(ADDRESS(273,43))-INDIRECT(ADDRESS(268,44))+INDIRECT(ADDRESS(271,44))-INDIRECT(ADDRESS(272,44)))</f>
        <v>0</v>
      </c>
    </row>
    <row r="274" spans="1:76">
      <c r="A274" t="s">
        <v>31</v>
      </c>
      <c r="B274" t="s">
        <v>179</v>
      </c>
      <c r="C274" t="s">
        <v>180</v>
      </c>
      <c r="D274" t="s">
        <v>17</v>
      </c>
      <c r="E274">
        <v>1</v>
      </c>
      <c r="F274" t="s">
        <v>181</v>
      </c>
      <c r="H274" t="s">
        <v>35</v>
      </c>
      <c r="I274" t="s">
        <v>36</v>
      </c>
      <c r="K274" t="s">
        <v>20</v>
      </c>
      <c r="L274" t="s">
        <v>21</v>
      </c>
      <c r="M274">
        <f>sumifs(BOM!m:m,BOM!A:A,".1",BOM!B:B,"852-242000-100")</f>
        <v>0</v>
      </c>
      <c r="N274">
        <f>sumifs(BOM!n:n,BOM!A:A,".1",BOM!B:B,"852-242000-100")</f>
        <v>0</v>
      </c>
      <c r="O274">
        <f>sumifs(BOM!o:o,BOM!A:A,".1",BOM!B:B,"852-242000-100")</f>
        <v>0</v>
      </c>
      <c r="P274">
        <f>sumifs(BOM!p:p,BOM!A:A,".1",BOM!B:B,"852-242000-100")</f>
        <v>0</v>
      </c>
      <c r="Q274">
        <f>sumifs(BOM!q:q,BOM!A:A,".1",BOM!B:B,"852-242000-100")</f>
        <v>0</v>
      </c>
      <c r="R274">
        <f>sumifs(BOM!r:r,BOM!A:A,".1",BOM!B:B,"852-242000-100")</f>
        <v>0</v>
      </c>
      <c r="S274">
        <f>sumifs(BOM!s:s,BOM!A:A,".1",BOM!B:B,"852-242000-100")</f>
        <v>0</v>
      </c>
      <c r="T274">
        <f>sumifs(BOM!t:t,BOM!A:A,".1",BOM!B:B,"852-242000-100")</f>
        <v>0</v>
      </c>
      <c r="U274">
        <f>sumifs(BOM!u:u,BOM!A:A,".1",BOM!B:B,"852-242000-100")</f>
        <v>0</v>
      </c>
      <c r="V274">
        <f>sumifs(BOM!v:v,BOM!A:A,".1",BOM!B:B,"852-242000-100")</f>
        <v>0</v>
      </c>
      <c r="W274">
        <f>sumifs(BOM!w:w,BOM!A:A,".1",BOM!B:B,"852-242000-100")</f>
        <v>0</v>
      </c>
      <c r="X274">
        <f>sumifs(BOM!x:x,BOM!A:A,".1",BOM!B:B,"852-242000-100")</f>
        <v>0</v>
      </c>
      <c r="Y274">
        <f>sumifs(BOM!y:y,BOM!A:A,".1",BOM!B:B,"852-242000-100")</f>
        <v>0</v>
      </c>
      <c r="Z274">
        <f>sumifs(BOM!z:z,BOM!A:A,".1",BOM!B:B,"852-242000-100")</f>
        <v>0</v>
      </c>
      <c r="AA274">
        <f>sumifs(BOM!aa:aa,BOM!A:A,".1",BOM!B:B,"852-242000-100")</f>
        <v>0</v>
      </c>
      <c r="AB274">
        <f>sumifs(BOM!ab:ab,BOM!A:A,".1",BOM!B:B,"852-242000-100")</f>
        <v>0</v>
      </c>
      <c r="AC274">
        <f>sumifs(BOM!ac:ac,BOM!A:A,".1",BOM!B:B,"852-242000-100")</f>
        <v>0</v>
      </c>
      <c r="AD274">
        <f>sumifs(BOM!ad:ad,BOM!A:A,".1",BOM!B:B,"852-242000-100")</f>
        <v>0</v>
      </c>
      <c r="AE274">
        <f>sumifs(BOM!ae:ae,BOM!A:A,".1",BOM!B:B,"852-242000-100")</f>
        <v>0</v>
      </c>
      <c r="AF274">
        <f>sumifs(BOM!af:af,BOM!A:A,".1",BOM!B:B,"852-242000-100")</f>
        <v>0</v>
      </c>
      <c r="AG274">
        <f>sumifs(BOM!ag:ag,BOM!A:A,".1",BOM!B:B,"852-242000-100")</f>
        <v>0</v>
      </c>
      <c r="AH274">
        <f>sumifs(BOM!ah:ah,BOM!A:A,".1",BOM!B:B,"852-242000-100")</f>
        <v>0</v>
      </c>
      <c r="AI274">
        <f>sumifs(BOM!ai:ai,BOM!A:A,".1",BOM!B:B,"852-242000-100")</f>
        <v>0</v>
      </c>
      <c r="AJ274">
        <f>sumifs(BOM!aj:aj,BOM!A:A,".1",BOM!B:B,"852-242000-100")</f>
        <v>0</v>
      </c>
      <c r="AK274">
        <f>sumifs(BOM!ak:ak,BOM!A:A,".1",BOM!B:B,"852-242000-100")</f>
        <v>0</v>
      </c>
      <c r="AL274">
        <f>sumifs(BOM!al:al,BOM!A:A,".1",BOM!B:B,"852-242000-100")</f>
        <v>0</v>
      </c>
      <c r="AM274">
        <f>sumifs(BOM!am:am,BOM!A:A,".1",BOM!B:B,"852-242000-100")</f>
        <v>0</v>
      </c>
      <c r="AN274">
        <f>sumifs(BOM!an:an,BOM!A:A,".1",BOM!B:B,"852-242000-100")</f>
        <v>0</v>
      </c>
      <c r="AO274">
        <f>sumifs(BOM!ao:ao,BOM!A:A,".1",BOM!B:B,"852-242000-100")</f>
        <v>0</v>
      </c>
      <c r="AP274">
        <f>sumifs(BOM!ap:ap,BOM!A:A,".1",BOM!B:B,"852-242000-100")</f>
        <v>0</v>
      </c>
      <c r="AQ274">
        <f>sumifs(BOM!aq:aq,BOM!A:A,".1",BOM!B:B,"852-242000-100")</f>
        <v>0</v>
      </c>
      <c r="AR274">
        <f>sumifs(BOM!ar:ar,BOM!A:A,".1",BOM!B:B,"852-242000-100")</f>
        <v>0</v>
      </c>
      <c r="BX274">
        <f>sum(j274:an274)</f>
        <v>0</v>
      </c>
    </row>
    <row r="275" spans="1:76">
      <c r="A275" t="s">
        <v>31</v>
      </c>
      <c r="B275" t="s">
        <v>179</v>
      </c>
      <c r="C275" t="s">
        <v>180</v>
      </c>
      <c r="D275" t="s">
        <v>17</v>
      </c>
      <c r="E275">
        <v>1</v>
      </c>
      <c r="F275" t="s">
        <v>181</v>
      </c>
      <c r="H275" t="s">
        <v>35</v>
      </c>
      <c r="I275" t="s">
        <v>36</v>
      </c>
      <c r="K275" t="s">
        <v>20</v>
      </c>
      <c r="L275" t="s">
        <v>37</v>
      </c>
    </row>
    <row r="276" spans="1:76">
      <c r="L276" t="s">
        <v>662</v>
      </c>
    </row>
    <row r="277" spans="1:76">
      <c r="L277" t="s">
        <v>663</v>
      </c>
    </row>
    <row r="278" spans="1:76">
      <c r="L278" t="s">
        <v>664</v>
      </c>
    </row>
    <row r="279" spans="1:76">
      <c r="L279" t="s">
        <v>665</v>
      </c>
      <c r="M279">
        <f>IF(DAY(NOW())&lt;M3,INDIRECT(ADDRESS(279,7))-INDIRECT(ADDRESS(274,13))+INDIRECT(ADDRESS(275,13))-INDIRECT(ADDRESS(278,13)),INDIRECT(ADDRESS(279,7))-INDIRECT(ADDRESS(274,13))+INDIRECT(ADDRESS(277,13))-INDIRECT(ADDRESS(278,13)))</f>
        <v>0</v>
      </c>
      <c r="N279">
        <f>IF(DAY(NOW())&lt;M3,INDIRECT(ADDRESS(279,13))-INDIRECT(ADDRESS(274,14))+INDIRECT(ADDRESS(275,14))-INDIRECT(ADDRESS(278,14)),INDIRECT(ADDRESS(279,13))-INDIRECT(ADDRESS(274,14))+INDIRECT(ADDRESS(277,14))-INDIRECT(ADDRESS(278,14)))</f>
        <v>0</v>
      </c>
      <c r="O279">
        <f>IF(DAY(NOW())&lt;M3,INDIRECT(ADDRESS(279,14))-INDIRECT(ADDRESS(274,15))+INDIRECT(ADDRESS(275,15))-INDIRECT(ADDRESS(278,15)),INDIRECT(ADDRESS(279,14))-INDIRECT(ADDRESS(274,15))+INDIRECT(ADDRESS(277,15))-INDIRECT(ADDRESS(278,15)))</f>
        <v>0</v>
      </c>
      <c r="P279">
        <f>IF(DAY(NOW())&lt;M3,INDIRECT(ADDRESS(279,15))-INDIRECT(ADDRESS(274,16))+INDIRECT(ADDRESS(275,16))-INDIRECT(ADDRESS(278,16)),INDIRECT(ADDRESS(279,15))-INDIRECT(ADDRESS(274,16))+INDIRECT(ADDRESS(277,16))-INDIRECT(ADDRESS(278,16)))</f>
        <v>0</v>
      </c>
      <c r="Q279">
        <f>IF(DAY(NOW())&lt;M3,INDIRECT(ADDRESS(279,16))-INDIRECT(ADDRESS(274,17))+INDIRECT(ADDRESS(275,17))-INDIRECT(ADDRESS(278,17)),INDIRECT(ADDRESS(279,16))-INDIRECT(ADDRESS(274,17))+INDIRECT(ADDRESS(277,17))-INDIRECT(ADDRESS(278,17)))</f>
        <v>0</v>
      </c>
      <c r="R279">
        <f>IF(DAY(NOW())&lt;M3,INDIRECT(ADDRESS(279,17))-INDIRECT(ADDRESS(274,18))+INDIRECT(ADDRESS(275,18))-INDIRECT(ADDRESS(278,18)),INDIRECT(ADDRESS(279,17))-INDIRECT(ADDRESS(274,18))+INDIRECT(ADDRESS(277,18))-INDIRECT(ADDRESS(278,18)))</f>
        <v>0</v>
      </c>
      <c r="S279">
        <f>IF(DAY(NOW())&lt;M3,INDIRECT(ADDRESS(279,18))-INDIRECT(ADDRESS(274,19))+INDIRECT(ADDRESS(275,19))-INDIRECT(ADDRESS(278,19)),INDIRECT(ADDRESS(279,18))-INDIRECT(ADDRESS(274,19))+INDIRECT(ADDRESS(277,19))-INDIRECT(ADDRESS(278,19)))</f>
        <v>0</v>
      </c>
      <c r="T279">
        <f>IF(DAY(NOW())&lt;M3,INDIRECT(ADDRESS(279,19))-INDIRECT(ADDRESS(274,20))+INDIRECT(ADDRESS(275,20))-INDIRECT(ADDRESS(278,20)),INDIRECT(ADDRESS(279,19))-INDIRECT(ADDRESS(274,20))+INDIRECT(ADDRESS(277,20))-INDIRECT(ADDRESS(278,20)))</f>
        <v>0</v>
      </c>
      <c r="U279">
        <f>IF(DAY(NOW())&lt;M3,INDIRECT(ADDRESS(279,20))-INDIRECT(ADDRESS(274,21))+INDIRECT(ADDRESS(275,21))-INDIRECT(ADDRESS(278,21)),INDIRECT(ADDRESS(279,20))-INDIRECT(ADDRESS(274,21))+INDIRECT(ADDRESS(277,21))-INDIRECT(ADDRESS(278,21)))</f>
        <v>0</v>
      </c>
      <c r="V279">
        <f>IF(DAY(NOW())&lt;M3,INDIRECT(ADDRESS(279,21))-INDIRECT(ADDRESS(274,22))+INDIRECT(ADDRESS(275,22))-INDIRECT(ADDRESS(278,22)),INDIRECT(ADDRESS(279,21))-INDIRECT(ADDRESS(274,22))+INDIRECT(ADDRESS(277,22))-INDIRECT(ADDRESS(278,22)))</f>
        <v>0</v>
      </c>
      <c r="W279">
        <f>IF(DAY(NOW())&lt;M3,INDIRECT(ADDRESS(279,22))-INDIRECT(ADDRESS(274,23))+INDIRECT(ADDRESS(275,23))-INDIRECT(ADDRESS(278,23)),INDIRECT(ADDRESS(279,22))-INDIRECT(ADDRESS(274,23))+INDIRECT(ADDRESS(277,23))-INDIRECT(ADDRESS(278,23)))</f>
        <v>0</v>
      </c>
      <c r="X279">
        <f>IF(DAY(NOW())&lt;M3,INDIRECT(ADDRESS(279,23))-INDIRECT(ADDRESS(274,24))+INDIRECT(ADDRESS(275,24))-INDIRECT(ADDRESS(278,24)),INDIRECT(ADDRESS(279,23))-INDIRECT(ADDRESS(274,24))+INDIRECT(ADDRESS(277,24))-INDIRECT(ADDRESS(278,24)))</f>
        <v>0</v>
      </c>
      <c r="Y279">
        <f>IF(DAY(NOW())&lt;M3,INDIRECT(ADDRESS(279,24))-INDIRECT(ADDRESS(274,25))+INDIRECT(ADDRESS(275,25))-INDIRECT(ADDRESS(278,25)),INDIRECT(ADDRESS(279,24))-INDIRECT(ADDRESS(274,25))+INDIRECT(ADDRESS(277,25))-INDIRECT(ADDRESS(278,25)))</f>
        <v>0</v>
      </c>
      <c r="Z279">
        <f>IF(DAY(NOW())&lt;M3,INDIRECT(ADDRESS(279,25))-INDIRECT(ADDRESS(274,26))+INDIRECT(ADDRESS(275,26))-INDIRECT(ADDRESS(278,26)),INDIRECT(ADDRESS(279,25))-INDIRECT(ADDRESS(274,26))+INDIRECT(ADDRESS(277,26))-INDIRECT(ADDRESS(278,26)))</f>
        <v>0</v>
      </c>
      <c r="AA279">
        <f>IF(DAY(NOW())&lt;M3,INDIRECT(ADDRESS(279,26))-INDIRECT(ADDRESS(274,27))+INDIRECT(ADDRESS(275,27))-INDIRECT(ADDRESS(278,27)),INDIRECT(ADDRESS(279,26))-INDIRECT(ADDRESS(274,27))+INDIRECT(ADDRESS(277,27))-INDIRECT(ADDRESS(278,27)))</f>
        <v>0</v>
      </c>
      <c r="AB279">
        <f>IF(DAY(NOW())&lt;M3,INDIRECT(ADDRESS(279,27))-INDIRECT(ADDRESS(274,28))+INDIRECT(ADDRESS(275,28))-INDIRECT(ADDRESS(278,28)),INDIRECT(ADDRESS(279,27))-INDIRECT(ADDRESS(274,28))+INDIRECT(ADDRESS(277,28))-INDIRECT(ADDRESS(278,28)))</f>
        <v>0</v>
      </c>
      <c r="AC279">
        <f>IF(DAY(NOW())&lt;M3,INDIRECT(ADDRESS(279,28))-INDIRECT(ADDRESS(274,29))+INDIRECT(ADDRESS(275,29))-INDIRECT(ADDRESS(278,29)),INDIRECT(ADDRESS(279,28))-INDIRECT(ADDRESS(274,29))+INDIRECT(ADDRESS(277,29))-INDIRECT(ADDRESS(278,29)))</f>
        <v>0</v>
      </c>
      <c r="AD279">
        <f>IF(DAY(NOW())&lt;M3,INDIRECT(ADDRESS(279,29))-INDIRECT(ADDRESS(274,30))+INDIRECT(ADDRESS(275,30))-INDIRECT(ADDRESS(278,30)),INDIRECT(ADDRESS(279,29))-INDIRECT(ADDRESS(274,30))+INDIRECT(ADDRESS(277,30))-INDIRECT(ADDRESS(278,30)))</f>
        <v>0</v>
      </c>
      <c r="AE279">
        <f>IF(DAY(NOW())&lt;M3,INDIRECT(ADDRESS(279,30))-INDIRECT(ADDRESS(274,31))+INDIRECT(ADDRESS(275,31))-INDIRECT(ADDRESS(278,31)),INDIRECT(ADDRESS(279,30))-INDIRECT(ADDRESS(274,31))+INDIRECT(ADDRESS(277,31))-INDIRECT(ADDRESS(278,31)))</f>
        <v>0</v>
      </c>
      <c r="AF279">
        <f>IF(DAY(NOW())&lt;M3,INDIRECT(ADDRESS(279,31))-INDIRECT(ADDRESS(274,32))+INDIRECT(ADDRESS(275,32))-INDIRECT(ADDRESS(278,32)),INDIRECT(ADDRESS(279,31))-INDIRECT(ADDRESS(274,32))+INDIRECT(ADDRESS(277,32))-INDIRECT(ADDRESS(278,32)))</f>
        <v>0</v>
      </c>
      <c r="AG279">
        <f>IF(DAY(NOW())&lt;M3,INDIRECT(ADDRESS(279,32))-INDIRECT(ADDRESS(274,33))+INDIRECT(ADDRESS(275,33))-INDIRECT(ADDRESS(278,33)),INDIRECT(ADDRESS(279,32))-INDIRECT(ADDRESS(274,33))+INDIRECT(ADDRESS(277,33))-INDIRECT(ADDRESS(278,33)))</f>
        <v>0</v>
      </c>
      <c r="AH279">
        <f>IF(DAY(NOW())&lt;M3,INDIRECT(ADDRESS(279,33))-INDIRECT(ADDRESS(274,34))+INDIRECT(ADDRESS(275,34))-INDIRECT(ADDRESS(278,34)),INDIRECT(ADDRESS(279,33))-INDIRECT(ADDRESS(274,34))+INDIRECT(ADDRESS(277,34))-INDIRECT(ADDRESS(278,34)))</f>
        <v>0</v>
      </c>
      <c r="AI279">
        <f>IF(DAY(NOW())&lt;M3,INDIRECT(ADDRESS(279,34))-INDIRECT(ADDRESS(274,35))+INDIRECT(ADDRESS(275,35))-INDIRECT(ADDRESS(278,35)),INDIRECT(ADDRESS(279,34))-INDIRECT(ADDRESS(274,35))+INDIRECT(ADDRESS(277,35))-INDIRECT(ADDRESS(278,35)))</f>
        <v>0</v>
      </c>
      <c r="AJ279">
        <f>IF(DAY(NOW())&lt;M3,INDIRECT(ADDRESS(279,35))-INDIRECT(ADDRESS(274,36))+INDIRECT(ADDRESS(275,36))-INDIRECT(ADDRESS(278,36)),INDIRECT(ADDRESS(279,35))-INDIRECT(ADDRESS(274,36))+INDIRECT(ADDRESS(277,36))-INDIRECT(ADDRESS(278,36)))</f>
        <v>0</v>
      </c>
      <c r="AK279">
        <f>IF(DAY(NOW())&lt;M3,INDIRECT(ADDRESS(279,36))-INDIRECT(ADDRESS(274,37))+INDIRECT(ADDRESS(275,37))-INDIRECT(ADDRESS(278,37)),INDIRECT(ADDRESS(279,36))-INDIRECT(ADDRESS(274,37))+INDIRECT(ADDRESS(277,37))-INDIRECT(ADDRESS(278,37)))</f>
        <v>0</v>
      </c>
      <c r="AL279">
        <f>IF(DAY(NOW())&lt;M3,INDIRECT(ADDRESS(279,37))-INDIRECT(ADDRESS(274,38))+INDIRECT(ADDRESS(275,38))-INDIRECT(ADDRESS(278,38)),INDIRECT(ADDRESS(279,37))-INDIRECT(ADDRESS(274,38))+INDIRECT(ADDRESS(277,38))-INDIRECT(ADDRESS(278,38)))</f>
        <v>0</v>
      </c>
      <c r="AM279">
        <f>IF(DAY(NOW())&lt;M3,INDIRECT(ADDRESS(279,38))-INDIRECT(ADDRESS(274,39))+INDIRECT(ADDRESS(275,39))-INDIRECT(ADDRESS(278,39)),INDIRECT(ADDRESS(279,38))-INDIRECT(ADDRESS(274,39))+INDIRECT(ADDRESS(277,39))-INDIRECT(ADDRESS(278,39)))</f>
        <v>0</v>
      </c>
      <c r="AN279">
        <f>IF(DAY(NOW())&lt;M3,INDIRECT(ADDRESS(279,39))-INDIRECT(ADDRESS(274,40))+INDIRECT(ADDRESS(275,40))-INDIRECT(ADDRESS(278,40)),INDIRECT(ADDRESS(279,39))-INDIRECT(ADDRESS(274,40))+INDIRECT(ADDRESS(277,40))-INDIRECT(ADDRESS(278,40)))</f>
        <v>0</v>
      </c>
      <c r="AO279">
        <f>IF(DAY(NOW())&lt;M3,INDIRECT(ADDRESS(279,40))-INDIRECT(ADDRESS(274,41))+INDIRECT(ADDRESS(275,41))-INDIRECT(ADDRESS(278,41)),INDIRECT(ADDRESS(279,40))-INDIRECT(ADDRESS(274,41))+INDIRECT(ADDRESS(277,41))-INDIRECT(ADDRESS(278,41)))</f>
        <v>0</v>
      </c>
      <c r="AP279">
        <f>IF(DAY(NOW())&lt;M3,INDIRECT(ADDRESS(279,41))-INDIRECT(ADDRESS(274,42))+INDIRECT(ADDRESS(275,42))-INDIRECT(ADDRESS(278,42)),INDIRECT(ADDRESS(279,41))-INDIRECT(ADDRESS(274,42))+INDIRECT(ADDRESS(277,42))-INDIRECT(ADDRESS(278,42)))</f>
        <v>0</v>
      </c>
      <c r="AQ279">
        <f>IF(DAY(NOW())&lt;M3,INDIRECT(ADDRESS(279,42))-INDIRECT(ADDRESS(274,43))+INDIRECT(ADDRESS(275,43))-INDIRECT(ADDRESS(278,43)),INDIRECT(ADDRESS(279,42))-INDIRECT(ADDRESS(274,43))+INDIRECT(ADDRESS(277,43))-INDIRECT(ADDRESS(278,43)))</f>
        <v>0</v>
      </c>
      <c r="AR279">
        <f>IF(DAY(NOW())&lt;M3,INDIRECT(ADDRESS(279,43))-INDIRECT(ADDRESS(274,44))+INDIRECT(ADDRESS(275,44))-INDIRECT(ADDRESS(278,44)),INDIRECT(ADDRESS(279,43))-INDIRECT(ADDRESS(274,44))+INDIRECT(ADDRESS(277,44))-INDIRECT(ADDRESS(278,44)))</f>
        <v>0</v>
      </c>
    </row>
    <row r="280" spans="1:76">
      <c r="A280" t="s">
        <v>14</v>
      </c>
      <c r="B280" t="s">
        <v>182</v>
      </c>
      <c r="C280" t="s">
        <v>183</v>
      </c>
      <c r="D280" t="s">
        <v>27</v>
      </c>
      <c r="E280">
        <v>1</v>
      </c>
      <c r="F280" t="s">
        <v>184</v>
      </c>
      <c r="H280" t="s">
        <v>165</v>
      </c>
      <c r="I280" t="s">
        <v>166</v>
      </c>
      <c r="K280" t="s">
        <v>20</v>
      </c>
      <c r="L280" t="s">
        <v>21</v>
      </c>
      <c r="BX280">
        <f>sum(j280:an280)</f>
        <v>0</v>
      </c>
    </row>
    <row r="281" spans="1:76">
      <c r="A281" t="s">
        <v>14</v>
      </c>
      <c r="B281" t="s">
        <v>182</v>
      </c>
      <c r="C281" t="s">
        <v>183</v>
      </c>
      <c r="D281" t="s">
        <v>27</v>
      </c>
      <c r="E281">
        <v>1</v>
      </c>
      <c r="F281" t="s">
        <v>184</v>
      </c>
      <c r="H281" t="s">
        <v>165</v>
      </c>
      <c r="I281" t="s">
        <v>166</v>
      </c>
      <c r="K281" t="s">
        <v>20</v>
      </c>
      <c r="L281" t="s">
        <v>37</v>
      </c>
    </row>
    <row r="282" spans="1:76">
      <c r="L282" t="s">
        <v>662</v>
      </c>
    </row>
    <row r="283" spans="1:76">
      <c r="L283" t="s">
        <v>663</v>
      </c>
    </row>
    <row r="284" spans="1:76">
      <c r="L284" t="s">
        <v>664</v>
      </c>
    </row>
    <row r="285" spans="1:76">
      <c r="L285" t="s">
        <v>665</v>
      </c>
      <c r="M285">
        <f>IF(DAY(NOW())&lt;M3,INDIRECT(ADDRESS(285,7))-INDIRECT(ADDRESS(280,13))+INDIRECT(ADDRESS(281,13))-INDIRECT(ADDRESS(284,13)),INDIRECT(ADDRESS(285,7))-INDIRECT(ADDRESS(280,13))+INDIRECT(ADDRESS(283,13))-INDIRECT(ADDRESS(284,13)))</f>
        <v>0</v>
      </c>
      <c r="N285">
        <f>IF(DAY(NOW())&lt;M3,INDIRECT(ADDRESS(285,13))-INDIRECT(ADDRESS(280,14))+INDIRECT(ADDRESS(281,14))-INDIRECT(ADDRESS(284,14)),INDIRECT(ADDRESS(285,13))-INDIRECT(ADDRESS(280,14))+INDIRECT(ADDRESS(283,14))-INDIRECT(ADDRESS(284,14)))</f>
        <v>0</v>
      </c>
      <c r="O285">
        <f>IF(DAY(NOW())&lt;M3,INDIRECT(ADDRESS(285,14))-INDIRECT(ADDRESS(280,15))+INDIRECT(ADDRESS(281,15))-INDIRECT(ADDRESS(284,15)),INDIRECT(ADDRESS(285,14))-INDIRECT(ADDRESS(280,15))+INDIRECT(ADDRESS(283,15))-INDIRECT(ADDRESS(284,15)))</f>
        <v>0</v>
      </c>
      <c r="P285">
        <f>IF(DAY(NOW())&lt;M3,INDIRECT(ADDRESS(285,15))-INDIRECT(ADDRESS(280,16))+INDIRECT(ADDRESS(281,16))-INDIRECT(ADDRESS(284,16)),INDIRECT(ADDRESS(285,15))-INDIRECT(ADDRESS(280,16))+INDIRECT(ADDRESS(283,16))-INDIRECT(ADDRESS(284,16)))</f>
        <v>0</v>
      </c>
      <c r="Q285">
        <f>IF(DAY(NOW())&lt;M3,INDIRECT(ADDRESS(285,16))-INDIRECT(ADDRESS(280,17))+INDIRECT(ADDRESS(281,17))-INDIRECT(ADDRESS(284,17)),INDIRECT(ADDRESS(285,16))-INDIRECT(ADDRESS(280,17))+INDIRECT(ADDRESS(283,17))-INDIRECT(ADDRESS(284,17)))</f>
        <v>0</v>
      </c>
      <c r="R285">
        <f>IF(DAY(NOW())&lt;M3,INDIRECT(ADDRESS(285,17))-INDIRECT(ADDRESS(280,18))+INDIRECT(ADDRESS(281,18))-INDIRECT(ADDRESS(284,18)),INDIRECT(ADDRESS(285,17))-INDIRECT(ADDRESS(280,18))+INDIRECT(ADDRESS(283,18))-INDIRECT(ADDRESS(284,18)))</f>
        <v>0</v>
      </c>
      <c r="S285">
        <f>IF(DAY(NOW())&lt;M3,INDIRECT(ADDRESS(285,18))-INDIRECT(ADDRESS(280,19))+INDIRECT(ADDRESS(281,19))-INDIRECT(ADDRESS(284,19)),INDIRECT(ADDRESS(285,18))-INDIRECT(ADDRESS(280,19))+INDIRECT(ADDRESS(283,19))-INDIRECT(ADDRESS(284,19)))</f>
        <v>0</v>
      </c>
      <c r="T285">
        <f>IF(DAY(NOW())&lt;M3,INDIRECT(ADDRESS(285,19))-INDIRECT(ADDRESS(280,20))+INDIRECT(ADDRESS(281,20))-INDIRECT(ADDRESS(284,20)),INDIRECT(ADDRESS(285,19))-INDIRECT(ADDRESS(280,20))+INDIRECT(ADDRESS(283,20))-INDIRECT(ADDRESS(284,20)))</f>
        <v>0</v>
      </c>
      <c r="U285">
        <f>IF(DAY(NOW())&lt;M3,INDIRECT(ADDRESS(285,20))-INDIRECT(ADDRESS(280,21))+INDIRECT(ADDRESS(281,21))-INDIRECT(ADDRESS(284,21)),INDIRECT(ADDRESS(285,20))-INDIRECT(ADDRESS(280,21))+INDIRECT(ADDRESS(283,21))-INDIRECT(ADDRESS(284,21)))</f>
        <v>0</v>
      </c>
      <c r="V285">
        <f>IF(DAY(NOW())&lt;M3,INDIRECT(ADDRESS(285,21))-INDIRECT(ADDRESS(280,22))+INDIRECT(ADDRESS(281,22))-INDIRECT(ADDRESS(284,22)),INDIRECT(ADDRESS(285,21))-INDIRECT(ADDRESS(280,22))+INDIRECT(ADDRESS(283,22))-INDIRECT(ADDRESS(284,22)))</f>
        <v>0</v>
      </c>
      <c r="W285">
        <f>IF(DAY(NOW())&lt;M3,INDIRECT(ADDRESS(285,22))-INDIRECT(ADDRESS(280,23))+INDIRECT(ADDRESS(281,23))-INDIRECT(ADDRESS(284,23)),INDIRECT(ADDRESS(285,22))-INDIRECT(ADDRESS(280,23))+INDIRECT(ADDRESS(283,23))-INDIRECT(ADDRESS(284,23)))</f>
        <v>0</v>
      </c>
      <c r="X285">
        <f>IF(DAY(NOW())&lt;M3,INDIRECT(ADDRESS(285,23))-INDIRECT(ADDRESS(280,24))+INDIRECT(ADDRESS(281,24))-INDIRECT(ADDRESS(284,24)),INDIRECT(ADDRESS(285,23))-INDIRECT(ADDRESS(280,24))+INDIRECT(ADDRESS(283,24))-INDIRECT(ADDRESS(284,24)))</f>
        <v>0</v>
      </c>
      <c r="Y285">
        <f>IF(DAY(NOW())&lt;M3,INDIRECT(ADDRESS(285,24))-INDIRECT(ADDRESS(280,25))+INDIRECT(ADDRESS(281,25))-INDIRECT(ADDRESS(284,25)),INDIRECT(ADDRESS(285,24))-INDIRECT(ADDRESS(280,25))+INDIRECT(ADDRESS(283,25))-INDIRECT(ADDRESS(284,25)))</f>
        <v>0</v>
      </c>
      <c r="Z285">
        <f>IF(DAY(NOW())&lt;M3,INDIRECT(ADDRESS(285,25))-INDIRECT(ADDRESS(280,26))+INDIRECT(ADDRESS(281,26))-INDIRECT(ADDRESS(284,26)),INDIRECT(ADDRESS(285,25))-INDIRECT(ADDRESS(280,26))+INDIRECT(ADDRESS(283,26))-INDIRECT(ADDRESS(284,26)))</f>
        <v>0</v>
      </c>
      <c r="AA285">
        <f>IF(DAY(NOW())&lt;M3,INDIRECT(ADDRESS(285,26))-INDIRECT(ADDRESS(280,27))+INDIRECT(ADDRESS(281,27))-INDIRECT(ADDRESS(284,27)),INDIRECT(ADDRESS(285,26))-INDIRECT(ADDRESS(280,27))+INDIRECT(ADDRESS(283,27))-INDIRECT(ADDRESS(284,27)))</f>
        <v>0</v>
      </c>
      <c r="AB285">
        <f>IF(DAY(NOW())&lt;M3,INDIRECT(ADDRESS(285,27))-INDIRECT(ADDRESS(280,28))+INDIRECT(ADDRESS(281,28))-INDIRECT(ADDRESS(284,28)),INDIRECT(ADDRESS(285,27))-INDIRECT(ADDRESS(280,28))+INDIRECT(ADDRESS(283,28))-INDIRECT(ADDRESS(284,28)))</f>
        <v>0</v>
      </c>
      <c r="AC285">
        <f>IF(DAY(NOW())&lt;M3,INDIRECT(ADDRESS(285,28))-INDIRECT(ADDRESS(280,29))+INDIRECT(ADDRESS(281,29))-INDIRECT(ADDRESS(284,29)),INDIRECT(ADDRESS(285,28))-INDIRECT(ADDRESS(280,29))+INDIRECT(ADDRESS(283,29))-INDIRECT(ADDRESS(284,29)))</f>
        <v>0</v>
      </c>
      <c r="AD285">
        <f>IF(DAY(NOW())&lt;M3,INDIRECT(ADDRESS(285,29))-INDIRECT(ADDRESS(280,30))+INDIRECT(ADDRESS(281,30))-INDIRECT(ADDRESS(284,30)),INDIRECT(ADDRESS(285,29))-INDIRECT(ADDRESS(280,30))+INDIRECT(ADDRESS(283,30))-INDIRECT(ADDRESS(284,30)))</f>
        <v>0</v>
      </c>
      <c r="AE285">
        <f>IF(DAY(NOW())&lt;M3,INDIRECT(ADDRESS(285,30))-INDIRECT(ADDRESS(280,31))+INDIRECT(ADDRESS(281,31))-INDIRECT(ADDRESS(284,31)),INDIRECT(ADDRESS(285,30))-INDIRECT(ADDRESS(280,31))+INDIRECT(ADDRESS(283,31))-INDIRECT(ADDRESS(284,31)))</f>
        <v>0</v>
      </c>
      <c r="AF285">
        <f>IF(DAY(NOW())&lt;M3,INDIRECT(ADDRESS(285,31))-INDIRECT(ADDRESS(280,32))+INDIRECT(ADDRESS(281,32))-INDIRECT(ADDRESS(284,32)),INDIRECT(ADDRESS(285,31))-INDIRECT(ADDRESS(280,32))+INDIRECT(ADDRESS(283,32))-INDIRECT(ADDRESS(284,32)))</f>
        <v>0</v>
      </c>
      <c r="AG285">
        <f>IF(DAY(NOW())&lt;M3,INDIRECT(ADDRESS(285,32))-INDIRECT(ADDRESS(280,33))+INDIRECT(ADDRESS(281,33))-INDIRECT(ADDRESS(284,33)),INDIRECT(ADDRESS(285,32))-INDIRECT(ADDRESS(280,33))+INDIRECT(ADDRESS(283,33))-INDIRECT(ADDRESS(284,33)))</f>
        <v>0</v>
      </c>
      <c r="AH285">
        <f>IF(DAY(NOW())&lt;M3,INDIRECT(ADDRESS(285,33))-INDIRECT(ADDRESS(280,34))+INDIRECT(ADDRESS(281,34))-INDIRECT(ADDRESS(284,34)),INDIRECT(ADDRESS(285,33))-INDIRECT(ADDRESS(280,34))+INDIRECT(ADDRESS(283,34))-INDIRECT(ADDRESS(284,34)))</f>
        <v>0</v>
      </c>
      <c r="AI285">
        <f>IF(DAY(NOW())&lt;M3,INDIRECT(ADDRESS(285,34))-INDIRECT(ADDRESS(280,35))+INDIRECT(ADDRESS(281,35))-INDIRECT(ADDRESS(284,35)),INDIRECT(ADDRESS(285,34))-INDIRECT(ADDRESS(280,35))+INDIRECT(ADDRESS(283,35))-INDIRECT(ADDRESS(284,35)))</f>
        <v>0</v>
      </c>
      <c r="AJ285">
        <f>IF(DAY(NOW())&lt;M3,INDIRECT(ADDRESS(285,35))-INDIRECT(ADDRESS(280,36))+INDIRECT(ADDRESS(281,36))-INDIRECT(ADDRESS(284,36)),INDIRECT(ADDRESS(285,35))-INDIRECT(ADDRESS(280,36))+INDIRECT(ADDRESS(283,36))-INDIRECT(ADDRESS(284,36)))</f>
        <v>0</v>
      </c>
      <c r="AK285">
        <f>IF(DAY(NOW())&lt;M3,INDIRECT(ADDRESS(285,36))-INDIRECT(ADDRESS(280,37))+INDIRECT(ADDRESS(281,37))-INDIRECT(ADDRESS(284,37)),INDIRECT(ADDRESS(285,36))-INDIRECT(ADDRESS(280,37))+INDIRECT(ADDRESS(283,37))-INDIRECT(ADDRESS(284,37)))</f>
        <v>0</v>
      </c>
      <c r="AL285">
        <f>IF(DAY(NOW())&lt;M3,INDIRECT(ADDRESS(285,37))-INDIRECT(ADDRESS(280,38))+INDIRECT(ADDRESS(281,38))-INDIRECT(ADDRESS(284,38)),INDIRECT(ADDRESS(285,37))-INDIRECT(ADDRESS(280,38))+INDIRECT(ADDRESS(283,38))-INDIRECT(ADDRESS(284,38)))</f>
        <v>0</v>
      </c>
      <c r="AM285">
        <f>IF(DAY(NOW())&lt;M3,INDIRECT(ADDRESS(285,38))-INDIRECT(ADDRESS(280,39))+INDIRECT(ADDRESS(281,39))-INDIRECT(ADDRESS(284,39)),INDIRECT(ADDRESS(285,38))-INDIRECT(ADDRESS(280,39))+INDIRECT(ADDRESS(283,39))-INDIRECT(ADDRESS(284,39)))</f>
        <v>0</v>
      </c>
      <c r="AN285">
        <f>IF(DAY(NOW())&lt;M3,INDIRECT(ADDRESS(285,39))-INDIRECT(ADDRESS(280,40))+INDIRECT(ADDRESS(281,40))-INDIRECT(ADDRESS(284,40)),INDIRECT(ADDRESS(285,39))-INDIRECT(ADDRESS(280,40))+INDIRECT(ADDRESS(283,40))-INDIRECT(ADDRESS(284,40)))</f>
        <v>0</v>
      </c>
      <c r="AO285">
        <f>IF(DAY(NOW())&lt;M3,INDIRECT(ADDRESS(285,40))-INDIRECT(ADDRESS(280,41))+INDIRECT(ADDRESS(281,41))-INDIRECT(ADDRESS(284,41)),INDIRECT(ADDRESS(285,40))-INDIRECT(ADDRESS(280,41))+INDIRECT(ADDRESS(283,41))-INDIRECT(ADDRESS(284,41)))</f>
        <v>0</v>
      </c>
      <c r="AP285">
        <f>IF(DAY(NOW())&lt;M3,INDIRECT(ADDRESS(285,41))-INDIRECT(ADDRESS(280,42))+INDIRECT(ADDRESS(281,42))-INDIRECT(ADDRESS(284,42)),INDIRECT(ADDRESS(285,41))-INDIRECT(ADDRESS(280,42))+INDIRECT(ADDRESS(283,42))-INDIRECT(ADDRESS(284,42)))</f>
        <v>0</v>
      </c>
      <c r="AQ285">
        <f>IF(DAY(NOW())&lt;M3,INDIRECT(ADDRESS(285,42))-INDIRECT(ADDRESS(280,43))+INDIRECT(ADDRESS(281,43))-INDIRECT(ADDRESS(284,43)),INDIRECT(ADDRESS(285,42))-INDIRECT(ADDRESS(280,43))+INDIRECT(ADDRESS(283,43))-INDIRECT(ADDRESS(284,43)))</f>
        <v>0</v>
      </c>
      <c r="AR285">
        <f>IF(DAY(NOW())&lt;M3,INDIRECT(ADDRESS(285,43))-INDIRECT(ADDRESS(280,44))+INDIRECT(ADDRESS(281,44))-INDIRECT(ADDRESS(284,44)),INDIRECT(ADDRESS(285,43))-INDIRECT(ADDRESS(280,44))+INDIRECT(ADDRESS(283,44))-INDIRECT(ADDRESS(284,44)))</f>
        <v>0</v>
      </c>
    </row>
    <row r="286" spans="1:76">
      <c r="A286" t="s">
        <v>31</v>
      </c>
      <c r="B286" t="s">
        <v>185</v>
      </c>
      <c r="C286" t="s">
        <v>186</v>
      </c>
      <c r="D286" t="s">
        <v>17</v>
      </c>
      <c r="E286">
        <v>1</v>
      </c>
      <c r="F286" t="s">
        <v>187</v>
      </c>
      <c r="H286" t="s">
        <v>35</v>
      </c>
      <c r="I286" t="s">
        <v>36</v>
      </c>
      <c r="K286" t="s">
        <v>20</v>
      </c>
      <c r="L286" t="s">
        <v>21</v>
      </c>
      <c r="M286">
        <f>sumifs(BOM!m:m,BOM!A:A,".1",BOM!B:B,"852-242000-200")</f>
        <v>0</v>
      </c>
      <c r="N286">
        <f>sumifs(BOM!n:n,BOM!A:A,".1",BOM!B:B,"852-242000-200")</f>
        <v>0</v>
      </c>
      <c r="O286">
        <f>sumifs(BOM!o:o,BOM!A:A,".1",BOM!B:B,"852-242000-200")</f>
        <v>0</v>
      </c>
      <c r="P286">
        <f>sumifs(BOM!p:p,BOM!A:A,".1",BOM!B:B,"852-242000-200")</f>
        <v>0</v>
      </c>
      <c r="Q286">
        <f>sumifs(BOM!q:q,BOM!A:A,".1",BOM!B:B,"852-242000-200")</f>
        <v>0</v>
      </c>
      <c r="R286">
        <f>sumifs(BOM!r:r,BOM!A:A,".1",BOM!B:B,"852-242000-200")</f>
        <v>0</v>
      </c>
      <c r="S286">
        <f>sumifs(BOM!s:s,BOM!A:A,".1",BOM!B:B,"852-242000-200")</f>
        <v>0</v>
      </c>
      <c r="T286">
        <f>sumifs(BOM!t:t,BOM!A:A,".1",BOM!B:B,"852-242000-200")</f>
        <v>0</v>
      </c>
      <c r="U286">
        <f>sumifs(BOM!u:u,BOM!A:A,".1",BOM!B:B,"852-242000-200")</f>
        <v>0</v>
      </c>
      <c r="V286">
        <f>sumifs(BOM!v:v,BOM!A:A,".1",BOM!B:B,"852-242000-200")</f>
        <v>0</v>
      </c>
      <c r="W286">
        <f>sumifs(BOM!w:w,BOM!A:A,".1",BOM!B:B,"852-242000-200")</f>
        <v>0</v>
      </c>
      <c r="X286">
        <f>sumifs(BOM!x:x,BOM!A:A,".1",BOM!B:B,"852-242000-200")</f>
        <v>0</v>
      </c>
      <c r="Y286">
        <f>sumifs(BOM!y:y,BOM!A:A,".1",BOM!B:B,"852-242000-200")</f>
        <v>0</v>
      </c>
      <c r="Z286">
        <f>sumifs(BOM!z:z,BOM!A:A,".1",BOM!B:B,"852-242000-200")</f>
        <v>0</v>
      </c>
      <c r="AA286">
        <f>sumifs(BOM!aa:aa,BOM!A:A,".1",BOM!B:B,"852-242000-200")</f>
        <v>0</v>
      </c>
      <c r="AB286">
        <f>sumifs(BOM!ab:ab,BOM!A:A,".1",BOM!B:B,"852-242000-200")</f>
        <v>0</v>
      </c>
      <c r="AC286">
        <f>sumifs(BOM!ac:ac,BOM!A:A,".1",BOM!B:B,"852-242000-200")</f>
        <v>0</v>
      </c>
      <c r="AD286">
        <f>sumifs(BOM!ad:ad,BOM!A:A,".1",BOM!B:B,"852-242000-200")</f>
        <v>0</v>
      </c>
      <c r="AE286">
        <f>sumifs(BOM!ae:ae,BOM!A:A,".1",BOM!B:B,"852-242000-200")</f>
        <v>0</v>
      </c>
      <c r="AF286">
        <f>sumifs(BOM!af:af,BOM!A:A,".1",BOM!B:B,"852-242000-200")</f>
        <v>0</v>
      </c>
      <c r="AG286">
        <f>sumifs(BOM!ag:ag,BOM!A:A,".1",BOM!B:B,"852-242000-200")</f>
        <v>0</v>
      </c>
      <c r="AH286">
        <f>sumifs(BOM!ah:ah,BOM!A:A,".1",BOM!B:B,"852-242000-200")</f>
        <v>0</v>
      </c>
      <c r="AI286">
        <f>sumifs(BOM!ai:ai,BOM!A:A,".1",BOM!B:B,"852-242000-200")</f>
        <v>0</v>
      </c>
      <c r="AJ286">
        <f>sumifs(BOM!aj:aj,BOM!A:A,".1",BOM!B:B,"852-242000-200")</f>
        <v>0</v>
      </c>
      <c r="AK286">
        <f>sumifs(BOM!ak:ak,BOM!A:A,".1",BOM!B:B,"852-242000-200")</f>
        <v>0</v>
      </c>
      <c r="AL286">
        <f>sumifs(BOM!al:al,BOM!A:A,".1",BOM!B:B,"852-242000-200")</f>
        <v>0</v>
      </c>
      <c r="AM286">
        <f>sumifs(BOM!am:am,BOM!A:A,".1",BOM!B:B,"852-242000-200")</f>
        <v>0</v>
      </c>
      <c r="AN286">
        <f>sumifs(BOM!an:an,BOM!A:A,".1",BOM!B:B,"852-242000-200")</f>
        <v>0</v>
      </c>
      <c r="AO286">
        <f>sumifs(BOM!ao:ao,BOM!A:A,".1",BOM!B:B,"852-242000-200")</f>
        <v>0</v>
      </c>
      <c r="AP286">
        <f>sumifs(BOM!ap:ap,BOM!A:A,".1",BOM!B:B,"852-242000-200")</f>
        <v>0</v>
      </c>
      <c r="AQ286">
        <f>sumifs(BOM!aq:aq,BOM!A:A,".1",BOM!B:B,"852-242000-200")</f>
        <v>0</v>
      </c>
      <c r="AR286">
        <f>sumifs(BOM!ar:ar,BOM!A:A,".1",BOM!B:B,"852-242000-200")</f>
        <v>0</v>
      </c>
      <c r="BX286">
        <f>sum(j286:an286)</f>
        <v>0</v>
      </c>
    </row>
    <row r="287" spans="1:76">
      <c r="A287" t="s">
        <v>31</v>
      </c>
      <c r="B287" t="s">
        <v>185</v>
      </c>
      <c r="C287" t="s">
        <v>186</v>
      </c>
      <c r="D287" t="s">
        <v>17</v>
      </c>
      <c r="E287">
        <v>1</v>
      </c>
      <c r="F287" t="s">
        <v>187</v>
      </c>
      <c r="H287" t="s">
        <v>35</v>
      </c>
      <c r="I287" t="s">
        <v>36</v>
      </c>
      <c r="K287" t="s">
        <v>20</v>
      </c>
      <c r="L287" t="s">
        <v>37</v>
      </c>
    </row>
    <row r="288" spans="1:76">
      <c r="L288" t="s">
        <v>662</v>
      </c>
    </row>
    <row r="289" spans="1:76">
      <c r="L289" t="s">
        <v>663</v>
      </c>
    </row>
    <row r="290" spans="1:76">
      <c r="L290" t="s">
        <v>664</v>
      </c>
    </row>
    <row r="291" spans="1:76">
      <c r="L291" t="s">
        <v>665</v>
      </c>
      <c r="M291">
        <f>IF(DAY(NOW())&lt;M3,INDIRECT(ADDRESS(291,7))-INDIRECT(ADDRESS(286,13))+INDIRECT(ADDRESS(287,13))-INDIRECT(ADDRESS(290,13)),INDIRECT(ADDRESS(291,7))-INDIRECT(ADDRESS(286,13))+INDIRECT(ADDRESS(289,13))-INDIRECT(ADDRESS(290,13)))</f>
        <v>0</v>
      </c>
      <c r="N291">
        <f>IF(DAY(NOW())&lt;M3,INDIRECT(ADDRESS(291,13))-INDIRECT(ADDRESS(286,14))+INDIRECT(ADDRESS(287,14))-INDIRECT(ADDRESS(290,14)),INDIRECT(ADDRESS(291,13))-INDIRECT(ADDRESS(286,14))+INDIRECT(ADDRESS(289,14))-INDIRECT(ADDRESS(290,14)))</f>
        <v>0</v>
      </c>
      <c r="O291">
        <f>IF(DAY(NOW())&lt;M3,INDIRECT(ADDRESS(291,14))-INDIRECT(ADDRESS(286,15))+INDIRECT(ADDRESS(287,15))-INDIRECT(ADDRESS(290,15)),INDIRECT(ADDRESS(291,14))-INDIRECT(ADDRESS(286,15))+INDIRECT(ADDRESS(289,15))-INDIRECT(ADDRESS(290,15)))</f>
        <v>0</v>
      </c>
      <c r="P291">
        <f>IF(DAY(NOW())&lt;M3,INDIRECT(ADDRESS(291,15))-INDIRECT(ADDRESS(286,16))+INDIRECT(ADDRESS(287,16))-INDIRECT(ADDRESS(290,16)),INDIRECT(ADDRESS(291,15))-INDIRECT(ADDRESS(286,16))+INDIRECT(ADDRESS(289,16))-INDIRECT(ADDRESS(290,16)))</f>
        <v>0</v>
      </c>
      <c r="Q291">
        <f>IF(DAY(NOW())&lt;M3,INDIRECT(ADDRESS(291,16))-INDIRECT(ADDRESS(286,17))+INDIRECT(ADDRESS(287,17))-INDIRECT(ADDRESS(290,17)),INDIRECT(ADDRESS(291,16))-INDIRECT(ADDRESS(286,17))+INDIRECT(ADDRESS(289,17))-INDIRECT(ADDRESS(290,17)))</f>
        <v>0</v>
      </c>
      <c r="R291">
        <f>IF(DAY(NOW())&lt;M3,INDIRECT(ADDRESS(291,17))-INDIRECT(ADDRESS(286,18))+INDIRECT(ADDRESS(287,18))-INDIRECT(ADDRESS(290,18)),INDIRECT(ADDRESS(291,17))-INDIRECT(ADDRESS(286,18))+INDIRECT(ADDRESS(289,18))-INDIRECT(ADDRESS(290,18)))</f>
        <v>0</v>
      </c>
      <c r="S291">
        <f>IF(DAY(NOW())&lt;M3,INDIRECT(ADDRESS(291,18))-INDIRECT(ADDRESS(286,19))+INDIRECT(ADDRESS(287,19))-INDIRECT(ADDRESS(290,19)),INDIRECT(ADDRESS(291,18))-INDIRECT(ADDRESS(286,19))+INDIRECT(ADDRESS(289,19))-INDIRECT(ADDRESS(290,19)))</f>
        <v>0</v>
      </c>
      <c r="T291">
        <f>IF(DAY(NOW())&lt;M3,INDIRECT(ADDRESS(291,19))-INDIRECT(ADDRESS(286,20))+INDIRECT(ADDRESS(287,20))-INDIRECT(ADDRESS(290,20)),INDIRECT(ADDRESS(291,19))-INDIRECT(ADDRESS(286,20))+INDIRECT(ADDRESS(289,20))-INDIRECT(ADDRESS(290,20)))</f>
        <v>0</v>
      </c>
      <c r="U291">
        <f>IF(DAY(NOW())&lt;M3,INDIRECT(ADDRESS(291,20))-INDIRECT(ADDRESS(286,21))+INDIRECT(ADDRESS(287,21))-INDIRECT(ADDRESS(290,21)),INDIRECT(ADDRESS(291,20))-INDIRECT(ADDRESS(286,21))+INDIRECT(ADDRESS(289,21))-INDIRECT(ADDRESS(290,21)))</f>
        <v>0</v>
      </c>
      <c r="V291">
        <f>IF(DAY(NOW())&lt;M3,INDIRECT(ADDRESS(291,21))-INDIRECT(ADDRESS(286,22))+INDIRECT(ADDRESS(287,22))-INDIRECT(ADDRESS(290,22)),INDIRECT(ADDRESS(291,21))-INDIRECT(ADDRESS(286,22))+INDIRECT(ADDRESS(289,22))-INDIRECT(ADDRESS(290,22)))</f>
        <v>0</v>
      </c>
      <c r="W291">
        <f>IF(DAY(NOW())&lt;M3,INDIRECT(ADDRESS(291,22))-INDIRECT(ADDRESS(286,23))+INDIRECT(ADDRESS(287,23))-INDIRECT(ADDRESS(290,23)),INDIRECT(ADDRESS(291,22))-INDIRECT(ADDRESS(286,23))+INDIRECT(ADDRESS(289,23))-INDIRECT(ADDRESS(290,23)))</f>
        <v>0</v>
      </c>
      <c r="X291">
        <f>IF(DAY(NOW())&lt;M3,INDIRECT(ADDRESS(291,23))-INDIRECT(ADDRESS(286,24))+INDIRECT(ADDRESS(287,24))-INDIRECT(ADDRESS(290,24)),INDIRECT(ADDRESS(291,23))-INDIRECT(ADDRESS(286,24))+INDIRECT(ADDRESS(289,24))-INDIRECT(ADDRESS(290,24)))</f>
        <v>0</v>
      </c>
      <c r="Y291">
        <f>IF(DAY(NOW())&lt;M3,INDIRECT(ADDRESS(291,24))-INDIRECT(ADDRESS(286,25))+INDIRECT(ADDRESS(287,25))-INDIRECT(ADDRESS(290,25)),INDIRECT(ADDRESS(291,24))-INDIRECT(ADDRESS(286,25))+INDIRECT(ADDRESS(289,25))-INDIRECT(ADDRESS(290,25)))</f>
        <v>0</v>
      </c>
      <c r="Z291">
        <f>IF(DAY(NOW())&lt;M3,INDIRECT(ADDRESS(291,25))-INDIRECT(ADDRESS(286,26))+INDIRECT(ADDRESS(287,26))-INDIRECT(ADDRESS(290,26)),INDIRECT(ADDRESS(291,25))-INDIRECT(ADDRESS(286,26))+INDIRECT(ADDRESS(289,26))-INDIRECT(ADDRESS(290,26)))</f>
        <v>0</v>
      </c>
      <c r="AA291">
        <f>IF(DAY(NOW())&lt;M3,INDIRECT(ADDRESS(291,26))-INDIRECT(ADDRESS(286,27))+INDIRECT(ADDRESS(287,27))-INDIRECT(ADDRESS(290,27)),INDIRECT(ADDRESS(291,26))-INDIRECT(ADDRESS(286,27))+INDIRECT(ADDRESS(289,27))-INDIRECT(ADDRESS(290,27)))</f>
        <v>0</v>
      </c>
      <c r="AB291">
        <f>IF(DAY(NOW())&lt;M3,INDIRECT(ADDRESS(291,27))-INDIRECT(ADDRESS(286,28))+INDIRECT(ADDRESS(287,28))-INDIRECT(ADDRESS(290,28)),INDIRECT(ADDRESS(291,27))-INDIRECT(ADDRESS(286,28))+INDIRECT(ADDRESS(289,28))-INDIRECT(ADDRESS(290,28)))</f>
        <v>0</v>
      </c>
      <c r="AC291">
        <f>IF(DAY(NOW())&lt;M3,INDIRECT(ADDRESS(291,28))-INDIRECT(ADDRESS(286,29))+INDIRECT(ADDRESS(287,29))-INDIRECT(ADDRESS(290,29)),INDIRECT(ADDRESS(291,28))-INDIRECT(ADDRESS(286,29))+INDIRECT(ADDRESS(289,29))-INDIRECT(ADDRESS(290,29)))</f>
        <v>0</v>
      </c>
      <c r="AD291">
        <f>IF(DAY(NOW())&lt;M3,INDIRECT(ADDRESS(291,29))-INDIRECT(ADDRESS(286,30))+INDIRECT(ADDRESS(287,30))-INDIRECT(ADDRESS(290,30)),INDIRECT(ADDRESS(291,29))-INDIRECT(ADDRESS(286,30))+INDIRECT(ADDRESS(289,30))-INDIRECT(ADDRESS(290,30)))</f>
        <v>0</v>
      </c>
      <c r="AE291">
        <f>IF(DAY(NOW())&lt;M3,INDIRECT(ADDRESS(291,30))-INDIRECT(ADDRESS(286,31))+INDIRECT(ADDRESS(287,31))-INDIRECT(ADDRESS(290,31)),INDIRECT(ADDRESS(291,30))-INDIRECT(ADDRESS(286,31))+INDIRECT(ADDRESS(289,31))-INDIRECT(ADDRESS(290,31)))</f>
        <v>0</v>
      </c>
      <c r="AF291">
        <f>IF(DAY(NOW())&lt;M3,INDIRECT(ADDRESS(291,31))-INDIRECT(ADDRESS(286,32))+INDIRECT(ADDRESS(287,32))-INDIRECT(ADDRESS(290,32)),INDIRECT(ADDRESS(291,31))-INDIRECT(ADDRESS(286,32))+INDIRECT(ADDRESS(289,32))-INDIRECT(ADDRESS(290,32)))</f>
        <v>0</v>
      </c>
      <c r="AG291">
        <f>IF(DAY(NOW())&lt;M3,INDIRECT(ADDRESS(291,32))-INDIRECT(ADDRESS(286,33))+INDIRECT(ADDRESS(287,33))-INDIRECT(ADDRESS(290,33)),INDIRECT(ADDRESS(291,32))-INDIRECT(ADDRESS(286,33))+INDIRECT(ADDRESS(289,33))-INDIRECT(ADDRESS(290,33)))</f>
        <v>0</v>
      </c>
      <c r="AH291">
        <f>IF(DAY(NOW())&lt;M3,INDIRECT(ADDRESS(291,33))-INDIRECT(ADDRESS(286,34))+INDIRECT(ADDRESS(287,34))-INDIRECT(ADDRESS(290,34)),INDIRECT(ADDRESS(291,33))-INDIRECT(ADDRESS(286,34))+INDIRECT(ADDRESS(289,34))-INDIRECT(ADDRESS(290,34)))</f>
        <v>0</v>
      </c>
      <c r="AI291">
        <f>IF(DAY(NOW())&lt;M3,INDIRECT(ADDRESS(291,34))-INDIRECT(ADDRESS(286,35))+INDIRECT(ADDRESS(287,35))-INDIRECT(ADDRESS(290,35)),INDIRECT(ADDRESS(291,34))-INDIRECT(ADDRESS(286,35))+INDIRECT(ADDRESS(289,35))-INDIRECT(ADDRESS(290,35)))</f>
        <v>0</v>
      </c>
      <c r="AJ291">
        <f>IF(DAY(NOW())&lt;M3,INDIRECT(ADDRESS(291,35))-INDIRECT(ADDRESS(286,36))+INDIRECT(ADDRESS(287,36))-INDIRECT(ADDRESS(290,36)),INDIRECT(ADDRESS(291,35))-INDIRECT(ADDRESS(286,36))+INDIRECT(ADDRESS(289,36))-INDIRECT(ADDRESS(290,36)))</f>
        <v>0</v>
      </c>
      <c r="AK291">
        <f>IF(DAY(NOW())&lt;M3,INDIRECT(ADDRESS(291,36))-INDIRECT(ADDRESS(286,37))+INDIRECT(ADDRESS(287,37))-INDIRECT(ADDRESS(290,37)),INDIRECT(ADDRESS(291,36))-INDIRECT(ADDRESS(286,37))+INDIRECT(ADDRESS(289,37))-INDIRECT(ADDRESS(290,37)))</f>
        <v>0</v>
      </c>
      <c r="AL291">
        <f>IF(DAY(NOW())&lt;M3,INDIRECT(ADDRESS(291,37))-INDIRECT(ADDRESS(286,38))+INDIRECT(ADDRESS(287,38))-INDIRECT(ADDRESS(290,38)),INDIRECT(ADDRESS(291,37))-INDIRECT(ADDRESS(286,38))+INDIRECT(ADDRESS(289,38))-INDIRECT(ADDRESS(290,38)))</f>
        <v>0</v>
      </c>
      <c r="AM291">
        <f>IF(DAY(NOW())&lt;M3,INDIRECT(ADDRESS(291,38))-INDIRECT(ADDRESS(286,39))+INDIRECT(ADDRESS(287,39))-INDIRECT(ADDRESS(290,39)),INDIRECT(ADDRESS(291,38))-INDIRECT(ADDRESS(286,39))+INDIRECT(ADDRESS(289,39))-INDIRECT(ADDRESS(290,39)))</f>
        <v>0</v>
      </c>
      <c r="AN291">
        <f>IF(DAY(NOW())&lt;M3,INDIRECT(ADDRESS(291,39))-INDIRECT(ADDRESS(286,40))+INDIRECT(ADDRESS(287,40))-INDIRECT(ADDRESS(290,40)),INDIRECT(ADDRESS(291,39))-INDIRECT(ADDRESS(286,40))+INDIRECT(ADDRESS(289,40))-INDIRECT(ADDRESS(290,40)))</f>
        <v>0</v>
      </c>
      <c r="AO291">
        <f>IF(DAY(NOW())&lt;M3,INDIRECT(ADDRESS(291,40))-INDIRECT(ADDRESS(286,41))+INDIRECT(ADDRESS(287,41))-INDIRECT(ADDRESS(290,41)),INDIRECT(ADDRESS(291,40))-INDIRECT(ADDRESS(286,41))+INDIRECT(ADDRESS(289,41))-INDIRECT(ADDRESS(290,41)))</f>
        <v>0</v>
      </c>
      <c r="AP291">
        <f>IF(DAY(NOW())&lt;M3,INDIRECT(ADDRESS(291,41))-INDIRECT(ADDRESS(286,42))+INDIRECT(ADDRESS(287,42))-INDIRECT(ADDRESS(290,42)),INDIRECT(ADDRESS(291,41))-INDIRECT(ADDRESS(286,42))+INDIRECT(ADDRESS(289,42))-INDIRECT(ADDRESS(290,42)))</f>
        <v>0</v>
      </c>
      <c r="AQ291">
        <f>IF(DAY(NOW())&lt;M3,INDIRECT(ADDRESS(291,42))-INDIRECT(ADDRESS(286,43))+INDIRECT(ADDRESS(287,43))-INDIRECT(ADDRESS(290,43)),INDIRECT(ADDRESS(291,42))-INDIRECT(ADDRESS(286,43))+INDIRECT(ADDRESS(289,43))-INDIRECT(ADDRESS(290,43)))</f>
        <v>0</v>
      </c>
      <c r="AR291">
        <f>IF(DAY(NOW())&lt;M3,INDIRECT(ADDRESS(291,43))-INDIRECT(ADDRESS(286,44))+INDIRECT(ADDRESS(287,44))-INDIRECT(ADDRESS(290,44)),INDIRECT(ADDRESS(291,43))-INDIRECT(ADDRESS(286,44))+INDIRECT(ADDRESS(289,44))-INDIRECT(ADDRESS(290,44)))</f>
        <v>0</v>
      </c>
    </row>
    <row r="292" spans="1:76">
      <c r="A292" t="s">
        <v>14</v>
      </c>
      <c r="B292" t="s">
        <v>188</v>
      </c>
      <c r="C292" t="s">
        <v>189</v>
      </c>
      <c r="D292" t="s">
        <v>27</v>
      </c>
      <c r="E292">
        <v>1</v>
      </c>
      <c r="F292" t="s">
        <v>190</v>
      </c>
      <c r="H292" t="s">
        <v>191</v>
      </c>
      <c r="I292">
        <v>40</v>
      </c>
      <c r="K292" t="s">
        <v>20</v>
      </c>
      <c r="L292" t="s">
        <v>21</v>
      </c>
      <c r="BX292">
        <f>sum(j292:an292)</f>
        <v>0</v>
      </c>
    </row>
    <row r="293" spans="1:76">
      <c r="A293" t="s">
        <v>14</v>
      </c>
      <c r="B293" t="s">
        <v>188</v>
      </c>
      <c r="C293" t="s">
        <v>189</v>
      </c>
      <c r="D293" t="s">
        <v>27</v>
      </c>
      <c r="E293">
        <v>1</v>
      </c>
      <c r="F293" t="s">
        <v>190</v>
      </c>
      <c r="H293" t="s">
        <v>191</v>
      </c>
      <c r="I293">
        <v>40</v>
      </c>
      <c r="K293" t="s">
        <v>20</v>
      </c>
      <c r="L293" t="s">
        <v>37</v>
      </c>
    </row>
    <row r="294" spans="1:76">
      <c r="L294" t="s">
        <v>662</v>
      </c>
    </row>
    <row r="295" spans="1:76">
      <c r="L295" t="s">
        <v>663</v>
      </c>
    </row>
    <row r="296" spans="1:76">
      <c r="L296" t="s">
        <v>664</v>
      </c>
    </row>
    <row r="297" spans="1:76">
      <c r="L297" t="s">
        <v>665</v>
      </c>
      <c r="M297">
        <f>IF(DAY(NOW())&lt;M3,INDIRECT(ADDRESS(297,7))-INDIRECT(ADDRESS(292,13))+INDIRECT(ADDRESS(293,13))-INDIRECT(ADDRESS(296,13)),INDIRECT(ADDRESS(297,7))-INDIRECT(ADDRESS(292,13))+INDIRECT(ADDRESS(295,13))-INDIRECT(ADDRESS(296,13)))</f>
        <v>0</v>
      </c>
      <c r="N297">
        <f>IF(DAY(NOW())&lt;M3,INDIRECT(ADDRESS(297,13))-INDIRECT(ADDRESS(292,14))+INDIRECT(ADDRESS(293,14))-INDIRECT(ADDRESS(296,14)),INDIRECT(ADDRESS(297,13))-INDIRECT(ADDRESS(292,14))+INDIRECT(ADDRESS(295,14))-INDIRECT(ADDRESS(296,14)))</f>
        <v>0</v>
      </c>
      <c r="O297">
        <f>IF(DAY(NOW())&lt;M3,INDIRECT(ADDRESS(297,14))-INDIRECT(ADDRESS(292,15))+INDIRECT(ADDRESS(293,15))-INDIRECT(ADDRESS(296,15)),INDIRECT(ADDRESS(297,14))-INDIRECT(ADDRESS(292,15))+INDIRECT(ADDRESS(295,15))-INDIRECT(ADDRESS(296,15)))</f>
        <v>0</v>
      </c>
      <c r="P297">
        <f>IF(DAY(NOW())&lt;M3,INDIRECT(ADDRESS(297,15))-INDIRECT(ADDRESS(292,16))+INDIRECT(ADDRESS(293,16))-INDIRECT(ADDRESS(296,16)),INDIRECT(ADDRESS(297,15))-INDIRECT(ADDRESS(292,16))+INDIRECT(ADDRESS(295,16))-INDIRECT(ADDRESS(296,16)))</f>
        <v>0</v>
      </c>
      <c r="Q297">
        <f>IF(DAY(NOW())&lt;M3,INDIRECT(ADDRESS(297,16))-INDIRECT(ADDRESS(292,17))+INDIRECT(ADDRESS(293,17))-INDIRECT(ADDRESS(296,17)),INDIRECT(ADDRESS(297,16))-INDIRECT(ADDRESS(292,17))+INDIRECT(ADDRESS(295,17))-INDIRECT(ADDRESS(296,17)))</f>
        <v>0</v>
      </c>
      <c r="R297">
        <f>IF(DAY(NOW())&lt;M3,INDIRECT(ADDRESS(297,17))-INDIRECT(ADDRESS(292,18))+INDIRECT(ADDRESS(293,18))-INDIRECT(ADDRESS(296,18)),INDIRECT(ADDRESS(297,17))-INDIRECT(ADDRESS(292,18))+INDIRECT(ADDRESS(295,18))-INDIRECT(ADDRESS(296,18)))</f>
        <v>0</v>
      </c>
      <c r="S297">
        <f>IF(DAY(NOW())&lt;M3,INDIRECT(ADDRESS(297,18))-INDIRECT(ADDRESS(292,19))+INDIRECT(ADDRESS(293,19))-INDIRECT(ADDRESS(296,19)),INDIRECT(ADDRESS(297,18))-INDIRECT(ADDRESS(292,19))+INDIRECT(ADDRESS(295,19))-INDIRECT(ADDRESS(296,19)))</f>
        <v>0</v>
      </c>
      <c r="T297">
        <f>IF(DAY(NOW())&lt;M3,INDIRECT(ADDRESS(297,19))-INDIRECT(ADDRESS(292,20))+INDIRECT(ADDRESS(293,20))-INDIRECT(ADDRESS(296,20)),INDIRECT(ADDRESS(297,19))-INDIRECT(ADDRESS(292,20))+INDIRECT(ADDRESS(295,20))-INDIRECT(ADDRESS(296,20)))</f>
        <v>0</v>
      </c>
      <c r="U297">
        <f>IF(DAY(NOW())&lt;M3,INDIRECT(ADDRESS(297,20))-INDIRECT(ADDRESS(292,21))+INDIRECT(ADDRESS(293,21))-INDIRECT(ADDRESS(296,21)),INDIRECT(ADDRESS(297,20))-INDIRECT(ADDRESS(292,21))+INDIRECT(ADDRESS(295,21))-INDIRECT(ADDRESS(296,21)))</f>
        <v>0</v>
      </c>
      <c r="V297">
        <f>IF(DAY(NOW())&lt;M3,INDIRECT(ADDRESS(297,21))-INDIRECT(ADDRESS(292,22))+INDIRECT(ADDRESS(293,22))-INDIRECT(ADDRESS(296,22)),INDIRECT(ADDRESS(297,21))-INDIRECT(ADDRESS(292,22))+INDIRECT(ADDRESS(295,22))-INDIRECT(ADDRESS(296,22)))</f>
        <v>0</v>
      </c>
      <c r="W297">
        <f>IF(DAY(NOW())&lt;M3,INDIRECT(ADDRESS(297,22))-INDIRECT(ADDRESS(292,23))+INDIRECT(ADDRESS(293,23))-INDIRECT(ADDRESS(296,23)),INDIRECT(ADDRESS(297,22))-INDIRECT(ADDRESS(292,23))+INDIRECT(ADDRESS(295,23))-INDIRECT(ADDRESS(296,23)))</f>
        <v>0</v>
      </c>
      <c r="X297">
        <f>IF(DAY(NOW())&lt;M3,INDIRECT(ADDRESS(297,23))-INDIRECT(ADDRESS(292,24))+INDIRECT(ADDRESS(293,24))-INDIRECT(ADDRESS(296,24)),INDIRECT(ADDRESS(297,23))-INDIRECT(ADDRESS(292,24))+INDIRECT(ADDRESS(295,24))-INDIRECT(ADDRESS(296,24)))</f>
        <v>0</v>
      </c>
      <c r="Y297">
        <f>IF(DAY(NOW())&lt;M3,INDIRECT(ADDRESS(297,24))-INDIRECT(ADDRESS(292,25))+INDIRECT(ADDRESS(293,25))-INDIRECT(ADDRESS(296,25)),INDIRECT(ADDRESS(297,24))-INDIRECT(ADDRESS(292,25))+INDIRECT(ADDRESS(295,25))-INDIRECT(ADDRESS(296,25)))</f>
        <v>0</v>
      </c>
      <c r="Z297">
        <f>IF(DAY(NOW())&lt;M3,INDIRECT(ADDRESS(297,25))-INDIRECT(ADDRESS(292,26))+INDIRECT(ADDRESS(293,26))-INDIRECT(ADDRESS(296,26)),INDIRECT(ADDRESS(297,25))-INDIRECT(ADDRESS(292,26))+INDIRECT(ADDRESS(295,26))-INDIRECT(ADDRESS(296,26)))</f>
        <v>0</v>
      </c>
      <c r="AA297">
        <f>IF(DAY(NOW())&lt;M3,INDIRECT(ADDRESS(297,26))-INDIRECT(ADDRESS(292,27))+INDIRECT(ADDRESS(293,27))-INDIRECT(ADDRESS(296,27)),INDIRECT(ADDRESS(297,26))-INDIRECT(ADDRESS(292,27))+INDIRECT(ADDRESS(295,27))-INDIRECT(ADDRESS(296,27)))</f>
        <v>0</v>
      </c>
      <c r="AB297">
        <f>IF(DAY(NOW())&lt;M3,INDIRECT(ADDRESS(297,27))-INDIRECT(ADDRESS(292,28))+INDIRECT(ADDRESS(293,28))-INDIRECT(ADDRESS(296,28)),INDIRECT(ADDRESS(297,27))-INDIRECT(ADDRESS(292,28))+INDIRECT(ADDRESS(295,28))-INDIRECT(ADDRESS(296,28)))</f>
        <v>0</v>
      </c>
      <c r="AC297">
        <f>IF(DAY(NOW())&lt;M3,INDIRECT(ADDRESS(297,28))-INDIRECT(ADDRESS(292,29))+INDIRECT(ADDRESS(293,29))-INDIRECT(ADDRESS(296,29)),INDIRECT(ADDRESS(297,28))-INDIRECT(ADDRESS(292,29))+INDIRECT(ADDRESS(295,29))-INDIRECT(ADDRESS(296,29)))</f>
        <v>0</v>
      </c>
      <c r="AD297">
        <f>IF(DAY(NOW())&lt;M3,INDIRECT(ADDRESS(297,29))-INDIRECT(ADDRESS(292,30))+INDIRECT(ADDRESS(293,30))-INDIRECT(ADDRESS(296,30)),INDIRECT(ADDRESS(297,29))-INDIRECT(ADDRESS(292,30))+INDIRECT(ADDRESS(295,30))-INDIRECT(ADDRESS(296,30)))</f>
        <v>0</v>
      </c>
      <c r="AE297">
        <f>IF(DAY(NOW())&lt;M3,INDIRECT(ADDRESS(297,30))-INDIRECT(ADDRESS(292,31))+INDIRECT(ADDRESS(293,31))-INDIRECT(ADDRESS(296,31)),INDIRECT(ADDRESS(297,30))-INDIRECT(ADDRESS(292,31))+INDIRECT(ADDRESS(295,31))-INDIRECT(ADDRESS(296,31)))</f>
        <v>0</v>
      </c>
      <c r="AF297">
        <f>IF(DAY(NOW())&lt;M3,INDIRECT(ADDRESS(297,31))-INDIRECT(ADDRESS(292,32))+INDIRECT(ADDRESS(293,32))-INDIRECT(ADDRESS(296,32)),INDIRECT(ADDRESS(297,31))-INDIRECT(ADDRESS(292,32))+INDIRECT(ADDRESS(295,32))-INDIRECT(ADDRESS(296,32)))</f>
        <v>0</v>
      </c>
      <c r="AG297">
        <f>IF(DAY(NOW())&lt;M3,INDIRECT(ADDRESS(297,32))-INDIRECT(ADDRESS(292,33))+INDIRECT(ADDRESS(293,33))-INDIRECT(ADDRESS(296,33)),INDIRECT(ADDRESS(297,32))-INDIRECT(ADDRESS(292,33))+INDIRECT(ADDRESS(295,33))-INDIRECT(ADDRESS(296,33)))</f>
        <v>0</v>
      </c>
      <c r="AH297">
        <f>IF(DAY(NOW())&lt;M3,INDIRECT(ADDRESS(297,33))-INDIRECT(ADDRESS(292,34))+INDIRECT(ADDRESS(293,34))-INDIRECT(ADDRESS(296,34)),INDIRECT(ADDRESS(297,33))-INDIRECT(ADDRESS(292,34))+INDIRECT(ADDRESS(295,34))-INDIRECT(ADDRESS(296,34)))</f>
        <v>0</v>
      </c>
      <c r="AI297">
        <f>IF(DAY(NOW())&lt;M3,INDIRECT(ADDRESS(297,34))-INDIRECT(ADDRESS(292,35))+INDIRECT(ADDRESS(293,35))-INDIRECT(ADDRESS(296,35)),INDIRECT(ADDRESS(297,34))-INDIRECT(ADDRESS(292,35))+INDIRECT(ADDRESS(295,35))-INDIRECT(ADDRESS(296,35)))</f>
        <v>0</v>
      </c>
      <c r="AJ297">
        <f>IF(DAY(NOW())&lt;M3,INDIRECT(ADDRESS(297,35))-INDIRECT(ADDRESS(292,36))+INDIRECT(ADDRESS(293,36))-INDIRECT(ADDRESS(296,36)),INDIRECT(ADDRESS(297,35))-INDIRECT(ADDRESS(292,36))+INDIRECT(ADDRESS(295,36))-INDIRECT(ADDRESS(296,36)))</f>
        <v>0</v>
      </c>
      <c r="AK297">
        <f>IF(DAY(NOW())&lt;M3,INDIRECT(ADDRESS(297,36))-INDIRECT(ADDRESS(292,37))+INDIRECT(ADDRESS(293,37))-INDIRECT(ADDRESS(296,37)),INDIRECT(ADDRESS(297,36))-INDIRECT(ADDRESS(292,37))+INDIRECT(ADDRESS(295,37))-INDIRECT(ADDRESS(296,37)))</f>
        <v>0</v>
      </c>
      <c r="AL297">
        <f>IF(DAY(NOW())&lt;M3,INDIRECT(ADDRESS(297,37))-INDIRECT(ADDRESS(292,38))+INDIRECT(ADDRESS(293,38))-INDIRECT(ADDRESS(296,38)),INDIRECT(ADDRESS(297,37))-INDIRECT(ADDRESS(292,38))+INDIRECT(ADDRESS(295,38))-INDIRECT(ADDRESS(296,38)))</f>
        <v>0</v>
      </c>
      <c r="AM297">
        <f>IF(DAY(NOW())&lt;M3,INDIRECT(ADDRESS(297,38))-INDIRECT(ADDRESS(292,39))+INDIRECT(ADDRESS(293,39))-INDIRECT(ADDRESS(296,39)),INDIRECT(ADDRESS(297,38))-INDIRECT(ADDRESS(292,39))+INDIRECT(ADDRESS(295,39))-INDIRECT(ADDRESS(296,39)))</f>
        <v>0</v>
      </c>
      <c r="AN297">
        <f>IF(DAY(NOW())&lt;M3,INDIRECT(ADDRESS(297,39))-INDIRECT(ADDRESS(292,40))+INDIRECT(ADDRESS(293,40))-INDIRECT(ADDRESS(296,40)),INDIRECT(ADDRESS(297,39))-INDIRECT(ADDRESS(292,40))+INDIRECT(ADDRESS(295,40))-INDIRECT(ADDRESS(296,40)))</f>
        <v>0</v>
      </c>
      <c r="AO297">
        <f>IF(DAY(NOW())&lt;M3,INDIRECT(ADDRESS(297,40))-INDIRECT(ADDRESS(292,41))+INDIRECT(ADDRESS(293,41))-INDIRECT(ADDRESS(296,41)),INDIRECT(ADDRESS(297,40))-INDIRECT(ADDRESS(292,41))+INDIRECT(ADDRESS(295,41))-INDIRECT(ADDRESS(296,41)))</f>
        <v>0</v>
      </c>
      <c r="AP297">
        <f>IF(DAY(NOW())&lt;M3,INDIRECT(ADDRESS(297,41))-INDIRECT(ADDRESS(292,42))+INDIRECT(ADDRESS(293,42))-INDIRECT(ADDRESS(296,42)),INDIRECT(ADDRESS(297,41))-INDIRECT(ADDRESS(292,42))+INDIRECT(ADDRESS(295,42))-INDIRECT(ADDRESS(296,42)))</f>
        <v>0</v>
      </c>
      <c r="AQ297">
        <f>IF(DAY(NOW())&lt;M3,INDIRECT(ADDRESS(297,42))-INDIRECT(ADDRESS(292,43))+INDIRECT(ADDRESS(293,43))-INDIRECT(ADDRESS(296,43)),INDIRECT(ADDRESS(297,42))-INDIRECT(ADDRESS(292,43))+INDIRECT(ADDRESS(295,43))-INDIRECT(ADDRESS(296,43)))</f>
        <v>0</v>
      </c>
      <c r="AR297">
        <f>IF(DAY(NOW())&lt;M3,INDIRECT(ADDRESS(297,43))-INDIRECT(ADDRESS(292,44))+INDIRECT(ADDRESS(293,44))-INDIRECT(ADDRESS(296,44)),INDIRECT(ADDRESS(297,43))-INDIRECT(ADDRESS(292,44))+INDIRECT(ADDRESS(295,44))-INDIRECT(ADDRESS(296,44)))</f>
        <v>0</v>
      </c>
    </row>
    <row r="298" spans="1:76">
      <c r="A298" t="s">
        <v>31</v>
      </c>
      <c r="B298" t="s">
        <v>192</v>
      </c>
      <c r="C298" t="s">
        <v>193</v>
      </c>
      <c r="D298" t="s">
        <v>17</v>
      </c>
      <c r="E298">
        <v>1</v>
      </c>
      <c r="F298" t="s">
        <v>194</v>
      </c>
      <c r="H298" t="s">
        <v>35</v>
      </c>
      <c r="I298" t="s">
        <v>36</v>
      </c>
      <c r="K298" t="s">
        <v>20</v>
      </c>
      <c r="L298" t="s">
        <v>21</v>
      </c>
      <c r="M298">
        <f>sumifs(BOM!m:m,BOM!A:A,".1",BOM!B:B,"852-234000-100")</f>
        <v>0</v>
      </c>
      <c r="N298">
        <f>sumifs(BOM!n:n,BOM!A:A,".1",BOM!B:B,"852-234000-100")</f>
        <v>0</v>
      </c>
      <c r="O298">
        <f>sumifs(BOM!o:o,BOM!A:A,".1",BOM!B:B,"852-234000-100")</f>
        <v>0</v>
      </c>
      <c r="P298">
        <f>sumifs(BOM!p:p,BOM!A:A,".1",BOM!B:B,"852-234000-100")</f>
        <v>0</v>
      </c>
      <c r="Q298">
        <f>sumifs(BOM!q:q,BOM!A:A,".1",BOM!B:B,"852-234000-100")</f>
        <v>0</v>
      </c>
      <c r="R298">
        <f>sumifs(BOM!r:r,BOM!A:A,".1",BOM!B:B,"852-234000-100")</f>
        <v>0</v>
      </c>
      <c r="S298">
        <f>sumifs(BOM!s:s,BOM!A:A,".1",BOM!B:B,"852-234000-100")</f>
        <v>0</v>
      </c>
      <c r="T298">
        <f>sumifs(BOM!t:t,BOM!A:A,".1",BOM!B:B,"852-234000-100")</f>
        <v>0</v>
      </c>
      <c r="U298">
        <f>sumifs(BOM!u:u,BOM!A:A,".1",BOM!B:B,"852-234000-100")</f>
        <v>0</v>
      </c>
      <c r="V298">
        <f>sumifs(BOM!v:v,BOM!A:A,".1",BOM!B:B,"852-234000-100")</f>
        <v>0</v>
      </c>
      <c r="W298">
        <f>sumifs(BOM!w:w,BOM!A:A,".1",BOM!B:B,"852-234000-100")</f>
        <v>0</v>
      </c>
      <c r="X298">
        <f>sumifs(BOM!x:x,BOM!A:A,".1",BOM!B:B,"852-234000-100")</f>
        <v>0</v>
      </c>
      <c r="Y298">
        <f>sumifs(BOM!y:y,BOM!A:A,".1",BOM!B:B,"852-234000-100")</f>
        <v>0</v>
      </c>
      <c r="Z298">
        <f>sumifs(BOM!z:z,BOM!A:A,".1",BOM!B:B,"852-234000-100")</f>
        <v>0</v>
      </c>
      <c r="AA298">
        <f>sumifs(BOM!aa:aa,BOM!A:A,".1",BOM!B:B,"852-234000-100")</f>
        <v>0</v>
      </c>
      <c r="AB298">
        <f>sumifs(BOM!ab:ab,BOM!A:A,".1",BOM!B:B,"852-234000-100")</f>
        <v>0</v>
      </c>
      <c r="AC298">
        <f>sumifs(BOM!ac:ac,BOM!A:A,".1",BOM!B:B,"852-234000-100")</f>
        <v>0</v>
      </c>
      <c r="AD298">
        <f>sumifs(BOM!ad:ad,BOM!A:A,".1",BOM!B:B,"852-234000-100")</f>
        <v>0</v>
      </c>
      <c r="AE298">
        <f>sumifs(BOM!ae:ae,BOM!A:A,".1",BOM!B:B,"852-234000-100")</f>
        <v>0</v>
      </c>
      <c r="AF298">
        <f>sumifs(BOM!af:af,BOM!A:A,".1",BOM!B:B,"852-234000-100")</f>
        <v>0</v>
      </c>
      <c r="AG298">
        <f>sumifs(BOM!ag:ag,BOM!A:A,".1",BOM!B:B,"852-234000-100")</f>
        <v>0</v>
      </c>
      <c r="AH298">
        <f>sumifs(BOM!ah:ah,BOM!A:A,".1",BOM!B:B,"852-234000-100")</f>
        <v>0</v>
      </c>
      <c r="AI298">
        <f>sumifs(BOM!ai:ai,BOM!A:A,".1",BOM!B:B,"852-234000-100")</f>
        <v>0</v>
      </c>
      <c r="AJ298">
        <f>sumifs(BOM!aj:aj,BOM!A:A,".1",BOM!B:B,"852-234000-100")</f>
        <v>0</v>
      </c>
      <c r="AK298">
        <f>sumifs(BOM!ak:ak,BOM!A:A,".1",BOM!B:B,"852-234000-100")</f>
        <v>0</v>
      </c>
      <c r="AL298">
        <f>sumifs(BOM!al:al,BOM!A:A,".1",BOM!B:B,"852-234000-100")</f>
        <v>0</v>
      </c>
      <c r="AM298">
        <f>sumifs(BOM!am:am,BOM!A:A,".1",BOM!B:B,"852-234000-100")</f>
        <v>0</v>
      </c>
      <c r="AN298">
        <f>sumifs(BOM!an:an,BOM!A:A,".1",BOM!B:B,"852-234000-100")</f>
        <v>0</v>
      </c>
      <c r="AO298">
        <f>sumifs(BOM!ao:ao,BOM!A:A,".1",BOM!B:B,"852-234000-100")</f>
        <v>0</v>
      </c>
      <c r="AP298">
        <f>sumifs(BOM!ap:ap,BOM!A:A,".1",BOM!B:B,"852-234000-100")</f>
        <v>0</v>
      </c>
      <c r="AQ298">
        <f>sumifs(BOM!aq:aq,BOM!A:A,".1",BOM!B:B,"852-234000-100")</f>
        <v>0</v>
      </c>
      <c r="AR298">
        <f>sumifs(BOM!ar:ar,BOM!A:A,".1",BOM!B:B,"852-234000-100")</f>
        <v>0</v>
      </c>
      <c r="BX298">
        <f>sum(j298:an298)</f>
        <v>0</v>
      </c>
    </row>
    <row r="299" spans="1:76">
      <c r="A299" t="s">
        <v>31</v>
      </c>
      <c r="B299" t="s">
        <v>192</v>
      </c>
      <c r="C299" t="s">
        <v>193</v>
      </c>
      <c r="D299" t="s">
        <v>17</v>
      </c>
      <c r="E299">
        <v>1</v>
      </c>
      <c r="F299" t="s">
        <v>194</v>
      </c>
      <c r="H299" t="s">
        <v>35</v>
      </c>
      <c r="I299" t="s">
        <v>36</v>
      </c>
      <c r="K299" t="s">
        <v>20</v>
      </c>
      <c r="L299" t="s">
        <v>37</v>
      </c>
    </row>
    <row r="300" spans="1:76">
      <c r="L300" t="s">
        <v>662</v>
      </c>
    </row>
    <row r="301" spans="1:76">
      <c r="L301" t="s">
        <v>663</v>
      </c>
    </row>
    <row r="302" spans="1:76">
      <c r="L302" t="s">
        <v>664</v>
      </c>
    </row>
    <row r="303" spans="1:76">
      <c r="L303" t="s">
        <v>665</v>
      </c>
      <c r="M303">
        <f>IF(DAY(NOW())&lt;M3,INDIRECT(ADDRESS(303,7))-INDIRECT(ADDRESS(298,13))+INDIRECT(ADDRESS(299,13))-INDIRECT(ADDRESS(302,13)),INDIRECT(ADDRESS(303,7))-INDIRECT(ADDRESS(298,13))+INDIRECT(ADDRESS(301,13))-INDIRECT(ADDRESS(302,13)))</f>
        <v>0</v>
      </c>
      <c r="N303">
        <f>IF(DAY(NOW())&lt;M3,INDIRECT(ADDRESS(303,13))-INDIRECT(ADDRESS(298,14))+INDIRECT(ADDRESS(299,14))-INDIRECT(ADDRESS(302,14)),INDIRECT(ADDRESS(303,13))-INDIRECT(ADDRESS(298,14))+INDIRECT(ADDRESS(301,14))-INDIRECT(ADDRESS(302,14)))</f>
        <v>0</v>
      </c>
      <c r="O303">
        <f>IF(DAY(NOW())&lt;M3,INDIRECT(ADDRESS(303,14))-INDIRECT(ADDRESS(298,15))+INDIRECT(ADDRESS(299,15))-INDIRECT(ADDRESS(302,15)),INDIRECT(ADDRESS(303,14))-INDIRECT(ADDRESS(298,15))+INDIRECT(ADDRESS(301,15))-INDIRECT(ADDRESS(302,15)))</f>
        <v>0</v>
      </c>
      <c r="P303">
        <f>IF(DAY(NOW())&lt;M3,INDIRECT(ADDRESS(303,15))-INDIRECT(ADDRESS(298,16))+INDIRECT(ADDRESS(299,16))-INDIRECT(ADDRESS(302,16)),INDIRECT(ADDRESS(303,15))-INDIRECT(ADDRESS(298,16))+INDIRECT(ADDRESS(301,16))-INDIRECT(ADDRESS(302,16)))</f>
        <v>0</v>
      </c>
      <c r="Q303">
        <f>IF(DAY(NOW())&lt;M3,INDIRECT(ADDRESS(303,16))-INDIRECT(ADDRESS(298,17))+INDIRECT(ADDRESS(299,17))-INDIRECT(ADDRESS(302,17)),INDIRECT(ADDRESS(303,16))-INDIRECT(ADDRESS(298,17))+INDIRECT(ADDRESS(301,17))-INDIRECT(ADDRESS(302,17)))</f>
        <v>0</v>
      </c>
      <c r="R303">
        <f>IF(DAY(NOW())&lt;M3,INDIRECT(ADDRESS(303,17))-INDIRECT(ADDRESS(298,18))+INDIRECT(ADDRESS(299,18))-INDIRECT(ADDRESS(302,18)),INDIRECT(ADDRESS(303,17))-INDIRECT(ADDRESS(298,18))+INDIRECT(ADDRESS(301,18))-INDIRECT(ADDRESS(302,18)))</f>
        <v>0</v>
      </c>
      <c r="S303">
        <f>IF(DAY(NOW())&lt;M3,INDIRECT(ADDRESS(303,18))-INDIRECT(ADDRESS(298,19))+INDIRECT(ADDRESS(299,19))-INDIRECT(ADDRESS(302,19)),INDIRECT(ADDRESS(303,18))-INDIRECT(ADDRESS(298,19))+INDIRECT(ADDRESS(301,19))-INDIRECT(ADDRESS(302,19)))</f>
        <v>0</v>
      </c>
      <c r="T303">
        <f>IF(DAY(NOW())&lt;M3,INDIRECT(ADDRESS(303,19))-INDIRECT(ADDRESS(298,20))+INDIRECT(ADDRESS(299,20))-INDIRECT(ADDRESS(302,20)),INDIRECT(ADDRESS(303,19))-INDIRECT(ADDRESS(298,20))+INDIRECT(ADDRESS(301,20))-INDIRECT(ADDRESS(302,20)))</f>
        <v>0</v>
      </c>
      <c r="U303">
        <f>IF(DAY(NOW())&lt;M3,INDIRECT(ADDRESS(303,20))-INDIRECT(ADDRESS(298,21))+INDIRECT(ADDRESS(299,21))-INDIRECT(ADDRESS(302,21)),INDIRECT(ADDRESS(303,20))-INDIRECT(ADDRESS(298,21))+INDIRECT(ADDRESS(301,21))-INDIRECT(ADDRESS(302,21)))</f>
        <v>0</v>
      </c>
      <c r="V303">
        <f>IF(DAY(NOW())&lt;M3,INDIRECT(ADDRESS(303,21))-INDIRECT(ADDRESS(298,22))+INDIRECT(ADDRESS(299,22))-INDIRECT(ADDRESS(302,22)),INDIRECT(ADDRESS(303,21))-INDIRECT(ADDRESS(298,22))+INDIRECT(ADDRESS(301,22))-INDIRECT(ADDRESS(302,22)))</f>
        <v>0</v>
      </c>
      <c r="W303">
        <f>IF(DAY(NOW())&lt;M3,INDIRECT(ADDRESS(303,22))-INDIRECT(ADDRESS(298,23))+INDIRECT(ADDRESS(299,23))-INDIRECT(ADDRESS(302,23)),INDIRECT(ADDRESS(303,22))-INDIRECT(ADDRESS(298,23))+INDIRECT(ADDRESS(301,23))-INDIRECT(ADDRESS(302,23)))</f>
        <v>0</v>
      </c>
      <c r="X303">
        <f>IF(DAY(NOW())&lt;M3,INDIRECT(ADDRESS(303,23))-INDIRECT(ADDRESS(298,24))+INDIRECT(ADDRESS(299,24))-INDIRECT(ADDRESS(302,24)),INDIRECT(ADDRESS(303,23))-INDIRECT(ADDRESS(298,24))+INDIRECT(ADDRESS(301,24))-INDIRECT(ADDRESS(302,24)))</f>
        <v>0</v>
      </c>
      <c r="Y303">
        <f>IF(DAY(NOW())&lt;M3,INDIRECT(ADDRESS(303,24))-INDIRECT(ADDRESS(298,25))+INDIRECT(ADDRESS(299,25))-INDIRECT(ADDRESS(302,25)),INDIRECT(ADDRESS(303,24))-INDIRECT(ADDRESS(298,25))+INDIRECT(ADDRESS(301,25))-INDIRECT(ADDRESS(302,25)))</f>
        <v>0</v>
      </c>
      <c r="Z303">
        <f>IF(DAY(NOW())&lt;M3,INDIRECT(ADDRESS(303,25))-INDIRECT(ADDRESS(298,26))+INDIRECT(ADDRESS(299,26))-INDIRECT(ADDRESS(302,26)),INDIRECT(ADDRESS(303,25))-INDIRECT(ADDRESS(298,26))+INDIRECT(ADDRESS(301,26))-INDIRECT(ADDRESS(302,26)))</f>
        <v>0</v>
      </c>
      <c r="AA303">
        <f>IF(DAY(NOW())&lt;M3,INDIRECT(ADDRESS(303,26))-INDIRECT(ADDRESS(298,27))+INDIRECT(ADDRESS(299,27))-INDIRECT(ADDRESS(302,27)),INDIRECT(ADDRESS(303,26))-INDIRECT(ADDRESS(298,27))+INDIRECT(ADDRESS(301,27))-INDIRECT(ADDRESS(302,27)))</f>
        <v>0</v>
      </c>
      <c r="AB303">
        <f>IF(DAY(NOW())&lt;M3,INDIRECT(ADDRESS(303,27))-INDIRECT(ADDRESS(298,28))+INDIRECT(ADDRESS(299,28))-INDIRECT(ADDRESS(302,28)),INDIRECT(ADDRESS(303,27))-INDIRECT(ADDRESS(298,28))+INDIRECT(ADDRESS(301,28))-INDIRECT(ADDRESS(302,28)))</f>
        <v>0</v>
      </c>
      <c r="AC303">
        <f>IF(DAY(NOW())&lt;M3,INDIRECT(ADDRESS(303,28))-INDIRECT(ADDRESS(298,29))+INDIRECT(ADDRESS(299,29))-INDIRECT(ADDRESS(302,29)),INDIRECT(ADDRESS(303,28))-INDIRECT(ADDRESS(298,29))+INDIRECT(ADDRESS(301,29))-INDIRECT(ADDRESS(302,29)))</f>
        <v>0</v>
      </c>
      <c r="AD303">
        <f>IF(DAY(NOW())&lt;M3,INDIRECT(ADDRESS(303,29))-INDIRECT(ADDRESS(298,30))+INDIRECT(ADDRESS(299,30))-INDIRECT(ADDRESS(302,30)),INDIRECT(ADDRESS(303,29))-INDIRECT(ADDRESS(298,30))+INDIRECT(ADDRESS(301,30))-INDIRECT(ADDRESS(302,30)))</f>
        <v>0</v>
      </c>
      <c r="AE303">
        <f>IF(DAY(NOW())&lt;M3,INDIRECT(ADDRESS(303,30))-INDIRECT(ADDRESS(298,31))+INDIRECT(ADDRESS(299,31))-INDIRECT(ADDRESS(302,31)),INDIRECT(ADDRESS(303,30))-INDIRECT(ADDRESS(298,31))+INDIRECT(ADDRESS(301,31))-INDIRECT(ADDRESS(302,31)))</f>
        <v>0</v>
      </c>
      <c r="AF303">
        <f>IF(DAY(NOW())&lt;M3,INDIRECT(ADDRESS(303,31))-INDIRECT(ADDRESS(298,32))+INDIRECT(ADDRESS(299,32))-INDIRECT(ADDRESS(302,32)),INDIRECT(ADDRESS(303,31))-INDIRECT(ADDRESS(298,32))+INDIRECT(ADDRESS(301,32))-INDIRECT(ADDRESS(302,32)))</f>
        <v>0</v>
      </c>
      <c r="AG303">
        <f>IF(DAY(NOW())&lt;M3,INDIRECT(ADDRESS(303,32))-INDIRECT(ADDRESS(298,33))+INDIRECT(ADDRESS(299,33))-INDIRECT(ADDRESS(302,33)),INDIRECT(ADDRESS(303,32))-INDIRECT(ADDRESS(298,33))+INDIRECT(ADDRESS(301,33))-INDIRECT(ADDRESS(302,33)))</f>
        <v>0</v>
      </c>
      <c r="AH303">
        <f>IF(DAY(NOW())&lt;M3,INDIRECT(ADDRESS(303,33))-INDIRECT(ADDRESS(298,34))+INDIRECT(ADDRESS(299,34))-INDIRECT(ADDRESS(302,34)),INDIRECT(ADDRESS(303,33))-INDIRECT(ADDRESS(298,34))+INDIRECT(ADDRESS(301,34))-INDIRECT(ADDRESS(302,34)))</f>
        <v>0</v>
      </c>
      <c r="AI303">
        <f>IF(DAY(NOW())&lt;M3,INDIRECT(ADDRESS(303,34))-INDIRECT(ADDRESS(298,35))+INDIRECT(ADDRESS(299,35))-INDIRECT(ADDRESS(302,35)),INDIRECT(ADDRESS(303,34))-INDIRECT(ADDRESS(298,35))+INDIRECT(ADDRESS(301,35))-INDIRECT(ADDRESS(302,35)))</f>
        <v>0</v>
      </c>
      <c r="AJ303">
        <f>IF(DAY(NOW())&lt;M3,INDIRECT(ADDRESS(303,35))-INDIRECT(ADDRESS(298,36))+INDIRECT(ADDRESS(299,36))-INDIRECT(ADDRESS(302,36)),INDIRECT(ADDRESS(303,35))-INDIRECT(ADDRESS(298,36))+INDIRECT(ADDRESS(301,36))-INDIRECT(ADDRESS(302,36)))</f>
        <v>0</v>
      </c>
      <c r="AK303">
        <f>IF(DAY(NOW())&lt;M3,INDIRECT(ADDRESS(303,36))-INDIRECT(ADDRESS(298,37))+INDIRECT(ADDRESS(299,37))-INDIRECT(ADDRESS(302,37)),INDIRECT(ADDRESS(303,36))-INDIRECT(ADDRESS(298,37))+INDIRECT(ADDRESS(301,37))-INDIRECT(ADDRESS(302,37)))</f>
        <v>0</v>
      </c>
      <c r="AL303">
        <f>IF(DAY(NOW())&lt;M3,INDIRECT(ADDRESS(303,37))-INDIRECT(ADDRESS(298,38))+INDIRECT(ADDRESS(299,38))-INDIRECT(ADDRESS(302,38)),INDIRECT(ADDRESS(303,37))-INDIRECT(ADDRESS(298,38))+INDIRECT(ADDRESS(301,38))-INDIRECT(ADDRESS(302,38)))</f>
        <v>0</v>
      </c>
      <c r="AM303">
        <f>IF(DAY(NOW())&lt;M3,INDIRECT(ADDRESS(303,38))-INDIRECT(ADDRESS(298,39))+INDIRECT(ADDRESS(299,39))-INDIRECT(ADDRESS(302,39)),INDIRECT(ADDRESS(303,38))-INDIRECT(ADDRESS(298,39))+INDIRECT(ADDRESS(301,39))-INDIRECT(ADDRESS(302,39)))</f>
        <v>0</v>
      </c>
      <c r="AN303">
        <f>IF(DAY(NOW())&lt;M3,INDIRECT(ADDRESS(303,39))-INDIRECT(ADDRESS(298,40))+INDIRECT(ADDRESS(299,40))-INDIRECT(ADDRESS(302,40)),INDIRECT(ADDRESS(303,39))-INDIRECT(ADDRESS(298,40))+INDIRECT(ADDRESS(301,40))-INDIRECT(ADDRESS(302,40)))</f>
        <v>0</v>
      </c>
      <c r="AO303">
        <f>IF(DAY(NOW())&lt;M3,INDIRECT(ADDRESS(303,40))-INDIRECT(ADDRESS(298,41))+INDIRECT(ADDRESS(299,41))-INDIRECT(ADDRESS(302,41)),INDIRECT(ADDRESS(303,40))-INDIRECT(ADDRESS(298,41))+INDIRECT(ADDRESS(301,41))-INDIRECT(ADDRESS(302,41)))</f>
        <v>0</v>
      </c>
      <c r="AP303">
        <f>IF(DAY(NOW())&lt;M3,INDIRECT(ADDRESS(303,41))-INDIRECT(ADDRESS(298,42))+INDIRECT(ADDRESS(299,42))-INDIRECT(ADDRESS(302,42)),INDIRECT(ADDRESS(303,41))-INDIRECT(ADDRESS(298,42))+INDIRECT(ADDRESS(301,42))-INDIRECT(ADDRESS(302,42)))</f>
        <v>0</v>
      </c>
      <c r="AQ303">
        <f>IF(DAY(NOW())&lt;M3,INDIRECT(ADDRESS(303,42))-INDIRECT(ADDRESS(298,43))+INDIRECT(ADDRESS(299,43))-INDIRECT(ADDRESS(302,43)),INDIRECT(ADDRESS(303,42))-INDIRECT(ADDRESS(298,43))+INDIRECT(ADDRESS(301,43))-INDIRECT(ADDRESS(302,43)))</f>
        <v>0</v>
      </c>
      <c r="AR303">
        <f>IF(DAY(NOW())&lt;M3,INDIRECT(ADDRESS(303,43))-INDIRECT(ADDRESS(298,44))+INDIRECT(ADDRESS(299,44))-INDIRECT(ADDRESS(302,44)),INDIRECT(ADDRESS(303,43))-INDIRECT(ADDRESS(298,44))+INDIRECT(ADDRESS(301,44))-INDIRECT(ADDRESS(302,44)))</f>
        <v>0</v>
      </c>
    </row>
    <row r="304" spans="1:76">
      <c r="A304" t="s">
        <v>31</v>
      </c>
      <c r="B304" t="s">
        <v>195</v>
      </c>
      <c r="C304" t="s">
        <v>196</v>
      </c>
      <c r="D304" t="s">
        <v>17</v>
      </c>
      <c r="E304">
        <v>1</v>
      </c>
      <c r="F304" t="s">
        <v>197</v>
      </c>
      <c r="H304" t="s">
        <v>35</v>
      </c>
      <c r="I304" t="s">
        <v>36</v>
      </c>
      <c r="K304" t="s">
        <v>20</v>
      </c>
      <c r="L304" t="s">
        <v>21</v>
      </c>
      <c r="M304">
        <f>sumifs(BOM!m:m,BOM!A:A,".1",BOM!B:B,"852-235000-100")</f>
        <v>0</v>
      </c>
      <c r="N304">
        <f>sumifs(BOM!n:n,BOM!A:A,".1",BOM!B:B,"852-235000-100")</f>
        <v>0</v>
      </c>
      <c r="O304">
        <f>sumifs(BOM!o:o,BOM!A:A,".1",BOM!B:B,"852-235000-100")</f>
        <v>0</v>
      </c>
      <c r="P304">
        <f>sumifs(BOM!p:p,BOM!A:A,".1",BOM!B:B,"852-235000-100")</f>
        <v>0</v>
      </c>
      <c r="Q304">
        <f>sumifs(BOM!q:q,BOM!A:A,".1",BOM!B:B,"852-235000-100")</f>
        <v>0</v>
      </c>
      <c r="R304">
        <f>sumifs(BOM!r:r,BOM!A:A,".1",BOM!B:B,"852-235000-100")</f>
        <v>0</v>
      </c>
      <c r="S304">
        <f>sumifs(BOM!s:s,BOM!A:A,".1",BOM!B:B,"852-235000-100")</f>
        <v>0</v>
      </c>
      <c r="T304">
        <f>sumifs(BOM!t:t,BOM!A:A,".1",BOM!B:B,"852-235000-100")</f>
        <v>0</v>
      </c>
      <c r="U304">
        <f>sumifs(BOM!u:u,BOM!A:A,".1",BOM!B:B,"852-235000-100")</f>
        <v>0</v>
      </c>
      <c r="V304">
        <f>sumifs(BOM!v:v,BOM!A:A,".1",BOM!B:B,"852-235000-100")</f>
        <v>0</v>
      </c>
      <c r="W304">
        <f>sumifs(BOM!w:w,BOM!A:A,".1",BOM!B:B,"852-235000-100")</f>
        <v>0</v>
      </c>
      <c r="X304">
        <f>sumifs(BOM!x:x,BOM!A:A,".1",BOM!B:B,"852-235000-100")</f>
        <v>0</v>
      </c>
      <c r="Y304">
        <f>sumifs(BOM!y:y,BOM!A:A,".1",BOM!B:B,"852-235000-100")</f>
        <v>0</v>
      </c>
      <c r="Z304">
        <f>sumifs(BOM!z:z,BOM!A:A,".1",BOM!B:B,"852-235000-100")</f>
        <v>0</v>
      </c>
      <c r="AA304">
        <f>sumifs(BOM!aa:aa,BOM!A:A,".1",BOM!B:B,"852-235000-100")</f>
        <v>0</v>
      </c>
      <c r="AB304">
        <f>sumifs(BOM!ab:ab,BOM!A:A,".1",BOM!B:B,"852-235000-100")</f>
        <v>0</v>
      </c>
      <c r="AC304">
        <f>sumifs(BOM!ac:ac,BOM!A:A,".1",BOM!B:B,"852-235000-100")</f>
        <v>0</v>
      </c>
      <c r="AD304">
        <f>sumifs(BOM!ad:ad,BOM!A:A,".1",BOM!B:B,"852-235000-100")</f>
        <v>0</v>
      </c>
      <c r="AE304">
        <f>sumifs(BOM!ae:ae,BOM!A:A,".1",BOM!B:B,"852-235000-100")</f>
        <v>0</v>
      </c>
      <c r="AF304">
        <f>sumifs(BOM!af:af,BOM!A:A,".1",BOM!B:B,"852-235000-100")</f>
        <v>0</v>
      </c>
      <c r="AG304">
        <f>sumifs(BOM!ag:ag,BOM!A:A,".1",BOM!B:B,"852-235000-100")</f>
        <v>0</v>
      </c>
      <c r="AH304">
        <f>sumifs(BOM!ah:ah,BOM!A:A,".1",BOM!B:B,"852-235000-100")</f>
        <v>0</v>
      </c>
      <c r="AI304">
        <f>sumifs(BOM!ai:ai,BOM!A:A,".1",BOM!B:B,"852-235000-100")</f>
        <v>0</v>
      </c>
      <c r="AJ304">
        <f>sumifs(BOM!aj:aj,BOM!A:A,".1",BOM!B:B,"852-235000-100")</f>
        <v>0</v>
      </c>
      <c r="AK304">
        <f>sumifs(BOM!ak:ak,BOM!A:A,".1",BOM!B:B,"852-235000-100")</f>
        <v>0</v>
      </c>
      <c r="AL304">
        <f>sumifs(BOM!al:al,BOM!A:A,".1",BOM!B:B,"852-235000-100")</f>
        <v>0</v>
      </c>
      <c r="AM304">
        <f>sumifs(BOM!am:am,BOM!A:A,".1",BOM!B:B,"852-235000-100")</f>
        <v>0</v>
      </c>
      <c r="AN304">
        <f>sumifs(BOM!an:an,BOM!A:A,".1",BOM!B:B,"852-235000-100")</f>
        <v>0</v>
      </c>
      <c r="AO304">
        <f>sumifs(BOM!ao:ao,BOM!A:A,".1",BOM!B:B,"852-235000-100")</f>
        <v>0</v>
      </c>
      <c r="AP304">
        <f>sumifs(BOM!ap:ap,BOM!A:A,".1",BOM!B:B,"852-235000-100")</f>
        <v>0</v>
      </c>
      <c r="AQ304">
        <f>sumifs(BOM!aq:aq,BOM!A:A,".1",BOM!B:B,"852-235000-100")</f>
        <v>0</v>
      </c>
      <c r="AR304">
        <f>sumifs(BOM!ar:ar,BOM!A:A,".1",BOM!B:B,"852-235000-100")</f>
        <v>0</v>
      </c>
      <c r="BX304">
        <f>sum(j304:an304)</f>
        <v>0</v>
      </c>
    </row>
    <row r="305" spans="1:76">
      <c r="A305" t="s">
        <v>31</v>
      </c>
      <c r="B305" t="s">
        <v>195</v>
      </c>
      <c r="C305" t="s">
        <v>196</v>
      </c>
      <c r="D305" t="s">
        <v>17</v>
      </c>
      <c r="E305">
        <v>1</v>
      </c>
      <c r="F305" t="s">
        <v>197</v>
      </c>
      <c r="H305" t="s">
        <v>35</v>
      </c>
      <c r="I305" t="s">
        <v>36</v>
      </c>
      <c r="K305" t="s">
        <v>20</v>
      </c>
      <c r="L305" t="s">
        <v>37</v>
      </c>
    </row>
    <row r="306" spans="1:76">
      <c r="L306" t="s">
        <v>662</v>
      </c>
    </row>
    <row r="307" spans="1:76">
      <c r="L307" t="s">
        <v>663</v>
      </c>
    </row>
    <row r="308" spans="1:76">
      <c r="L308" t="s">
        <v>664</v>
      </c>
    </row>
    <row r="309" spans="1:76">
      <c r="L309" t="s">
        <v>665</v>
      </c>
      <c r="M309">
        <f>IF(DAY(NOW())&lt;M3,INDIRECT(ADDRESS(309,7))-INDIRECT(ADDRESS(304,13))+INDIRECT(ADDRESS(305,13))-INDIRECT(ADDRESS(308,13)),INDIRECT(ADDRESS(309,7))-INDIRECT(ADDRESS(304,13))+INDIRECT(ADDRESS(307,13))-INDIRECT(ADDRESS(308,13)))</f>
        <v>0</v>
      </c>
      <c r="N309">
        <f>IF(DAY(NOW())&lt;M3,INDIRECT(ADDRESS(309,13))-INDIRECT(ADDRESS(304,14))+INDIRECT(ADDRESS(305,14))-INDIRECT(ADDRESS(308,14)),INDIRECT(ADDRESS(309,13))-INDIRECT(ADDRESS(304,14))+INDIRECT(ADDRESS(307,14))-INDIRECT(ADDRESS(308,14)))</f>
        <v>0</v>
      </c>
      <c r="O309">
        <f>IF(DAY(NOW())&lt;M3,INDIRECT(ADDRESS(309,14))-INDIRECT(ADDRESS(304,15))+INDIRECT(ADDRESS(305,15))-INDIRECT(ADDRESS(308,15)),INDIRECT(ADDRESS(309,14))-INDIRECT(ADDRESS(304,15))+INDIRECT(ADDRESS(307,15))-INDIRECT(ADDRESS(308,15)))</f>
        <v>0</v>
      </c>
      <c r="P309">
        <f>IF(DAY(NOW())&lt;M3,INDIRECT(ADDRESS(309,15))-INDIRECT(ADDRESS(304,16))+INDIRECT(ADDRESS(305,16))-INDIRECT(ADDRESS(308,16)),INDIRECT(ADDRESS(309,15))-INDIRECT(ADDRESS(304,16))+INDIRECT(ADDRESS(307,16))-INDIRECT(ADDRESS(308,16)))</f>
        <v>0</v>
      </c>
      <c r="Q309">
        <f>IF(DAY(NOW())&lt;M3,INDIRECT(ADDRESS(309,16))-INDIRECT(ADDRESS(304,17))+INDIRECT(ADDRESS(305,17))-INDIRECT(ADDRESS(308,17)),INDIRECT(ADDRESS(309,16))-INDIRECT(ADDRESS(304,17))+INDIRECT(ADDRESS(307,17))-INDIRECT(ADDRESS(308,17)))</f>
        <v>0</v>
      </c>
      <c r="R309">
        <f>IF(DAY(NOW())&lt;M3,INDIRECT(ADDRESS(309,17))-INDIRECT(ADDRESS(304,18))+INDIRECT(ADDRESS(305,18))-INDIRECT(ADDRESS(308,18)),INDIRECT(ADDRESS(309,17))-INDIRECT(ADDRESS(304,18))+INDIRECT(ADDRESS(307,18))-INDIRECT(ADDRESS(308,18)))</f>
        <v>0</v>
      </c>
      <c r="S309">
        <f>IF(DAY(NOW())&lt;M3,INDIRECT(ADDRESS(309,18))-INDIRECT(ADDRESS(304,19))+INDIRECT(ADDRESS(305,19))-INDIRECT(ADDRESS(308,19)),INDIRECT(ADDRESS(309,18))-INDIRECT(ADDRESS(304,19))+INDIRECT(ADDRESS(307,19))-INDIRECT(ADDRESS(308,19)))</f>
        <v>0</v>
      </c>
      <c r="T309">
        <f>IF(DAY(NOW())&lt;M3,INDIRECT(ADDRESS(309,19))-INDIRECT(ADDRESS(304,20))+INDIRECT(ADDRESS(305,20))-INDIRECT(ADDRESS(308,20)),INDIRECT(ADDRESS(309,19))-INDIRECT(ADDRESS(304,20))+INDIRECT(ADDRESS(307,20))-INDIRECT(ADDRESS(308,20)))</f>
        <v>0</v>
      </c>
      <c r="U309">
        <f>IF(DAY(NOW())&lt;M3,INDIRECT(ADDRESS(309,20))-INDIRECT(ADDRESS(304,21))+INDIRECT(ADDRESS(305,21))-INDIRECT(ADDRESS(308,21)),INDIRECT(ADDRESS(309,20))-INDIRECT(ADDRESS(304,21))+INDIRECT(ADDRESS(307,21))-INDIRECT(ADDRESS(308,21)))</f>
        <v>0</v>
      </c>
      <c r="V309">
        <f>IF(DAY(NOW())&lt;M3,INDIRECT(ADDRESS(309,21))-INDIRECT(ADDRESS(304,22))+INDIRECT(ADDRESS(305,22))-INDIRECT(ADDRESS(308,22)),INDIRECT(ADDRESS(309,21))-INDIRECT(ADDRESS(304,22))+INDIRECT(ADDRESS(307,22))-INDIRECT(ADDRESS(308,22)))</f>
        <v>0</v>
      </c>
      <c r="W309">
        <f>IF(DAY(NOW())&lt;M3,INDIRECT(ADDRESS(309,22))-INDIRECT(ADDRESS(304,23))+INDIRECT(ADDRESS(305,23))-INDIRECT(ADDRESS(308,23)),INDIRECT(ADDRESS(309,22))-INDIRECT(ADDRESS(304,23))+INDIRECT(ADDRESS(307,23))-INDIRECT(ADDRESS(308,23)))</f>
        <v>0</v>
      </c>
      <c r="X309">
        <f>IF(DAY(NOW())&lt;M3,INDIRECT(ADDRESS(309,23))-INDIRECT(ADDRESS(304,24))+INDIRECT(ADDRESS(305,24))-INDIRECT(ADDRESS(308,24)),INDIRECT(ADDRESS(309,23))-INDIRECT(ADDRESS(304,24))+INDIRECT(ADDRESS(307,24))-INDIRECT(ADDRESS(308,24)))</f>
        <v>0</v>
      </c>
      <c r="Y309">
        <f>IF(DAY(NOW())&lt;M3,INDIRECT(ADDRESS(309,24))-INDIRECT(ADDRESS(304,25))+INDIRECT(ADDRESS(305,25))-INDIRECT(ADDRESS(308,25)),INDIRECT(ADDRESS(309,24))-INDIRECT(ADDRESS(304,25))+INDIRECT(ADDRESS(307,25))-INDIRECT(ADDRESS(308,25)))</f>
        <v>0</v>
      </c>
      <c r="Z309">
        <f>IF(DAY(NOW())&lt;M3,INDIRECT(ADDRESS(309,25))-INDIRECT(ADDRESS(304,26))+INDIRECT(ADDRESS(305,26))-INDIRECT(ADDRESS(308,26)),INDIRECT(ADDRESS(309,25))-INDIRECT(ADDRESS(304,26))+INDIRECT(ADDRESS(307,26))-INDIRECT(ADDRESS(308,26)))</f>
        <v>0</v>
      </c>
      <c r="AA309">
        <f>IF(DAY(NOW())&lt;M3,INDIRECT(ADDRESS(309,26))-INDIRECT(ADDRESS(304,27))+INDIRECT(ADDRESS(305,27))-INDIRECT(ADDRESS(308,27)),INDIRECT(ADDRESS(309,26))-INDIRECT(ADDRESS(304,27))+INDIRECT(ADDRESS(307,27))-INDIRECT(ADDRESS(308,27)))</f>
        <v>0</v>
      </c>
      <c r="AB309">
        <f>IF(DAY(NOW())&lt;M3,INDIRECT(ADDRESS(309,27))-INDIRECT(ADDRESS(304,28))+INDIRECT(ADDRESS(305,28))-INDIRECT(ADDRESS(308,28)),INDIRECT(ADDRESS(309,27))-INDIRECT(ADDRESS(304,28))+INDIRECT(ADDRESS(307,28))-INDIRECT(ADDRESS(308,28)))</f>
        <v>0</v>
      </c>
      <c r="AC309">
        <f>IF(DAY(NOW())&lt;M3,INDIRECT(ADDRESS(309,28))-INDIRECT(ADDRESS(304,29))+INDIRECT(ADDRESS(305,29))-INDIRECT(ADDRESS(308,29)),INDIRECT(ADDRESS(309,28))-INDIRECT(ADDRESS(304,29))+INDIRECT(ADDRESS(307,29))-INDIRECT(ADDRESS(308,29)))</f>
        <v>0</v>
      </c>
      <c r="AD309">
        <f>IF(DAY(NOW())&lt;M3,INDIRECT(ADDRESS(309,29))-INDIRECT(ADDRESS(304,30))+INDIRECT(ADDRESS(305,30))-INDIRECT(ADDRESS(308,30)),INDIRECT(ADDRESS(309,29))-INDIRECT(ADDRESS(304,30))+INDIRECT(ADDRESS(307,30))-INDIRECT(ADDRESS(308,30)))</f>
        <v>0</v>
      </c>
      <c r="AE309">
        <f>IF(DAY(NOW())&lt;M3,INDIRECT(ADDRESS(309,30))-INDIRECT(ADDRESS(304,31))+INDIRECT(ADDRESS(305,31))-INDIRECT(ADDRESS(308,31)),INDIRECT(ADDRESS(309,30))-INDIRECT(ADDRESS(304,31))+INDIRECT(ADDRESS(307,31))-INDIRECT(ADDRESS(308,31)))</f>
        <v>0</v>
      </c>
      <c r="AF309">
        <f>IF(DAY(NOW())&lt;M3,INDIRECT(ADDRESS(309,31))-INDIRECT(ADDRESS(304,32))+INDIRECT(ADDRESS(305,32))-INDIRECT(ADDRESS(308,32)),INDIRECT(ADDRESS(309,31))-INDIRECT(ADDRESS(304,32))+INDIRECT(ADDRESS(307,32))-INDIRECT(ADDRESS(308,32)))</f>
        <v>0</v>
      </c>
      <c r="AG309">
        <f>IF(DAY(NOW())&lt;M3,INDIRECT(ADDRESS(309,32))-INDIRECT(ADDRESS(304,33))+INDIRECT(ADDRESS(305,33))-INDIRECT(ADDRESS(308,33)),INDIRECT(ADDRESS(309,32))-INDIRECT(ADDRESS(304,33))+INDIRECT(ADDRESS(307,33))-INDIRECT(ADDRESS(308,33)))</f>
        <v>0</v>
      </c>
      <c r="AH309">
        <f>IF(DAY(NOW())&lt;M3,INDIRECT(ADDRESS(309,33))-INDIRECT(ADDRESS(304,34))+INDIRECT(ADDRESS(305,34))-INDIRECT(ADDRESS(308,34)),INDIRECT(ADDRESS(309,33))-INDIRECT(ADDRESS(304,34))+INDIRECT(ADDRESS(307,34))-INDIRECT(ADDRESS(308,34)))</f>
        <v>0</v>
      </c>
      <c r="AI309">
        <f>IF(DAY(NOW())&lt;M3,INDIRECT(ADDRESS(309,34))-INDIRECT(ADDRESS(304,35))+INDIRECT(ADDRESS(305,35))-INDIRECT(ADDRESS(308,35)),INDIRECT(ADDRESS(309,34))-INDIRECT(ADDRESS(304,35))+INDIRECT(ADDRESS(307,35))-INDIRECT(ADDRESS(308,35)))</f>
        <v>0</v>
      </c>
      <c r="AJ309">
        <f>IF(DAY(NOW())&lt;M3,INDIRECT(ADDRESS(309,35))-INDIRECT(ADDRESS(304,36))+INDIRECT(ADDRESS(305,36))-INDIRECT(ADDRESS(308,36)),INDIRECT(ADDRESS(309,35))-INDIRECT(ADDRESS(304,36))+INDIRECT(ADDRESS(307,36))-INDIRECT(ADDRESS(308,36)))</f>
        <v>0</v>
      </c>
      <c r="AK309">
        <f>IF(DAY(NOW())&lt;M3,INDIRECT(ADDRESS(309,36))-INDIRECT(ADDRESS(304,37))+INDIRECT(ADDRESS(305,37))-INDIRECT(ADDRESS(308,37)),INDIRECT(ADDRESS(309,36))-INDIRECT(ADDRESS(304,37))+INDIRECT(ADDRESS(307,37))-INDIRECT(ADDRESS(308,37)))</f>
        <v>0</v>
      </c>
      <c r="AL309">
        <f>IF(DAY(NOW())&lt;M3,INDIRECT(ADDRESS(309,37))-INDIRECT(ADDRESS(304,38))+INDIRECT(ADDRESS(305,38))-INDIRECT(ADDRESS(308,38)),INDIRECT(ADDRESS(309,37))-INDIRECT(ADDRESS(304,38))+INDIRECT(ADDRESS(307,38))-INDIRECT(ADDRESS(308,38)))</f>
        <v>0</v>
      </c>
      <c r="AM309">
        <f>IF(DAY(NOW())&lt;M3,INDIRECT(ADDRESS(309,38))-INDIRECT(ADDRESS(304,39))+INDIRECT(ADDRESS(305,39))-INDIRECT(ADDRESS(308,39)),INDIRECT(ADDRESS(309,38))-INDIRECT(ADDRESS(304,39))+INDIRECT(ADDRESS(307,39))-INDIRECT(ADDRESS(308,39)))</f>
        <v>0</v>
      </c>
      <c r="AN309">
        <f>IF(DAY(NOW())&lt;M3,INDIRECT(ADDRESS(309,39))-INDIRECT(ADDRESS(304,40))+INDIRECT(ADDRESS(305,40))-INDIRECT(ADDRESS(308,40)),INDIRECT(ADDRESS(309,39))-INDIRECT(ADDRESS(304,40))+INDIRECT(ADDRESS(307,40))-INDIRECT(ADDRESS(308,40)))</f>
        <v>0</v>
      </c>
      <c r="AO309">
        <f>IF(DAY(NOW())&lt;M3,INDIRECT(ADDRESS(309,40))-INDIRECT(ADDRESS(304,41))+INDIRECT(ADDRESS(305,41))-INDIRECT(ADDRESS(308,41)),INDIRECT(ADDRESS(309,40))-INDIRECT(ADDRESS(304,41))+INDIRECT(ADDRESS(307,41))-INDIRECT(ADDRESS(308,41)))</f>
        <v>0</v>
      </c>
      <c r="AP309">
        <f>IF(DAY(NOW())&lt;M3,INDIRECT(ADDRESS(309,41))-INDIRECT(ADDRESS(304,42))+INDIRECT(ADDRESS(305,42))-INDIRECT(ADDRESS(308,42)),INDIRECT(ADDRESS(309,41))-INDIRECT(ADDRESS(304,42))+INDIRECT(ADDRESS(307,42))-INDIRECT(ADDRESS(308,42)))</f>
        <v>0</v>
      </c>
      <c r="AQ309">
        <f>IF(DAY(NOW())&lt;M3,INDIRECT(ADDRESS(309,42))-INDIRECT(ADDRESS(304,43))+INDIRECT(ADDRESS(305,43))-INDIRECT(ADDRESS(308,43)),INDIRECT(ADDRESS(309,42))-INDIRECT(ADDRESS(304,43))+INDIRECT(ADDRESS(307,43))-INDIRECT(ADDRESS(308,43)))</f>
        <v>0</v>
      </c>
      <c r="AR309">
        <f>IF(DAY(NOW())&lt;M3,INDIRECT(ADDRESS(309,43))-INDIRECT(ADDRESS(304,44))+INDIRECT(ADDRESS(305,44))-INDIRECT(ADDRESS(308,44)),INDIRECT(ADDRESS(309,43))-INDIRECT(ADDRESS(304,44))+INDIRECT(ADDRESS(307,44))-INDIRECT(ADDRESS(308,44)))</f>
        <v>0</v>
      </c>
    </row>
    <row r="310" spans="1:76">
      <c r="A310" t="s">
        <v>31</v>
      </c>
      <c r="B310" t="s">
        <v>198</v>
      </c>
      <c r="C310" t="s">
        <v>199</v>
      </c>
      <c r="D310" t="s">
        <v>17</v>
      </c>
      <c r="E310">
        <v>1</v>
      </c>
      <c r="F310" t="s">
        <v>200</v>
      </c>
      <c r="H310" t="s">
        <v>35</v>
      </c>
      <c r="I310" t="s">
        <v>36</v>
      </c>
      <c r="K310" t="s">
        <v>20</v>
      </c>
      <c r="L310" t="s">
        <v>21</v>
      </c>
      <c r="M310">
        <f>sumifs(BOM!m:m,BOM!A:A,".1",BOM!B:B,"852-252000-100")</f>
        <v>0</v>
      </c>
      <c r="N310">
        <f>sumifs(BOM!n:n,BOM!A:A,".1",BOM!B:B,"852-252000-100")</f>
        <v>0</v>
      </c>
      <c r="O310">
        <f>sumifs(BOM!o:o,BOM!A:A,".1",BOM!B:B,"852-252000-100")</f>
        <v>0</v>
      </c>
      <c r="P310">
        <f>sumifs(BOM!p:p,BOM!A:A,".1",BOM!B:B,"852-252000-100")</f>
        <v>0</v>
      </c>
      <c r="Q310">
        <f>sumifs(BOM!q:q,BOM!A:A,".1",BOM!B:B,"852-252000-100")</f>
        <v>0</v>
      </c>
      <c r="R310">
        <f>sumifs(BOM!r:r,BOM!A:A,".1",BOM!B:B,"852-252000-100")</f>
        <v>0</v>
      </c>
      <c r="S310">
        <f>sumifs(BOM!s:s,BOM!A:A,".1",BOM!B:B,"852-252000-100")</f>
        <v>0</v>
      </c>
      <c r="T310">
        <f>sumifs(BOM!t:t,BOM!A:A,".1",BOM!B:B,"852-252000-100")</f>
        <v>0</v>
      </c>
      <c r="U310">
        <f>sumifs(BOM!u:u,BOM!A:A,".1",BOM!B:B,"852-252000-100")</f>
        <v>0</v>
      </c>
      <c r="V310">
        <f>sumifs(BOM!v:v,BOM!A:A,".1",BOM!B:B,"852-252000-100")</f>
        <v>0</v>
      </c>
      <c r="W310">
        <f>sumifs(BOM!w:w,BOM!A:A,".1",BOM!B:B,"852-252000-100")</f>
        <v>0</v>
      </c>
      <c r="X310">
        <f>sumifs(BOM!x:x,BOM!A:A,".1",BOM!B:B,"852-252000-100")</f>
        <v>0</v>
      </c>
      <c r="Y310">
        <f>sumifs(BOM!y:y,BOM!A:A,".1",BOM!B:B,"852-252000-100")</f>
        <v>0</v>
      </c>
      <c r="Z310">
        <f>sumifs(BOM!z:z,BOM!A:A,".1",BOM!B:B,"852-252000-100")</f>
        <v>0</v>
      </c>
      <c r="AA310">
        <f>sumifs(BOM!aa:aa,BOM!A:A,".1",BOM!B:B,"852-252000-100")</f>
        <v>0</v>
      </c>
      <c r="AB310">
        <f>sumifs(BOM!ab:ab,BOM!A:A,".1",BOM!B:B,"852-252000-100")</f>
        <v>0</v>
      </c>
      <c r="AC310">
        <f>sumifs(BOM!ac:ac,BOM!A:A,".1",BOM!B:B,"852-252000-100")</f>
        <v>0</v>
      </c>
      <c r="AD310">
        <f>sumifs(BOM!ad:ad,BOM!A:A,".1",BOM!B:B,"852-252000-100")</f>
        <v>0</v>
      </c>
      <c r="AE310">
        <f>sumifs(BOM!ae:ae,BOM!A:A,".1",BOM!B:B,"852-252000-100")</f>
        <v>0</v>
      </c>
      <c r="AF310">
        <f>sumifs(BOM!af:af,BOM!A:A,".1",BOM!B:B,"852-252000-100")</f>
        <v>0</v>
      </c>
      <c r="AG310">
        <f>sumifs(BOM!ag:ag,BOM!A:A,".1",BOM!B:B,"852-252000-100")</f>
        <v>0</v>
      </c>
      <c r="AH310">
        <f>sumifs(BOM!ah:ah,BOM!A:A,".1",BOM!B:B,"852-252000-100")</f>
        <v>0</v>
      </c>
      <c r="AI310">
        <f>sumifs(BOM!ai:ai,BOM!A:A,".1",BOM!B:B,"852-252000-100")</f>
        <v>0</v>
      </c>
      <c r="AJ310">
        <f>sumifs(BOM!aj:aj,BOM!A:A,".1",BOM!B:B,"852-252000-100")</f>
        <v>0</v>
      </c>
      <c r="AK310">
        <f>sumifs(BOM!ak:ak,BOM!A:A,".1",BOM!B:B,"852-252000-100")</f>
        <v>0</v>
      </c>
      <c r="AL310">
        <f>sumifs(BOM!al:al,BOM!A:A,".1",BOM!B:B,"852-252000-100")</f>
        <v>0</v>
      </c>
      <c r="AM310">
        <f>sumifs(BOM!am:am,BOM!A:A,".1",BOM!B:B,"852-252000-100")</f>
        <v>0</v>
      </c>
      <c r="AN310">
        <f>sumifs(BOM!an:an,BOM!A:A,".1",BOM!B:B,"852-252000-100")</f>
        <v>0</v>
      </c>
      <c r="AO310">
        <f>sumifs(BOM!ao:ao,BOM!A:A,".1",BOM!B:B,"852-252000-100")</f>
        <v>0</v>
      </c>
      <c r="AP310">
        <f>sumifs(BOM!ap:ap,BOM!A:A,".1",BOM!B:B,"852-252000-100")</f>
        <v>0</v>
      </c>
      <c r="AQ310">
        <f>sumifs(BOM!aq:aq,BOM!A:A,".1",BOM!B:B,"852-252000-100")</f>
        <v>0</v>
      </c>
      <c r="AR310">
        <f>sumifs(BOM!ar:ar,BOM!A:A,".1",BOM!B:B,"852-252000-100")</f>
        <v>0</v>
      </c>
      <c r="BX310">
        <f>sum(j310:an310)</f>
        <v>0</v>
      </c>
    </row>
    <row r="311" spans="1:76">
      <c r="A311" t="s">
        <v>31</v>
      </c>
      <c r="B311" t="s">
        <v>198</v>
      </c>
      <c r="C311" t="s">
        <v>199</v>
      </c>
      <c r="D311" t="s">
        <v>17</v>
      </c>
      <c r="E311">
        <v>1</v>
      </c>
      <c r="F311" t="s">
        <v>200</v>
      </c>
      <c r="H311" t="s">
        <v>35</v>
      </c>
      <c r="I311" t="s">
        <v>36</v>
      </c>
      <c r="K311" t="s">
        <v>20</v>
      </c>
      <c r="L311" t="s">
        <v>37</v>
      </c>
    </row>
    <row r="312" spans="1:76">
      <c r="L312" t="s">
        <v>662</v>
      </c>
    </row>
    <row r="313" spans="1:76">
      <c r="L313" t="s">
        <v>663</v>
      </c>
    </row>
    <row r="314" spans="1:76">
      <c r="L314" t="s">
        <v>664</v>
      </c>
    </row>
    <row r="315" spans="1:76">
      <c r="L315" t="s">
        <v>665</v>
      </c>
      <c r="M315">
        <f>IF(DAY(NOW())&lt;M3,INDIRECT(ADDRESS(315,7))-INDIRECT(ADDRESS(310,13))+INDIRECT(ADDRESS(311,13))-INDIRECT(ADDRESS(314,13)),INDIRECT(ADDRESS(315,7))-INDIRECT(ADDRESS(310,13))+INDIRECT(ADDRESS(313,13))-INDIRECT(ADDRESS(314,13)))</f>
        <v>0</v>
      </c>
      <c r="N315">
        <f>IF(DAY(NOW())&lt;M3,INDIRECT(ADDRESS(315,13))-INDIRECT(ADDRESS(310,14))+INDIRECT(ADDRESS(311,14))-INDIRECT(ADDRESS(314,14)),INDIRECT(ADDRESS(315,13))-INDIRECT(ADDRESS(310,14))+INDIRECT(ADDRESS(313,14))-INDIRECT(ADDRESS(314,14)))</f>
        <v>0</v>
      </c>
      <c r="O315">
        <f>IF(DAY(NOW())&lt;M3,INDIRECT(ADDRESS(315,14))-INDIRECT(ADDRESS(310,15))+INDIRECT(ADDRESS(311,15))-INDIRECT(ADDRESS(314,15)),INDIRECT(ADDRESS(315,14))-INDIRECT(ADDRESS(310,15))+INDIRECT(ADDRESS(313,15))-INDIRECT(ADDRESS(314,15)))</f>
        <v>0</v>
      </c>
      <c r="P315">
        <f>IF(DAY(NOW())&lt;M3,INDIRECT(ADDRESS(315,15))-INDIRECT(ADDRESS(310,16))+INDIRECT(ADDRESS(311,16))-INDIRECT(ADDRESS(314,16)),INDIRECT(ADDRESS(315,15))-INDIRECT(ADDRESS(310,16))+INDIRECT(ADDRESS(313,16))-INDIRECT(ADDRESS(314,16)))</f>
        <v>0</v>
      </c>
      <c r="Q315">
        <f>IF(DAY(NOW())&lt;M3,INDIRECT(ADDRESS(315,16))-INDIRECT(ADDRESS(310,17))+INDIRECT(ADDRESS(311,17))-INDIRECT(ADDRESS(314,17)),INDIRECT(ADDRESS(315,16))-INDIRECT(ADDRESS(310,17))+INDIRECT(ADDRESS(313,17))-INDIRECT(ADDRESS(314,17)))</f>
        <v>0</v>
      </c>
      <c r="R315">
        <f>IF(DAY(NOW())&lt;M3,INDIRECT(ADDRESS(315,17))-INDIRECT(ADDRESS(310,18))+INDIRECT(ADDRESS(311,18))-INDIRECT(ADDRESS(314,18)),INDIRECT(ADDRESS(315,17))-INDIRECT(ADDRESS(310,18))+INDIRECT(ADDRESS(313,18))-INDIRECT(ADDRESS(314,18)))</f>
        <v>0</v>
      </c>
      <c r="S315">
        <f>IF(DAY(NOW())&lt;M3,INDIRECT(ADDRESS(315,18))-INDIRECT(ADDRESS(310,19))+INDIRECT(ADDRESS(311,19))-INDIRECT(ADDRESS(314,19)),INDIRECT(ADDRESS(315,18))-INDIRECT(ADDRESS(310,19))+INDIRECT(ADDRESS(313,19))-INDIRECT(ADDRESS(314,19)))</f>
        <v>0</v>
      </c>
      <c r="T315">
        <f>IF(DAY(NOW())&lt;M3,INDIRECT(ADDRESS(315,19))-INDIRECT(ADDRESS(310,20))+INDIRECT(ADDRESS(311,20))-INDIRECT(ADDRESS(314,20)),INDIRECT(ADDRESS(315,19))-INDIRECT(ADDRESS(310,20))+INDIRECT(ADDRESS(313,20))-INDIRECT(ADDRESS(314,20)))</f>
        <v>0</v>
      </c>
      <c r="U315">
        <f>IF(DAY(NOW())&lt;M3,INDIRECT(ADDRESS(315,20))-INDIRECT(ADDRESS(310,21))+INDIRECT(ADDRESS(311,21))-INDIRECT(ADDRESS(314,21)),INDIRECT(ADDRESS(315,20))-INDIRECT(ADDRESS(310,21))+INDIRECT(ADDRESS(313,21))-INDIRECT(ADDRESS(314,21)))</f>
        <v>0</v>
      </c>
      <c r="V315">
        <f>IF(DAY(NOW())&lt;M3,INDIRECT(ADDRESS(315,21))-INDIRECT(ADDRESS(310,22))+INDIRECT(ADDRESS(311,22))-INDIRECT(ADDRESS(314,22)),INDIRECT(ADDRESS(315,21))-INDIRECT(ADDRESS(310,22))+INDIRECT(ADDRESS(313,22))-INDIRECT(ADDRESS(314,22)))</f>
        <v>0</v>
      </c>
      <c r="W315">
        <f>IF(DAY(NOW())&lt;M3,INDIRECT(ADDRESS(315,22))-INDIRECT(ADDRESS(310,23))+INDIRECT(ADDRESS(311,23))-INDIRECT(ADDRESS(314,23)),INDIRECT(ADDRESS(315,22))-INDIRECT(ADDRESS(310,23))+INDIRECT(ADDRESS(313,23))-INDIRECT(ADDRESS(314,23)))</f>
        <v>0</v>
      </c>
      <c r="X315">
        <f>IF(DAY(NOW())&lt;M3,INDIRECT(ADDRESS(315,23))-INDIRECT(ADDRESS(310,24))+INDIRECT(ADDRESS(311,24))-INDIRECT(ADDRESS(314,24)),INDIRECT(ADDRESS(315,23))-INDIRECT(ADDRESS(310,24))+INDIRECT(ADDRESS(313,24))-INDIRECT(ADDRESS(314,24)))</f>
        <v>0</v>
      </c>
      <c r="Y315">
        <f>IF(DAY(NOW())&lt;M3,INDIRECT(ADDRESS(315,24))-INDIRECT(ADDRESS(310,25))+INDIRECT(ADDRESS(311,25))-INDIRECT(ADDRESS(314,25)),INDIRECT(ADDRESS(315,24))-INDIRECT(ADDRESS(310,25))+INDIRECT(ADDRESS(313,25))-INDIRECT(ADDRESS(314,25)))</f>
        <v>0</v>
      </c>
      <c r="Z315">
        <f>IF(DAY(NOW())&lt;M3,INDIRECT(ADDRESS(315,25))-INDIRECT(ADDRESS(310,26))+INDIRECT(ADDRESS(311,26))-INDIRECT(ADDRESS(314,26)),INDIRECT(ADDRESS(315,25))-INDIRECT(ADDRESS(310,26))+INDIRECT(ADDRESS(313,26))-INDIRECT(ADDRESS(314,26)))</f>
        <v>0</v>
      </c>
      <c r="AA315">
        <f>IF(DAY(NOW())&lt;M3,INDIRECT(ADDRESS(315,26))-INDIRECT(ADDRESS(310,27))+INDIRECT(ADDRESS(311,27))-INDIRECT(ADDRESS(314,27)),INDIRECT(ADDRESS(315,26))-INDIRECT(ADDRESS(310,27))+INDIRECT(ADDRESS(313,27))-INDIRECT(ADDRESS(314,27)))</f>
        <v>0</v>
      </c>
      <c r="AB315">
        <f>IF(DAY(NOW())&lt;M3,INDIRECT(ADDRESS(315,27))-INDIRECT(ADDRESS(310,28))+INDIRECT(ADDRESS(311,28))-INDIRECT(ADDRESS(314,28)),INDIRECT(ADDRESS(315,27))-INDIRECT(ADDRESS(310,28))+INDIRECT(ADDRESS(313,28))-INDIRECT(ADDRESS(314,28)))</f>
        <v>0</v>
      </c>
      <c r="AC315">
        <f>IF(DAY(NOW())&lt;M3,INDIRECT(ADDRESS(315,28))-INDIRECT(ADDRESS(310,29))+INDIRECT(ADDRESS(311,29))-INDIRECT(ADDRESS(314,29)),INDIRECT(ADDRESS(315,28))-INDIRECT(ADDRESS(310,29))+INDIRECT(ADDRESS(313,29))-INDIRECT(ADDRESS(314,29)))</f>
        <v>0</v>
      </c>
      <c r="AD315">
        <f>IF(DAY(NOW())&lt;M3,INDIRECT(ADDRESS(315,29))-INDIRECT(ADDRESS(310,30))+INDIRECT(ADDRESS(311,30))-INDIRECT(ADDRESS(314,30)),INDIRECT(ADDRESS(315,29))-INDIRECT(ADDRESS(310,30))+INDIRECT(ADDRESS(313,30))-INDIRECT(ADDRESS(314,30)))</f>
        <v>0</v>
      </c>
      <c r="AE315">
        <f>IF(DAY(NOW())&lt;M3,INDIRECT(ADDRESS(315,30))-INDIRECT(ADDRESS(310,31))+INDIRECT(ADDRESS(311,31))-INDIRECT(ADDRESS(314,31)),INDIRECT(ADDRESS(315,30))-INDIRECT(ADDRESS(310,31))+INDIRECT(ADDRESS(313,31))-INDIRECT(ADDRESS(314,31)))</f>
        <v>0</v>
      </c>
      <c r="AF315">
        <f>IF(DAY(NOW())&lt;M3,INDIRECT(ADDRESS(315,31))-INDIRECT(ADDRESS(310,32))+INDIRECT(ADDRESS(311,32))-INDIRECT(ADDRESS(314,32)),INDIRECT(ADDRESS(315,31))-INDIRECT(ADDRESS(310,32))+INDIRECT(ADDRESS(313,32))-INDIRECT(ADDRESS(314,32)))</f>
        <v>0</v>
      </c>
      <c r="AG315">
        <f>IF(DAY(NOW())&lt;M3,INDIRECT(ADDRESS(315,32))-INDIRECT(ADDRESS(310,33))+INDIRECT(ADDRESS(311,33))-INDIRECT(ADDRESS(314,33)),INDIRECT(ADDRESS(315,32))-INDIRECT(ADDRESS(310,33))+INDIRECT(ADDRESS(313,33))-INDIRECT(ADDRESS(314,33)))</f>
        <v>0</v>
      </c>
      <c r="AH315">
        <f>IF(DAY(NOW())&lt;M3,INDIRECT(ADDRESS(315,33))-INDIRECT(ADDRESS(310,34))+INDIRECT(ADDRESS(311,34))-INDIRECT(ADDRESS(314,34)),INDIRECT(ADDRESS(315,33))-INDIRECT(ADDRESS(310,34))+INDIRECT(ADDRESS(313,34))-INDIRECT(ADDRESS(314,34)))</f>
        <v>0</v>
      </c>
      <c r="AI315">
        <f>IF(DAY(NOW())&lt;M3,INDIRECT(ADDRESS(315,34))-INDIRECT(ADDRESS(310,35))+INDIRECT(ADDRESS(311,35))-INDIRECT(ADDRESS(314,35)),INDIRECT(ADDRESS(315,34))-INDIRECT(ADDRESS(310,35))+INDIRECT(ADDRESS(313,35))-INDIRECT(ADDRESS(314,35)))</f>
        <v>0</v>
      </c>
      <c r="AJ315">
        <f>IF(DAY(NOW())&lt;M3,INDIRECT(ADDRESS(315,35))-INDIRECT(ADDRESS(310,36))+INDIRECT(ADDRESS(311,36))-INDIRECT(ADDRESS(314,36)),INDIRECT(ADDRESS(315,35))-INDIRECT(ADDRESS(310,36))+INDIRECT(ADDRESS(313,36))-INDIRECT(ADDRESS(314,36)))</f>
        <v>0</v>
      </c>
      <c r="AK315">
        <f>IF(DAY(NOW())&lt;M3,INDIRECT(ADDRESS(315,36))-INDIRECT(ADDRESS(310,37))+INDIRECT(ADDRESS(311,37))-INDIRECT(ADDRESS(314,37)),INDIRECT(ADDRESS(315,36))-INDIRECT(ADDRESS(310,37))+INDIRECT(ADDRESS(313,37))-INDIRECT(ADDRESS(314,37)))</f>
        <v>0</v>
      </c>
      <c r="AL315">
        <f>IF(DAY(NOW())&lt;M3,INDIRECT(ADDRESS(315,37))-INDIRECT(ADDRESS(310,38))+INDIRECT(ADDRESS(311,38))-INDIRECT(ADDRESS(314,38)),INDIRECT(ADDRESS(315,37))-INDIRECT(ADDRESS(310,38))+INDIRECT(ADDRESS(313,38))-INDIRECT(ADDRESS(314,38)))</f>
        <v>0</v>
      </c>
      <c r="AM315">
        <f>IF(DAY(NOW())&lt;M3,INDIRECT(ADDRESS(315,38))-INDIRECT(ADDRESS(310,39))+INDIRECT(ADDRESS(311,39))-INDIRECT(ADDRESS(314,39)),INDIRECT(ADDRESS(315,38))-INDIRECT(ADDRESS(310,39))+INDIRECT(ADDRESS(313,39))-INDIRECT(ADDRESS(314,39)))</f>
        <v>0</v>
      </c>
      <c r="AN315">
        <f>IF(DAY(NOW())&lt;M3,INDIRECT(ADDRESS(315,39))-INDIRECT(ADDRESS(310,40))+INDIRECT(ADDRESS(311,40))-INDIRECT(ADDRESS(314,40)),INDIRECT(ADDRESS(315,39))-INDIRECT(ADDRESS(310,40))+INDIRECT(ADDRESS(313,40))-INDIRECT(ADDRESS(314,40)))</f>
        <v>0</v>
      </c>
      <c r="AO315">
        <f>IF(DAY(NOW())&lt;M3,INDIRECT(ADDRESS(315,40))-INDIRECT(ADDRESS(310,41))+INDIRECT(ADDRESS(311,41))-INDIRECT(ADDRESS(314,41)),INDIRECT(ADDRESS(315,40))-INDIRECT(ADDRESS(310,41))+INDIRECT(ADDRESS(313,41))-INDIRECT(ADDRESS(314,41)))</f>
        <v>0</v>
      </c>
      <c r="AP315">
        <f>IF(DAY(NOW())&lt;M3,INDIRECT(ADDRESS(315,41))-INDIRECT(ADDRESS(310,42))+INDIRECT(ADDRESS(311,42))-INDIRECT(ADDRESS(314,42)),INDIRECT(ADDRESS(315,41))-INDIRECT(ADDRESS(310,42))+INDIRECT(ADDRESS(313,42))-INDIRECT(ADDRESS(314,42)))</f>
        <v>0</v>
      </c>
      <c r="AQ315">
        <f>IF(DAY(NOW())&lt;M3,INDIRECT(ADDRESS(315,42))-INDIRECT(ADDRESS(310,43))+INDIRECT(ADDRESS(311,43))-INDIRECT(ADDRESS(314,43)),INDIRECT(ADDRESS(315,42))-INDIRECT(ADDRESS(310,43))+INDIRECT(ADDRESS(313,43))-INDIRECT(ADDRESS(314,43)))</f>
        <v>0</v>
      </c>
      <c r="AR315">
        <f>IF(DAY(NOW())&lt;M3,INDIRECT(ADDRESS(315,43))-INDIRECT(ADDRESS(310,44))+INDIRECT(ADDRESS(311,44))-INDIRECT(ADDRESS(314,44)),INDIRECT(ADDRESS(315,43))-INDIRECT(ADDRESS(310,44))+INDIRECT(ADDRESS(313,44))-INDIRECT(ADDRESS(314,44)))</f>
        <v>0</v>
      </c>
    </row>
    <row r="316" spans="1:76">
      <c r="A316" t="s">
        <v>14</v>
      </c>
      <c r="B316" t="s">
        <v>201</v>
      </c>
      <c r="C316" t="s">
        <v>202</v>
      </c>
      <c r="D316" t="s">
        <v>17</v>
      </c>
      <c r="E316">
        <v>1</v>
      </c>
      <c r="F316" t="s">
        <v>203</v>
      </c>
      <c r="H316" t="s">
        <v>204</v>
      </c>
      <c r="I316" t="s">
        <v>91</v>
      </c>
      <c r="K316" t="s">
        <v>20</v>
      </c>
      <c r="L316" t="s">
        <v>21</v>
      </c>
      <c r="BX316">
        <f>sum(j316:an316)</f>
        <v>0</v>
      </c>
    </row>
    <row r="317" spans="1:76">
      <c r="A317" t="s">
        <v>14</v>
      </c>
      <c r="B317" t="s">
        <v>201</v>
      </c>
      <c r="C317" t="s">
        <v>202</v>
      </c>
      <c r="D317" t="s">
        <v>17</v>
      </c>
      <c r="E317">
        <v>1</v>
      </c>
      <c r="F317" t="s">
        <v>203</v>
      </c>
      <c r="H317" t="s">
        <v>204</v>
      </c>
      <c r="I317" t="s">
        <v>91</v>
      </c>
      <c r="K317" t="s">
        <v>20</v>
      </c>
      <c r="L317" t="s">
        <v>37</v>
      </c>
    </row>
    <row r="318" spans="1:76">
      <c r="L318" t="s">
        <v>662</v>
      </c>
    </row>
    <row r="319" spans="1:76">
      <c r="L319" t="s">
        <v>663</v>
      </c>
    </row>
    <row r="320" spans="1:76">
      <c r="L320" t="s">
        <v>664</v>
      </c>
    </row>
    <row r="321" spans="1:76">
      <c r="L321" t="s">
        <v>665</v>
      </c>
      <c r="M321">
        <f>IF(DAY(NOW())&lt;M3,INDIRECT(ADDRESS(321,7))-INDIRECT(ADDRESS(316,13))+INDIRECT(ADDRESS(317,13))-INDIRECT(ADDRESS(320,13)),INDIRECT(ADDRESS(321,7))-INDIRECT(ADDRESS(316,13))+INDIRECT(ADDRESS(319,13))-INDIRECT(ADDRESS(320,13)))</f>
        <v>0</v>
      </c>
      <c r="N321">
        <f>IF(DAY(NOW())&lt;M3,INDIRECT(ADDRESS(321,13))-INDIRECT(ADDRESS(316,14))+INDIRECT(ADDRESS(317,14))-INDIRECT(ADDRESS(320,14)),INDIRECT(ADDRESS(321,13))-INDIRECT(ADDRESS(316,14))+INDIRECT(ADDRESS(319,14))-INDIRECT(ADDRESS(320,14)))</f>
        <v>0</v>
      </c>
      <c r="O321">
        <f>IF(DAY(NOW())&lt;M3,INDIRECT(ADDRESS(321,14))-INDIRECT(ADDRESS(316,15))+INDIRECT(ADDRESS(317,15))-INDIRECT(ADDRESS(320,15)),INDIRECT(ADDRESS(321,14))-INDIRECT(ADDRESS(316,15))+INDIRECT(ADDRESS(319,15))-INDIRECT(ADDRESS(320,15)))</f>
        <v>0</v>
      </c>
      <c r="P321">
        <f>IF(DAY(NOW())&lt;M3,INDIRECT(ADDRESS(321,15))-INDIRECT(ADDRESS(316,16))+INDIRECT(ADDRESS(317,16))-INDIRECT(ADDRESS(320,16)),INDIRECT(ADDRESS(321,15))-INDIRECT(ADDRESS(316,16))+INDIRECT(ADDRESS(319,16))-INDIRECT(ADDRESS(320,16)))</f>
        <v>0</v>
      </c>
      <c r="Q321">
        <f>IF(DAY(NOW())&lt;M3,INDIRECT(ADDRESS(321,16))-INDIRECT(ADDRESS(316,17))+INDIRECT(ADDRESS(317,17))-INDIRECT(ADDRESS(320,17)),INDIRECT(ADDRESS(321,16))-INDIRECT(ADDRESS(316,17))+INDIRECT(ADDRESS(319,17))-INDIRECT(ADDRESS(320,17)))</f>
        <v>0</v>
      </c>
      <c r="R321">
        <f>IF(DAY(NOW())&lt;M3,INDIRECT(ADDRESS(321,17))-INDIRECT(ADDRESS(316,18))+INDIRECT(ADDRESS(317,18))-INDIRECT(ADDRESS(320,18)),INDIRECT(ADDRESS(321,17))-INDIRECT(ADDRESS(316,18))+INDIRECT(ADDRESS(319,18))-INDIRECT(ADDRESS(320,18)))</f>
        <v>0</v>
      </c>
      <c r="S321">
        <f>IF(DAY(NOW())&lt;M3,INDIRECT(ADDRESS(321,18))-INDIRECT(ADDRESS(316,19))+INDIRECT(ADDRESS(317,19))-INDIRECT(ADDRESS(320,19)),INDIRECT(ADDRESS(321,18))-INDIRECT(ADDRESS(316,19))+INDIRECT(ADDRESS(319,19))-INDIRECT(ADDRESS(320,19)))</f>
        <v>0</v>
      </c>
      <c r="T321">
        <f>IF(DAY(NOW())&lt;M3,INDIRECT(ADDRESS(321,19))-INDIRECT(ADDRESS(316,20))+INDIRECT(ADDRESS(317,20))-INDIRECT(ADDRESS(320,20)),INDIRECT(ADDRESS(321,19))-INDIRECT(ADDRESS(316,20))+INDIRECT(ADDRESS(319,20))-INDIRECT(ADDRESS(320,20)))</f>
        <v>0</v>
      </c>
      <c r="U321">
        <f>IF(DAY(NOW())&lt;M3,INDIRECT(ADDRESS(321,20))-INDIRECT(ADDRESS(316,21))+INDIRECT(ADDRESS(317,21))-INDIRECT(ADDRESS(320,21)),INDIRECT(ADDRESS(321,20))-INDIRECT(ADDRESS(316,21))+INDIRECT(ADDRESS(319,21))-INDIRECT(ADDRESS(320,21)))</f>
        <v>0</v>
      </c>
      <c r="V321">
        <f>IF(DAY(NOW())&lt;M3,INDIRECT(ADDRESS(321,21))-INDIRECT(ADDRESS(316,22))+INDIRECT(ADDRESS(317,22))-INDIRECT(ADDRESS(320,22)),INDIRECT(ADDRESS(321,21))-INDIRECT(ADDRESS(316,22))+INDIRECT(ADDRESS(319,22))-INDIRECT(ADDRESS(320,22)))</f>
        <v>0</v>
      </c>
      <c r="W321">
        <f>IF(DAY(NOW())&lt;M3,INDIRECT(ADDRESS(321,22))-INDIRECT(ADDRESS(316,23))+INDIRECT(ADDRESS(317,23))-INDIRECT(ADDRESS(320,23)),INDIRECT(ADDRESS(321,22))-INDIRECT(ADDRESS(316,23))+INDIRECT(ADDRESS(319,23))-INDIRECT(ADDRESS(320,23)))</f>
        <v>0</v>
      </c>
      <c r="X321">
        <f>IF(DAY(NOW())&lt;M3,INDIRECT(ADDRESS(321,23))-INDIRECT(ADDRESS(316,24))+INDIRECT(ADDRESS(317,24))-INDIRECT(ADDRESS(320,24)),INDIRECT(ADDRESS(321,23))-INDIRECT(ADDRESS(316,24))+INDIRECT(ADDRESS(319,24))-INDIRECT(ADDRESS(320,24)))</f>
        <v>0</v>
      </c>
      <c r="Y321">
        <f>IF(DAY(NOW())&lt;M3,INDIRECT(ADDRESS(321,24))-INDIRECT(ADDRESS(316,25))+INDIRECT(ADDRESS(317,25))-INDIRECT(ADDRESS(320,25)),INDIRECT(ADDRESS(321,24))-INDIRECT(ADDRESS(316,25))+INDIRECT(ADDRESS(319,25))-INDIRECT(ADDRESS(320,25)))</f>
        <v>0</v>
      </c>
      <c r="Z321">
        <f>IF(DAY(NOW())&lt;M3,INDIRECT(ADDRESS(321,25))-INDIRECT(ADDRESS(316,26))+INDIRECT(ADDRESS(317,26))-INDIRECT(ADDRESS(320,26)),INDIRECT(ADDRESS(321,25))-INDIRECT(ADDRESS(316,26))+INDIRECT(ADDRESS(319,26))-INDIRECT(ADDRESS(320,26)))</f>
        <v>0</v>
      </c>
      <c r="AA321">
        <f>IF(DAY(NOW())&lt;M3,INDIRECT(ADDRESS(321,26))-INDIRECT(ADDRESS(316,27))+INDIRECT(ADDRESS(317,27))-INDIRECT(ADDRESS(320,27)),INDIRECT(ADDRESS(321,26))-INDIRECT(ADDRESS(316,27))+INDIRECT(ADDRESS(319,27))-INDIRECT(ADDRESS(320,27)))</f>
        <v>0</v>
      </c>
      <c r="AB321">
        <f>IF(DAY(NOW())&lt;M3,INDIRECT(ADDRESS(321,27))-INDIRECT(ADDRESS(316,28))+INDIRECT(ADDRESS(317,28))-INDIRECT(ADDRESS(320,28)),INDIRECT(ADDRESS(321,27))-INDIRECT(ADDRESS(316,28))+INDIRECT(ADDRESS(319,28))-INDIRECT(ADDRESS(320,28)))</f>
        <v>0</v>
      </c>
      <c r="AC321">
        <f>IF(DAY(NOW())&lt;M3,INDIRECT(ADDRESS(321,28))-INDIRECT(ADDRESS(316,29))+INDIRECT(ADDRESS(317,29))-INDIRECT(ADDRESS(320,29)),INDIRECT(ADDRESS(321,28))-INDIRECT(ADDRESS(316,29))+INDIRECT(ADDRESS(319,29))-INDIRECT(ADDRESS(320,29)))</f>
        <v>0</v>
      </c>
      <c r="AD321">
        <f>IF(DAY(NOW())&lt;M3,INDIRECT(ADDRESS(321,29))-INDIRECT(ADDRESS(316,30))+INDIRECT(ADDRESS(317,30))-INDIRECT(ADDRESS(320,30)),INDIRECT(ADDRESS(321,29))-INDIRECT(ADDRESS(316,30))+INDIRECT(ADDRESS(319,30))-INDIRECT(ADDRESS(320,30)))</f>
        <v>0</v>
      </c>
      <c r="AE321">
        <f>IF(DAY(NOW())&lt;M3,INDIRECT(ADDRESS(321,30))-INDIRECT(ADDRESS(316,31))+INDIRECT(ADDRESS(317,31))-INDIRECT(ADDRESS(320,31)),INDIRECT(ADDRESS(321,30))-INDIRECT(ADDRESS(316,31))+INDIRECT(ADDRESS(319,31))-INDIRECT(ADDRESS(320,31)))</f>
        <v>0</v>
      </c>
      <c r="AF321">
        <f>IF(DAY(NOW())&lt;M3,INDIRECT(ADDRESS(321,31))-INDIRECT(ADDRESS(316,32))+INDIRECT(ADDRESS(317,32))-INDIRECT(ADDRESS(320,32)),INDIRECT(ADDRESS(321,31))-INDIRECT(ADDRESS(316,32))+INDIRECT(ADDRESS(319,32))-INDIRECT(ADDRESS(320,32)))</f>
        <v>0</v>
      </c>
      <c r="AG321">
        <f>IF(DAY(NOW())&lt;M3,INDIRECT(ADDRESS(321,32))-INDIRECT(ADDRESS(316,33))+INDIRECT(ADDRESS(317,33))-INDIRECT(ADDRESS(320,33)),INDIRECT(ADDRESS(321,32))-INDIRECT(ADDRESS(316,33))+INDIRECT(ADDRESS(319,33))-INDIRECT(ADDRESS(320,33)))</f>
        <v>0</v>
      </c>
      <c r="AH321">
        <f>IF(DAY(NOW())&lt;M3,INDIRECT(ADDRESS(321,33))-INDIRECT(ADDRESS(316,34))+INDIRECT(ADDRESS(317,34))-INDIRECT(ADDRESS(320,34)),INDIRECT(ADDRESS(321,33))-INDIRECT(ADDRESS(316,34))+INDIRECT(ADDRESS(319,34))-INDIRECT(ADDRESS(320,34)))</f>
        <v>0</v>
      </c>
      <c r="AI321">
        <f>IF(DAY(NOW())&lt;M3,INDIRECT(ADDRESS(321,34))-INDIRECT(ADDRESS(316,35))+INDIRECT(ADDRESS(317,35))-INDIRECT(ADDRESS(320,35)),INDIRECT(ADDRESS(321,34))-INDIRECT(ADDRESS(316,35))+INDIRECT(ADDRESS(319,35))-INDIRECT(ADDRESS(320,35)))</f>
        <v>0</v>
      </c>
      <c r="AJ321">
        <f>IF(DAY(NOW())&lt;M3,INDIRECT(ADDRESS(321,35))-INDIRECT(ADDRESS(316,36))+INDIRECT(ADDRESS(317,36))-INDIRECT(ADDRESS(320,36)),INDIRECT(ADDRESS(321,35))-INDIRECT(ADDRESS(316,36))+INDIRECT(ADDRESS(319,36))-INDIRECT(ADDRESS(320,36)))</f>
        <v>0</v>
      </c>
      <c r="AK321">
        <f>IF(DAY(NOW())&lt;M3,INDIRECT(ADDRESS(321,36))-INDIRECT(ADDRESS(316,37))+INDIRECT(ADDRESS(317,37))-INDIRECT(ADDRESS(320,37)),INDIRECT(ADDRESS(321,36))-INDIRECT(ADDRESS(316,37))+INDIRECT(ADDRESS(319,37))-INDIRECT(ADDRESS(320,37)))</f>
        <v>0</v>
      </c>
      <c r="AL321">
        <f>IF(DAY(NOW())&lt;M3,INDIRECT(ADDRESS(321,37))-INDIRECT(ADDRESS(316,38))+INDIRECT(ADDRESS(317,38))-INDIRECT(ADDRESS(320,38)),INDIRECT(ADDRESS(321,37))-INDIRECT(ADDRESS(316,38))+INDIRECT(ADDRESS(319,38))-INDIRECT(ADDRESS(320,38)))</f>
        <v>0</v>
      </c>
      <c r="AM321">
        <f>IF(DAY(NOW())&lt;M3,INDIRECT(ADDRESS(321,38))-INDIRECT(ADDRESS(316,39))+INDIRECT(ADDRESS(317,39))-INDIRECT(ADDRESS(320,39)),INDIRECT(ADDRESS(321,38))-INDIRECT(ADDRESS(316,39))+INDIRECT(ADDRESS(319,39))-INDIRECT(ADDRESS(320,39)))</f>
        <v>0</v>
      </c>
      <c r="AN321">
        <f>IF(DAY(NOW())&lt;M3,INDIRECT(ADDRESS(321,39))-INDIRECT(ADDRESS(316,40))+INDIRECT(ADDRESS(317,40))-INDIRECT(ADDRESS(320,40)),INDIRECT(ADDRESS(321,39))-INDIRECT(ADDRESS(316,40))+INDIRECT(ADDRESS(319,40))-INDIRECT(ADDRESS(320,40)))</f>
        <v>0</v>
      </c>
      <c r="AO321">
        <f>IF(DAY(NOW())&lt;M3,INDIRECT(ADDRESS(321,40))-INDIRECT(ADDRESS(316,41))+INDIRECT(ADDRESS(317,41))-INDIRECT(ADDRESS(320,41)),INDIRECT(ADDRESS(321,40))-INDIRECT(ADDRESS(316,41))+INDIRECT(ADDRESS(319,41))-INDIRECT(ADDRESS(320,41)))</f>
        <v>0</v>
      </c>
      <c r="AP321">
        <f>IF(DAY(NOW())&lt;M3,INDIRECT(ADDRESS(321,41))-INDIRECT(ADDRESS(316,42))+INDIRECT(ADDRESS(317,42))-INDIRECT(ADDRESS(320,42)),INDIRECT(ADDRESS(321,41))-INDIRECT(ADDRESS(316,42))+INDIRECT(ADDRESS(319,42))-INDIRECT(ADDRESS(320,42)))</f>
        <v>0</v>
      </c>
      <c r="AQ321">
        <f>IF(DAY(NOW())&lt;M3,INDIRECT(ADDRESS(321,42))-INDIRECT(ADDRESS(316,43))+INDIRECT(ADDRESS(317,43))-INDIRECT(ADDRESS(320,43)),INDIRECT(ADDRESS(321,42))-INDIRECT(ADDRESS(316,43))+INDIRECT(ADDRESS(319,43))-INDIRECT(ADDRESS(320,43)))</f>
        <v>0</v>
      </c>
      <c r="AR321">
        <f>IF(DAY(NOW())&lt;M3,INDIRECT(ADDRESS(321,43))-INDIRECT(ADDRESS(316,44))+INDIRECT(ADDRESS(317,44))-INDIRECT(ADDRESS(320,44)),INDIRECT(ADDRESS(321,43))-INDIRECT(ADDRESS(316,44))+INDIRECT(ADDRESS(319,44))-INDIRECT(ADDRESS(320,44)))</f>
        <v>0</v>
      </c>
    </row>
    <row r="322" spans="1:76">
      <c r="A322" t="s">
        <v>14</v>
      </c>
      <c r="B322" t="s">
        <v>205</v>
      </c>
      <c r="C322" t="s">
        <v>206</v>
      </c>
      <c r="D322" t="s">
        <v>27</v>
      </c>
      <c r="E322">
        <v>1</v>
      </c>
      <c r="F322" t="s">
        <v>207</v>
      </c>
      <c r="H322" t="s">
        <v>208</v>
      </c>
      <c r="I322" t="s">
        <v>91</v>
      </c>
      <c r="K322" t="s">
        <v>20</v>
      </c>
      <c r="L322" t="s">
        <v>21</v>
      </c>
      <c r="BX322">
        <f>sum(j322:an322)</f>
        <v>0</v>
      </c>
    </row>
    <row r="323" spans="1:76">
      <c r="A323" t="s">
        <v>14</v>
      </c>
      <c r="B323" t="s">
        <v>205</v>
      </c>
      <c r="C323" t="s">
        <v>206</v>
      </c>
      <c r="D323" t="s">
        <v>27</v>
      </c>
      <c r="E323">
        <v>1</v>
      </c>
      <c r="F323" t="s">
        <v>207</v>
      </c>
      <c r="H323" t="s">
        <v>208</v>
      </c>
      <c r="I323" t="s">
        <v>91</v>
      </c>
      <c r="K323" t="s">
        <v>20</v>
      </c>
      <c r="L323" t="s">
        <v>37</v>
      </c>
    </row>
    <row r="324" spans="1:76">
      <c r="L324" t="s">
        <v>662</v>
      </c>
    </row>
    <row r="325" spans="1:76">
      <c r="L325" t="s">
        <v>663</v>
      </c>
    </row>
    <row r="326" spans="1:76">
      <c r="L326" t="s">
        <v>664</v>
      </c>
    </row>
    <row r="327" spans="1:76">
      <c r="L327" t="s">
        <v>665</v>
      </c>
      <c r="M327">
        <f>IF(DAY(NOW())&lt;M3,INDIRECT(ADDRESS(327,7))-INDIRECT(ADDRESS(322,13))+INDIRECT(ADDRESS(323,13))-INDIRECT(ADDRESS(326,13)),INDIRECT(ADDRESS(327,7))-INDIRECT(ADDRESS(322,13))+INDIRECT(ADDRESS(325,13))-INDIRECT(ADDRESS(326,13)))</f>
        <v>0</v>
      </c>
      <c r="N327">
        <f>IF(DAY(NOW())&lt;M3,INDIRECT(ADDRESS(327,13))-INDIRECT(ADDRESS(322,14))+INDIRECT(ADDRESS(323,14))-INDIRECT(ADDRESS(326,14)),INDIRECT(ADDRESS(327,13))-INDIRECT(ADDRESS(322,14))+INDIRECT(ADDRESS(325,14))-INDIRECT(ADDRESS(326,14)))</f>
        <v>0</v>
      </c>
      <c r="O327">
        <f>IF(DAY(NOW())&lt;M3,INDIRECT(ADDRESS(327,14))-INDIRECT(ADDRESS(322,15))+INDIRECT(ADDRESS(323,15))-INDIRECT(ADDRESS(326,15)),INDIRECT(ADDRESS(327,14))-INDIRECT(ADDRESS(322,15))+INDIRECT(ADDRESS(325,15))-INDIRECT(ADDRESS(326,15)))</f>
        <v>0</v>
      </c>
      <c r="P327">
        <f>IF(DAY(NOW())&lt;M3,INDIRECT(ADDRESS(327,15))-INDIRECT(ADDRESS(322,16))+INDIRECT(ADDRESS(323,16))-INDIRECT(ADDRESS(326,16)),INDIRECT(ADDRESS(327,15))-INDIRECT(ADDRESS(322,16))+INDIRECT(ADDRESS(325,16))-INDIRECT(ADDRESS(326,16)))</f>
        <v>0</v>
      </c>
      <c r="Q327">
        <f>IF(DAY(NOW())&lt;M3,INDIRECT(ADDRESS(327,16))-INDIRECT(ADDRESS(322,17))+INDIRECT(ADDRESS(323,17))-INDIRECT(ADDRESS(326,17)),INDIRECT(ADDRESS(327,16))-INDIRECT(ADDRESS(322,17))+INDIRECT(ADDRESS(325,17))-INDIRECT(ADDRESS(326,17)))</f>
        <v>0</v>
      </c>
      <c r="R327">
        <f>IF(DAY(NOW())&lt;M3,INDIRECT(ADDRESS(327,17))-INDIRECT(ADDRESS(322,18))+INDIRECT(ADDRESS(323,18))-INDIRECT(ADDRESS(326,18)),INDIRECT(ADDRESS(327,17))-INDIRECT(ADDRESS(322,18))+INDIRECT(ADDRESS(325,18))-INDIRECT(ADDRESS(326,18)))</f>
        <v>0</v>
      </c>
      <c r="S327">
        <f>IF(DAY(NOW())&lt;M3,INDIRECT(ADDRESS(327,18))-INDIRECT(ADDRESS(322,19))+INDIRECT(ADDRESS(323,19))-INDIRECT(ADDRESS(326,19)),INDIRECT(ADDRESS(327,18))-INDIRECT(ADDRESS(322,19))+INDIRECT(ADDRESS(325,19))-INDIRECT(ADDRESS(326,19)))</f>
        <v>0</v>
      </c>
      <c r="T327">
        <f>IF(DAY(NOW())&lt;M3,INDIRECT(ADDRESS(327,19))-INDIRECT(ADDRESS(322,20))+INDIRECT(ADDRESS(323,20))-INDIRECT(ADDRESS(326,20)),INDIRECT(ADDRESS(327,19))-INDIRECT(ADDRESS(322,20))+INDIRECT(ADDRESS(325,20))-INDIRECT(ADDRESS(326,20)))</f>
        <v>0</v>
      </c>
      <c r="U327">
        <f>IF(DAY(NOW())&lt;M3,INDIRECT(ADDRESS(327,20))-INDIRECT(ADDRESS(322,21))+INDIRECT(ADDRESS(323,21))-INDIRECT(ADDRESS(326,21)),INDIRECT(ADDRESS(327,20))-INDIRECT(ADDRESS(322,21))+INDIRECT(ADDRESS(325,21))-INDIRECT(ADDRESS(326,21)))</f>
        <v>0</v>
      </c>
      <c r="V327">
        <f>IF(DAY(NOW())&lt;M3,INDIRECT(ADDRESS(327,21))-INDIRECT(ADDRESS(322,22))+INDIRECT(ADDRESS(323,22))-INDIRECT(ADDRESS(326,22)),INDIRECT(ADDRESS(327,21))-INDIRECT(ADDRESS(322,22))+INDIRECT(ADDRESS(325,22))-INDIRECT(ADDRESS(326,22)))</f>
        <v>0</v>
      </c>
      <c r="W327">
        <f>IF(DAY(NOW())&lt;M3,INDIRECT(ADDRESS(327,22))-INDIRECT(ADDRESS(322,23))+INDIRECT(ADDRESS(323,23))-INDIRECT(ADDRESS(326,23)),INDIRECT(ADDRESS(327,22))-INDIRECT(ADDRESS(322,23))+INDIRECT(ADDRESS(325,23))-INDIRECT(ADDRESS(326,23)))</f>
        <v>0</v>
      </c>
      <c r="X327">
        <f>IF(DAY(NOW())&lt;M3,INDIRECT(ADDRESS(327,23))-INDIRECT(ADDRESS(322,24))+INDIRECT(ADDRESS(323,24))-INDIRECT(ADDRESS(326,24)),INDIRECT(ADDRESS(327,23))-INDIRECT(ADDRESS(322,24))+INDIRECT(ADDRESS(325,24))-INDIRECT(ADDRESS(326,24)))</f>
        <v>0</v>
      </c>
      <c r="Y327">
        <f>IF(DAY(NOW())&lt;M3,INDIRECT(ADDRESS(327,24))-INDIRECT(ADDRESS(322,25))+INDIRECT(ADDRESS(323,25))-INDIRECT(ADDRESS(326,25)),INDIRECT(ADDRESS(327,24))-INDIRECT(ADDRESS(322,25))+INDIRECT(ADDRESS(325,25))-INDIRECT(ADDRESS(326,25)))</f>
        <v>0</v>
      </c>
      <c r="Z327">
        <f>IF(DAY(NOW())&lt;M3,INDIRECT(ADDRESS(327,25))-INDIRECT(ADDRESS(322,26))+INDIRECT(ADDRESS(323,26))-INDIRECT(ADDRESS(326,26)),INDIRECT(ADDRESS(327,25))-INDIRECT(ADDRESS(322,26))+INDIRECT(ADDRESS(325,26))-INDIRECT(ADDRESS(326,26)))</f>
        <v>0</v>
      </c>
      <c r="AA327">
        <f>IF(DAY(NOW())&lt;M3,INDIRECT(ADDRESS(327,26))-INDIRECT(ADDRESS(322,27))+INDIRECT(ADDRESS(323,27))-INDIRECT(ADDRESS(326,27)),INDIRECT(ADDRESS(327,26))-INDIRECT(ADDRESS(322,27))+INDIRECT(ADDRESS(325,27))-INDIRECT(ADDRESS(326,27)))</f>
        <v>0</v>
      </c>
      <c r="AB327">
        <f>IF(DAY(NOW())&lt;M3,INDIRECT(ADDRESS(327,27))-INDIRECT(ADDRESS(322,28))+INDIRECT(ADDRESS(323,28))-INDIRECT(ADDRESS(326,28)),INDIRECT(ADDRESS(327,27))-INDIRECT(ADDRESS(322,28))+INDIRECT(ADDRESS(325,28))-INDIRECT(ADDRESS(326,28)))</f>
        <v>0</v>
      </c>
      <c r="AC327">
        <f>IF(DAY(NOW())&lt;M3,INDIRECT(ADDRESS(327,28))-INDIRECT(ADDRESS(322,29))+INDIRECT(ADDRESS(323,29))-INDIRECT(ADDRESS(326,29)),INDIRECT(ADDRESS(327,28))-INDIRECT(ADDRESS(322,29))+INDIRECT(ADDRESS(325,29))-INDIRECT(ADDRESS(326,29)))</f>
        <v>0</v>
      </c>
      <c r="AD327">
        <f>IF(DAY(NOW())&lt;M3,INDIRECT(ADDRESS(327,29))-INDIRECT(ADDRESS(322,30))+INDIRECT(ADDRESS(323,30))-INDIRECT(ADDRESS(326,30)),INDIRECT(ADDRESS(327,29))-INDIRECT(ADDRESS(322,30))+INDIRECT(ADDRESS(325,30))-INDIRECT(ADDRESS(326,30)))</f>
        <v>0</v>
      </c>
      <c r="AE327">
        <f>IF(DAY(NOW())&lt;M3,INDIRECT(ADDRESS(327,30))-INDIRECT(ADDRESS(322,31))+INDIRECT(ADDRESS(323,31))-INDIRECT(ADDRESS(326,31)),INDIRECT(ADDRESS(327,30))-INDIRECT(ADDRESS(322,31))+INDIRECT(ADDRESS(325,31))-INDIRECT(ADDRESS(326,31)))</f>
        <v>0</v>
      </c>
      <c r="AF327">
        <f>IF(DAY(NOW())&lt;M3,INDIRECT(ADDRESS(327,31))-INDIRECT(ADDRESS(322,32))+INDIRECT(ADDRESS(323,32))-INDIRECT(ADDRESS(326,32)),INDIRECT(ADDRESS(327,31))-INDIRECT(ADDRESS(322,32))+INDIRECT(ADDRESS(325,32))-INDIRECT(ADDRESS(326,32)))</f>
        <v>0</v>
      </c>
      <c r="AG327">
        <f>IF(DAY(NOW())&lt;M3,INDIRECT(ADDRESS(327,32))-INDIRECT(ADDRESS(322,33))+INDIRECT(ADDRESS(323,33))-INDIRECT(ADDRESS(326,33)),INDIRECT(ADDRESS(327,32))-INDIRECT(ADDRESS(322,33))+INDIRECT(ADDRESS(325,33))-INDIRECT(ADDRESS(326,33)))</f>
        <v>0</v>
      </c>
      <c r="AH327">
        <f>IF(DAY(NOW())&lt;M3,INDIRECT(ADDRESS(327,33))-INDIRECT(ADDRESS(322,34))+INDIRECT(ADDRESS(323,34))-INDIRECT(ADDRESS(326,34)),INDIRECT(ADDRESS(327,33))-INDIRECT(ADDRESS(322,34))+INDIRECT(ADDRESS(325,34))-INDIRECT(ADDRESS(326,34)))</f>
        <v>0</v>
      </c>
      <c r="AI327">
        <f>IF(DAY(NOW())&lt;M3,INDIRECT(ADDRESS(327,34))-INDIRECT(ADDRESS(322,35))+INDIRECT(ADDRESS(323,35))-INDIRECT(ADDRESS(326,35)),INDIRECT(ADDRESS(327,34))-INDIRECT(ADDRESS(322,35))+INDIRECT(ADDRESS(325,35))-INDIRECT(ADDRESS(326,35)))</f>
        <v>0</v>
      </c>
      <c r="AJ327">
        <f>IF(DAY(NOW())&lt;M3,INDIRECT(ADDRESS(327,35))-INDIRECT(ADDRESS(322,36))+INDIRECT(ADDRESS(323,36))-INDIRECT(ADDRESS(326,36)),INDIRECT(ADDRESS(327,35))-INDIRECT(ADDRESS(322,36))+INDIRECT(ADDRESS(325,36))-INDIRECT(ADDRESS(326,36)))</f>
        <v>0</v>
      </c>
      <c r="AK327">
        <f>IF(DAY(NOW())&lt;M3,INDIRECT(ADDRESS(327,36))-INDIRECT(ADDRESS(322,37))+INDIRECT(ADDRESS(323,37))-INDIRECT(ADDRESS(326,37)),INDIRECT(ADDRESS(327,36))-INDIRECT(ADDRESS(322,37))+INDIRECT(ADDRESS(325,37))-INDIRECT(ADDRESS(326,37)))</f>
        <v>0</v>
      </c>
      <c r="AL327">
        <f>IF(DAY(NOW())&lt;M3,INDIRECT(ADDRESS(327,37))-INDIRECT(ADDRESS(322,38))+INDIRECT(ADDRESS(323,38))-INDIRECT(ADDRESS(326,38)),INDIRECT(ADDRESS(327,37))-INDIRECT(ADDRESS(322,38))+INDIRECT(ADDRESS(325,38))-INDIRECT(ADDRESS(326,38)))</f>
        <v>0</v>
      </c>
      <c r="AM327">
        <f>IF(DAY(NOW())&lt;M3,INDIRECT(ADDRESS(327,38))-INDIRECT(ADDRESS(322,39))+INDIRECT(ADDRESS(323,39))-INDIRECT(ADDRESS(326,39)),INDIRECT(ADDRESS(327,38))-INDIRECT(ADDRESS(322,39))+INDIRECT(ADDRESS(325,39))-INDIRECT(ADDRESS(326,39)))</f>
        <v>0</v>
      </c>
      <c r="AN327">
        <f>IF(DAY(NOW())&lt;M3,INDIRECT(ADDRESS(327,39))-INDIRECT(ADDRESS(322,40))+INDIRECT(ADDRESS(323,40))-INDIRECT(ADDRESS(326,40)),INDIRECT(ADDRESS(327,39))-INDIRECT(ADDRESS(322,40))+INDIRECT(ADDRESS(325,40))-INDIRECT(ADDRESS(326,40)))</f>
        <v>0</v>
      </c>
      <c r="AO327">
        <f>IF(DAY(NOW())&lt;M3,INDIRECT(ADDRESS(327,40))-INDIRECT(ADDRESS(322,41))+INDIRECT(ADDRESS(323,41))-INDIRECT(ADDRESS(326,41)),INDIRECT(ADDRESS(327,40))-INDIRECT(ADDRESS(322,41))+INDIRECT(ADDRESS(325,41))-INDIRECT(ADDRESS(326,41)))</f>
        <v>0</v>
      </c>
      <c r="AP327">
        <f>IF(DAY(NOW())&lt;M3,INDIRECT(ADDRESS(327,41))-INDIRECT(ADDRESS(322,42))+INDIRECT(ADDRESS(323,42))-INDIRECT(ADDRESS(326,42)),INDIRECT(ADDRESS(327,41))-INDIRECT(ADDRESS(322,42))+INDIRECT(ADDRESS(325,42))-INDIRECT(ADDRESS(326,42)))</f>
        <v>0</v>
      </c>
      <c r="AQ327">
        <f>IF(DAY(NOW())&lt;M3,INDIRECT(ADDRESS(327,42))-INDIRECT(ADDRESS(322,43))+INDIRECT(ADDRESS(323,43))-INDIRECT(ADDRESS(326,43)),INDIRECT(ADDRESS(327,42))-INDIRECT(ADDRESS(322,43))+INDIRECT(ADDRESS(325,43))-INDIRECT(ADDRESS(326,43)))</f>
        <v>0</v>
      </c>
      <c r="AR327">
        <f>IF(DAY(NOW())&lt;M3,INDIRECT(ADDRESS(327,43))-INDIRECT(ADDRESS(322,44))+INDIRECT(ADDRESS(323,44))-INDIRECT(ADDRESS(326,44)),INDIRECT(ADDRESS(327,43))-INDIRECT(ADDRESS(322,44))+INDIRECT(ADDRESS(325,44))-INDIRECT(ADDRESS(326,44)))</f>
        <v>0</v>
      </c>
    </row>
    <row r="328" spans="1:76">
      <c r="A328" t="s">
        <v>31</v>
      </c>
      <c r="B328" t="s">
        <v>209</v>
      </c>
      <c r="C328" t="s">
        <v>210</v>
      </c>
      <c r="D328" t="s">
        <v>17</v>
      </c>
      <c r="E328">
        <v>1</v>
      </c>
      <c r="F328" t="s">
        <v>211</v>
      </c>
      <c r="H328" t="s">
        <v>35</v>
      </c>
      <c r="I328" t="s">
        <v>36</v>
      </c>
      <c r="K328" t="s">
        <v>20</v>
      </c>
      <c r="L328" t="s">
        <v>21</v>
      </c>
      <c r="M328">
        <f>sumifs(BOM!m:m,BOM!A:A,".1",BOM!B:B,"852-237000-100")</f>
        <v>0</v>
      </c>
      <c r="N328">
        <f>sumifs(BOM!n:n,BOM!A:A,".1",BOM!B:B,"852-237000-100")</f>
        <v>0</v>
      </c>
      <c r="O328">
        <f>sumifs(BOM!o:o,BOM!A:A,".1",BOM!B:B,"852-237000-100")</f>
        <v>0</v>
      </c>
      <c r="P328">
        <f>sumifs(BOM!p:p,BOM!A:A,".1",BOM!B:B,"852-237000-100")</f>
        <v>0</v>
      </c>
      <c r="Q328">
        <f>sumifs(BOM!q:q,BOM!A:A,".1",BOM!B:B,"852-237000-100")</f>
        <v>0</v>
      </c>
      <c r="R328">
        <f>sumifs(BOM!r:r,BOM!A:A,".1",BOM!B:B,"852-237000-100")</f>
        <v>0</v>
      </c>
      <c r="S328">
        <f>sumifs(BOM!s:s,BOM!A:A,".1",BOM!B:B,"852-237000-100")</f>
        <v>0</v>
      </c>
      <c r="T328">
        <f>sumifs(BOM!t:t,BOM!A:A,".1",BOM!B:B,"852-237000-100")</f>
        <v>0</v>
      </c>
      <c r="U328">
        <f>sumifs(BOM!u:u,BOM!A:A,".1",BOM!B:B,"852-237000-100")</f>
        <v>0</v>
      </c>
      <c r="V328">
        <f>sumifs(BOM!v:v,BOM!A:A,".1",BOM!B:B,"852-237000-100")</f>
        <v>0</v>
      </c>
      <c r="W328">
        <f>sumifs(BOM!w:w,BOM!A:A,".1",BOM!B:B,"852-237000-100")</f>
        <v>0</v>
      </c>
      <c r="X328">
        <f>sumifs(BOM!x:x,BOM!A:A,".1",BOM!B:B,"852-237000-100")</f>
        <v>0</v>
      </c>
      <c r="Y328">
        <f>sumifs(BOM!y:y,BOM!A:A,".1",BOM!B:B,"852-237000-100")</f>
        <v>0</v>
      </c>
      <c r="Z328">
        <f>sumifs(BOM!z:z,BOM!A:A,".1",BOM!B:B,"852-237000-100")</f>
        <v>0</v>
      </c>
      <c r="AA328">
        <f>sumifs(BOM!aa:aa,BOM!A:A,".1",BOM!B:B,"852-237000-100")</f>
        <v>0</v>
      </c>
      <c r="AB328">
        <f>sumifs(BOM!ab:ab,BOM!A:A,".1",BOM!B:B,"852-237000-100")</f>
        <v>0</v>
      </c>
      <c r="AC328">
        <f>sumifs(BOM!ac:ac,BOM!A:A,".1",BOM!B:B,"852-237000-100")</f>
        <v>0</v>
      </c>
      <c r="AD328">
        <f>sumifs(BOM!ad:ad,BOM!A:A,".1",BOM!B:B,"852-237000-100")</f>
        <v>0</v>
      </c>
      <c r="AE328">
        <f>sumifs(BOM!ae:ae,BOM!A:A,".1",BOM!B:B,"852-237000-100")</f>
        <v>0</v>
      </c>
      <c r="AF328">
        <f>sumifs(BOM!af:af,BOM!A:A,".1",BOM!B:B,"852-237000-100")</f>
        <v>0</v>
      </c>
      <c r="AG328">
        <f>sumifs(BOM!ag:ag,BOM!A:A,".1",BOM!B:B,"852-237000-100")</f>
        <v>0</v>
      </c>
      <c r="AH328">
        <f>sumifs(BOM!ah:ah,BOM!A:A,".1",BOM!B:B,"852-237000-100")</f>
        <v>0</v>
      </c>
      <c r="AI328">
        <f>sumifs(BOM!ai:ai,BOM!A:A,".1",BOM!B:B,"852-237000-100")</f>
        <v>0</v>
      </c>
      <c r="AJ328">
        <f>sumifs(BOM!aj:aj,BOM!A:A,".1",BOM!B:B,"852-237000-100")</f>
        <v>0</v>
      </c>
      <c r="AK328">
        <f>sumifs(BOM!ak:ak,BOM!A:A,".1",BOM!B:B,"852-237000-100")</f>
        <v>0</v>
      </c>
      <c r="AL328">
        <f>sumifs(BOM!al:al,BOM!A:A,".1",BOM!B:B,"852-237000-100")</f>
        <v>0</v>
      </c>
      <c r="AM328">
        <f>sumifs(BOM!am:am,BOM!A:A,".1",BOM!B:B,"852-237000-100")</f>
        <v>0</v>
      </c>
      <c r="AN328">
        <f>sumifs(BOM!an:an,BOM!A:A,".1",BOM!B:B,"852-237000-100")</f>
        <v>0</v>
      </c>
      <c r="AO328">
        <f>sumifs(BOM!ao:ao,BOM!A:A,".1",BOM!B:B,"852-237000-100")</f>
        <v>0</v>
      </c>
      <c r="AP328">
        <f>sumifs(BOM!ap:ap,BOM!A:A,".1",BOM!B:B,"852-237000-100")</f>
        <v>0</v>
      </c>
      <c r="AQ328">
        <f>sumifs(BOM!aq:aq,BOM!A:A,".1",BOM!B:B,"852-237000-100")</f>
        <v>0</v>
      </c>
      <c r="AR328">
        <f>sumifs(BOM!ar:ar,BOM!A:A,".1",BOM!B:B,"852-237000-100")</f>
        <v>0</v>
      </c>
      <c r="BX328">
        <f>sum(j328:an328)</f>
        <v>0</v>
      </c>
    </row>
    <row r="329" spans="1:76">
      <c r="A329" t="s">
        <v>31</v>
      </c>
      <c r="B329" t="s">
        <v>209</v>
      </c>
      <c r="C329" t="s">
        <v>210</v>
      </c>
      <c r="D329" t="s">
        <v>17</v>
      </c>
      <c r="E329">
        <v>1</v>
      </c>
      <c r="F329" t="s">
        <v>211</v>
      </c>
      <c r="H329" t="s">
        <v>35</v>
      </c>
      <c r="I329" t="s">
        <v>36</v>
      </c>
      <c r="K329" t="s">
        <v>20</v>
      </c>
      <c r="L329" t="s">
        <v>37</v>
      </c>
    </row>
    <row r="330" spans="1:76">
      <c r="L330" t="s">
        <v>662</v>
      </c>
    </row>
    <row r="331" spans="1:76">
      <c r="L331" t="s">
        <v>663</v>
      </c>
    </row>
    <row r="332" spans="1:76">
      <c r="L332" t="s">
        <v>664</v>
      </c>
    </row>
    <row r="333" spans="1:76">
      <c r="L333" t="s">
        <v>665</v>
      </c>
      <c r="M333">
        <f>IF(DAY(NOW())&lt;M3,INDIRECT(ADDRESS(333,7))-INDIRECT(ADDRESS(328,13))+INDIRECT(ADDRESS(329,13))-INDIRECT(ADDRESS(332,13)),INDIRECT(ADDRESS(333,7))-INDIRECT(ADDRESS(328,13))+INDIRECT(ADDRESS(331,13))-INDIRECT(ADDRESS(332,13)))</f>
        <v>0</v>
      </c>
      <c r="N333">
        <f>IF(DAY(NOW())&lt;M3,INDIRECT(ADDRESS(333,13))-INDIRECT(ADDRESS(328,14))+INDIRECT(ADDRESS(329,14))-INDIRECT(ADDRESS(332,14)),INDIRECT(ADDRESS(333,13))-INDIRECT(ADDRESS(328,14))+INDIRECT(ADDRESS(331,14))-INDIRECT(ADDRESS(332,14)))</f>
        <v>0</v>
      </c>
      <c r="O333">
        <f>IF(DAY(NOW())&lt;M3,INDIRECT(ADDRESS(333,14))-INDIRECT(ADDRESS(328,15))+INDIRECT(ADDRESS(329,15))-INDIRECT(ADDRESS(332,15)),INDIRECT(ADDRESS(333,14))-INDIRECT(ADDRESS(328,15))+INDIRECT(ADDRESS(331,15))-INDIRECT(ADDRESS(332,15)))</f>
        <v>0</v>
      </c>
      <c r="P333">
        <f>IF(DAY(NOW())&lt;M3,INDIRECT(ADDRESS(333,15))-INDIRECT(ADDRESS(328,16))+INDIRECT(ADDRESS(329,16))-INDIRECT(ADDRESS(332,16)),INDIRECT(ADDRESS(333,15))-INDIRECT(ADDRESS(328,16))+INDIRECT(ADDRESS(331,16))-INDIRECT(ADDRESS(332,16)))</f>
        <v>0</v>
      </c>
      <c r="Q333">
        <f>IF(DAY(NOW())&lt;M3,INDIRECT(ADDRESS(333,16))-INDIRECT(ADDRESS(328,17))+INDIRECT(ADDRESS(329,17))-INDIRECT(ADDRESS(332,17)),INDIRECT(ADDRESS(333,16))-INDIRECT(ADDRESS(328,17))+INDIRECT(ADDRESS(331,17))-INDIRECT(ADDRESS(332,17)))</f>
        <v>0</v>
      </c>
      <c r="R333">
        <f>IF(DAY(NOW())&lt;M3,INDIRECT(ADDRESS(333,17))-INDIRECT(ADDRESS(328,18))+INDIRECT(ADDRESS(329,18))-INDIRECT(ADDRESS(332,18)),INDIRECT(ADDRESS(333,17))-INDIRECT(ADDRESS(328,18))+INDIRECT(ADDRESS(331,18))-INDIRECT(ADDRESS(332,18)))</f>
        <v>0</v>
      </c>
      <c r="S333">
        <f>IF(DAY(NOW())&lt;M3,INDIRECT(ADDRESS(333,18))-INDIRECT(ADDRESS(328,19))+INDIRECT(ADDRESS(329,19))-INDIRECT(ADDRESS(332,19)),INDIRECT(ADDRESS(333,18))-INDIRECT(ADDRESS(328,19))+INDIRECT(ADDRESS(331,19))-INDIRECT(ADDRESS(332,19)))</f>
        <v>0</v>
      </c>
      <c r="T333">
        <f>IF(DAY(NOW())&lt;M3,INDIRECT(ADDRESS(333,19))-INDIRECT(ADDRESS(328,20))+INDIRECT(ADDRESS(329,20))-INDIRECT(ADDRESS(332,20)),INDIRECT(ADDRESS(333,19))-INDIRECT(ADDRESS(328,20))+INDIRECT(ADDRESS(331,20))-INDIRECT(ADDRESS(332,20)))</f>
        <v>0</v>
      </c>
      <c r="U333">
        <f>IF(DAY(NOW())&lt;M3,INDIRECT(ADDRESS(333,20))-INDIRECT(ADDRESS(328,21))+INDIRECT(ADDRESS(329,21))-INDIRECT(ADDRESS(332,21)),INDIRECT(ADDRESS(333,20))-INDIRECT(ADDRESS(328,21))+INDIRECT(ADDRESS(331,21))-INDIRECT(ADDRESS(332,21)))</f>
        <v>0</v>
      </c>
      <c r="V333">
        <f>IF(DAY(NOW())&lt;M3,INDIRECT(ADDRESS(333,21))-INDIRECT(ADDRESS(328,22))+INDIRECT(ADDRESS(329,22))-INDIRECT(ADDRESS(332,22)),INDIRECT(ADDRESS(333,21))-INDIRECT(ADDRESS(328,22))+INDIRECT(ADDRESS(331,22))-INDIRECT(ADDRESS(332,22)))</f>
        <v>0</v>
      </c>
      <c r="W333">
        <f>IF(DAY(NOW())&lt;M3,INDIRECT(ADDRESS(333,22))-INDIRECT(ADDRESS(328,23))+INDIRECT(ADDRESS(329,23))-INDIRECT(ADDRESS(332,23)),INDIRECT(ADDRESS(333,22))-INDIRECT(ADDRESS(328,23))+INDIRECT(ADDRESS(331,23))-INDIRECT(ADDRESS(332,23)))</f>
        <v>0</v>
      </c>
      <c r="X333">
        <f>IF(DAY(NOW())&lt;M3,INDIRECT(ADDRESS(333,23))-INDIRECT(ADDRESS(328,24))+INDIRECT(ADDRESS(329,24))-INDIRECT(ADDRESS(332,24)),INDIRECT(ADDRESS(333,23))-INDIRECT(ADDRESS(328,24))+INDIRECT(ADDRESS(331,24))-INDIRECT(ADDRESS(332,24)))</f>
        <v>0</v>
      </c>
      <c r="Y333">
        <f>IF(DAY(NOW())&lt;M3,INDIRECT(ADDRESS(333,24))-INDIRECT(ADDRESS(328,25))+INDIRECT(ADDRESS(329,25))-INDIRECT(ADDRESS(332,25)),INDIRECT(ADDRESS(333,24))-INDIRECT(ADDRESS(328,25))+INDIRECT(ADDRESS(331,25))-INDIRECT(ADDRESS(332,25)))</f>
        <v>0</v>
      </c>
      <c r="Z333">
        <f>IF(DAY(NOW())&lt;M3,INDIRECT(ADDRESS(333,25))-INDIRECT(ADDRESS(328,26))+INDIRECT(ADDRESS(329,26))-INDIRECT(ADDRESS(332,26)),INDIRECT(ADDRESS(333,25))-INDIRECT(ADDRESS(328,26))+INDIRECT(ADDRESS(331,26))-INDIRECT(ADDRESS(332,26)))</f>
        <v>0</v>
      </c>
      <c r="AA333">
        <f>IF(DAY(NOW())&lt;M3,INDIRECT(ADDRESS(333,26))-INDIRECT(ADDRESS(328,27))+INDIRECT(ADDRESS(329,27))-INDIRECT(ADDRESS(332,27)),INDIRECT(ADDRESS(333,26))-INDIRECT(ADDRESS(328,27))+INDIRECT(ADDRESS(331,27))-INDIRECT(ADDRESS(332,27)))</f>
        <v>0</v>
      </c>
      <c r="AB333">
        <f>IF(DAY(NOW())&lt;M3,INDIRECT(ADDRESS(333,27))-INDIRECT(ADDRESS(328,28))+INDIRECT(ADDRESS(329,28))-INDIRECT(ADDRESS(332,28)),INDIRECT(ADDRESS(333,27))-INDIRECT(ADDRESS(328,28))+INDIRECT(ADDRESS(331,28))-INDIRECT(ADDRESS(332,28)))</f>
        <v>0</v>
      </c>
      <c r="AC333">
        <f>IF(DAY(NOW())&lt;M3,INDIRECT(ADDRESS(333,28))-INDIRECT(ADDRESS(328,29))+INDIRECT(ADDRESS(329,29))-INDIRECT(ADDRESS(332,29)),INDIRECT(ADDRESS(333,28))-INDIRECT(ADDRESS(328,29))+INDIRECT(ADDRESS(331,29))-INDIRECT(ADDRESS(332,29)))</f>
        <v>0</v>
      </c>
      <c r="AD333">
        <f>IF(DAY(NOW())&lt;M3,INDIRECT(ADDRESS(333,29))-INDIRECT(ADDRESS(328,30))+INDIRECT(ADDRESS(329,30))-INDIRECT(ADDRESS(332,30)),INDIRECT(ADDRESS(333,29))-INDIRECT(ADDRESS(328,30))+INDIRECT(ADDRESS(331,30))-INDIRECT(ADDRESS(332,30)))</f>
        <v>0</v>
      </c>
      <c r="AE333">
        <f>IF(DAY(NOW())&lt;M3,INDIRECT(ADDRESS(333,30))-INDIRECT(ADDRESS(328,31))+INDIRECT(ADDRESS(329,31))-INDIRECT(ADDRESS(332,31)),INDIRECT(ADDRESS(333,30))-INDIRECT(ADDRESS(328,31))+INDIRECT(ADDRESS(331,31))-INDIRECT(ADDRESS(332,31)))</f>
        <v>0</v>
      </c>
      <c r="AF333">
        <f>IF(DAY(NOW())&lt;M3,INDIRECT(ADDRESS(333,31))-INDIRECT(ADDRESS(328,32))+INDIRECT(ADDRESS(329,32))-INDIRECT(ADDRESS(332,32)),INDIRECT(ADDRESS(333,31))-INDIRECT(ADDRESS(328,32))+INDIRECT(ADDRESS(331,32))-INDIRECT(ADDRESS(332,32)))</f>
        <v>0</v>
      </c>
      <c r="AG333">
        <f>IF(DAY(NOW())&lt;M3,INDIRECT(ADDRESS(333,32))-INDIRECT(ADDRESS(328,33))+INDIRECT(ADDRESS(329,33))-INDIRECT(ADDRESS(332,33)),INDIRECT(ADDRESS(333,32))-INDIRECT(ADDRESS(328,33))+INDIRECT(ADDRESS(331,33))-INDIRECT(ADDRESS(332,33)))</f>
        <v>0</v>
      </c>
      <c r="AH333">
        <f>IF(DAY(NOW())&lt;M3,INDIRECT(ADDRESS(333,33))-INDIRECT(ADDRESS(328,34))+INDIRECT(ADDRESS(329,34))-INDIRECT(ADDRESS(332,34)),INDIRECT(ADDRESS(333,33))-INDIRECT(ADDRESS(328,34))+INDIRECT(ADDRESS(331,34))-INDIRECT(ADDRESS(332,34)))</f>
        <v>0</v>
      </c>
      <c r="AI333">
        <f>IF(DAY(NOW())&lt;M3,INDIRECT(ADDRESS(333,34))-INDIRECT(ADDRESS(328,35))+INDIRECT(ADDRESS(329,35))-INDIRECT(ADDRESS(332,35)),INDIRECT(ADDRESS(333,34))-INDIRECT(ADDRESS(328,35))+INDIRECT(ADDRESS(331,35))-INDIRECT(ADDRESS(332,35)))</f>
        <v>0</v>
      </c>
      <c r="AJ333">
        <f>IF(DAY(NOW())&lt;M3,INDIRECT(ADDRESS(333,35))-INDIRECT(ADDRESS(328,36))+INDIRECT(ADDRESS(329,36))-INDIRECT(ADDRESS(332,36)),INDIRECT(ADDRESS(333,35))-INDIRECT(ADDRESS(328,36))+INDIRECT(ADDRESS(331,36))-INDIRECT(ADDRESS(332,36)))</f>
        <v>0</v>
      </c>
      <c r="AK333">
        <f>IF(DAY(NOW())&lt;M3,INDIRECT(ADDRESS(333,36))-INDIRECT(ADDRESS(328,37))+INDIRECT(ADDRESS(329,37))-INDIRECT(ADDRESS(332,37)),INDIRECT(ADDRESS(333,36))-INDIRECT(ADDRESS(328,37))+INDIRECT(ADDRESS(331,37))-INDIRECT(ADDRESS(332,37)))</f>
        <v>0</v>
      </c>
      <c r="AL333">
        <f>IF(DAY(NOW())&lt;M3,INDIRECT(ADDRESS(333,37))-INDIRECT(ADDRESS(328,38))+INDIRECT(ADDRESS(329,38))-INDIRECT(ADDRESS(332,38)),INDIRECT(ADDRESS(333,37))-INDIRECT(ADDRESS(328,38))+INDIRECT(ADDRESS(331,38))-INDIRECT(ADDRESS(332,38)))</f>
        <v>0</v>
      </c>
      <c r="AM333">
        <f>IF(DAY(NOW())&lt;M3,INDIRECT(ADDRESS(333,38))-INDIRECT(ADDRESS(328,39))+INDIRECT(ADDRESS(329,39))-INDIRECT(ADDRESS(332,39)),INDIRECT(ADDRESS(333,38))-INDIRECT(ADDRESS(328,39))+INDIRECT(ADDRESS(331,39))-INDIRECT(ADDRESS(332,39)))</f>
        <v>0</v>
      </c>
      <c r="AN333">
        <f>IF(DAY(NOW())&lt;M3,INDIRECT(ADDRESS(333,39))-INDIRECT(ADDRESS(328,40))+INDIRECT(ADDRESS(329,40))-INDIRECT(ADDRESS(332,40)),INDIRECT(ADDRESS(333,39))-INDIRECT(ADDRESS(328,40))+INDIRECT(ADDRESS(331,40))-INDIRECT(ADDRESS(332,40)))</f>
        <v>0</v>
      </c>
      <c r="AO333">
        <f>IF(DAY(NOW())&lt;M3,INDIRECT(ADDRESS(333,40))-INDIRECT(ADDRESS(328,41))+INDIRECT(ADDRESS(329,41))-INDIRECT(ADDRESS(332,41)),INDIRECT(ADDRESS(333,40))-INDIRECT(ADDRESS(328,41))+INDIRECT(ADDRESS(331,41))-INDIRECT(ADDRESS(332,41)))</f>
        <v>0</v>
      </c>
      <c r="AP333">
        <f>IF(DAY(NOW())&lt;M3,INDIRECT(ADDRESS(333,41))-INDIRECT(ADDRESS(328,42))+INDIRECT(ADDRESS(329,42))-INDIRECT(ADDRESS(332,42)),INDIRECT(ADDRESS(333,41))-INDIRECT(ADDRESS(328,42))+INDIRECT(ADDRESS(331,42))-INDIRECT(ADDRESS(332,42)))</f>
        <v>0</v>
      </c>
      <c r="AQ333">
        <f>IF(DAY(NOW())&lt;M3,INDIRECT(ADDRESS(333,42))-INDIRECT(ADDRESS(328,43))+INDIRECT(ADDRESS(329,43))-INDIRECT(ADDRESS(332,43)),INDIRECT(ADDRESS(333,42))-INDIRECT(ADDRESS(328,43))+INDIRECT(ADDRESS(331,43))-INDIRECT(ADDRESS(332,43)))</f>
        <v>0</v>
      </c>
      <c r="AR333">
        <f>IF(DAY(NOW())&lt;M3,INDIRECT(ADDRESS(333,43))-INDIRECT(ADDRESS(328,44))+INDIRECT(ADDRESS(329,44))-INDIRECT(ADDRESS(332,44)),INDIRECT(ADDRESS(333,43))-INDIRECT(ADDRESS(328,44))+INDIRECT(ADDRESS(331,44))-INDIRECT(ADDRESS(332,44)))</f>
        <v>0</v>
      </c>
    </row>
    <row r="334" spans="1:76">
      <c r="A334" t="s">
        <v>14</v>
      </c>
      <c r="B334" t="s">
        <v>212</v>
      </c>
      <c r="C334" t="s">
        <v>213</v>
      </c>
      <c r="D334" t="s">
        <v>27</v>
      </c>
      <c r="E334">
        <v>1</v>
      </c>
      <c r="F334" t="s">
        <v>214</v>
      </c>
      <c r="H334" t="s">
        <v>215</v>
      </c>
      <c r="I334" t="s">
        <v>91</v>
      </c>
      <c r="K334" t="s">
        <v>20</v>
      </c>
      <c r="L334" t="s">
        <v>21</v>
      </c>
      <c r="BX334">
        <f>sum(j334:an334)</f>
        <v>0</v>
      </c>
    </row>
    <row r="335" spans="1:76">
      <c r="A335" t="s">
        <v>14</v>
      </c>
      <c r="B335" t="s">
        <v>212</v>
      </c>
      <c r="C335" t="s">
        <v>213</v>
      </c>
      <c r="D335" t="s">
        <v>27</v>
      </c>
      <c r="E335">
        <v>1</v>
      </c>
      <c r="F335" t="s">
        <v>214</v>
      </c>
      <c r="H335" t="s">
        <v>215</v>
      </c>
      <c r="I335" t="s">
        <v>91</v>
      </c>
      <c r="K335" t="s">
        <v>20</v>
      </c>
      <c r="L335" t="s">
        <v>37</v>
      </c>
    </row>
    <row r="336" spans="1:76">
      <c r="L336" t="s">
        <v>662</v>
      </c>
    </row>
    <row r="337" spans="1:76">
      <c r="L337" t="s">
        <v>663</v>
      </c>
    </row>
    <row r="338" spans="1:76">
      <c r="L338" t="s">
        <v>664</v>
      </c>
    </row>
    <row r="339" spans="1:76">
      <c r="L339" t="s">
        <v>665</v>
      </c>
      <c r="M339">
        <f>IF(DAY(NOW())&lt;M3,INDIRECT(ADDRESS(339,7))-INDIRECT(ADDRESS(334,13))+INDIRECT(ADDRESS(335,13))-INDIRECT(ADDRESS(338,13)),INDIRECT(ADDRESS(339,7))-INDIRECT(ADDRESS(334,13))+INDIRECT(ADDRESS(337,13))-INDIRECT(ADDRESS(338,13)))</f>
        <v>0</v>
      </c>
      <c r="N339">
        <f>IF(DAY(NOW())&lt;M3,INDIRECT(ADDRESS(339,13))-INDIRECT(ADDRESS(334,14))+INDIRECT(ADDRESS(335,14))-INDIRECT(ADDRESS(338,14)),INDIRECT(ADDRESS(339,13))-INDIRECT(ADDRESS(334,14))+INDIRECT(ADDRESS(337,14))-INDIRECT(ADDRESS(338,14)))</f>
        <v>0</v>
      </c>
      <c r="O339">
        <f>IF(DAY(NOW())&lt;M3,INDIRECT(ADDRESS(339,14))-INDIRECT(ADDRESS(334,15))+INDIRECT(ADDRESS(335,15))-INDIRECT(ADDRESS(338,15)),INDIRECT(ADDRESS(339,14))-INDIRECT(ADDRESS(334,15))+INDIRECT(ADDRESS(337,15))-INDIRECT(ADDRESS(338,15)))</f>
        <v>0</v>
      </c>
      <c r="P339">
        <f>IF(DAY(NOW())&lt;M3,INDIRECT(ADDRESS(339,15))-INDIRECT(ADDRESS(334,16))+INDIRECT(ADDRESS(335,16))-INDIRECT(ADDRESS(338,16)),INDIRECT(ADDRESS(339,15))-INDIRECT(ADDRESS(334,16))+INDIRECT(ADDRESS(337,16))-INDIRECT(ADDRESS(338,16)))</f>
        <v>0</v>
      </c>
      <c r="Q339">
        <f>IF(DAY(NOW())&lt;M3,INDIRECT(ADDRESS(339,16))-INDIRECT(ADDRESS(334,17))+INDIRECT(ADDRESS(335,17))-INDIRECT(ADDRESS(338,17)),INDIRECT(ADDRESS(339,16))-INDIRECT(ADDRESS(334,17))+INDIRECT(ADDRESS(337,17))-INDIRECT(ADDRESS(338,17)))</f>
        <v>0</v>
      </c>
      <c r="R339">
        <f>IF(DAY(NOW())&lt;M3,INDIRECT(ADDRESS(339,17))-INDIRECT(ADDRESS(334,18))+INDIRECT(ADDRESS(335,18))-INDIRECT(ADDRESS(338,18)),INDIRECT(ADDRESS(339,17))-INDIRECT(ADDRESS(334,18))+INDIRECT(ADDRESS(337,18))-INDIRECT(ADDRESS(338,18)))</f>
        <v>0</v>
      </c>
      <c r="S339">
        <f>IF(DAY(NOW())&lt;M3,INDIRECT(ADDRESS(339,18))-INDIRECT(ADDRESS(334,19))+INDIRECT(ADDRESS(335,19))-INDIRECT(ADDRESS(338,19)),INDIRECT(ADDRESS(339,18))-INDIRECT(ADDRESS(334,19))+INDIRECT(ADDRESS(337,19))-INDIRECT(ADDRESS(338,19)))</f>
        <v>0</v>
      </c>
      <c r="T339">
        <f>IF(DAY(NOW())&lt;M3,INDIRECT(ADDRESS(339,19))-INDIRECT(ADDRESS(334,20))+INDIRECT(ADDRESS(335,20))-INDIRECT(ADDRESS(338,20)),INDIRECT(ADDRESS(339,19))-INDIRECT(ADDRESS(334,20))+INDIRECT(ADDRESS(337,20))-INDIRECT(ADDRESS(338,20)))</f>
        <v>0</v>
      </c>
      <c r="U339">
        <f>IF(DAY(NOW())&lt;M3,INDIRECT(ADDRESS(339,20))-INDIRECT(ADDRESS(334,21))+INDIRECT(ADDRESS(335,21))-INDIRECT(ADDRESS(338,21)),INDIRECT(ADDRESS(339,20))-INDIRECT(ADDRESS(334,21))+INDIRECT(ADDRESS(337,21))-INDIRECT(ADDRESS(338,21)))</f>
        <v>0</v>
      </c>
      <c r="V339">
        <f>IF(DAY(NOW())&lt;M3,INDIRECT(ADDRESS(339,21))-INDIRECT(ADDRESS(334,22))+INDIRECT(ADDRESS(335,22))-INDIRECT(ADDRESS(338,22)),INDIRECT(ADDRESS(339,21))-INDIRECT(ADDRESS(334,22))+INDIRECT(ADDRESS(337,22))-INDIRECT(ADDRESS(338,22)))</f>
        <v>0</v>
      </c>
      <c r="W339">
        <f>IF(DAY(NOW())&lt;M3,INDIRECT(ADDRESS(339,22))-INDIRECT(ADDRESS(334,23))+INDIRECT(ADDRESS(335,23))-INDIRECT(ADDRESS(338,23)),INDIRECT(ADDRESS(339,22))-INDIRECT(ADDRESS(334,23))+INDIRECT(ADDRESS(337,23))-INDIRECT(ADDRESS(338,23)))</f>
        <v>0</v>
      </c>
      <c r="X339">
        <f>IF(DAY(NOW())&lt;M3,INDIRECT(ADDRESS(339,23))-INDIRECT(ADDRESS(334,24))+INDIRECT(ADDRESS(335,24))-INDIRECT(ADDRESS(338,24)),INDIRECT(ADDRESS(339,23))-INDIRECT(ADDRESS(334,24))+INDIRECT(ADDRESS(337,24))-INDIRECT(ADDRESS(338,24)))</f>
        <v>0</v>
      </c>
      <c r="Y339">
        <f>IF(DAY(NOW())&lt;M3,INDIRECT(ADDRESS(339,24))-INDIRECT(ADDRESS(334,25))+INDIRECT(ADDRESS(335,25))-INDIRECT(ADDRESS(338,25)),INDIRECT(ADDRESS(339,24))-INDIRECT(ADDRESS(334,25))+INDIRECT(ADDRESS(337,25))-INDIRECT(ADDRESS(338,25)))</f>
        <v>0</v>
      </c>
      <c r="Z339">
        <f>IF(DAY(NOW())&lt;M3,INDIRECT(ADDRESS(339,25))-INDIRECT(ADDRESS(334,26))+INDIRECT(ADDRESS(335,26))-INDIRECT(ADDRESS(338,26)),INDIRECT(ADDRESS(339,25))-INDIRECT(ADDRESS(334,26))+INDIRECT(ADDRESS(337,26))-INDIRECT(ADDRESS(338,26)))</f>
        <v>0</v>
      </c>
      <c r="AA339">
        <f>IF(DAY(NOW())&lt;M3,INDIRECT(ADDRESS(339,26))-INDIRECT(ADDRESS(334,27))+INDIRECT(ADDRESS(335,27))-INDIRECT(ADDRESS(338,27)),INDIRECT(ADDRESS(339,26))-INDIRECT(ADDRESS(334,27))+INDIRECT(ADDRESS(337,27))-INDIRECT(ADDRESS(338,27)))</f>
        <v>0</v>
      </c>
      <c r="AB339">
        <f>IF(DAY(NOW())&lt;M3,INDIRECT(ADDRESS(339,27))-INDIRECT(ADDRESS(334,28))+INDIRECT(ADDRESS(335,28))-INDIRECT(ADDRESS(338,28)),INDIRECT(ADDRESS(339,27))-INDIRECT(ADDRESS(334,28))+INDIRECT(ADDRESS(337,28))-INDIRECT(ADDRESS(338,28)))</f>
        <v>0</v>
      </c>
      <c r="AC339">
        <f>IF(DAY(NOW())&lt;M3,INDIRECT(ADDRESS(339,28))-INDIRECT(ADDRESS(334,29))+INDIRECT(ADDRESS(335,29))-INDIRECT(ADDRESS(338,29)),INDIRECT(ADDRESS(339,28))-INDIRECT(ADDRESS(334,29))+INDIRECT(ADDRESS(337,29))-INDIRECT(ADDRESS(338,29)))</f>
        <v>0</v>
      </c>
      <c r="AD339">
        <f>IF(DAY(NOW())&lt;M3,INDIRECT(ADDRESS(339,29))-INDIRECT(ADDRESS(334,30))+INDIRECT(ADDRESS(335,30))-INDIRECT(ADDRESS(338,30)),INDIRECT(ADDRESS(339,29))-INDIRECT(ADDRESS(334,30))+INDIRECT(ADDRESS(337,30))-INDIRECT(ADDRESS(338,30)))</f>
        <v>0</v>
      </c>
      <c r="AE339">
        <f>IF(DAY(NOW())&lt;M3,INDIRECT(ADDRESS(339,30))-INDIRECT(ADDRESS(334,31))+INDIRECT(ADDRESS(335,31))-INDIRECT(ADDRESS(338,31)),INDIRECT(ADDRESS(339,30))-INDIRECT(ADDRESS(334,31))+INDIRECT(ADDRESS(337,31))-INDIRECT(ADDRESS(338,31)))</f>
        <v>0</v>
      </c>
      <c r="AF339">
        <f>IF(DAY(NOW())&lt;M3,INDIRECT(ADDRESS(339,31))-INDIRECT(ADDRESS(334,32))+INDIRECT(ADDRESS(335,32))-INDIRECT(ADDRESS(338,32)),INDIRECT(ADDRESS(339,31))-INDIRECT(ADDRESS(334,32))+INDIRECT(ADDRESS(337,32))-INDIRECT(ADDRESS(338,32)))</f>
        <v>0</v>
      </c>
      <c r="AG339">
        <f>IF(DAY(NOW())&lt;M3,INDIRECT(ADDRESS(339,32))-INDIRECT(ADDRESS(334,33))+INDIRECT(ADDRESS(335,33))-INDIRECT(ADDRESS(338,33)),INDIRECT(ADDRESS(339,32))-INDIRECT(ADDRESS(334,33))+INDIRECT(ADDRESS(337,33))-INDIRECT(ADDRESS(338,33)))</f>
        <v>0</v>
      </c>
      <c r="AH339">
        <f>IF(DAY(NOW())&lt;M3,INDIRECT(ADDRESS(339,33))-INDIRECT(ADDRESS(334,34))+INDIRECT(ADDRESS(335,34))-INDIRECT(ADDRESS(338,34)),INDIRECT(ADDRESS(339,33))-INDIRECT(ADDRESS(334,34))+INDIRECT(ADDRESS(337,34))-INDIRECT(ADDRESS(338,34)))</f>
        <v>0</v>
      </c>
      <c r="AI339">
        <f>IF(DAY(NOW())&lt;M3,INDIRECT(ADDRESS(339,34))-INDIRECT(ADDRESS(334,35))+INDIRECT(ADDRESS(335,35))-INDIRECT(ADDRESS(338,35)),INDIRECT(ADDRESS(339,34))-INDIRECT(ADDRESS(334,35))+INDIRECT(ADDRESS(337,35))-INDIRECT(ADDRESS(338,35)))</f>
        <v>0</v>
      </c>
      <c r="AJ339">
        <f>IF(DAY(NOW())&lt;M3,INDIRECT(ADDRESS(339,35))-INDIRECT(ADDRESS(334,36))+INDIRECT(ADDRESS(335,36))-INDIRECT(ADDRESS(338,36)),INDIRECT(ADDRESS(339,35))-INDIRECT(ADDRESS(334,36))+INDIRECT(ADDRESS(337,36))-INDIRECT(ADDRESS(338,36)))</f>
        <v>0</v>
      </c>
      <c r="AK339">
        <f>IF(DAY(NOW())&lt;M3,INDIRECT(ADDRESS(339,36))-INDIRECT(ADDRESS(334,37))+INDIRECT(ADDRESS(335,37))-INDIRECT(ADDRESS(338,37)),INDIRECT(ADDRESS(339,36))-INDIRECT(ADDRESS(334,37))+INDIRECT(ADDRESS(337,37))-INDIRECT(ADDRESS(338,37)))</f>
        <v>0</v>
      </c>
      <c r="AL339">
        <f>IF(DAY(NOW())&lt;M3,INDIRECT(ADDRESS(339,37))-INDIRECT(ADDRESS(334,38))+INDIRECT(ADDRESS(335,38))-INDIRECT(ADDRESS(338,38)),INDIRECT(ADDRESS(339,37))-INDIRECT(ADDRESS(334,38))+INDIRECT(ADDRESS(337,38))-INDIRECT(ADDRESS(338,38)))</f>
        <v>0</v>
      </c>
      <c r="AM339">
        <f>IF(DAY(NOW())&lt;M3,INDIRECT(ADDRESS(339,38))-INDIRECT(ADDRESS(334,39))+INDIRECT(ADDRESS(335,39))-INDIRECT(ADDRESS(338,39)),INDIRECT(ADDRESS(339,38))-INDIRECT(ADDRESS(334,39))+INDIRECT(ADDRESS(337,39))-INDIRECT(ADDRESS(338,39)))</f>
        <v>0</v>
      </c>
      <c r="AN339">
        <f>IF(DAY(NOW())&lt;M3,INDIRECT(ADDRESS(339,39))-INDIRECT(ADDRESS(334,40))+INDIRECT(ADDRESS(335,40))-INDIRECT(ADDRESS(338,40)),INDIRECT(ADDRESS(339,39))-INDIRECT(ADDRESS(334,40))+INDIRECT(ADDRESS(337,40))-INDIRECT(ADDRESS(338,40)))</f>
        <v>0</v>
      </c>
      <c r="AO339">
        <f>IF(DAY(NOW())&lt;M3,INDIRECT(ADDRESS(339,40))-INDIRECT(ADDRESS(334,41))+INDIRECT(ADDRESS(335,41))-INDIRECT(ADDRESS(338,41)),INDIRECT(ADDRESS(339,40))-INDIRECT(ADDRESS(334,41))+INDIRECT(ADDRESS(337,41))-INDIRECT(ADDRESS(338,41)))</f>
        <v>0</v>
      </c>
      <c r="AP339">
        <f>IF(DAY(NOW())&lt;M3,INDIRECT(ADDRESS(339,41))-INDIRECT(ADDRESS(334,42))+INDIRECT(ADDRESS(335,42))-INDIRECT(ADDRESS(338,42)),INDIRECT(ADDRESS(339,41))-INDIRECT(ADDRESS(334,42))+INDIRECT(ADDRESS(337,42))-INDIRECT(ADDRESS(338,42)))</f>
        <v>0</v>
      </c>
      <c r="AQ339">
        <f>IF(DAY(NOW())&lt;M3,INDIRECT(ADDRESS(339,42))-INDIRECT(ADDRESS(334,43))+INDIRECT(ADDRESS(335,43))-INDIRECT(ADDRESS(338,43)),INDIRECT(ADDRESS(339,42))-INDIRECT(ADDRESS(334,43))+INDIRECT(ADDRESS(337,43))-INDIRECT(ADDRESS(338,43)))</f>
        <v>0</v>
      </c>
      <c r="AR339">
        <f>IF(DAY(NOW())&lt;M3,INDIRECT(ADDRESS(339,43))-INDIRECT(ADDRESS(334,44))+INDIRECT(ADDRESS(335,44))-INDIRECT(ADDRESS(338,44)),INDIRECT(ADDRESS(339,43))-INDIRECT(ADDRESS(334,44))+INDIRECT(ADDRESS(337,44))-INDIRECT(ADDRESS(338,44)))</f>
        <v>0</v>
      </c>
    </row>
    <row r="340" spans="1:76">
      <c r="A340" t="s">
        <v>31</v>
      </c>
      <c r="B340" t="s">
        <v>216</v>
      </c>
      <c r="C340" t="s">
        <v>217</v>
      </c>
      <c r="D340" t="s">
        <v>17</v>
      </c>
      <c r="E340">
        <v>1</v>
      </c>
      <c r="F340" t="s">
        <v>218</v>
      </c>
      <c r="H340" t="s">
        <v>35</v>
      </c>
      <c r="I340" t="s">
        <v>36</v>
      </c>
      <c r="K340" t="s">
        <v>20</v>
      </c>
      <c r="L340" t="s">
        <v>21</v>
      </c>
      <c r="M340">
        <f>sumifs(BOM!m:m,BOM!A:A,".1",BOM!B:B,"852-237000-200")</f>
        <v>0</v>
      </c>
      <c r="N340">
        <f>sumifs(BOM!n:n,BOM!A:A,".1",BOM!B:B,"852-237000-200")</f>
        <v>0</v>
      </c>
      <c r="O340">
        <f>sumifs(BOM!o:o,BOM!A:A,".1",BOM!B:B,"852-237000-200")</f>
        <v>0</v>
      </c>
      <c r="P340">
        <f>sumifs(BOM!p:p,BOM!A:A,".1",BOM!B:B,"852-237000-200")</f>
        <v>0</v>
      </c>
      <c r="Q340">
        <f>sumifs(BOM!q:q,BOM!A:A,".1",BOM!B:B,"852-237000-200")</f>
        <v>0</v>
      </c>
      <c r="R340">
        <f>sumifs(BOM!r:r,BOM!A:A,".1",BOM!B:B,"852-237000-200")</f>
        <v>0</v>
      </c>
      <c r="S340">
        <f>sumifs(BOM!s:s,BOM!A:A,".1",BOM!B:B,"852-237000-200")</f>
        <v>0</v>
      </c>
      <c r="T340">
        <f>sumifs(BOM!t:t,BOM!A:A,".1",BOM!B:B,"852-237000-200")</f>
        <v>0</v>
      </c>
      <c r="U340">
        <f>sumifs(BOM!u:u,BOM!A:A,".1",BOM!B:B,"852-237000-200")</f>
        <v>0</v>
      </c>
      <c r="V340">
        <f>sumifs(BOM!v:v,BOM!A:A,".1",BOM!B:B,"852-237000-200")</f>
        <v>0</v>
      </c>
      <c r="W340">
        <f>sumifs(BOM!w:w,BOM!A:A,".1",BOM!B:B,"852-237000-200")</f>
        <v>0</v>
      </c>
      <c r="X340">
        <f>sumifs(BOM!x:x,BOM!A:A,".1",BOM!B:B,"852-237000-200")</f>
        <v>0</v>
      </c>
      <c r="Y340">
        <f>sumifs(BOM!y:y,BOM!A:A,".1",BOM!B:B,"852-237000-200")</f>
        <v>0</v>
      </c>
      <c r="Z340">
        <f>sumifs(BOM!z:z,BOM!A:A,".1",BOM!B:B,"852-237000-200")</f>
        <v>0</v>
      </c>
      <c r="AA340">
        <f>sumifs(BOM!aa:aa,BOM!A:A,".1",BOM!B:B,"852-237000-200")</f>
        <v>0</v>
      </c>
      <c r="AB340">
        <f>sumifs(BOM!ab:ab,BOM!A:A,".1",BOM!B:B,"852-237000-200")</f>
        <v>0</v>
      </c>
      <c r="AC340">
        <f>sumifs(BOM!ac:ac,BOM!A:A,".1",BOM!B:B,"852-237000-200")</f>
        <v>0</v>
      </c>
      <c r="AD340">
        <f>sumifs(BOM!ad:ad,BOM!A:A,".1",BOM!B:B,"852-237000-200")</f>
        <v>0</v>
      </c>
      <c r="AE340">
        <f>sumifs(BOM!ae:ae,BOM!A:A,".1",BOM!B:B,"852-237000-200")</f>
        <v>0</v>
      </c>
      <c r="AF340">
        <f>sumifs(BOM!af:af,BOM!A:A,".1",BOM!B:B,"852-237000-200")</f>
        <v>0</v>
      </c>
      <c r="AG340">
        <f>sumifs(BOM!ag:ag,BOM!A:A,".1",BOM!B:B,"852-237000-200")</f>
        <v>0</v>
      </c>
      <c r="AH340">
        <f>sumifs(BOM!ah:ah,BOM!A:A,".1",BOM!B:B,"852-237000-200")</f>
        <v>0</v>
      </c>
      <c r="AI340">
        <f>sumifs(BOM!ai:ai,BOM!A:A,".1",BOM!B:B,"852-237000-200")</f>
        <v>0</v>
      </c>
      <c r="AJ340">
        <f>sumifs(BOM!aj:aj,BOM!A:A,".1",BOM!B:B,"852-237000-200")</f>
        <v>0</v>
      </c>
      <c r="AK340">
        <f>sumifs(BOM!ak:ak,BOM!A:A,".1",BOM!B:B,"852-237000-200")</f>
        <v>0</v>
      </c>
      <c r="AL340">
        <f>sumifs(BOM!al:al,BOM!A:A,".1",BOM!B:B,"852-237000-200")</f>
        <v>0</v>
      </c>
      <c r="AM340">
        <f>sumifs(BOM!am:am,BOM!A:A,".1",BOM!B:B,"852-237000-200")</f>
        <v>0</v>
      </c>
      <c r="AN340">
        <f>sumifs(BOM!an:an,BOM!A:A,".1",BOM!B:B,"852-237000-200")</f>
        <v>0</v>
      </c>
      <c r="AO340">
        <f>sumifs(BOM!ao:ao,BOM!A:A,".1",BOM!B:B,"852-237000-200")</f>
        <v>0</v>
      </c>
      <c r="AP340">
        <f>sumifs(BOM!ap:ap,BOM!A:A,".1",BOM!B:B,"852-237000-200")</f>
        <v>0</v>
      </c>
      <c r="AQ340">
        <f>sumifs(BOM!aq:aq,BOM!A:A,".1",BOM!B:B,"852-237000-200")</f>
        <v>0</v>
      </c>
      <c r="AR340">
        <f>sumifs(BOM!ar:ar,BOM!A:A,".1",BOM!B:B,"852-237000-200")</f>
        <v>0</v>
      </c>
      <c r="BX340">
        <f>sum(j340:an340)</f>
        <v>0</v>
      </c>
    </row>
    <row r="341" spans="1:76">
      <c r="A341" t="s">
        <v>31</v>
      </c>
      <c r="B341" t="s">
        <v>216</v>
      </c>
      <c r="C341" t="s">
        <v>217</v>
      </c>
      <c r="D341" t="s">
        <v>17</v>
      </c>
      <c r="E341">
        <v>1</v>
      </c>
      <c r="F341" t="s">
        <v>218</v>
      </c>
      <c r="H341" t="s">
        <v>35</v>
      </c>
      <c r="I341" t="s">
        <v>36</v>
      </c>
      <c r="K341" t="s">
        <v>20</v>
      </c>
      <c r="L341" t="s">
        <v>37</v>
      </c>
    </row>
    <row r="342" spans="1:76">
      <c r="L342" t="s">
        <v>662</v>
      </c>
    </row>
    <row r="343" spans="1:76">
      <c r="L343" t="s">
        <v>663</v>
      </c>
    </row>
    <row r="344" spans="1:76">
      <c r="L344" t="s">
        <v>664</v>
      </c>
    </row>
    <row r="345" spans="1:76">
      <c r="L345" t="s">
        <v>665</v>
      </c>
      <c r="M345">
        <f>IF(DAY(NOW())&lt;M3,INDIRECT(ADDRESS(345,7))-INDIRECT(ADDRESS(340,13))+INDIRECT(ADDRESS(341,13))-INDIRECT(ADDRESS(344,13)),INDIRECT(ADDRESS(345,7))-INDIRECT(ADDRESS(340,13))+INDIRECT(ADDRESS(343,13))-INDIRECT(ADDRESS(344,13)))</f>
        <v>0</v>
      </c>
      <c r="N345">
        <f>IF(DAY(NOW())&lt;M3,INDIRECT(ADDRESS(345,13))-INDIRECT(ADDRESS(340,14))+INDIRECT(ADDRESS(341,14))-INDIRECT(ADDRESS(344,14)),INDIRECT(ADDRESS(345,13))-INDIRECT(ADDRESS(340,14))+INDIRECT(ADDRESS(343,14))-INDIRECT(ADDRESS(344,14)))</f>
        <v>0</v>
      </c>
      <c r="O345">
        <f>IF(DAY(NOW())&lt;M3,INDIRECT(ADDRESS(345,14))-INDIRECT(ADDRESS(340,15))+INDIRECT(ADDRESS(341,15))-INDIRECT(ADDRESS(344,15)),INDIRECT(ADDRESS(345,14))-INDIRECT(ADDRESS(340,15))+INDIRECT(ADDRESS(343,15))-INDIRECT(ADDRESS(344,15)))</f>
        <v>0</v>
      </c>
      <c r="P345">
        <f>IF(DAY(NOW())&lt;M3,INDIRECT(ADDRESS(345,15))-INDIRECT(ADDRESS(340,16))+INDIRECT(ADDRESS(341,16))-INDIRECT(ADDRESS(344,16)),INDIRECT(ADDRESS(345,15))-INDIRECT(ADDRESS(340,16))+INDIRECT(ADDRESS(343,16))-INDIRECT(ADDRESS(344,16)))</f>
        <v>0</v>
      </c>
      <c r="Q345">
        <f>IF(DAY(NOW())&lt;M3,INDIRECT(ADDRESS(345,16))-INDIRECT(ADDRESS(340,17))+INDIRECT(ADDRESS(341,17))-INDIRECT(ADDRESS(344,17)),INDIRECT(ADDRESS(345,16))-INDIRECT(ADDRESS(340,17))+INDIRECT(ADDRESS(343,17))-INDIRECT(ADDRESS(344,17)))</f>
        <v>0</v>
      </c>
      <c r="R345">
        <f>IF(DAY(NOW())&lt;M3,INDIRECT(ADDRESS(345,17))-INDIRECT(ADDRESS(340,18))+INDIRECT(ADDRESS(341,18))-INDIRECT(ADDRESS(344,18)),INDIRECT(ADDRESS(345,17))-INDIRECT(ADDRESS(340,18))+INDIRECT(ADDRESS(343,18))-INDIRECT(ADDRESS(344,18)))</f>
        <v>0</v>
      </c>
      <c r="S345">
        <f>IF(DAY(NOW())&lt;M3,INDIRECT(ADDRESS(345,18))-INDIRECT(ADDRESS(340,19))+INDIRECT(ADDRESS(341,19))-INDIRECT(ADDRESS(344,19)),INDIRECT(ADDRESS(345,18))-INDIRECT(ADDRESS(340,19))+INDIRECT(ADDRESS(343,19))-INDIRECT(ADDRESS(344,19)))</f>
        <v>0</v>
      </c>
      <c r="T345">
        <f>IF(DAY(NOW())&lt;M3,INDIRECT(ADDRESS(345,19))-INDIRECT(ADDRESS(340,20))+INDIRECT(ADDRESS(341,20))-INDIRECT(ADDRESS(344,20)),INDIRECT(ADDRESS(345,19))-INDIRECT(ADDRESS(340,20))+INDIRECT(ADDRESS(343,20))-INDIRECT(ADDRESS(344,20)))</f>
        <v>0</v>
      </c>
      <c r="U345">
        <f>IF(DAY(NOW())&lt;M3,INDIRECT(ADDRESS(345,20))-INDIRECT(ADDRESS(340,21))+INDIRECT(ADDRESS(341,21))-INDIRECT(ADDRESS(344,21)),INDIRECT(ADDRESS(345,20))-INDIRECT(ADDRESS(340,21))+INDIRECT(ADDRESS(343,21))-INDIRECT(ADDRESS(344,21)))</f>
        <v>0</v>
      </c>
      <c r="V345">
        <f>IF(DAY(NOW())&lt;M3,INDIRECT(ADDRESS(345,21))-INDIRECT(ADDRESS(340,22))+INDIRECT(ADDRESS(341,22))-INDIRECT(ADDRESS(344,22)),INDIRECT(ADDRESS(345,21))-INDIRECT(ADDRESS(340,22))+INDIRECT(ADDRESS(343,22))-INDIRECT(ADDRESS(344,22)))</f>
        <v>0</v>
      </c>
      <c r="W345">
        <f>IF(DAY(NOW())&lt;M3,INDIRECT(ADDRESS(345,22))-INDIRECT(ADDRESS(340,23))+INDIRECT(ADDRESS(341,23))-INDIRECT(ADDRESS(344,23)),INDIRECT(ADDRESS(345,22))-INDIRECT(ADDRESS(340,23))+INDIRECT(ADDRESS(343,23))-INDIRECT(ADDRESS(344,23)))</f>
        <v>0</v>
      </c>
      <c r="X345">
        <f>IF(DAY(NOW())&lt;M3,INDIRECT(ADDRESS(345,23))-INDIRECT(ADDRESS(340,24))+INDIRECT(ADDRESS(341,24))-INDIRECT(ADDRESS(344,24)),INDIRECT(ADDRESS(345,23))-INDIRECT(ADDRESS(340,24))+INDIRECT(ADDRESS(343,24))-INDIRECT(ADDRESS(344,24)))</f>
        <v>0</v>
      </c>
      <c r="Y345">
        <f>IF(DAY(NOW())&lt;M3,INDIRECT(ADDRESS(345,24))-INDIRECT(ADDRESS(340,25))+INDIRECT(ADDRESS(341,25))-INDIRECT(ADDRESS(344,25)),INDIRECT(ADDRESS(345,24))-INDIRECT(ADDRESS(340,25))+INDIRECT(ADDRESS(343,25))-INDIRECT(ADDRESS(344,25)))</f>
        <v>0</v>
      </c>
      <c r="Z345">
        <f>IF(DAY(NOW())&lt;M3,INDIRECT(ADDRESS(345,25))-INDIRECT(ADDRESS(340,26))+INDIRECT(ADDRESS(341,26))-INDIRECT(ADDRESS(344,26)),INDIRECT(ADDRESS(345,25))-INDIRECT(ADDRESS(340,26))+INDIRECT(ADDRESS(343,26))-INDIRECT(ADDRESS(344,26)))</f>
        <v>0</v>
      </c>
      <c r="AA345">
        <f>IF(DAY(NOW())&lt;M3,INDIRECT(ADDRESS(345,26))-INDIRECT(ADDRESS(340,27))+INDIRECT(ADDRESS(341,27))-INDIRECT(ADDRESS(344,27)),INDIRECT(ADDRESS(345,26))-INDIRECT(ADDRESS(340,27))+INDIRECT(ADDRESS(343,27))-INDIRECT(ADDRESS(344,27)))</f>
        <v>0</v>
      </c>
      <c r="AB345">
        <f>IF(DAY(NOW())&lt;M3,INDIRECT(ADDRESS(345,27))-INDIRECT(ADDRESS(340,28))+INDIRECT(ADDRESS(341,28))-INDIRECT(ADDRESS(344,28)),INDIRECT(ADDRESS(345,27))-INDIRECT(ADDRESS(340,28))+INDIRECT(ADDRESS(343,28))-INDIRECT(ADDRESS(344,28)))</f>
        <v>0</v>
      </c>
      <c r="AC345">
        <f>IF(DAY(NOW())&lt;M3,INDIRECT(ADDRESS(345,28))-INDIRECT(ADDRESS(340,29))+INDIRECT(ADDRESS(341,29))-INDIRECT(ADDRESS(344,29)),INDIRECT(ADDRESS(345,28))-INDIRECT(ADDRESS(340,29))+INDIRECT(ADDRESS(343,29))-INDIRECT(ADDRESS(344,29)))</f>
        <v>0</v>
      </c>
      <c r="AD345">
        <f>IF(DAY(NOW())&lt;M3,INDIRECT(ADDRESS(345,29))-INDIRECT(ADDRESS(340,30))+INDIRECT(ADDRESS(341,30))-INDIRECT(ADDRESS(344,30)),INDIRECT(ADDRESS(345,29))-INDIRECT(ADDRESS(340,30))+INDIRECT(ADDRESS(343,30))-INDIRECT(ADDRESS(344,30)))</f>
        <v>0</v>
      </c>
      <c r="AE345">
        <f>IF(DAY(NOW())&lt;M3,INDIRECT(ADDRESS(345,30))-INDIRECT(ADDRESS(340,31))+INDIRECT(ADDRESS(341,31))-INDIRECT(ADDRESS(344,31)),INDIRECT(ADDRESS(345,30))-INDIRECT(ADDRESS(340,31))+INDIRECT(ADDRESS(343,31))-INDIRECT(ADDRESS(344,31)))</f>
        <v>0</v>
      </c>
      <c r="AF345">
        <f>IF(DAY(NOW())&lt;M3,INDIRECT(ADDRESS(345,31))-INDIRECT(ADDRESS(340,32))+INDIRECT(ADDRESS(341,32))-INDIRECT(ADDRESS(344,32)),INDIRECT(ADDRESS(345,31))-INDIRECT(ADDRESS(340,32))+INDIRECT(ADDRESS(343,32))-INDIRECT(ADDRESS(344,32)))</f>
        <v>0</v>
      </c>
      <c r="AG345">
        <f>IF(DAY(NOW())&lt;M3,INDIRECT(ADDRESS(345,32))-INDIRECT(ADDRESS(340,33))+INDIRECT(ADDRESS(341,33))-INDIRECT(ADDRESS(344,33)),INDIRECT(ADDRESS(345,32))-INDIRECT(ADDRESS(340,33))+INDIRECT(ADDRESS(343,33))-INDIRECT(ADDRESS(344,33)))</f>
        <v>0</v>
      </c>
      <c r="AH345">
        <f>IF(DAY(NOW())&lt;M3,INDIRECT(ADDRESS(345,33))-INDIRECT(ADDRESS(340,34))+INDIRECT(ADDRESS(341,34))-INDIRECT(ADDRESS(344,34)),INDIRECT(ADDRESS(345,33))-INDIRECT(ADDRESS(340,34))+INDIRECT(ADDRESS(343,34))-INDIRECT(ADDRESS(344,34)))</f>
        <v>0</v>
      </c>
      <c r="AI345">
        <f>IF(DAY(NOW())&lt;M3,INDIRECT(ADDRESS(345,34))-INDIRECT(ADDRESS(340,35))+INDIRECT(ADDRESS(341,35))-INDIRECT(ADDRESS(344,35)),INDIRECT(ADDRESS(345,34))-INDIRECT(ADDRESS(340,35))+INDIRECT(ADDRESS(343,35))-INDIRECT(ADDRESS(344,35)))</f>
        <v>0</v>
      </c>
      <c r="AJ345">
        <f>IF(DAY(NOW())&lt;M3,INDIRECT(ADDRESS(345,35))-INDIRECT(ADDRESS(340,36))+INDIRECT(ADDRESS(341,36))-INDIRECT(ADDRESS(344,36)),INDIRECT(ADDRESS(345,35))-INDIRECT(ADDRESS(340,36))+INDIRECT(ADDRESS(343,36))-INDIRECT(ADDRESS(344,36)))</f>
        <v>0</v>
      </c>
      <c r="AK345">
        <f>IF(DAY(NOW())&lt;M3,INDIRECT(ADDRESS(345,36))-INDIRECT(ADDRESS(340,37))+INDIRECT(ADDRESS(341,37))-INDIRECT(ADDRESS(344,37)),INDIRECT(ADDRESS(345,36))-INDIRECT(ADDRESS(340,37))+INDIRECT(ADDRESS(343,37))-INDIRECT(ADDRESS(344,37)))</f>
        <v>0</v>
      </c>
      <c r="AL345">
        <f>IF(DAY(NOW())&lt;M3,INDIRECT(ADDRESS(345,37))-INDIRECT(ADDRESS(340,38))+INDIRECT(ADDRESS(341,38))-INDIRECT(ADDRESS(344,38)),INDIRECT(ADDRESS(345,37))-INDIRECT(ADDRESS(340,38))+INDIRECT(ADDRESS(343,38))-INDIRECT(ADDRESS(344,38)))</f>
        <v>0</v>
      </c>
      <c r="AM345">
        <f>IF(DAY(NOW())&lt;M3,INDIRECT(ADDRESS(345,38))-INDIRECT(ADDRESS(340,39))+INDIRECT(ADDRESS(341,39))-INDIRECT(ADDRESS(344,39)),INDIRECT(ADDRESS(345,38))-INDIRECT(ADDRESS(340,39))+INDIRECT(ADDRESS(343,39))-INDIRECT(ADDRESS(344,39)))</f>
        <v>0</v>
      </c>
      <c r="AN345">
        <f>IF(DAY(NOW())&lt;M3,INDIRECT(ADDRESS(345,39))-INDIRECT(ADDRESS(340,40))+INDIRECT(ADDRESS(341,40))-INDIRECT(ADDRESS(344,40)),INDIRECT(ADDRESS(345,39))-INDIRECT(ADDRESS(340,40))+INDIRECT(ADDRESS(343,40))-INDIRECT(ADDRESS(344,40)))</f>
        <v>0</v>
      </c>
      <c r="AO345">
        <f>IF(DAY(NOW())&lt;M3,INDIRECT(ADDRESS(345,40))-INDIRECT(ADDRESS(340,41))+INDIRECT(ADDRESS(341,41))-INDIRECT(ADDRESS(344,41)),INDIRECT(ADDRESS(345,40))-INDIRECT(ADDRESS(340,41))+INDIRECT(ADDRESS(343,41))-INDIRECT(ADDRESS(344,41)))</f>
        <v>0</v>
      </c>
      <c r="AP345">
        <f>IF(DAY(NOW())&lt;M3,INDIRECT(ADDRESS(345,41))-INDIRECT(ADDRESS(340,42))+INDIRECT(ADDRESS(341,42))-INDIRECT(ADDRESS(344,42)),INDIRECT(ADDRESS(345,41))-INDIRECT(ADDRESS(340,42))+INDIRECT(ADDRESS(343,42))-INDIRECT(ADDRESS(344,42)))</f>
        <v>0</v>
      </c>
      <c r="AQ345">
        <f>IF(DAY(NOW())&lt;M3,INDIRECT(ADDRESS(345,42))-INDIRECT(ADDRESS(340,43))+INDIRECT(ADDRESS(341,43))-INDIRECT(ADDRESS(344,43)),INDIRECT(ADDRESS(345,42))-INDIRECT(ADDRESS(340,43))+INDIRECT(ADDRESS(343,43))-INDIRECT(ADDRESS(344,43)))</f>
        <v>0</v>
      </c>
      <c r="AR345">
        <f>IF(DAY(NOW())&lt;M3,INDIRECT(ADDRESS(345,43))-INDIRECT(ADDRESS(340,44))+INDIRECT(ADDRESS(341,44))-INDIRECT(ADDRESS(344,44)),INDIRECT(ADDRESS(345,43))-INDIRECT(ADDRESS(340,44))+INDIRECT(ADDRESS(343,44))-INDIRECT(ADDRESS(344,44)))</f>
        <v>0</v>
      </c>
    </row>
    <row r="346" spans="1:76">
      <c r="A346" t="s">
        <v>14</v>
      </c>
      <c r="B346" t="s">
        <v>219</v>
      </c>
      <c r="C346" t="s">
        <v>220</v>
      </c>
      <c r="D346" t="s">
        <v>17</v>
      </c>
      <c r="E346">
        <v>1</v>
      </c>
      <c r="F346" t="s">
        <v>221</v>
      </c>
      <c r="H346" t="s">
        <v>204</v>
      </c>
      <c r="I346" t="s">
        <v>91</v>
      </c>
      <c r="K346" t="s">
        <v>20</v>
      </c>
      <c r="L346" t="s">
        <v>21</v>
      </c>
      <c r="BX346">
        <f>sum(j346:an346)</f>
        <v>0</v>
      </c>
    </row>
    <row r="347" spans="1:76">
      <c r="A347" t="s">
        <v>14</v>
      </c>
      <c r="B347" t="s">
        <v>219</v>
      </c>
      <c r="C347" t="s">
        <v>220</v>
      </c>
      <c r="D347" t="s">
        <v>17</v>
      </c>
      <c r="E347">
        <v>1</v>
      </c>
      <c r="F347" t="s">
        <v>221</v>
      </c>
      <c r="H347" t="s">
        <v>204</v>
      </c>
      <c r="I347" t="s">
        <v>91</v>
      </c>
      <c r="K347" t="s">
        <v>20</v>
      </c>
      <c r="L347" t="s">
        <v>37</v>
      </c>
    </row>
    <row r="348" spans="1:76">
      <c r="L348" t="s">
        <v>662</v>
      </c>
    </row>
    <row r="349" spans="1:76">
      <c r="L349" t="s">
        <v>663</v>
      </c>
    </row>
    <row r="350" spans="1:76">
      <c r="L350" t="s">
        <v>664</v>
      </c>
    </row>
    <row r="351" spans="1:76">
      <c r="L351" t="s">
        <v>665</v>
      </c>
      <c r="M351">
        <f>IF(DAY(NOW())&lt;M3,INDIRECT(ADDRESS(351,7))-INDIRECT(ADDRESS(346,13))+INDIRECT(ADDRESS(347,13))-INDIRECT(ADDRESS(350,13)),INDIRECT(ADDRESS(351,7))-INDIRECT(ADDRESS(346,13))+INDIRECT(ADDRESS(349,13))-INDIRECT(ADDRESS(350,13)))</f>
        <v>0</v>
      </c>
      <c r="N351">
        <f>IF(DAY(NOW())&lt;M3,INDIRECT(ADDRESS(351,13))-INDIRECT(ADDRESS(346,14))+INDIRECT(ADDRESS(347,14))-INDIRECT(ADDRESS(350,14)),INDIRECT(ADDRESS(351,13))-INDIRECT(ADDRESS(346,14))+INDIRECT(ADDRESS(349,14))-INDIRECT(ADDRESS(350,14)))</f>
        <v>0</v>
      </c>
      <c r="O351">
        <f>IF(DAY(NOW())&lt;M3,INDIRECT(ADDRESS(351,14))-INDIRECT(ADDRESS(346,15))+INDIRECT(ADDRESS(347,15))-INDIRECT(ADDRESS(350,15)),INDIRECT(ADDRESS(351,14))-INDIRECT(ADDRESS(346,15))+INDIRECT(ADDRESS(349,15))-INDIRECT(ADDRESS(350,15)))</f>
        <v>0</v>
      </c>
      <c r="P351">
        <f>IF(DAY(NOW())&lt;M3,INDIRECT(ADDRESS(351,15))-INDIRECT(ADDRESS(346,16))+INDIRECT(ADDRESS(347,16))-INDIRECT(ADDRESS(350,16)),INDIRECT(ADDRESS(351,15))-INDIRECT(ADDRESS(346,16))+INDIRECT(ADDRESS(349,16))-INDIRECT(ADDRESS(350,16)))</f>
        <v>0</v>
      </c>
      <c r="Q351">
        <f>IF(DAY(NOW())&lt;M3,INDIRECT(ADDRESS(351,16))-INDIRECT(ADDRESS(346,17))+INDIRECT(ADDRESS(347,17))-INDIRECT(ADDRESS(350,17)),INDIRECT(ADDRESS(351,16))-INDIRECT(ADDRESS(346,17))+INDIRECT(ADDRESS(349,17))-INDIRECT(ADDRESS(350,17)))</f>
        <v>0</v>
      </c>
      <c r="R351">
        <f>IF(DAY(NOW())&lt;M3,INDIRECT(ADDRESS(351,17))-INDIRECT(ADDRESS(346,18))+INDIRECT(ADDRESS(347,18))-INDIRECT(ADDRESS(350,18)),INDIRECT(ADDRESS(351,17))-INDIRECT(ADDRESS(346,18))+INDIRECT(ADDRESS(349,18))-INDIRECT(ADDRESS(350,18)))</f>
        <v>0</v>
      </c>
      <c r="S351">
        <f>IF(DAY(NOW())&lt;M3,INDIRECT(ADDRESS(351,18))-INDIRECT(ADDRESS(346,19))+INDIRECT(ADDRESS(347,19))-INDIRECT(ADDRESS(350,19)),INDIRECT(ADDRESS(351,18))-INDIRECT(ADDRESS(346,19))+INDIRECT(ADDRESS(349,19))-INDIRECT(ADDRESS(350,19)))</f>
        <v>0</v>
      </c>
      <c r="T351">
        <f>IF(DAY(NOW())&lt;M3,INDIRECT(ADDRESS(351,19))-INDIRECT(ADDRESS(346,20))+INDIRECT(ADDRESS(347,20))-INDIRECT(ADDRESS(350,20)),INDIRECT(ADDRESS(351,19))-INDIRECT(ADDRESS(346,20))+INDIRECT(ADDRESS(349,20))-INDIRECT(ADDRESS(350,20)))</f>
        <v>0</v>
      </c>
      <c r="U351">
        <f>IF(DAY(NOW())&lt;M3,INDIRECT(ADDRESS(351,20))-INDIRECT(ADDRESS(346,21))+INDIRECT(ADDRESS(347,21))-INDIRECT(ADDRESS(350,21)),INDIRECT(ADDRESS(351,20))-INDIRECT(ADDRESS(346,21))+INDIRECT(ADDRESS(349,21))-INDIRECT(ADDRESS(350,21)))</f>
        <v>0</v>
      </c>
      <c r="V351">
        <f>IF(DAY(NOW())&lt;M3,INDIRECT(ADDRESS(351,21))-INDIRECT(ADDRESS(346,22))+INDIRECT(ADDRESS(347,22))-INDIRECT(ADDRESS(350,22)),INDIRECT(ADDRESS(351,21))-INDIRECT(ADDRESS(346,22))+INDIRECT(ADDRESS(349,22))-INDIRECT(ADDRESS(350,22)))</f>
        <v>0</v>
      </c>
      <c r="W351">
        <f>IF(DAY(NOW())&lt;M3,INDIRECT(ADDRESS(351,22))-INDIRECT(ADDRESS(346,23))+INDIRECT(ADDRESS(347,23))-INDIRECT(ADDRESS(350,23)),INDIRECT(ADDRESS(351,22))-INDIRECT(ADDRESS(346,23))+INDIRECT(ADDRESS(349,23))-INDIRECT(ADDRESS(350,23)))</f>
        <v>0</v>
      </c>
      <c r="X351">
        <f>IF(DAY(NOW())&lt;M3,INDIRECT(ADDRESS(351,23))-INDIRECT(ADDRESS(346,24))+INDIRECT(ADDRESS(347,24))-INDIRECT(ADDRESS(350,24)),INDIRECT(ADDRESS(351,23))-INDIRECT(ADDRESS(346,24))+INDIRECT(ADDRESS(349,24))-INDIRECT(ADDRESS(350,24)))</f>
        <v>0</v>
      </c>
      <c r="Y351">
        <f>IF(DAY(NOW())&lt;M3,INDIRECT(ADDRESS(351,24))-INDIRECT(ADDRESS(346,25))+INDIRECT(ADDRESS(347,25))-INDIRECT(ADDRESS(350,25)),INDIRECT(ADDRESS(351,24))-INDIRECT(ADDRESS(346,25))+INDIRECT(ADDRESS(349,25))-INDIRECT(ADDRESS(350,25)))</f>
        <v>0</v>
      </c>
      <c r="Z351">
        <f>IF(DAY(NOW())&lt;M3,INDIRECT(ADDRESS(351,25))-INDIRECT(ADDRESS(346,26))+INDIRECT(ADDRESS(347,26))-INDIRECT(ADDRESS(350,26)),INDIRECT(ADDRESS(351,25))-INDIRECT(ADDRESS(346,26))+INDIRECT(ADDRESS(349,26))-INDIRECT(ADDRESS(350,26)))</f>
        <v>0</v>
      </c>
      <c r="AA351">
        <f>IF(DAY(NOW())&lt;M3,INDIRECT(ADDRESS(351,26))-INDIRECT(ADDRESS(346,27))+INDIRECT(ADDRESS(347,27))-INDIRECT(ADDRESS(350,27)),INDIRECT(ADDRESS(351,26))-INDIRECT(ADDRESS(346,27))+INDIRECT(ADDRESS(349,27))-INDIRECT(ADDRESS(350,27)))</f>
        <v>0</v>
      </c>
      <c r="AB351">
        <f>IF(DAY(NOW())&lt;M3,INDIRECT(ADDRESS(351,27))-INDIRECT(ADDRESS(346,28))+INDIRECT(ADDRESS(347,28))-INDIRECT(ADDRESS(350,28)),INDIRECT(ADDRESS(351,27))-INDIRECT(ADDRESS(346,28))+INDIRECT(ADDRESS(349,28))-INDIRECT(ADDRESS(350,28)))</f>
        <v>0</v>
      </c>
      <c r="AC351">
        <f>IF(DAY(NOW())&lt;M3,INDIRECT(ADDRESS(351,28))-INDIRECT(ADDRESS(346,29))+INDIRECT(ADDRESS(347,29))-INDIRECT(ADDRESS(350,29)),INDIRECT(ADDRESS(351,28))-INDIRECT(ADDRESS(346,29))+INDIRECT(ADDRESS(349,29))-INDIRECT(ADDRESS(350,29)))</f>
        <v>0</v>
      </c>
      <c r="AD351">
        <f>IF(DAY(NOW())&lt;M3,INDIRECT(ADDRESS(351,29))-INDIRECT(ADDRESS(346,30))+INDIRECT(ADDRESS(347,30))-INDIRECT(ADDRESS(350,30)),INDIRECT(ADDRESS(351,29))-INDIRECT(ADDRESS(346,30))+INDIRECT(ADDRESS(349,30))-INDIRECT(ADDRESS(350,30)))</f>
        <v>0</v>
      </c>
      <c r="AE351">
        <f>IF(DAY(NOW())&lt;M3,INDIRECT(ADDRESS(351,30))-INDIRECT(ADDRESS(346,31))+INDIRECT(ADDRESS(347,31))-INDIRECT(ADDRESS(350,31)),INDIRECT(ADDRESS(351,30))-INDIRECT(ADDRESS(346,31))+INDIRECT(ADDRESS(349,31))-INDIRECT(ADDRESS(350,31)))</f>
        <v>0</v>
      </c>
      <c r="AF351">
        <f>IF(DAY(NOW())&lt;M3,INDIRECT(ADDRESS(351,31))-INDIRECT(ADDRESS(346,32))+INDIRECT(ADDRESS(347,32))-INDIRECT(ADDRESS(350,32)),INDIRECT(ADDRESS(351,31))-INDIRECT(ADDRESS(346,32))+INDIRECT(ADDRESS(349,32))-INDIRECT(ADDRESS(350,32)))</f>
        <v>0</v>
      </c>
      <c r="AG351">
        <f>IF(DAY(NOW())&lt;M3,INDIRECT(ADDRESS(351,32))-INDIRECT(ADDRESS(346,33))+INDIRECT(ADDRESS(347,33))-INDIRECT(ADDRESS(350,33)),INDIRECT(ADDRESS(351,32))-INDIRECT(ADDRESS(346,33))+INDIRECT(ADDRESS(349,33))-INDIRECT(ADDRESS(350,33)))</f>
        <v>0</v>
      </c>
      <c r="AH351">
        <f>IF(DAY(NOW())&lt;M3,INDIRECT(ADDRESS(351,33))-INDIRECT(ADDRESS(346,34))+INDIRECT(ADDRESS(347,34))-INDIRECT(ADDRESS(350,34)),INDIRECT(ADDRESS(351,33))-INDIRECT(ADDRESS(346,34))+INDIRECT(ADDRESS(349,34))-INDIRECT(ADDRESS(350,34)))</f>
        <v>0</v>
      </c>
      <c r="AI351">
        <f>IF(DAY(NOW())&lt;M3,INDIRECT(ADDRESS(351,34))-INDIRECT(ADDRESS(346,35))+INDIRECT(ADDRESS(347,35))-INDIRECT(ADDRESS(350,35)),INDIRECT(ADDRESS(351,34))-INDIRECT(ADDRESS(346,35))+INDIRECT(ADDRESS(349,35))-INDIRECT(ADDRESS(350,35)))</f>
        <v>0</v>
      </c>
      <c r="AJ351">
        <f>IF(DAY(NOW())&lt;M3,INDIRECT(ADDRESS(351,35))-INDIRECT(ADDRESS(346,36))+INDIRECT(ADDRESS(347,36))-INDIRECT(ADDRESS(350,36)),INDIRECT(ADDRESS(351,35))-INDIRECT(ADDRESS(346,36))+INDIRECT(ADDRESS(349,36))-INDIRECT(ADDRESS(350,36)))</f>
        <v>0</v>
      </c>
      <c r="AK351">
        <f>IF(DAY(NOW())&lt;M3,INDIRECT(ADDRESS(351,36))-INDIRECT(ADDRESS(346,37))+INDIRECT(ADDRESS(347,37))-INDIRECT(ADDRESS(350,37)),INDIRECT(ADDRESS(351,36))-INDIRECT(ADDRESS(346,37))+INDIRECT(ADDRESS(349,37))-INDIRECT(ADDRESS(350,37)))</f>
        <v>0</v>
      </c>
      <c r="AL351">
        <f>IF(DAY(NOW())&lt;M3,INDIRECT(ADDRESS(351,37))-INDIRECT(ADDRESS(346,38))+INDIRECT(ADDRESS(347,38))-INDIRECT(ADDRESS(350,38)),INDIRECT(ADDRESS(351,37))-INDIRECT(ADDRESS(346,38))+INDIRECT(ADDRESS(349,38))-INDIRECT(ADDRESS(350,38)))</f>
        <v>0</v>
      </c>
      <c r="AM351">
        <f>IF(DAY(NOW())&lt;M3,INDIRECT(ADDRESS(351,38))-INDIRECT(ADDRESS(346,39))+INDIRECT(ADDRESS(347,39))-INDIRECT(ADDRESS(350,39)),INDIRECT(ADDRESS(351,38))-INDIRECT(ADDRESS(346,39))+INDIRECT(ADDRESS(349,39))-INDIRECT(ADDRESS(350,39)))</f>
        <v>0</v>
      </c>
      <c r="AN351">
        <f>IF(DAY(NOW())&lt;M3,INDIRECT(ADDRESS(351,39))-INDIRECT(ADDRESS(346,40))+INDIRECT(ADDRESS(347,40))-INDIRECT(ADDRESS(350,40)),INDIRECT(ADDRESS(351,39))-INDIRECT(ADDRESS(346,40))+INDIRECT(ADDRESS(349,40))-INDIRECT(ADDRESS(350,40)))</f>
        <v>0</v>
      </c>
      <c r="AO351">
        <f>IF(DAY(NOW())&lt;M3,INDIRECT(ADDRESS(351,40))-INDIRECT(ADDRESS(346,41))+INDIRECT(ADDRESS(347,41))-INDIRECT(ADDRESS(350,41)),INDIRECT(ADDRESS(351,40))-INDIRECT(ADDRESS(346,41))+INDIRECT(ADDRESS(349,41))-INDIRECT(ADDRESS(350,41)))</f>
        <v>0</v>
      </c>
      <c r="AP351">
        <f>IF(DAY(NOW())&lt;M3,INDIRECT(ADDRESS(351,41))-INDIRECT(ADDRESS(346,42))+INDIRECT(ADDRESS(347,42))-INDIRECT(ADDRESS(350,42)),INDIRECT(ADDRESS(351,41))-INDIRECT(ADDRESS(346,42))+INDIRECT(ADDRESS(349,42))-INDIRECT(ADDRESS(350,42)))</f>
        <v>0</v>
      </c>
      <c r="AQ351">
        <f>IF(DAY(NOW())&lt;M3,INDIRECT(ADDRESS(351,42))-INDIRECT(ADDRESS(346,43))+INDIRECT(ADDRESS(347,43))-INDIRECT(ADDRESS(350,43)),INDIRECT(ADDRESS(351,42))-INDIRECT(ADDRESS(346,43))+INDIRECT(ADDRESS(349,43))-INDIRECT(ADDRESS(350,43)))</f>
        <v>0</v>
      </c>
      <c r="AR351">
        <f>IF(DAY(NOW())&lt;M3,INDIRECT(ADDRESS(351,43))-INDIRECT(ADDRESS(346,44))+INDIRECT(ADDRESS(347,44))-INDIRECT(ADDRESS(350,44)),INDIRECT(ADDRESS(351,43))-INDIRECT(ADDRESS(346,44))+INDIRECT(ADDRESS(349,44))-INDIRECT(ADDRESS(350,44)))</f>
        <v>0</v>
      </c>
    </row>
    <row r="352" spans="1:76">
      <c r="A352" t="s">
        <v>14</v>
      </c>
      <c r="B352" t="s">
        <v>222</v>
      </c>
      <c r="C352" t="s">
        <v>223</v>
      </c>
      <c r="D352" t="s">
        <v>27</v>
      </c>
      <c r="E352">
        <v>1</v>
      </c>
      <c r="F352" t="s">
        <v>224</v>
      </c>
      <c r="H352" t="s">
        <v>208</v>
      </c>
      <c r="I352" t="s">
        <v>91</v>
      </c>
      <c r="K352" t="s">
        <v>20</v>
      </c>
      <c r="L352" t="s">
        <v>21</v>
      </c>
      <c r="BX352">
        <f>sum(j352:an352)</f>
        <v>0</v>
      </c>
    </row>
    <row r="353" spans="1:76">
      <c r="A353" t="s">
        <v>14</v>
      </c>
      <c r="B353" t="s">
        <v>222</v>
      </c>
      <c r="C353" t="s">
        <v>223</v>
      </c>
      <c r="D353" t="s">
        <v>27</v>
      </c>
      <c r="E353">
        <v>1</v>
      </c>
      <c r="F353" t="s">
        <v>224</v>
      </c>
      <c r="H353" t="s">
        <v>208</v>
      </c>
      <c r="I353" t="s">
        <v>91</v>
      </c>
      <c r="K353" t="s">
        <v>20</v>
      </c>
      <c r="L353" t="s">
        <v>37</v>
      </c>
    </row>
    <row r="354" spans="1:76">
      <c r="L354" t="s">
        <v>662</v>
      </c>
    </row>
    <row r="355" spans="1:76">
      <c r="L355" t="s">
        <v>663</v>
      </c>
    </row>
    <row r="356" spans="1:76">
      <c r="L356" t="s">
        <v>664</v>
      </c>
    </row>
    <row r="357" spans="1:76">
      <c r="L357" t="s">
        <v>665</v>
      </c>
      <c r="M357">
        <f>IF(DAY(NOW())&lt;M3,INDIRECT(ADDRESS(357,7))-INDIRECT(ADDRESS(352,13))+INDIRECT(ADDRESS(353,13))-INDIRECT(ADDRESS(356,13)),INDIRECT(ADDRESS(357,7))-INDIRECT(ADDRESS(352,13))+INDIRECT(ADDRESS(355,13))-INDIRECT(ADDRESS(356,13)))</f>
        <v>0</v>
      </c>
      <c r="N357">
        <f>IF(DAY(NOW())&lt;M3,INDIRECT(ADDRESS(357,13))-INDIRECT(ADDRESS(352,14))+INDIRECT(ADDRESS(353,14))-INDIRECT(ADDRESS(356,14)),INDIRECT(ADDRESS(357,13))-INDIRECT(ADDRESS(352,14))+INDIRECT(ADDRESS(355,14))-INDIRECT(ADDRESS(356,14)))</f>
        <v>0</v>
      </c>
      <c r="O357">
        <f>IF(DAY(NOW())&lt;M3,INDIRECT(ADDRESS(357,14))-INDIRECT(ADDRESS(352,15))+INDIRECT(ADDRESS(353,15))-INDIRECT(ADDRESS(356,15)),INDIRECT(ADDRESS(357,14))-INDIRECT(ADDRESS(352,15))+INDIRECT(ADDRESS(355,15))-INDIRECT(ADDRESS(356,15)))</f>
        <v>0</v>
      </c>
      <c r="P357">
        <f>IF(DAY(NOW())&lt;M3,INDIRECT(ADDRESS(357,15))-INDIRECT(ADDRESS(352,16))+INDIRECT(ADDRESS(353,16))-INDIRECT(ADDRESS(356,16)),INDIRECT(ADDRESS(357,15))-INDIRECT(ADDRESS(352,16))+INDIRECT(ADDRESS(355,16))-INDIRECT(ADDRESS(356,16)))</f>
        <v>0</v>
      </c>
      <c r="Q357">
        <f>IF(DAY(NOW())&lt;M3,INDIRECT(ADDRESS(357,16))-INDIRECT(ADDRESS(352,17))+INDIRECT(ADDRESS(353,17))-INDIRECT(ADDRESS(356,17)),INDIRECT(ADDRESS(357,16))-INDIRECT(ADDRESS(352,17))+INDIRECT(ADDRESS(355,17))-INDIRECT(ADDRESS(356,17)))</f>
        <v>0</v>
      </c>
      <c r="R357">
        <f>IF(DAY(NOW())&lt;M3,INDIRECT(ADDRESS(357,17))-INDIRECT(ADDRESS(352,18))+INDIRECT(ADDRESS(353,18))-INDIRECT(ADDRESS(356,18)),INDIRECT(ADDRESS(357,17))-INDIRECT(ADDRESS(352,18))+INDIRECT(ADDRESS(355,18))-INDIRECT(ADDRESS(356,18)))</f>
        <v>0</v>
      </c>
      <c r="S357">
        <f>IF(DAY(NOW())&lt;M3,INDIRECT(ADDRESS(357,18))-INDIRECT(ADDRESS(352,19))+INDIRECT(ADDRESS(353,19))-INDIRECT(ADDRESS(356,19)),INDIRECT(ADDRESS(357,18))-INDIRECT(ADDRESS(352,19))+INDIRECT(ADDRESS(355,19))-INDIRECT(ADDRESS(356,19)))</f>
        <v>0</v>
      </c>
      <c r="T357">
        <f>IF(DAY(NOW())&lt;M3,INDIRECT(ADDRESS(357,19))-INDIRECT(ADDRESS(352,20))+INDIRECT(ADDRESS(353,20))-INDIRECT(ADDRESS(356,20)),INDIRECT(ADDRESS(357,19))-INDIRECT(ADDRESS(352,20))+INDIRECT(ADDRESS(355,20))-INDIRECT(ADDRESS(356,20)))</f>
        <v>0</v>
      </c>
      <c r="U357">
        <f>IF(DAY(NOW())&lt;M3,INDIRECT(ADDRESS(357,20))-INDIRECT(ADDRESS(352,21))+INDIRECT(ADDRESS(353,21))-INDIRECT(ADDRESS(356,21)),INDIRECT(ADDRESS(357,20))-INDIRECT(ADDRESS(352,21))+INDIRECT(ADDRESS(355,21))-INDIRECT(ADDRESS(356,21)))</f>
        <v>0</v>
      </c>
      <c r="V357">
        <f>IF(DAY(NOW())&lt;M3,INDIRECT(ADDRESS(357,21))-INDIRECT(ADDRESS(352,22))+INDIRECT(ADDRESS(353,22))-INDIRECT(ADDRESS(356,22)),INDIRECT(ADDRESS(357,21))-INDIRECT(ADDRESS(352,22))+INDIRECT(ADDRESS(355,22))-INDIRECT(ADDRESS(356,22)))</f>
        <v>0</v>
      </c>
      <c r="W357">
        <f>IF(DAY(NOW())&lt;M3,INDIRECT(ADDRESS(357,22))-INDIRECT(ADDRESS(352,23))+INDIRECT(ADDRESS(353,23))-INDIRECT(ADDRESS(356,23)),INDIRECT(ADDRESS(357,22))-INDIRECT(ADDRESS(352,23))+INDIRECT(ADDRESS(355,23))-INDIRECT(ADDRESS(356,23)))</f>
        <v>0</v>
      </c>
      <c r="X357">
        <f>IF(DAY(NOW())&lt;M3,INDIRECT(ADDRESS(357,23))-INDIRECT(ADDRESS(352,24))+INDIRECT(ADDRESS(353,24))-INDIRECT(ADDRESS(356,24)),INDIRECT(ADDRESS(357,23))-INDIRECT(ADDRESS(352,24))+INDIRECT(ADDRESS(355,24))-INDIRECT(ADDRESS(356,24)))</f>
        <v>0</v>
      </c>
      <c r="Y357">
        <f>IF(DAY(NOW())&lt;M3,INDIRECT(ADDRESS(357,24))-INDIRECT(ADDRESS(352,25))+INDIRECT(ADDRESS(353,25))-INDIRECT(ADDRESS(356,25)),INDIRECT(ADDRESS(357,24))-INDIRECT(ADDRESS(352,25))+INDIRECT(ADDRESS(355,25))-INDIRECT(ADDRESS(356,25)))</f>
        <v>0</v>
      </c>
      <c r="Z357">
        <f>IF(DAY(NOW())&lt;M3,INDIRECT(ADDRESS(357,25))-INDIRECT(ADDRESS(352,26))+INDIRECT(ADDRESS(353,26))-INDIRECT(ADDRESS(356,26)),INDIRECT(ADDRESS(357,25))-INDIRECT(ADDRESS(352,26))+INDIRECT(ADDRESS(355,26))-INDIRECT(ADDRESS(356,26)))</f>
        <v>0</v>
      </c>
      <c r="AA357">
        <f>IF(DAY(NOW())&lt;M3,INDIRECT(ADDRESS(357,26))-INDIRECT(ADDRESS(352,27))+INDIRECT(ADDRESS(353,27))-INDIRECT(ADDRESS(356,27)),INDIRECT(ADDRESS(357,26))-INDIRECT(ADDRESS(352,27))+INDIRECT(ADDRESS(355,27))-INDIRECT(ADDRESS(356,27)))</f>
        <v>0</v>
      </c>
      <c r="AB357">
        <f>IF(DAY(NOW())&lt;M3,INDIRECT(ADDRESS(357,27))-INDIRECT(ADDRESS(352,28))+INDIRECT(ADDRESS(353,28))-INDIRECT(ADDRESS(356,28)),INDIRECT(ADDRESS(357,27))-INDIRECT(ADDRESS(352,28))+INDIRECT(ADDRESS(355,28))-INDIRECT(ADDRESS(356,28)))</f>
        <v>0</v>
      </c>
      <c r="AC357">
        <f>IF(DAY(NOW())&lt;M3,INDIRECT(ADDRESS(357,28))-INDIRECT(ADDRESS(352,29))+INDIRECT(ADDRESS(353,29))-INDIRECT(ADDRESS(356,29)),INDIRECT(ADDRESS(357,28))-INDIRECT(ADDRESS(352,29))+INDIRECT(ADDRESS(355,29))-INDIRECT(ADDRESS(356,29)))</f>
        <v>0</v>
      </c>
      <c r="AD357">
        <f>IF(DAY(NOW())&lt;M3,INDIRECT(ADDRESS(357,29))-INDIRECT(ADDRESS(352,30))+INDIRECT(ADDRESS(353,30))-INDIRECT(ADDRESS(356,30)),INDIRECT(ADDRESS(357,29))-INDIRECT(ADDRESS(352,30))+INDIRECT(ADDRESS(355,30))-INDIRECT(ADDRESS(356,30)))</f>
        <v>0</v>
      </c>
      <c r="AE357">
        <f>IF(DAY(NOW())&lt;M3,INDIRECT(ADDRESS(357,30))-INDIRECT(ADDRESS(352,31))+INDIRECT(ADDRESS(353,31))-INDIRECT(ADDRESS(356,31)),INDIRECT(ADDRESS(357,30))-INDIRECT(ADDRESS(352,31))+INDIRECT(ADDRESS(355,31))-INDIRECT(ADDRESS(356,31)))</f>
        <v>0</v>
      </c>
      <c r="AF357">
        <f>IF(DAY(NOW())&lt;M3,INDIRECT(ADDRESS(357,31))-INDIRECT(ADDRESS(352,32))+INDIRECT(ADDRESS(353,32))-INDIRECT(ADDRESS(356,32)),INDIRECT(ADDRESS(357,31))-INDIRECT(ADDRESS(352,32))+INDIRECT(ADDRESS(355,32))-INDIRECT(ADDRESS(356,32)))</f>
        <v>0</v>
      </c>
      <c r="AG357">
        <f>IF(DAY(NOW())&lt;M3,INDIRECT(ADDRESS(357,32))-INDIRECT(ADDRESS(352,33))+INDIRECT(ADDRESS(353,33))-INDIRECT(ADDRESS(356,33)),INDIRECT(ADDRESS(357,32))-INDIRECT(ADDRESS(352,33))+INDIRECT(ADDRESS(355,33))-INDIRECT(ADDRESS(356,33)))</f>
        <v>0</v>
      </c>
      <c r="AH357">
        <f>IF(DAY(NOW())&lt;M3,INDIRECT(ADDRESS(357,33))-INDIRECT(ADDRESS(352,34))+INDIRECT(ADDRESS(353,34))-INDIRECT(ADDRESS(356,34)),INDIRECT(ADDRESS(357,33))-INDIRECT(ADDRESS(352,34))+INDIRECT(ADDRESS(355,34))-INDIRECT(ADDRESS(356,34)))</f>
        <v>0</v>
      </c>
      <c r="AI357">
        <f>IF(DAY(NOW())&lt;M3,INDIRECT(ADDRESS(357,34))-INDIRECT(ADDRESS(352,35))+INDIRECT(ADDRESS(353,35))-INDIRECT(ADDRESS(356,35)),INDIRECT(ADDRESS(357,34))-INDIRECT(ADDRESS(352,35))+INDIRECT(ADDRESS(355,35))-INDIRECT(ADDRESS(356,35)))</f>
        <v>0</v>
      </c>
      <c r="AJ357">
        <f>IF(DAY(NOW())&lt;M3,INDIRECT(ADDRESS(357,35))-INDIRECT(ADDRESS(352,36))+INDIRECT(ADDRESS(353,36))-INDIRECT(ADDRESS(356,36)),INDIRECT(ADDRESS(357,35))-INDIRECT(ADDRESS(352,36))+INDIRECT(ADDRESS(355,36))-INDIRECT(ADDRESS(356,36)))</f>
        <v>0</v>
      </c>
      <c r="AK357">
        <f>IF(DAY(NOW())&lt;M3,INDIRECT(ADDRESS(357,36))-INDIRECT(ADDRESS(352,37))+INDIRECT(ADDRESS(353,37))-INDIRECT(ADDRESS(356,37)),INDIRECT(ADDRESS(357,36))-INDIRECT(ADDRESS(352,37))+INDIRECT(ADDRESS(355,37))-INDIRECT(ADDRESS(356,37)))</f>
        <v>0</v>
      </c>
      <c r="AL357">
        <f>IF(DAY(NOW())&lt;M3,INDIRECT(ADDRESS(357,37))-INDIRECT(ADDRESS(352,38))+INDIRECT(ADDRESS(353,38))-INDIRECT(ADDRESS(356,38)),INDIRECT(ADDRESS(357,37))-INDIRECT(ADDRESS(352,38))+INDIRECT(ADDRESS(355,38))-INDIRECT(ADDRESS(356,38)))</f>
        <v>0</v>
      </c>
      <c r="AM357">
        <f>IF(DAY(NOW())&lt;M3,INDIRECT(ADDRESS(357,38))-INDIRECT(ADDRESS(352,39))+INDIRECT(ADDRESS(353,39))-INDIRECT(ADDRESS(356,39)),INDIRECT(ADDRESS(357,38))-INDIRECT(ADDRESS(352,39))+INDIRECT(ADDRESS(355,39))-INDIRECT(ADDRESS(356,39)))</f>
        <v>0</v>
      </c>
      <c r="AN357">
        <f>IF(DAY(NOW())&lt;M3,INDIRECT(ADDRESS(357,39))-INDIRECT(ADDRESS(352,40))+INDIRECT(ADDRESS(353,40))-INDIRECT(ADDRESS(356,40)),INDIRECT(ADDRESS(357,39))-INDIRECT(ADDRESS(352,40))+INDIRECT(ADDRESS(355,40))-INDIRECT(ADDRESS(356,40)))</f>
        <v>0</v>
      </c>
      <c r="AO357">
        <f>IF(DAY(NOW())&lt;M3,INDIRECT(ADDRESS(357,40))-INDIRECT(ADDRESS(352,41))+INDIRECT(ADDRESS(353,41))-INDIRECT(ADDRESS(356,41)),INDIRECT(ADDRESS(357,40))-INDIRECT(ADDRESS(352,41))+INDIRECT(ADDRESS(355,41))-INDIRECT(ADDRESS(356,41)))</f>
        <v>0</v>
      </c>
      <c r="AP357">
        <f>IF(DAY(NOW())&lt;M3,INDIRECT(ADDRESS(357,41))-INDIRECT(ADDRESS(352,42))+INDIRECT(ADDRESS(353,42))-INDIRECT(ADDRESS(356,42)),INDIRECT(ADDRESS(357,41))-INDIRECT(ADDRESS(352,42))+INDIRECT(ADDRESS(355,42))-INDIRECT(ADDRESS(356,42)))</f>
        <v>0</v>
      </c>
      <c r="AQ357">
        <f>IF(DAY(NOW())&lt;M3,INDIRECT(ADDRESS(357,42))-INDIRECT(ADDRESS(352,43))+INDIRECT(ADDRESS(353,43))-INDIRECT(ADDRESS(356,43)),INDIRECT(ADDRESS(357,42))-INDIRECT(ADDRESS(352,43))+INDIRECT(ADDRESS(355,43))-INDIRECT(ADDRESS(356,43)))</f>
        <v>0</v>
      </c>
      <c r="AR357">
        <f>IF(DAY(NOW())&lt;M3,INDIRECT(ADDRESS(357,43))-INDIRECT(ADDRESS(352,44))+INDIRECT(ADDRESS(353,44))-INDIRECT(ADDRESS(356,44)),INDIRECT(ADDRESS(357,43))-INDIRECT(ADDRESS(352,44))+INDIRECT(ADDRESS(355,44))-INDIRECT(ADDRESS(356,44)))</f>
        <v>0</v>
      </c>
    </row>
    <row r="358" spans="1:76">
      <c r="A358" t="s">
        <v>31</v>
      </c>
      <c r="B358" t="s">
        <v>225</v>
      </c>
      <c r="C358" t="s">
        <v>226</v>
      </c>
      <c r="D358" t="s">
        <v>17</v>
      </c>
      <c r="E358">
        <v>1</v>
      </c>
      <c r="F358" t="s">
        <v>227</v>
      </c>
      <c r="H358" t="s">
        <v>35</v>
      </c>
      <c r="I358" t="s">
        <v>36</v>
      </c>
      <c r="K358" t="s">
        <v>20</v>
      </c>
      <c r="L358" t="s">
        <v>21</v>
      </c>
      <c r="M358">
        <f>sumifs(BOM!m:m,BOM!A:A,".1",BOM!B:B,"852-237000-300")</f>
        <v>0</v>
      </c>
      <c r="N358">
        <f>sumifs(BOM!n:n,BOM!A:A,".1",BOM!B:B,"852-237000-300")</f>
        <v>0</v>
      </c>
      <c r="O358">
        <f>sumifs(BOM!o:o,BOM!A:A,".1",BOM!B:B,"852-237000-300")</f>
        <v>0</v>
      </c>
      <c r="P358">
        <f>sumifs(BOM!p:p,BOM!A:A,".1",BOM!B:B,"852-237000-300")</f>
        <v>0</v>
      </c>
      <c r="Q358">
        <f>sumifs(BOM!q:q,BOM!A:A,".1",BOM!B:B,"852-237000-300")</f>
        <v>0</v>
      </c>
      <c r="R358">
        <f>sumifs(BOM!r:r,BOM!A:A,".1",BOM!B:B,"852-237000-300")</f>
        <v>0</v>
      </c>
      <c r="S358">
        <f>sumifs(BOM!s:s,BOM!A:A,".1",BOM!B:B,"852-237000-300")</f>
        <v>0</v>
      </c>
      <c r="T358">
        <f>sumifs(BOM!t:t,BOM!A:A,".1",BOM!B:B,"852-237000-300")</f>
        <v>0</v>
      </c>
      <c r="U358">
        <f>sumifs(BOM!u:u,BOM!A:A,".1",BOM!B:B,"852-237000-300")</f>
        <v>0</v>
      </c>
      <c r="V358">
        <f>sumifs(BOM!v:v,BOM!A:A,".1",BOM!B:B,"852-237000-300")</f>
        <v>0</v>
      </c>
      <c r="W358">
        <f>sumifs(BOM!w:w,BOM!A:A,".1",BOM!B:B,"852-237000-300")</f>
        <v>0</v>
      </c>
      <c r="X358">
        <f>sumifs(BOM!x:x,BOM!A:A,".1",BOM!B:B,"852-237000-300")</f>
        <v>0</v>
      </c>
      <c r="Y358">
        <f>sumifs(BOM!y:y,BOM!A:A,".1",BOM!B:B,"852-237000-300")</f>
        <v>0</v>
      </c>
      <c r="Z358">
        <f>sumifs(BOM!z:z,BOM!A:A,".1",BOM!B:B,"852-237000-300")</f>
        <v>0</v>
      </c>
      <c r="AA358">
        <f>sumifs(BOM!aa:aa,BOM!A:A,".1",BOM!B:B,"852-237000-300")</f>
        <v>0</v>
      </c>
      <c r="AB358">
        <f>sumifs(BOM!ab:ab,BOM!A:A,".1",BOM!B:B,"852-237000-300")</f>
        <v>0</v>
      </c>
      <c r="AC358">
        <f>sumifs(BOM!ac:ac,BOM!A:A,".1",BOM!B:B,"852-237000-300")</f>
        <v>0</v>
      </c>
      <c r="AD358">
        <f>sumifs(BOM!ad:ad,BOM!A:A,".1",BOM!B:B,"852-237000-300")</f>
        <v>0</v>
      </c>
      <c r="AE358">
        <f>sumifs(BOM!ae:ae,BOM!A:A,".1",BOM!B:B,"852-237000-300")</f>
        <v>0</v>
      </c>
      <c r="AF358">
        <f>sumifs(BOM!af:af,BOM!A:A,".1",BOM!B:B,"852-237000-300")</f>
        <v>0</v>
      </c>
      <c r="AG358">
        <f>sumifs(BOM!ag:ag,BOM!A:A,".1",BOM!B:B,"852-237000-300")</f>
        <v>0</v>
      </c>
      <c r="AH358">
        <f>sumifs(BOM!ah:ah,BOM!A:A,".1",BOM!B:B,"852-237000-300")</f>
        <v>0</v>
      </c>
      <c r="AI358">
        <f>sumifs(BOM!ai:ai,BOM!A:A,".1",BOM!B:B,"852-237000-300")</f>
        <v>0</v>
      </c>
      <c r="AJ358">
        <f>sumifs(BOM!aj:aj,BOM!A:A,".1",BOM!B:B,"852-237000-300")</f>
        <v>0</v>
      </c>
      <c r="AK358">
        <f>sumifs(BOM!ak:ak,BOM!A:A,".1",BOM!B:B,"852-237000-300")</f>
        <v>0</v>
      </c>
      <c r="AL358">
        <f>sumifs(BOM!al:al,BOM!A:A,".1",BOM!B:B,"852-237000-300")</f>
        <v>0</v>
      </c>
      <c r="AM358">
        <f>sumifs(BOM!am:am,BOM!A:A,".1",BOM!B:B,"852-237000-300")</f>
        <v>0</v>
      </c>
      <c r="AN358">
        <f>sumifs(BOM!an:an,BOM!A:A,".1",BOM!B:B,"852-237000-300")</f>
        <v>0</v>
      </c>
      <c r="AO358">
        <f>sumifs(BOM!ao:ao,BOM!A:A,".1",BOM!B:B,"852-237000-300")</f>
        <v>0</v>
      </c>
      <c r="AP358">
        <f>sumifs(BOM!ap:ap,BOM!A:A,".1",BOM!B:B,"852-237000-300")</f>
        <v>0</v>
      </c>
      <c r="AQ358">
        <f>sumifs(BOM!aq:aq,BOM!A:A,".1",BOM!B:B,"852-237000-300")</f>
        <v>0</v>
      </c>
      <c r="AR358">
        <f>sumifs(BOM!ar:ar,BOM!A:A,".1",BOM!B:B,"852-237000-300")</f>
        <v>0</v>
      </c>
      <c r="BX358">
        <f>sum(j358:an358)</f>
        <v>0</v>
      </c>
    </row>
    <row r="359" spans="1:76">
      <c r="A359" t="s">
        <v>31</v>
      </c>
      <c r="B359" t="s">
        <v>225</v>
      </c>
      <c r="C359" t="s">
        <v>226</v>
      </c>
      <c r="D359" t="s">
        <v>17</v>
      </c>
      <c r="E359">
        <v>1</v>
      </c>
      <c r="F359" t="s">
        <v>227</v>
      </c>
      <c r="H359" t="s">
        <v>35</v>
      </c>
      <c r="I359" t="s">
        <v>36</v>
      </c>
      <c r="K359" t="s">
        <v>20</v>
      </c>
      <c r="L359" t="s">
        <v>37</v>
      </c>
    </row>
    <row r="360" spans="1:76">
      <c r="L360" t="s">
        <v>662</v>
      </c>
    </row>
    <row r="361" spans="1:76">
      <c r="L361" t="s">
        <v>663</v>
      </c>
    </row>
    <row r="362" spans="1:76">
      <c r="L362" t="s">
        <v>664</v>
      </c>
    </row>
    <row r="363" spans="1:76">
      <c r="L363" t="s">
        <v>665</v>
      </c>
      <c r="M363">
        <f>IF(DAY(NOW())&lt;M3,INDIRECT(ADDRESS(363,7))-INDIRECT(ADDRESS(358,13))+INDIRECT(ADDRESS(359,13))-INDIRECT(ADDRESS(362,13)),INDIRECT(ADDRESS(363,7))-INDIRECT(ADDRESS(358,13))+INDIRECT(ADDRESS(361,13))-INDIRECT(ADDRESS(362,13)))</f>
        <v>0</v>
      </c>
      <c r="N363">
        <f>IF(DAY(NOW())&lt;M3,INDIRECT(ADDRESS(363,13))-INDIRECT(ADDRESS(358,14))+INDIRECT(ADDRESS(359,14))-INDIRECT(ADDRESS(362,14)),INDIRECT(ADDRESS(363,13))-INDIRECT(ADDRESS(358,14))+INDIRECT(ADDRESS(361,14))-INDIRECT(ADDRESS(362,14)))</f>
        <v>0</v>
      </c>
      <c r="O363">
        <f>IF(DAY(NOW())&lt;M3,INDIRECT(ADDRESS(363,14))-INDIRECT(ADDRESS(358,15))+INDIRECT(ADDRESS(359,15))-INDIRECT(ADDRESS(362,15)),INDIRECT(ADDRESS(363,14))-INDIRECT(ADDRESS(358,15))+INDIRECT(ADDRESS(361,15))-INDIRECT(ADDRESS(362,15)))</f>
        <v>0</v>
      </c>
      <c r="P363">
        <f>IF(DAY(NOW())&lt;M3,INDIRECT(ADDRESS(363,15))-INDIRECT(ADDRESS(358,16))+INDIRECT(ADDRESS(359,16))-INDIRECT(ADDRESS(362,16)),INDIRECT(ADDRESS(363,15))-INDIRECT(ADDRESS(358,16))+INDIRECT(ADDRESS(361,16))-INDIRECT(ADDRESS(362,16)))</f>
        <v>0</v>
      </c>
      <c r="Q363">
        <f>IF(DAY(NOW())&lt;M3,INDIRECT(ADDRESS(363,16))-INDIRECT(ADDRESS(358,17))+INDIRECT(ADDRESS(359,17))-INDIRECT(ADDRESS(362,17)),INDIRECT(ADDRESS(363,16))-INDIRECT(ADDRESS(358,17))+INDIRECT(ADDRESS(361,17))-INDIRECT(ADDRESS(362,17)))</f>
        <v>0</v>
      </c>
      <c r="R363">
        <f>IF(DAY(NOW())&lt;M3,INDIRECT(ADDRESS(363,17))-INDIRECT(ADDRESS(358,18))+INDIRECT(ADDRESS(359,18))-INDIRECT(ADDRESS(362,18)),INDIRECT(ADDRESS(363,17))-INDIRECT(ADDRESS(358,18))+INDIRECT(ADDRESS(361,18))-INDIRECT(ADDRESS(362,18)))</f>
        <v>0</v>
      </c>
      <c r="S363">
        <f>IF(DAY(NOW())&lt;M3,INDIRECT(ADDRESS(363,18))-INDIRECT(ADDRESS(358,19))+INDIRECT(ADDRESS(359,19))-INDIRECT(ADDRESS(362,19)),INDIRECT(ADDRESS(363,18))-INDIRECT(ADDRESS(358,19))+INDIRECT(ADDRESS(361,19))-INDIRECT(ADDRESS(362,19)))</f>
        <v>0</v>
      </c>
      <c r="T363">
        <f>IF(DAY(NOW())&lt;M3,INDIRECT(ADDRESS(363,19))-INDIRECT(ADDRESS(358,20))+INDIRECT(ADDRESS(359,20))-INDIRECT(ADDRESS(362,20)),INDIRECT(ADDRESS(363,19))-INDIRECT(ADDRESS(358,20))+INDIRECT(ADDRESS(361,20))-INDIRECT(ADDRESS(362,20)))</f>
        <v>0</v>
      </c>
      <c r="U363">
        <f>IF(DAY(NOW())&lt;M3,INDIRECT(ADDRESS(363,20))-INDIRECT(ADDRESS(358,21))+INDIRECT(ADDRESS(359,21))-INDIRECT(ADDRESS(362,21)),INDIRECT(ADDRESS(363,20))-INDIRECT(ADDRESS(358,21))+INDIRECT(ADDRESS(361,21))-INDIRECT(ADDRESS(362,21)))</f>
        <v>0</v>
      </c>
      <c r="V363">
        <f>IF(DAY(NOW())&lt;M3,INDIRECT(ADDRESS(363,21))-INDIRECT(ADDRESS(358,22))+INDIRECT(ADDRESS(359,22))-INDIRECT(ADDRESS(362,22)),INDIRECT(ADDRESS(363,21))-INDIRECT(ADDRESS(358,22))+INDIRECT(ADDRESS(361,22))-INDIRECT(ADDRESS(362,22)))</f>
        <v>0</v>
      </c>
      <c r="W363">
        <f>IF(DAY(NOW())&lt;M3,INDIRECT(ADDRESS(363,22))-INDIRECT(ADDRESS(358,23))+INDIRECT(ADDRESS(359,23))-INDIRECT(ADDRESS(362,23)),INDIRECT(ADDRESS(363,22))-INDIRECT(ADDRESS(358,23))+INDIRECT(ADDRESS(361,23))-INDIRECT(ADDRESS(362,23)))</f>
        <v>0</v>
      </c>
      <c r="X363">
        <f>IF(DAY(NOW())&lt;M3,INDIRECT(ADDRESS(363,23))-INDIRECT(ADDRESS(358,24))+INDIRECT(ADDRESS(359,24))-INDIRECT(ADDRESS(362,24)),INDIRECT(ADDRESS(363,23))-INDIRECT(ADDRESS(358,24))+INDIRECT(ADDRESS(361,24))-INDIRECT(ADDRESS(362,24)))</f>
        <v>0</v>
      </c>
      <c r="Y363">
        <f>IF(DAY(NOW())&lt;M3,INDIRECT(ADDRESS(363,24))-INDIRECT(ADDRESS(358,25))+INDIRECT(ADDRESS(359,25))-INDIRECT(ADDRESS(362,25)),INDIRECT(ADDRESS(363,24))-INDIRECT(ADDRESS(358,25))+INDIRECT(ADDRESS(361,25))-INDIRECT(ADDRESS(362,25)))</f>
        <v>0</v>
      </c>
      <c r="Z363">
        <f>IF(DAY(NOW())&lt;M3,INDIRECT(ADDRESS(363,25))-INDIRECT(ADDRESS(358,26))+INDIRECT(ADDRESS(359,26))-INDIRECT(ADDRESS(362,26)),INDIRECT(ADDRESS(363,25))-INDIRECT(ADDRESS(358,26))+INDIRECT(ADDRESS(361,26))-INDIRECT(ADDRESS(362,26)))</f>
        <v>0</v>
      </c>
      <c r="AA363">
        <f>IF(DAY(NOW())&lt;M3,INDIRECT(ADDRESS(363,26))-INDIRECT(ADDRESS(358,27))+INDIRECT(ADDRESS(359,27))-INDIRECT(ADDRESS(362,27)),INDIRECT(ADDRESS(363,26))-INDIRECT(ADDRESS(358,27))+INDIRECT(ADDRESS(361,27))-INDIRECT(ADDRESS(362,27)))</f>
        <v>0</v>
      </c>
      <c r="AB363">
        <f>IF(DAY(NOW())&lt;M3,INDIRECT(ADDRESS(363,27))-INDIRECT(ADDRESS(358,28))+INDIRECT(ADDRESS(359,28))-INDIRECT(ADDRESS(362,28)),INDIRECT(ADDRESS(363,27))-INDIRECT(ADDRESS(358,28))+INDIRECT(ADDRESS(361,28))-INDIRECT(ADDRESS(362,28)))</f>
        <v>0</v>
      </c>
      <c r="AC363">
        <f>IF(DAY(NOW())&lt;M3,INDIRECT(ADDRESS(363,28))-INDIRECT(ADDRESS(358,29))+INDIRECT(ADDRESS(359,29))-INDIRECT(ADDRESS(362,29)),INDIRECT(ADDRESS(363,28))-INDIRECT(ADDRESS(358,29))+INDIRECT(ADDRESS(361,29))-INDIRECT(ADDRESS(362,29)))</f>
        <v>0</v>
      </c>
      <c r="AD363">
        <f>IF(DAY(NOW())&lt;M3,INDIRECT(ADDRESS(363,29))-INDIRECT(ADDRESS(358,30))+INDIRECT(ADDRESS(359,30))-INDIRECT(ADDRESS(362,30)),INDIRECT(ADDRESS(363,29))-INDIRECT(ADDRESS(358,30))+INDIRECT(ADDRESS(361,30))-INDIRECT(ADDRESS(362,30)))</f>
        <v>0</v>
      </c>
      <c r="AE363">
        <f>IF(DAY(NOW())&lt;M3,INDIRECT(ADDRESS(363,30))-INDIRECT(ADDRESS(358,31))+INDIRECT(ADDRESS(359,31))-INDIRECT(ADDRESS(362,31)),INDIRECT(ADDRESS(363,30))-INDIRECT(ADDRESS(358,31))+INDIRECT(ADDRESS(361,31))-INDIRECT(ADDRESS(362,31)))</f>
        <v>0</v>
      </c>
      <c r="AF363">
        <f>IF(DAY(NOW())&lt;M3,INDIRECT(ADDRESS(363,31))-INDIRECT(ADDRESS(358,32))+INDIRECT(ADDRESS(359,32))-INDIRECT(ADDRESS(362,32)),INDIRECT(ADDRESS(363,31))-INDIRECT(ADDRESS(358,32))+INDIRECT(ADDRESS(361,32))-INDIRECT(ADDRESS(362,32)))</f>
        <v>0</v>
      </c>
      <c r="AG363">
        <f>IF(DAY(NOW())&lt;M3,INDIRECT(ADDRESS(363,32))-INDIRECT(ADDRESS(358,33))+INDIRECT(ADDRESS(359,33))-INDIRECT(ADDRESS(362,33)),INDIRECT(ADDRESS(363,32))-INDIRECT(ADDRESS(358,33))+INDIRECT(ADDRESS(361,33))-INDIRECT(ADDRESS(362,33)))</f>
        <v>0</v>
      </c>
      <c r="AH363">
        <f>IF(DAY(NOW())&lt;M3,INDIRECT(ADDRESS(363,33))-INDIRECT(ADDRESS(358,34))+INDIRECT(ADDRESS(359,34))-INDIRECT(ADDRESS(362,34)),INDIRECT(ADDRESS(363,33))-INDIRECT(ADDRESS(358,34))+INDIRECT(ADDRESS(361,34))-INDIRECT(ADDRESS(362,34)))</f>
        <v>0</v>
      </c>
      <c r="AI363">
        <f>IF(DAY(NOW())&lt;M3,INDIRECT(ADDRESS(363,34))-INDIRECT(ADDRESS(358,35))+INDIRECT(ADDRESS(359,35))-INDIRECT(ADDRESS(362,35)),INDIRECT(ADDRESS(363,34))-INDIRECT(ADDRESS(358,35))+INDIRECT(ADDRESS(361,35))-INDIRECT(ADDRESS(362,35)))</f>
        <v>0</v>
      </c>
      <c r="AJ363">
        <f>IF(DAY(NOW())&lt;M3,INDIRECT(ADDRESS(363,35))-INDIRECT(ADDRESS(358,36))+INDIRECT(ADDRESS(359,36))-INDIRECT(ADDRESS(362,36)),INDIRECT(ADDRESS(363,35))-INDIRECT(ADDRESS(358,36))+INDIRECT(ADDRESS(361,36))-INDIRECT(ADDRESS(362,36)))</f>
        <v>0</v>
      </c>
      <c r="AK363">
        <f>IF(DAY(NOW())&lt;M3,INDIRECT(ADDRESS(363,36))-INDIRECT(ADDRESS(358,37))+INDIRECT(ADDRESS(359,37))-INDIRECT(ADDRESS(362,37)),INDIRECT(ADDRESS(363,36))-INDIRECT(ADDRESS(358,37))+INDIRECT(ADDRESS(361,37))-INDIRECT(ADDRESS(362,37)))</f>
        <v>0</v>
      </c>
      <c r="AL363">
        <f>IF(DAY(NOW())&lt;M3,INDIRECT(ADDRESS(363,37))-INDIRECT(ADDRESS(358,38))+INDIRECT(ADDRESS(359,38))-INDIRECT(ADDRESS(362,38)),INDIRECT(ADDRESS(363,37))-INDIRECT(ADDRESS(358,38))+INDIRECT(ADDRESS(361,38))-INDIRECT(ADDRESS(362,38)))</f>
        <v>0</v>
      </c>
      <c r="AM363">
        <f>IF(DAY(NOW())&lt;M3,INDIRECT(ADDRESS(363,38))-INDIRECT(ADDRESS(358,39))+INDIRECT(ADDRESS(359,39))-INDIRECT(ADDRESS(362,39)),INDIRECT(ADDRESS(363,38))-INDIRECT(ADDRESS(358,39))+INDIRECT(ADDRESS(361,39))-INDIRECT(ADDRESS(362,39)))</f>
        <v>0</v>
      </c>
      <c r="AN363">
        <f>IF(DAY(NOW())&lt;M3,INDIRECT(ADDRESS(363,39))-INDIRECT(ADDRESS(358,40))+INDIRECT(ADDRESS(359,40))-INDIRECT(ADDRESS(362,40)),INDIRECT(ADDRESS(363,39))-INDIRECT(ADDRESS(358,40))+INDIRECT(ADDRESS(361,40))-INDIRECT(ADDRESS(362,40)))</f>
        <v>0</v>
      </c>
      <c r="AO363">
        <f>IF(DAY(NOW())&lt;M3,INDIRECT(ADDRESS(363,40))-INDIRECT(ADDRESS(358,41))+INDIRECT(ADDRESS(359,41))-INDIRECT(ADDRESS(362,41)),INDIRECT(ADDRESS(363,40))-INDIRECT(ADDRESS(358,41))+INDIRECT(ADDRESS(361,41))-INDIRECT(ADDRESS(362,41)))</f>
        <v>0</v>
      </c>
      <c r="AP363">
        <f>IF(DAY(NOW())&lt;M3,INDIRECT(ADDRESS(363,41))-INDIRECT(ADDRESS(358,42))+INDIRECT(ADDRESS(359,42))-INDIRECT(ADDRESS(362,42)),INDIRECT(ADDRESS(363,41))-INDIRECT(ADDRESS(358,42))+INDIRECT(ADDRESS(361,42))-INDIRECT(ADDRESS(362,42)))</f>
        <v>0</v>
      </c>
      <c r="AQ363">
        <f>IF(DAY(NOW())&lt;M3,INDIRECT(ADDRESS(363,42))-INDIRECT(ADDRESS(358,43))+INDIRECT(ADDRESS(359,43))-INDIRECT(ADDRESS(362,43)),INDIRECT(ADDRESS(363,42))-INDIRECT(ADDRESS(358,43))+INDIRECT(ADDRESS(361,43))-INDIRECT(ADDRESS(362,43)))</f>
        <v>0</v>
      </c>
      <c r="AR363">
        <f>IF(DAY(NOW())&lt;M3,INDIRECT(ADDRESS(363,43))-INDIRECT(ADDRESS(358,44))+INDIRECT(ADDRESS(359,44))-INDIRECT(ADDRESS(362,44)),INDIRECT(ADDRESS(363,43))-INDIRECT(ADDRESS(358,44))+INDIRECT(ADDRESS(361,44))-INDIRECT(ADDRESS(362,44)))</f>
        <v>0</v>
      </c>
    </row>
    <row r="364" spans="1:76">
      <c r="A364" t="s">
        <v>14</v>
      </c>
      <c r="B364" t="s">
        <v>228</v>
      </c>
      <c r="C364" t="s">
        <v>229</v>
      </c>
      <c r="D364" t="s">
        <v>27</v>
      </c>
      <c r="E364">
        <v>1</v>
      </c>
      <c r="F364" t="s">
        <v>230</v>
      </c>
      <c r="H364" t="s">
        <v>215</v>
      </c>
      <c r="I364" t="s">
        <v>91</v>
      </c>
      <c r="K364" t="s">
        <v>20</v>
      </c>
      <c r="L364" t="s">
        <v>21</v>
      </c>
      <c r="BX364">
        <f>sum(j364:an364)</f>
        <v>0</v>
      </c>
    </row>
    <row r="365" spans="1:76">
      <c r="A365" t="s">
        <v>14</v>
      </c>
      <c r="B365" t="s">
        <v>228</v>
      </c>
      <c r="C365" t="s">
        <v>229</v>
      </c>
      <c r="D365" t="s">
        <v>27</v>
      </c>
      <c r="E365">
        <v>1</v>
      </c>
      <c r="F365" t="s">
        <v>230</v>
      </c>
      <c r="H365" t="s">
        <v>215</v>
      </c>
      <c r="I365" t="s">
        <v>91</v>
      </c>
      <c r="K365" t="s">
        <v>20</v>
      </c>
      <c r="L365" t="s">
        <v>37</v>
      </c>
    </row>
    <row r="366" spans="1:76">
      <c r="L366" t="s">
        <v>662</v>
      </c>
    </row>
    <row r="367" spans="1:76">
      <c r="L367" t="s">
        <v>663</v>
      </c>
    </row>
    <row r="368" spans="1:76">
      <c r="L368" t="s">
        <v>664</v>
      </c>
    </row>
    <row r="369" spans="1:76">
      <c r="L369" t="s">
        <v>665</v>
      </c>
      <c r="M369">
        <f>IF(DAY(NOW())&lt;M3,INDIRECT(ADDRESS(369,7))-INDIRECT(ADDRESS(364,13))+INDIRECT(ADDRESS(365,13))-INDIRECT(ADDRESS(368,13)),INDIRECT(ADDRESS(369,7))-INDIRECT(ADDRESS(364,13))+INDIRECT(ADDRESS(367,13))-INDIRECT(ADDRESS(368,13)))</f>
        <v>0</v>
      </c>
      <c r="N369">
        <f>IF(DAY(NOW())&lt;M3,INDIRECT(ADDRESS(369,13))-INDIRECT(ADDRESS(364,14))+INDIRECT(ADDRESS(365,14))-INDIRECT(ADDRESS(368,14)),INDIRECT(ADDRESS(369,13))-INDIRECT(ADDRESS(364,14))+INDIRECT(ADDRESS(367,14))-INDIRECT(ADDRESS(368,14)))</f>
        <v>0</v>
      </c>
      <c r="O369">
        <f>IF(DAY(NOW())&lt;M3,INDIRECT(ADDRESS(369,14))-INDIRECT(ADDRESS(364,15))+INDIRECT(ADDRESS(365,15))-INDIRECT(ADDRESS(368,15)),INDIRECT(ADDRESS(369,14))-INDIRECT(ADDRESS(364,15))+INDIRECT(ADDRESS(367,15))-INDIRECT(ADDRESS(368,15)))</f>
        <v>0</v>
      </c>
      <c r="P369">
        <f>IF(DAY(NOW())&lt;M3,INDIRECT(ADDRESS(369,15))-INDIRECT(ADDRESS(364,16))+INDIRECT(ADDRESS(365,16))-INDIRECT(ADDRESS(368,16)),INDIRECT(ADDRESS(369,15))-INDIRECT(ADDRESS(364,16))+INDIRECT(ADDRESS(367,16))-INDIRECT(ADDRESS(368,16)))</f>
        <v>0</v>
      </c>
      <c r="Q369">
        <f>IF(DAY(NOW())&lt;M3,INDIRECT(ADDRESS(369,16))-INDIRECT(ADDRESS(364,17))+INDIRECT(ADDRESS(365,17))-INDIRECT(ADDRESS(368,17)),INDIRECT(ADDRESS(369,16))-INDIRECT(ADDRESS(364,17))+INDIRECT(ADDRESS(367,17))-INDIRECT(ADDRESS(368,17)))</f>
        <v>0</v>
      </c>
      <c r="R369">
        <f>IF(DAY(NOW())&lt;M3,INDIRECT(ADDRESS(369,17))-INDIRECT(ADDRESS(364,18))+INDIRECT(ADDRESS(365,18))-INDIRECT(ADDRESS(368,18)),INDIRECT(ADDRESS(369,17))-INDIRECT(ADDRESS(364,18))+INDIRECT(ADDRESS(367,18))-INDIRECT(ADDRESS(368,18)))</f>
        <v>0</v>
      </c>
      <c r="S369">
        <f>IF(DAY(NOW())&lt;M3,INDIRECT(ADDRESS(369,18))-INDIRECT(ADDRESS(364,19))+INDIRECT(ADDRESS(365,19))-INDIRECT(ADDRESS(368,19)),INDIRECT(ADDRESS(369,18))-INDIRECT(ADDRESS(364,19))+INDIRECT(ADDRESS(367,19))-INDIRECT(ADDRESS(368,19)))</f>
        <v>0</v>
      </c>
      <c r="T369">
        <f>IF(DAY(NOW())&lt;M3,INDIRECT(ADDRESS(369,19))-INDIRECT(ADDRESS(364,20))+INDIRECT(ADDRESS(365,20))-INDIRECT(ADDRESS(368,20)),INDIRECT(ADDRESS(369,19))-INDIRECT(ADDRESS(364,20))+INDIRECT(ADDRESS(367,20))-INDIRECT(ADDRESS(368,20)))</f>
        <v>0</v>
      </c>
      <c r="U369">
        <f>IF(DAY(NOW())&lt;M3,INDIRECT(ADDRESS(369,20))-INDIRECT(ADDRESS(364,21))+INDIRECT(ADDRESS(365,21))-INDIRECT(ADDRESS(368,21)),INDIRECT(ADDRESS(369,20))-INDIRECT(ADDRESS(364,21))+INDIRECT(ADDRESS(367,21))-INDIRECT(ADDRESS(368,21)))</f>
        <v>0</v>
      </c>
      <c r="V369">
        <f>IF(DAY(NOW())&lt;M3,INDIRECT(ADDRESS(369,21))-INDIRECT(ADDRESS(364,22))+INDIRECT(ADDRESS(365,22))-INDIRECT(ADDRESS(368,22)),INDIRECT(ADDRESS(369,21))-INDIRECT(ADDRESS(364,22))+INDIRECT(ADDRESS(367,22))-INDIRECT(ADDRESS(368,22)))</f>
        <v>0</v>
      </c>
      <c r="W369">
        <f>IF(DAY(NOW())&lt;M3,INDIRECT(ADDRESS(369,22))-INDIRECT(ADDRESS(364,23))+INDIRECT(ADDRESS(365,23))-INDIRECT(ADDRESS(368,23)),INDIRECT(ADDRESS(369,22))-INDIRECT(ADDRESS(364,23))+INDIRECT(ADDRESS(367,23))-INDIRECT(ADDRESS(368,23)))</f>
        <v>0</v>
      </c>
      <c r="X369">
        <f>IF(DAY(NOW())&lt;M3,INDIRECT(ADDRESS(369,23))-INDIRECT(ADDRESS(364,24))+INDIRECT(ADDRESS(365,24))-INDIRECT(ADDRESS(368,24)),INDIRECT(ADDRESS(369,23))-INDIRECT(ADDRESS(364,24))+INDIRECT(ADDRESS(367,24))-INDIRECT(ADDRESS(368,24)))</f>
        <v>0</v>
      </c>
      <c r="Y369">
        <f>IF(DAY(NOW())&lt;M3,INDIRECT(ADDRESS(369,24))-INDIRECT(ADDRESS(364,25))+INDIRECT(ADDRESS(365,25))-INDIRECT(ADDRESS(368,25)),INDIRECT(ADDRESS(369,24))-INDIRECT(ADDRESS(364,25))+INDIRECT(ADDRESS(367,25))-INDIRECT(ADDRESS(368,25)))</f>
        <v>0</v>
      </c>
      <c r="Z369">
        <f>IF(DAY(NOW())&lt;M3,INDIRECT(ADDRESS(369,25))-INDIRECT(ADDRESS(364,26))+INDIRECT(ADDRESS(365,26))-INDIRECT(ADDRESS(368,26)),INDIRECT(ADDRESS(369,25))-INDIRECT(ADDRESS(364,26))+INDIRECT(ADDRESS(367,26))-INDIRECT(ADDRESS(368,26)))</f>
        <v>0</v>
      </c>
      <c r="AA369">
        <f>IF(DAY(NOW())&lt;M3,INDIRECT(ADDRESS(369,26))-INDIRECT(ADDRESS(364,27))+INDIRECT(ADDRESS(365,27))-INDIRECT(ADDRESS(368,27)),INDIRECT(ADDRESS(369,26))-INDIRECT(ADDRESS(364,27))+INDIRECT(ADDRESS(367,27))-INDIRECT(ADDRESS(368,27)))</f>
        <v>0</v>
      </c>
      <c r="AB369">
        <f>IF(DAY(NOW())&lt;M3,INDIRECT(ADDRESS(369,27))-INDIRECT(ADDRESS(364,28))+INDIRECT(ADDRESS(365,28))-INDIRECT(ADDRESS(368,28)),INDIRECT(ADDRESS(369,27))-INDIRECT(ADDRESS(364,28))+INDIRECT(ADDRESS(367,28))-INDIRECT(ADDRESS(368,28)))</f>
        <v>0</v>
      </c>
      <c r="AC369">
        <f>IF(DAY(NOW())&lt;M3,INDIRECT(ADDRESS(369,28))-INDIRECT(ADDRESS(364,29))+INDIRECT(ADDRESS(365,29))-INDIRECT(ADDRESS(368,29)),INDIRECT(ADDRESS(369,28))-INDIRECT(ADDRESS(364,29))+INDIRECT(ADDRESS(367,29))-INDIRECT(ADDRESS(368,29)))</f>
        <v>0</v>
      </c>
      <c r="AD369">
        <f>IF(DAY(NOW())&lt;M3,INDIRECT(ADDRESS(369,29))-INDIRECT(ADDRESS(364,30))+INDIRECT(ADDRESS(365,30))-INDIRECT(ADDRESS(368,30)),INDIRECT(ADDRESS(369,29))-INDIRECT(ADDRESS(364,30))+INDIRECT(ADDRESS(367,30))-INDIRECT(ADDRESS(368,30)))</f>
        <v>0</v>
      </c>
      <c r="AE369">
        <f>IF(DAY(NOW())&lt;M3,INDIRECT(ADDRESS(369,30))-INDIRECT(ADDRESS(364,31))+INDIRECT(ADDRESS(365,31))-INDIRECT(ADDRESS(368,31)),INDIRECT(ADDRESS(369,30))-INDIRECT(ADDRESS(364,31))+INDIRECT(ADDRESS(367,31))-INDIRECT(ADDRESS(368,31)))</f>
        <v>0</v>
      </c>
      <c r="AF369">
        <f>IF(DAY(NOW())&lt;M3,INDIRECT(ADDRESS(369,31))-INDIRECT(ADDRESS(364,32))+INDIRECT(ADDRESS(365,32))-INDIRECT(ADDRESS(368,32)),INDIRECT(ADDRESS(369,31))-INDIRECT(ADDRESS(364,32))+INDIRECT(ADDRESS(367,32))-INDIRECT(ADDRESS(368,32)))</f>
        <v>0</v>
      </c>
      <c r="AG369">
        <f>IF(DAY(NOW())&lt;M3,INDIRECT(ADDRESS(369,32))-INDIRECT(ADDRESS(364,33))+INDIRECT(ADDRESS(365,33))-INDIRECT(ADDRESS(368,33)),INDIRECT(ADDRESS(369,32))-INDIRECT(ADDRESS(364,33))+INDIRECT(ADDRESS(367,33))-INDIRECT(ADDRESS(368,33)))</f>
        <v>0</v>
      </c>
      <c r="AH369">
        <f>IF(DAY(NOW())&lt;M3,INDIRECT(ADDRESS(369,33))-INDIRECT(ADDRESS(364,34))+INDIRECT(ADDRESS(365,34))-INDIRECT(ADDRESS(368,34)),INDIRECT(ADDRESS(369,33))-INDIRECT(ADDRESS(364,34))+INDIRECT(ADDRESS(367,34))-INDIRECT(ADDRESS(368,34)))</f>
        <v>0</v>
      </c>
      <c r="AI369">
        <f>IF(DAY(NOW())&lt;M3,INDIRECT(ADDRESS(369,34))-INDIRECT(ADDRESS(364,35))+INDIRECT(ADDRESS(365,35))-INDIRECT(ADDRESS(368,35)),INDIRECT(ADDRESS(369,34))-INDIRECT(ADDRESS(364,35))+INDIRECT(ADDRESS(367,35))-INDIRECT(ADDRESS(368,35)))</f>
        <v>0</v>
      </c>
      <c r="AJ369">
        <f>IF(DAY(NOW())&lt;M3,INDIRECT(ADDRESS(369,35))-INDIRECT(ADDRESS(364,36))+INDIRECT(ADDRESS(365,36))-INDIRECT(ADDRESS(368,36)),INDIRECT(ADDRESS(369,35))-INDIRECT(ADDRESS(364,36))+INDIRECT(ADDRESS(367,36))-INDIRECT(ADDRESS(368,36)))</f>
        <v>0</v>
      </c>
      <c r="AK369">
        <f>IF(DAY(NOW())&lt;M3,INDIRECT(ADDRESS(369,36))-INDIRECT(ADDRESS(364,37))+INDIRECT(ADDRESS(365,37))-INDIRECT(ADDRESS(368,37)),INDIRECT(ADDRESS(369,36))-INDIRECT(ADDRESS(364,37))+INDIRECT(ADDRESS(367,37))-INDIRECT(ADDRESS(368,37)))</f>
        <v>0</v>
      </c>
      <c r="AL369">
        <f>IF(DAY(NOW())&lt;M3,INDIRECT(ADDRESS(369,37))-INDIRECT(ADDRESS(364,38))+INDIRECT(ADDRESS(365,38))-INDIRECT(ADDRESS(368,38)),INDIRECT(ADDRESS(369,37))-INDIRECT(ADDRESS(364,38))+INDIRECT(ADDRESS(367,38))-INDIRECT(ADDRESS(368,38)))</f>
        <v>0</v>
      </c>
      <c r="AM369">
        <f>IF(DAY(NOW())&lt;M3,INDIRECT(ADDRESS(369,38))-INDIRECT(ADDRESS(364,39))+INDIRECT(ADDRESS(365,39))-INDIRECT(ADDRESS(368,39)),INDIRECT(ADDRESS(369,38))-INDIRECT(ADDRESS(364,39))+INDIRECT(ADDRESS(367,39))-INDIRECT(ADDRESS(368,39)))</f>
        <v>0</v>
      </c>
      <c r="AN369">
        <f>IF(DAY(NOW())&lt;M3,INDIRECT(ADDRESS(369,39))-INDIRECT(ADDRESS(364,40))+INDIRECT(ADDRESS(365,40))-INDIRECT(ADDRESS(368,40)),INDIRECT(ADDRESS(369,39))-INDIRECT(ADDRESS(364,40))+INDIRECT(ADDRESS(367,40))-INDIRECT(ADDRESS(368,40)))</f>
        <v>0</v>
      </c>
      <c r="AO369">
        <f>IF(DAY(NOW())&lt;M3,INDIRECT(ADDRESS(369,40))-INDIRECT(ADDRESS(364,41))+INDIRECT(ADDRESS(365,41))-INDIRECT(ADDRESS(368,41)),INDIRECT(ADDRESS(369,40))-INDIRECT(ADDRESS(364,41))+INDIRECT(ADDRESS(367,41))-INDIRECT(ADDRESS(368,41)))</f>
        <v>0</v>
      </c>
      <c r="AP369">
        <f>IF(DAY(NOW())&lt;M3,INDIRECT(ADDRESS(369,41))-INDIRECT(ADDRESS(364,42))+INDIRECT(ADDRESS(365,42))-INDIRECT(ADDRESS(368,42)),INDIRECT(ADDRESS(369,41))-INDIRECT(ADDRESS(364,42))+INDIRECT(ADDRESS(367,42))-INDIRECT(ADDRESS(368,42)))</f>
        <v>0</v>
      </c>
      <c r="AQ369">
        <f>IF(DAY(NOW())&lt;M3,INDIRECT(ADDRESS(369,42))-INDIRECT(ADDRESS(364,43))+INDIRECT(ADDRESS(365,43))-INDIRECT(ADDRESS(368,43)),INDIRECT(ADDRESS(369,42))-INDIRECT(ADDRESS(364,43))+INDIRECT(ADDRESS(367,43))-INDIRECT(ADDRESS(368,43)))</f>
        <v>0</v>
      </c>
      <c r="AR369">
        <f>IF(DAY(NOW())&lt;M3,INDIRECT(ADDRESS(369,43))-INDIRECT(ADDRESS(364,44))+INDIRECT(ADDRESS(365,44))-INDIRECT(ADDRESS(368,44)),INDIRECT(ADDRESS(369,43))-INDIRECT(ADDRESS(364,44))+INDIRECT(ADDRESS(367,44))-INDIRECT(ADDRESS(368,44)))</f>
        <v>0</v>
      </c>
    </row>
    <row r="370" spans="1:76">
      <c r="A370" t="s">
        <v>31</v>
      </c>
      <c r="B370" t="s">
        <v>231</v>
      </c>
      <c r="C370" t="s">
        <v>232</v>
      </c>
      <c r="D370" t="s">
        <v>17</v>
      </c>
      <c r="E370">
        <v>1</v>
      </c>
      <c r="F370" t="s">
        <v>233</v>
      </c>
      <c r="H370" t="s">
        <v>35</v>
      </c>
      <c r="I370" t="s">
        <v>36</v>
      </c>
      <c r="K370" t="s">
        <v>20</v>
      </c>
      <c r="L370" t="s">
        <v>21</v>
      </c>
      <c r="M370">
        <f>sumifs(BOM!m:m,BOM!A:A,".1",BOM!B:B,"852-237000-400")</f>
        <v>0</v>
      </c>
      <c r="N370">
        <f>sumifs(BOM!n:n,BOM!A:A,".1",BOM!B:B,"852-237000-400")</f>
        <v>0</v>
      </c>
      <c r="O370">
        <f>sumifs(BOM!o:o,BOM!A:A,".1",BOM!B:B,"852-237000-400")</f>
        <v>0</v>
      </c>
      <c r="P370">
        <f>sumifs(BOM!p:p,BOM!A:A,".1",BOM!B:B,"852-237000-400")</f>
        <v>0</v>
      </c>
      <c r="Q370">
        <f>sumifs(BOM!q:q,BOM!A:A,".1",BOM!B:B,"852-237000-400")</f>
        <v>0</v>
      </c>
      <c r="R370">
        <f>sumifs(BOM!r:r,BOM!A:A,".1",BOM!B:B,"852-237000-400")</f>
        <v>0</v>
      </c>
      <c r="S370">
        <f>sumifs(BOM!s:s,BOM!A:A,".1",BOM!B:B,"852-237000-400")</f>
        <v>0</v>
      </c>
      <c r="T370">
        <f>sumifs(BOM!t:t,BOM!A:A,".1",BOM!B:B,"852-237000-400")</f>
        <v>0</v>
      </c>
      <c r="U370">
        <f>sumifs(BOM!u:u,BOM!A:A,".1",BOM!B:B,"852-237000-400")</f>
        <v>0</v>
      </c>
      <c r="V370">
        <f>sumifs(BOM!v:v,BOM!A:A,".1",BOM!B:B,"852-237000-400")</f>
        <v>0</v>
      </c>
      <c r="W370">
        <f>sumifs(BOM!w:w,BOM!A:A,".1",BOM!B:B,"852-237000-400")</f>
        <v>0</v>
      </c>
      <c r="X370">
        <f>sumifs(BOM!x:x,BOM!A:A,".1",BOM!B:B,"852-237000-400")</f>
        <v>0</v>
      </c>
      <c r="Y370">
        <f>sumifs(BOM!y:y,BOM!A:A,".1",BOM!B:B,"852-237000-400")</f>
        <v>0</v>
      </c>
      <c r="Z370">
        <f>sumifs(BOM!z:z,BOM!A:A,".1",BOM!B:B,"852-237000-400")</f>
        <v>0</v>
      </c>
      <c r="AA370">
        <f>sumifs(BOM!aa:aa,BOM!A:A,".1",BOM!B:B,"852-237000-400")</f>
        <v>0</v>
      </c>
      <c r="AB370">
        <f>sumifs(BOM!ab:ab,BOM!A:A,".1",BOM!B:B,"852-237000-400")</f>
        <v>0</v>
      </c>
      <c r="AC370">
        <f>sumifs(BOM!ac:ac,BOM!A:A,".1",BOM!B:B,"852-237000-400")</f>
        <v>0</v>
      </c>
      <c r="AD370">
        <f>sumifs(BOM!ad:ad,BOM!A:A,".1",BOM!B:B,"852-237000-400")</f>
        <v>0</v>
      </c>
      <c r="AE370">
        <f>sumifs(BOM!ae:ae,BOM!A:A,".1",BOM!B:B,"852-237000-400")</f>
        <v>0</v>
      </c>
      <c r="AF370">
        <f>sumifs(BOM!af:af,BOM!A:A,".1",BOM!B:B,"852-237000-400")</f>
        <v>0</v>
      </c>
      <c r="AG370">
        <f>sumifs(BOM!ag:ag,BOM!A:A,".1",BOM!B:B,"852-237000-400")</f>
        <v>0</v>
      </c>
      <c r="AH370">
        <f>sumifs(BOM!ah:ah,BOM!A:A,".1",BOM!B:B,"852-237000-400")</f>
        <v>0</v>
      </c>
      <c r="AI370">
        <f>sumifs(BOM!ai:ai,BOM!A:A,".1",BOM!B:B,"852-237000-400")</f>
        <v>0</v>
      </c>
      <c r="AJ370">
        <f>sumifs(BOM!aj:aj,BOM!A:A,".1",BOM!B:B,"852-237000-400")</f>
        <v>0</v>
      </c>
      <c r="AK370">
        <f>sumifs(BOM!ak:ak,BOM!A:A,".1",BOM!B:B,"852-237000-400")</f>
        <v>0</v>
      </c>
      <c r="AL370">
        <f>sumifs(BOM!al:al,BOM!A:A,".1",BOM!B:B,"852-237000-400")</f>
        <v>0</v>
      </c>
      <c r="AM370">
        <f>sumifs(BOM!am:am,BOM!A:A,".1",BOM!B:B,"852-237000-400")</f>
        <v>0</v>
      </c>
      <c r="AN370">
        <f>sumifs(BOM!an:an,BOM!A:A,".1",BOM!B:B,"852-237000-400")</f>
        <v>0</v>
      </c>
      <c r="AO370">
        <f>sumifs(BOM!ao:ao,BOM!A:A,".1",BOM!B:B,"852-237000-400")</f>
        <v>0</v>
      </c>
      <c r="AP370">
        <f>sumifs(BOM!ap:ap,BOM!A:A,".1",BOM!B:B,"852-237000-400")</f>
        <v>0</v>
      </c>
      <c r="AQ370">
        <f>sumifs(BOM!aq:aq,BOM!A:A,".1",BOM!B:B,"852-237000-400")</f>
        <v>0</v>
      </c>
      <c r="AR370">
        <f>sumifs(BOM!ar:ar,BOM!A:A,".1",BOM!B:B,"852-237000-400")</f>
        <v>0</v>
      </c>
      <c r="BX370">
        <f>sum(j370:an370)</f>
        <v>0</v>
      </c>
    </row>
    <row r="371" spans="1:76">
      <c r="A371" t="s">
        <v>31</v>
      </c>
      <c r="B371" t="s">
        <v>231</v>
      </c>
      <c r="C371" t="s">
        <v>232</v>
      </c>
      <c r="D371" t="s">
        <v>17</v>
      </c>
      <c r="E371">
        <v>1</v>
      </c>
      <c r="F371" t="s">
        <v>233</v>
      </c>
      <c r="H371" t="s">
        <v>35</v>
      </c>
      <c r="I371" t="s">
        <v>36</v>
      </c>
      <c r="K371" t="s">
        <v>20</v>
      </c>
      <c r="L371" t="s">
        <v>37</v>
      </c>
    </row>
    <row r="372" spans="1:76">
      <c r="L372" t="s">
        <v>662</v>
      </c>
    </row>
    <row r="373" spans="1:76">
      <c r="L373" t="s">
        <v>663</v>
      </c>
    </row>
    <row r="374" spans="1:76">
      <c r="L374" t="s">
        <v>664</v>
      </c>
    </row>
    <row r="375" spans="1:76">
      <c r="L375" t="s">
        <v>665</v>
      </c>
      <c r="M375">
        <f>IF(DAY(NOW())&lt;M3,INDIRECT(ADDRESS(375,7))-INDIRECT(ADDRESS(370,13))+INDIRECT(ADDRESS(371,13))-INDIRECT(ADDRESS(374,13)),INDIRECT(ADDRESS(375,7))-INDIRECT(ADDRESS(370,13))+INDIRECT(ADDRESS(373,13))-INDIRECT(ADDRESS(374,13)))</f>
        <v>0</v>
      </c>
      <c r="N375">
        <f>IF(DAY(NOW())&lt;M3,INDIRECT(ADDRESS(375,13))-INDIRECT(ADDRESS(370,14))+INDIRECT(ADDRESS(371,14))-INDIRECT(ADDRESS(374,14)),INDIRECT(ADDRESS(375,13))-INDIRECT(ADDRESS(370,14))+INDIRECT(ADDRESS(373,14))-INDIRECT(ADDRESS(374,14)))</f>
        <v>0</v>
      </c>
      <c r="O375">
        <f>IF(DAY(NOW())&lt;M3,INDIRECT(ADDRESS(375,14))-INDIRECT(ADDRESS(370,15))+INDIRECT(ADDRESS(371,15))-INDIRECT(ADDRESS(374,15)),INDIRECT(ADDRESS(375,14))-INDIRECT(ADDRESS(370,15))+INDIRECT(ADDRESS(373,15))-INDIRECT(ADDRESS(374,15)))</f>
        <v>0</v>
      </c>
      <c r="P375">
        <f>IF(DAY(NOW())&lt;M3,INDIRECT(ADDRESS(375,15))-INDIRECT(ADDRESS(370,16))+INDIRECT(ADDRESS(371,16))-INDIRECT(ADDRESS(374,16)),INDIRECT(ADDRESS(375,15))-INDIRECT(ADDRESS(370,16))+INDIRECT(ADDRESS(373,16))-INDIRECT(ADDRESS(374,16)))</f>
        <v>0</v>
      </c>
      <c r="Q375">
        <f>IF(DAY(NOW())&lt;M3,INDIRECT(ADDRESS(375,16))-INDIRECT(ADDRESS(370,17))+INDIRECT(ADDRESS(371,17))-INDIRECT(ADDRESS(374,17)),INDIRECT(ADDRESS(375,16))-INDIRECT(ADDRESS(370,17))+INDIRECT(ADDRESS(373,17))-INDIRECT(ADDRESS(374,17)))</f>
        <v>0</v>
      </c>
      <c r="R375">
        <f>IF(DAY(NOW())&lt;M3,INDIRECT(ADDRESS(375,17))-INDIRECT(ADDRESS(370,18))+INDIRECT(ADDRESS(371,18))-INDIRECT(ADDRESS(374,18)),INDIRECT(ADDRESS(375,17))-INDIRECT(ADDRESS(370,18))+INDIRECT(ADDRESS(373,18))-INDIRECT(ADDRESS(374,18)))</f>
        <v>0</v>
      </c>
      <c r="S375">
        <f>IF(DAY(NOW())&lt;M3,INDIRECT(ADDRESS(375,18))-INDIRECT(ADDRESS(370,19))+INDIRECT(ADDRESS(371,19))-INDIRECT(ADDRESS(374,19)),INDIRECT(ADDRESS(375,18))-INDIRECT(ADDRESS(370,19))+INDIRECT(ADDRESS(373,19))-INDIRECT(ADDRESS(374,19)))</f>
        <v>0</v>
      </c>
      <c r="T375">
        <f>IF(DAY(NOW())&lt;M3,INDIRECT(ADDRESS(375,19))-INDIRECT(ADDRESS(370,20))+INDIRECT(ADDRESS(371,20))-INDIRECT(ADDRESS(374,20)),INDIRECT(ADDRESS(375,19))-INDIRECT(ADDRESS(370,20))+INDIRECT(ADDRESS(373,20))-INDIRECT(ADDRESS(374,20)))</f>
        <v>0</v>
      </c>
      <c r="U375">
        <f>IF(DAY(NOW())&lt;M3,INDIRECT(ADDRESS(375,20))-INDIRECT(ADDRESS(370,21))+INDIRECT(ADDRESS(371,21))-INDIRECT(ADDRESS(374,21)),INDIRECT(ADDRESS(375,20))-INDIRECT(ADDRESS(370,21))+INDIRECT(ADDRESS(373,21))-INDIRECT(ADDRESS(374,21)))</f>
        <v>0</v>
      </c>
      <c r="V375">
        <f>IF(DAY(NOW())&lt;M3,INDIRECT(ADDRESS(375,21))-INDIRECT(ADDRESS(370,22))+INDIRECT(ADDRESS(371,22))-INDIRECT(ADDRESS(374,22)),INDIRECT(ADDRESS(375,21))-INDIRECT(ADDRESS(370,22))+INDIRECT(ADDRESS(373,22))-INDIRECT(ADDRESS(374,22)))</f>
        <v>0</v>
      </c>
      <c r="W375">
        <f>IF(DAY(NOW())&lt;M3,INDIRECT(ADDRESS(375,22))-INDIRECT(ADDRESS(370,23))+INDIRECT(ADDRESS(371,23))-INDIRECT(ADDRESS(374,23)),INDIRECT(ADDRESS(375,22))-INDIRECT(ADDRESS(370,23))+INDIRECT(ADDRESS(373,23))-INDIRECT(ADDRESS(374,23)))</f>
        <v>0</v>
      </c>
      <c r="X375">
        <f>IF(DAY(NOW())&lt;M3,INDIRECT(ADDRESS(375,23))-INDIRECT(ADDRESS(370,24))+INDIRECT(ADDRESS(371,24))-INDIRECT(ADDRESS(374,24)),INDIRECT(ADDRESS(375,23))-INDIRECT(ADDRESS(370,24))+INDIRECT(ADDRESS(373,24))-INDIRECT(ADDRESS(374,24)))</f>
        <v>0</v>
      </c>
      <c r="Y375">
        <f>IF(DAY(NOW())&lt;M3,INDIRECT(ADDRESS(375,24))-INDIRECT(ADDRESS(370,25))+INDIRECT(ADDRESS(371,25))-INDIRECT(ADDRESS(374,25)),INDIRECT(ADDRESS(375,24))-INDIRECT(ADDRESS(370,25))+INDIRECT(ADDRESS(373,25))-INDIRECT(ADDRESS(374,25)))</f>
        <v>0</v>
      </c>
      <c r="Z375">
        <f>IF(DAY(NOW())&lt;M3,INDIRECT(ADDRESS(375,25))-INDIRECT(ADDRESS(370,26))+INDIRECT(ADDRESS(371,26))-INDIRECT(ADDRESS(374,26)),INDIRECT(ADDRESS(375,25))-INDIRECT(ADDRESS(370,26))+INDIRECT(ADDRESS(373,26))-INDIRECT(ADDRESS(374,26)))</f>
        <v>0</v>
      </c>
      <c r="AA375">
        <f>IF(DAY(NOW())&lt;M3,INDIRECT(ADDRESS(375,26))-INDIRECT(ADDRESS(370,27))+INDIRECT(ADDRESS(371,27))-INDIRECT(ADDRESS(374,27)),INDIRECT(ADDRESS(375,26))-INDIRECT(ADDRESS(370,27))+INDIRECT(ADDRESS(373,27))-INDIRECT(ADDRESS(374,27)))</f>
        <v>0</v>
      </c>
      <c r="AB375">
        <f>IF(DAY(NOW())&lt;M3,INDIRECT(ADDRESS(375,27))-INDIRECT(ADDRESS(370,28))+INDIRECT(ADDRESS(371,28))-INDIRECT(ADDRESS(374,28)),INDIRECT(ADDRESS(375,27))-INDIRECT(ADDRESS(370,28))+INDIRECT(ADDRESS(373,28))-INDIRECT(ADDRESS(374,28)))</f>
        <v>0</v>
      </c>
      <c r="AC375">
        <f>IF(DAY(NOW())&lt;M3,INDIRECT(ADDRESS(375,28))-INDIRECT(ADDRESS(370,29))+INDIRECT(ADDRESS(371,29))-INDIRECT(ADDRESS(374,29)),INDIRECT(ADDRESS(375,28))-INDIRECT(ADDRESS(370,29))+INDIRECT(ADDRESS(373,29))-INDIRECT(ADDRESS(374,29)))</f>
        <v>0</v>
      </c>
      <c r="AD375">
        <f>IF(DAY(NOW())&lt;M3,INDIRECT(ADDRESS(375,29))-INDIRECT(ADDRESS(370,30))+INDIRECT(ADDRESS(371,30))-INDIRECT(ADDRESS(374,30)),INDIRECT(ADDRESS(375,29))-INDIRECT(ADDRESS(370,30))+INDIRECT(ADDRESS(373,30))-INDIRECT(ADDRESS(374,30)))</f>
        <v>0</v>
      </c>
      <c r="AE375">
        <f>IF(DAY(NOW())&lt;M3,INDIRECT(ADDRESS(375,30))-INDIRECT(ADDRESS(370,31))+INDIRECT(ADDRESS(371,31))-INDIRECT(ADDRESS(374,31)),INDIRECT(ADDRESS(375,30))-INDIRECT(ADDRESS(370,31))+INDIRECT(ADDRESS(373,31))-INDIRECT(ADDRESS(374,31)))</f>
        <v>0</v>
      </c>
      <c r="AF375">
        <f>IF(DAY(NOW())&lt;M3,INDIRECT(ADDRESS(375,31))-INDIRECT(ADDRESS(370,32))+INDIRECT(ADDRESS(371,32))-INDIRECT(ADDRESS(374,32)),INDIRECT(ADDRESS(375,31))-INDIRECT(ADDRESS(370,32))+INDIRECT(ADDRESS(373,32))-INDIRECT(ADDRESS(374,32)))</f>
        <v>0</v>
      </c>
      <c r="AG375">
        <f>IF(DAY(NOW())&lt;M3,INDIRECT(ADDRESS(375,32))-INDIRECT(ADDRESS(370,33))+INDIRECT(ADDRESS(371,33))-INDIRECT(ADDRESS(374,33)),INDIRECT(ADDRESS(375,32))-INDIRECT(ADDRESS(370,33))+INDIRECT(ADDRESS(373,33))-INDIRECT(ADDRESS(374,33)))</f>
        <v>0</v>
      </c>
      <c r="AH375">
        <f>IF(DAY(NOW())&lt;M3,INDIRECT(ADDRESS(375,33))-INDIRECT(ADDRESS(370,34))+INDIRECT(ADDRESS(371,34))-INDIRECT(ADDRESS(374,34)),INDIRECT(ADDRESS(375,33))-INDIRECT(ADDRESS(370,34))+INDIRECT(ADDRESS(373,34))-INDIRECT(ADDRESS(374,34)))</f>
        <v>0</v>
      </c>
      <c r="AI375">
        <f>IF(DAY(NOW())&lt;M3,INDIRECT(ADDRESS(375,34))-INDIRECT(ADDRESS(370,35))+INDIRECT(ADDRESS(371,35))-INDIRECT(ADDRESS(374,35)),INDIRECT(ADDRESS(375,34))-INDIRECT(ADDRESS(370,35))+INDIRECT(ADDRESS(373,35))-INDIRECT(ADDRESS(374,35)))</f>
        <v>0</v>
      </c>
      <c r="AJ375">
        <f>IF(DAY(NOW())&lt;M3,INDIRECT(ADDRESS(375,35))-INDIRECT(ADDRESS(370,36))+INDIRECT(ADDRESS(371,36))-INDIRECT(ADDRESS(374,36)),INDIRECT(ADDRESS(375,35))-INDIRECT(ADDRESS(370,36))+INDIRECT(ADDRESS(373,36))-INDIRECT(ADDRESS(374,36)))</f>
        <v>0</v>
      </c>
      <c r="AK375">
        <f>IF(DAY(NOW())&lt;M3,INDIRECT(ADDRESS(375,36))-INDIRECT(ADDRESS(370,37))+INDIRECT(ADDRESS(371,37))-INDIRECT(ADDRESS(374,37)),INDIRECT(ADDRESS(375,36))-INDIRECT(ADDRESS(370,37))+INDIRECT(ADDRESS(373,37))-INDIRECT(ADDRESS(374,37)))</f>
        <v>0</v>
      </c>
      <c r="AL375">
        <f>IF(DAY(NOW())&lt;M3,INDIRECT(ADDRESS(375,37))-INDIRECT(ADDRESS(370,38))+INDIRECT(ADDRESS(371,38))-INDIRECT(ADDRESS(374,38)),INDIRECT(ADDRESS(375,37))-INDIRECT(ADDRESS(370,38))+INDIRECT(ADDRESS(373,38))-INDIRECT(ADDRESS(374,38)))</f>
        <v>0</v>
      </c>
      <c r="AM375">
        <f>IF(DAY(NOW())&lt;M3,INDIRECT(ADDRESS(375,38))-INDIRECT(ADDRESS(370,39))+INDIRECT(ADDRESS(371,39))-INDIRECT(ADDRESS(374,39)),INDIRECT(ADDRESS(375,38))-INDIRECT(ADDRESS(370,39))+INDIRECT(ADDRESS(373,39))-INDIRECT(ADDRESS(374,39)))</f>
        <v>0</v>
      </c>
      <c r="AN375">
        <f>IF(DAY(NOW())&lt;M3,INDIRECT(ADDRESS(375,39))-INDIRECT(ADDRESS(370,40))+INDIRECT(ADDRESS(371,40))-INDIRECT(ADDRESS(374,40)),INDIRECT(ADDRESS(375,39))-INDIRECT(ADDRESS(370,40))+INDIRECT(ADDRESS(373,40))-INDIRECT(ADDRESS(374,40)))</f>
        <v>0</v>
      </c>
      <c r="AO375">
        <f>IF(DAY(NOW())&lt;M3,INDIRECT(ADDRESS(375,40))-INDIRECT(ADDRESS(370,41))+INDIRECT(ADDRESS(371,41))-INDIRECT(ADDRESS(374,41)),INDIRECT(ADDRESS(375,40))-INDIRECT(ADDRESS(370,41))+INDIRECT(ADDRESS(373,41))-INDIRECT(ADDRESS(374,41)))</f>
        <v>0</v>
      </c>
      <c r="AP375">
        <f>IF(DAY(NOW())&lt;M3,INDIRECT(ADDRESS(375,41))-INDIRECT(ADDRESS(370,42))+INDIRECT(ADDRESS(371,42))-INDIRECT(ADDRESS(374,42)),INDIRECT(ADDRESS(375,41))-INDIRECT(ADDRESS(370,42))+INDIRECT(ADDRESS(373,42))-INDIRECT(ADDRESS(374,42)))</f>
        <v>0</v>
      </c>
      <c r="AQ375">
        <f>IF(DAY(NOW())&lt;M3,INDIRECT(ADDRESS(375,42))-INDIRECT(ADDRESS(370,43))+INDIRECT(ADDRESS(371,43))-INDIRECT(ADDRESS(374,43)),INDIRECT(ADDRESS(375,42))-INDIRECT(ADDRESS(370,43))+INDIRECT(ADDRESS(373,43))-INDIRECT(ADDRESS(374,43)))</f>
        <v>0</v>
      </c>
      <c r="AR375">
        <f>IF(DAY(NOW())&lt;M3,INDIRECT(ADDRESS(375,43))-INDIRECT(ADDRESS(370,44))+INDIRECT(ADDRESS(371,44))-INDIRECT(ADDRESS(374,44)),INDIRECT(ADDRESS(375,43))-INDIRECT(ADDRESS(370,44))+INDIRECT(ADDRESS(373,44))-INDIRECT(ADDRESS(374,44)))</f>
        <v>0</v>
      </c>
    </row>
    <row r="376" spans="1:76">
      <c r="A376" t="s">
        <v>14</v>
      </c>
      <c r="B376" t="s">
        <v>234</v>
      </c>
      <c r="C376" t="s">
        <v>235</v>
      </c>
      <c r="D376" t="s">
        <v>27</v>
      </c>
      <c r="E376">
        <v>1</v>
      </c>
      <c r="F376" t="s">
        <v>236</v>
      </c>
      <c r="H376" t="s">
        <v>237</v>
      </c>
      <c r="I376" t="s">
        <v>238</v>
      </c>
      <c r="K376" t="s">
        <v>20</v>
      </c>
      <c r="L376" t="s">
        <v>21</v>
      </c>
      <c r="BX376">
        <f>sum(j376:an376)</f>
        <v>0</v>
      </c>
    </row>
    <row r="377" spans="1:76">
      <c r="A377" t="s">
        <v>14</v>
      </c>
      <c r="B377" t="s">
        <v>234</v>
      </c>
      <c r="C377" t="s">
        <v>235</v>
      </c>
      <c r="D377" t="s">
        <v>27</v>
      </c>
      <c r="E377">
        <v>1</v>
      </c>
      <c r="F377" t="s">
        <v>236</v>
      </c>
      <c r="H377" t="s">
        <v>237</v>
      </c>
      <c r="I377" t="s">
        <v>238</v>
      </c>
      <c r="K377" t="s">
        <v>20</v>
      </c>
      <c r="L377" t="s">
        <v>37</v>
      </c>
    </row>
    <row r="378" spans="1:76">
      <c r="L378" t="s">
        <v>662</v>
      </c>
    </row>
    <row r="379" spans="1:76">
      <c r="L379" t="s">
        <v>663</v>
      </c>
    </row>
    <row r="380" spans="1:76">
      <c r="L380" t="s">
        <v>664</v>
      </c>
    </row>
    <row r="381" spans="1:76">
      <c r="L381" t="s">
        <v>665</v>
      </c>
      <c r="M381">
        <f>IF(DAY(NOW())&lt;M3,INDIRECT(ADDRESS(381,7))-INDIRECT(ADDRESS(376,13))+INDIRECT(ADDRESS(377,13))-INDIRECT(ADDRESS(380,13)),INDIRECT(ADDRESS(381,7))-INDIRECT(ADDRESS(376,13))+INDIRECT(ADDRESS(379,13))-INDIRECT(ADDRESS(380,13)))</f>
        <v>0</v>
      </c>
      <c r="N381">
        <f>IF(DAY(NOW())&lt;M3,INDIRECT(ADDRESS(381,13))-INDIRECT(ADDRESS(376,14))+INDIRECT(ADDRESS(377,14))-INDIRECT(ADDRESS(380,14)),INDIRECT(ADDRESS(381,13))-INDIRECT(ADDRESS(376,14))+INDIRECT(ADDRESS(379,14))-INDIRECT(ADDRESS(380,14)))</f>
        <v>0</v>
      </c>
      <c r="O381">
        <f>IF(DAY(NOW())&lt;M3,INDIRECT(ADDRESS(381,14))-INDIRECT(ADDRESS(376,15))+INDIRECT(ADDRESS(377,15))-INDIRECT(ADDRESS(380,15)),INDIRECT(ADDRESS(381,14))-INDIRECT(ADDRESS(376,15))+INDIRECT(ADDRESS(379,15))-INDIRECT(ADDRESS(380,15)))</f>
        <v>0</v>
      </c>
      <c r="P381">
        <f>IF(DAY(NOW())&lt;M3,INDIRECT(ADDRESS(381,15))-INDIRECT(ADDRESS(376,16))+INDIRECT(ADDRESS(377,16))-INDIRECT(ADDRESS(380,16)),INDIRECT(ADDRESS(381,15))-INDIRECT(ADDRESS(376,16))+INDIRECT(ADDRESS(379,16))-INDIRECT(ADDRESS(380,16)))</f>
        <v>0</v>
      </c>
      <c r="Q381">
        <f>IF(DAY(NOW())&lt;M3,INDIRECT(ADDRESS(381,16))-INDIRECT(ADDRESS(376,17))+INDIRECT(ADDRESS(377,17))-INDIRECT(ADDRESS(380,17)),INDIRECT(ADDRESS(381,16))-INDIRECT(ADDRESS(376,17))+INDIRECT(ADDRESS(379,17))-INDIRECT(ADDRESS(380,17)))</f>
        <v>0</v>
      </c>
      <c r="R381">
        <f>IF(DAY(NOW())&lt;M3,INDIRECT(ADDRESS(381,17))-INDIRECT(ADDRESS(376,18))+INDIRECT(ADDRESS(377,18))-INDIRECT(ADDRESS(380,18)),INDIRECT(ADDRESS(381,17))-INDIRECT(ADDRESS(376,18))+INDIRECT(ADDRESS(379,18))-INDIRECT(ADDRESS(380,18)))</f>
        <v>0</v>
      </c>
      <c r="S381">
        <f>IF(DAY(NOW())&lt;M3,INDIRECT(ADDRESS(381,18))-INDIRECT(ADDRESS(376,19))+INDIRECT(ADDRESS(377,19))-INDIRECT(ADDRESS(380,19)),INDIRECT(ADDRESS(381,18))-INDIRECT(ADDRESS(376,19))+INDIRECT(ADDRESS(379,19))-INDIRECT(ADDRESS(380,19)))</f>
        <v>0</v>
      </c>
      <c r="T381">
        <f>IF(DAY(NOW())&lt;M3,INDIRECT(ADDRESS(381,19))-INDIRECT(ADDRESS(376,20))+INDIRECT(ADDRESS(377,20))-INDIRECT(ADDRESS(380,20)),INDIRECT(ADDRESS(381,19))-INDIRECT(ADDRESS(376,20))+INDIRECT(ADDRESS(379,20))-INDIRECT(ADDRESS(380,20)))</f>
        <v>0</v>
      </c>
      <c r="U381">
        <f>IF(DAY(NOW())&lt;M3,INDIRECT(ADDRESS(381,20))-INDIRECT(ADDRESS(376,21))+INDIRECT(ADDRESS(377,21))-INDIRECT(ADDRESS(380,21)),INDIRECT(ADDRESS(381,20))-INDIRECT(ADDRESS(376,21))+INDIRECT(ADDRESS(379,21))-INDIRECT(ADDRESS(380,21)))</f>
        <v>0</v>
      </c>
      <c r="V381">
        <f>IF(DAY(NOW())&lt;M3,INDIRECT(ADDRESS(381,21))-INDIRECT(ADDRESS(376,22))+INDIRECT(ADDRESS(377,22))-INDIRECT(ADDRESS(380,22)),INDIRECT(ADDRESS(381,21))-INDIRECT(ADDRESS(376,22))+INDIRECT(ADDRESS(379,22))-INDIRECT(ADDRESS(380,22)))</f>
        <v>0</v>
      </c>
      <c r="W381">
        <f>IF(DAY(NOW())&lt;M3,INDIRECT(ADDRESS(381,22))-INDIRECT(ADDRESS(376,23))+INDIRECT(ADDRESS(377,23))-INDIRECT(ADDRESS(380,23)),INDIRECT(ADDRESS(381,22))-INDIRECT(ADDRESS(376,23))+INDIRECT(ADDRESS(379,23))-INDIRECT(ADDRESS(380,23)))</f>
        <v>0</v>
      </c>
      <c r="X381">
        <f>IF(DAY(NOW())&lt;M3,INDIRECT(ADDRESS(381,23))-INDIRECT(ADDRESS(376,24))+INDIRECT(ADDRESS(377,24))-INDIRECT(ADDRESS(380,24)),INDIRECT(ADDRESS(381,23))-INDIRECT(ADDRESS(376,24))+INDIRECT(ADDRESS(379,24))-INDIRECT(ADDRESS(380,24)))</f>
        <v>0</v>
      </c>
      <c r="Y381">
        <f>IF(DAY(NOW())&lt;M3,INDIRECT(ADDRESS(381,24))-INDIRECT(ADDRESS(376,25))+INDIRECT(ADDRESS(377,25))-INDIRECT(ADDRESS(380,25)),INDIRECT(ADDRESS(381,24))-INDIRECT(ADDRESS(376,25))+INDIRECT(ADDRESS(379,25))-INDIRECT(ADDRESS(380,25)))</f>
        <v>0</v>
      </c>
      <c r="Z381">
        <f>IF(DAY(NOW())&lt;M3,INDIRECT(ADDRESS(381,25))-INDIRECT(ADDRESS(376,26))+INDIRECT(ADDRESS(377,26))-INDIRECT(ADDRESS(380,26)),INDIRECT(ADDRESS(381,25))-INDIRECT(ADDRESS(376,26))+INDIRECT(ADDRESS(379,26))-INDIRECT(ADDRESS(380,26)))</f>
        <v>0</v>
      </c>
      <c r="AA381">
        <f>IF(DAY(NOW())&lt;M3,INDIRECT(ADDRESS(381,26))-INDIRECT(ADDRESS(376,27))+INDIRECT(ADDRESS(377,27))-INDIRECT(ADDRESS(380,27)),INDIRECT(ADDRESS(381,26))-INDIRECT(ADDRESS(376,27))+INDIRECT(ADDRESS(379,27))-INDIRECT(ADDRESS(380,27)))</f>
        <v>0</v>
      </c>
      <c r="AB381">
        <f>IF(DAY(NOW())&lt;M3,INDIRECT(ADDRESS(381,27))-INDIRECT(ADDRESS(376,28))+INDIRECT(ADDRESS(377,28))-INDIRECT(ADDRESS(380,28)),INDIRECT(ADDRESS(381,27))-INDIRECT(ADDRESS(376,28))+INDIRECT(ADDRESS(379,28))-INDIRECT(ADDRESS(380,28)))</f>
        <v>0</v>
      </c>
      <c r="AC381">
        <f>IF(DAY(NOW())&lt;M3,INDIRECT(ADDRESS(381,28))-INDIRECT(ADDRESS(376,29))+INDIRECT(ADDRESS(377,29))-INDIRECT(ADDRESS(380,29)),INDIRECT(ADDRESS(381,28))-INDIRECT(ADDRESS(376,29))+INDIRECT(ADDRESS(379,29))-INDIRECT(ADDRESS(380,29)))</f>
        <v>0</v>
      </c>
      <c r="AD381">
        <f>IF(DAY(NOW())&lt;M3,INDIRECT(ADDRESS(381,29))-INDIRECT(ADDRESS(376,30))+INDIRECT(ADDRESS(377,30))-INDIRECT(ADDRESS(380,30)),INDIRECT(ADDRESS(381,29))-INDIRECT(ADDRESS(376,30))+INDIRECT(ADDRESS(379,30))-INDIRECT(ADDRESS(380,30)))</f>
        <v>0</v>
      </c>
      <c r="AE381">
        <f>IF(DAY(NOW())&lt;M3,INDIRECT(ADDRESS(381,30))-INDIRECT(ADDRESS(376,31))+INDIRECT(ADDRESS(377,31))-INDIRECT(ADDRESS(380,31)),INDIRECT(ADDRESS(381,30))-INDIRECT(ADDRESS(376,31))+INDIRECT(ADDRESS(379,31))-INDIRECT(ADDRESS(380,31)))</f>
        <v>0</v>
      </c>
      <c r="AF381">
        <f>IF(DAY(NOW())&lt;M3,INDIRECT(ADDRESS(381,31))-INDIRECT(ADDRESS(376,32))+INDIRECT(ADDRESS(377,32))-INDIRECT(ADDRESS(380,32)),INDIRECT(ADDRESS(381,31))-INDIRECT(ADDRESS(376,32))+INDIRECT(ADDRESS(379,32))-INDIRECT(ADDRESS(380,32)))</f>
        <v>0</v>
      </c>
      <c r="AG381">
        <f>IF(DAY(NOW())&lt;M3,INDIRECT(ADDRESS(381,32))-INDIRECT(ADDRESS(376,33))+INDIRECT(ADDRESS(377,33))-INDIRECT(ADDRESS(380,33)),INDIRECT(ADDRESS(381,32))-INDIRECT(ADDRESS(376,33))+INDIRECT(ADDRESS(379,33))-INDIRECT(ADDRESS(380,33)))</f>
        <v>0</v>
      </c>
      <c r="AH381">
        <f>IF(DAY(NOW())&lt;M3,INDIRECT(ADDRESS(381,33))-INDIRECT(ADDRESS(376,34))+INDIRECT(ADDRESS(377,34))-INDIRECT(ADDRESS(380,34)),INDIRECT(ADDRESS(381,33))-INDIRECT(ADDRESS(376,34))+INDIRECT(ADDRESS(379,34))-INDIRECT(ADDRESS(380,34)))</f>
        <v>0</v>
      </c>
      <c r="AI381">
        <f>IF(DAY(NOW())&lt;M3,INDIRECT(ADDRESS(381,34))-INDIRECT(ADDRESS(376,35))+INDIRECT(ADDRESS(377,35))-INDIRECT(ADDRESS(380,35)),INDIRECT(ADDRESS(381,34))-INDIRECT(ADDRESS(376,35))+INDIRECT(ADDRESS(379,35))-INDIRECT(ADDRESS(380,35)))</f>
        <v>0</v>
      </c>
      <c r="AJ381">
        <f>IF(DAY(NOW())&lt;M3,INDIRECT(ADDRESS(381,35))-INDIRECT(ADDRESS(376,36))+INDIRECT(ADDRESS(377,36))-INDIRECT(ADDRESS(380,36)),INDIRECT(ADDRESS(381,35))-INDIRECT(ADDRESS(376,36))+INDIRECT(ADDRESS(379,36))-INDIRECT(ADDRESS(380,36)))</f>
        <v>0</v>
      </c>
      <c r="AK381">
        <f>IF(DAY(NOW())&lt;M3,INDIRECT(ADDRESS(381,36))-INDIRECT(ADDRESS(376,37))+INDIRECT(ADDRESS(377,37))-INDIRECT(ADDRESS(380,37)),INDIRECT(ADDRESS(381,36))-INDIRECT(ADDRESS(376,37))+INDIRECT(ADDRESS(379,37))-INDIRECT(ADDRESS(380,37)))</f>
        <v>0</v>
      </c>
      <c r="AL381">
        <f>IF(DAY(NOW())&lt;M3,INDIRECT(ADDRESS(381,37))-INDIRECT(ADDRESS(376,38))+INDIRECT(ADDRESS(377,38))-INDIRECT(ADDRESS(380,38)),INDIRECT(ADDRESS(381,37))-INDIRECT(ADDRESS(376,38))+INDIRECT(ADDRESS(379,38))-INDIRECT(ADDRESS(380,38)))</f>
        <v>0</v>
      </c>
      <c r="AM381">
        <f>IF(DAY(NOW())&lt;M3,INDIRECT(ADDRESS(381,38))-INDIRECT(ADDRESS(376,39))+INDIRECT(ADDRESS(377,39))-INDIRECT(ADDRESS(380,39)),INDIRECT(ADDRESS(381,38))-INDIRECT(ADDRESS(376,39))+INDIRECT(ADDRESS(379,39))-INDIRECT(ADDRESS(380,39)))</f>
        <v>0</v>
      </c>
      <c r="AN381">
        <f>IF(DAY(NOW())&lt;M3,INDIRECT(ADDRESS(381,39))-INDIRECT(ADDRESS(376,40))+INDIRECT(ADDRESS(377,40))-INDIRECT(ADDRESS(380,40)),INDIRECT(ADDRESS(381,39))-INDIRECT(ADDRESS(376,40))+INDIRECT(ADDRESS(379,40))-INDIRECT(ADDRESS(380,40)))</f>
        <v>0</v>
      </c>
      <c r="AO381">
        <f>IF(DAY(NOW())&lt;M3,INDIRECT(ADDRESS(381,40))-INDIRECT(ADDRESS(376,41))+INDIRECT(ADDRESS(377,41))-INDIRECT(ADDRESS(380,41)),INDIRECT(ADDRESS(381,40))-INDIRECT(ADDRESS(376,41))+INDIRECT(ADDRESS(379,41))-INDIRECT(ADDRESS(380,41)))</f>
        <v>0</v>
      </c>
      <c r="AP381">
        <f>IF(DAY(NOW())&lt;M3,INDIRECT(ADDRESS(381,41))-INDIRECT(ADDRESS(376,42))+INDIRECT(ADDRESS(377,42))-INDIRECT(ADDRESS(380,42)),INDIRECT(ADDRESS(381,41))-INDIRECT(ADDRESS(376,42))+INDIRECT(ADDRESS(379,42))-INDIRECT(ADDRESS(380,42)))</f>
        <v>0</v>
      </c>
      <c r="AQ381">
        <f>IF(DAY(NOW())&lt;M3,INDIRECT(ADDRESS(381,42))-INDIRECT(ADDRESS(376,43))+INDIRECT(ADDRESS(377,43))-INDIRECT(ADDRESS(380,43)),INDIRECT(ADDRESS(381,42))-INDIRECT(ADDRESS(376,43))+INDIRECT(ADDRESS(379,43))-INDIRECT(ADDRESS(380,43)))</f>
        <v>0</v>
      </c>
      <c r="AR381">
        <f>IF(DAY(NOW())&lt;M3,INDIRECT(ADDRESS(381,43))-INDIRECT(ADDRESS(376,44))+INDIRECT(ADDRESS(377,44))-INDIRECT(ADDRESS(380,44)),INDIRECT(ADDRESS(381,43))-INDIRECT(ADDRESS(376,44))+INDIRECT(ADDRESS(379,44))-INDIRECT(ADDRESS(380,44)))</f>
        <v>0</v>
      </c>
    </row>
    <row r="382" spans="1:76">
      <c r="A382" t="s">
        <v>31</v>
      </c>
      <c r="B382" t="s">
        <v>239</v>
      </c>
      <c r="C382" t="s">
        <v>240</v>
      </c>
      <c r="D382" t="s">
        <v>17</v>
      </c>
      <c r="E382">
        <v>1</v>
      </c>
      <c r="F382" t="s">
        <v>241</v>
      </c>
      <c r="H382" t="s">
        <v>35</v>
      </c>
      <c r="I382" t="s">
        <v>36</v>
      </c>
      <c r="K382" t="s">
        <v>20</v>
      </c>
      <c r="L382" t="s">
        <v>21</v>
      </c>
      <c r="M382">
        <f>sumifs(BOM!m:m,BOM!A:A,".1",BOM!B:B,"852-253000-100")</f>
        <v>0</v>
      </c>
      <c r="N382">
        <f>sumifs(BOM!n:n,BOM!A:A,".1",BOM!B:B,"852-253000-100")</f>
        <v>0</v>
      </c>
      <c r="O382">
        <f>sumifs(BOM!o:o,BOM!A:A,".1",BOM!B:B,"852-253000-100")</f>
        <v>0</v>
      </c>
      <c r="P382">
        <f>sumifs(BOM!p:p,BOM!A:A,".1",BOM!B:B,"852-253000-100")</f>
        <v>0</v>
      </c>
      <c r="Q382">
        <f>sumifs(BOM!q:q,BOM!A:A,".1",BOM!B:B,"852-253000-100")</f>
        <v>0</v>
      </c>
      <c r="R382">
        <f>sumifs(BOM!r:r,BOM!A:A,".1",BOM!B:B,"852-253000-100")</f>
        <v>0</v>
      </c>
      <c r="S382">
        <f>sumifs(BOM!s:s,BOM!A:A,".1",BOM!B:B,"852-253000-100")</f>
        <v>0</v>
      </c>
      <c r="T382">
        <f>sumifs(BOM!t:t,BOM!A:A,".1",BOM!B:B,"852-253000-100")</f>
        <v>0</v>
      </c>
      <c r="U382">
        <f>sumifs(BOM!u:u,BOM!A:A,".1",BOM!B:B,"852-253000-100")</f>
        <v>0</v>
      </c>
      <c r="V382">
        <f>sumifs(BOM!v:v,BOM!A:A,".1",BOM!B:B,"852-253000-100")</f>
        <v>0</v>
      </c>
      <c r="W382">
        <f>sumifs(BOM!w:w,BOM!A:A,".1",BOM!B:B,"852-253000-100")</f>
        <v>0</v>
      </c>
      <c r="X382">
        <f>sumifs(BOM!x:x,BOM!A:A,".1",BOM!B:B,"852-253000-100")</f>
        <v>0</v>
      </c>
      <c r="Y382">
        <f>sumifs(BOM!y:y,BOM!A:A,".1",BOM!B:B,"852-253000-100")</f>
        <v>0</v>
      </c>
      <c r="Z382">
        <f>sumifs(BOM!z:z,BOM!A:A,".1",BOM!B:B,"852-253000-100")</f>
        <v>0</v>
      </c>
      <c r="AA382">
        <f>sumifs(BOM!aa:aa,BOM!A:A,".1",BOM!B:B,"852-253000-100")</f>
        <v>0</v>
      </c>
      <c r="AB382">
        <f>sumifs(BOM!ab:ab,BOM!A:A,".1",BOM!B:B,"852-253000-100")</f>
        <v>0</v>
      </c>
      <c r="AC382">
        <f>sumifs(BOM!ac:ac,BOM!A:A,".1",BOM!B:B,"852-253000-100")</f>
        <v>0</v>
      </c>
      <c r="AD382">
        <f>sumifs(BOM!ad:ad,BOM!A:A,".1",BOM!B:B,"852-253000-100")</f>
        <v>0</v>
      </c>
      <c r="AE382">
        <f>sumifs(BOM!ae:ae,BOM!A:A,".1",BOM!B:B,"852-253000-100")</f>
        <v>0</v>
      </c>
      <c r="AF382">
        <f>sumifs(BOM!af:af,BOM!A:A,".1",BOM!B:B,"852-253000-100")</f>
        <v>0</v>
      </c>
      <c r="AG382">
        <f>sumifs(BOM!ag:ag,BOM!A:A,".1",BOM!B:B,"852-253000-100")</f>
        <v>0</v>
      </c>
      <c r="AH382">
        <f>sumifs(BOM!ah:ah,BOM!A:A,".1",BOM!B:B,"852-253000-100")</f>
        <v>0</v>
      </c>
      <c r="AI382">
        <f>sumifs(BOM!ai:ai,BOM!A:A,".1",BOM!B:B,"852-253000-100")</f>
        <v>0</v>
      </c>
      <c r="AJ382">
        <f>sumifs(BOM!aj:aj,BOM!A:A,".1",BOM!B:B,"852-253000-100")</f>
        <v>0</v>
      </c>
      <c r="AK382">
        <f>sumifs(BOM!ak:ak,BOM!A:A,".1",BOM!B:B,"852-253000-100")</f>
        <v>0</v>
      </c>
      <c r="AL382">
        <f>sumifs(BOM!al:al,BOM!A:A,".1",BOM!B:B,"852-253000-100")</f>
        <v>0</v>
      </c>
      <c r="AM382">
        <f>sumifs(BOM!am:am,BOM!A:A,".1",BOM!B:B,"852-253000-100")</f>
        <v>0</v>
      </c>
      <c r="AN382">
        <f>sumifs(BOM!an:an,BOM!A:A,".1",BOM!B:B,"852-253000-100")</f>
        <v>0</v>
      </c>
      <c r="AO382">
        <f>sumifs(BOM!ao:ao,BOM!A:A,".1",BOM!B:B,"852-253000-100")</f>
        <v>0</v>
      </c>
      <c r="AP382">
        <f>sumifs(BOM!ap:ap,BOM!A:A,".1",BOM!B:B,"852-253000-100")</f>
        <v>0</v>
      </c>
      <c r="AQ382">
        <f>sumifs(BOM!aq:aq,BOM!A:A,".1",BOM!B:B,"852-253000-100")</f>
        <v>0</v>
      </c>
      <c r="AR382">
        <f>sumifs(BOM!ar:ar,BOM!A:A,".1",BOM!B:B,"852-253000-100")</f>
        <v>0</v>
      </c>
      <c r="BX382">
        <f>sum(j382:an382)</f>
        <v>0</v>
      </c>
    </row>
    <row r="383" spans="1:76">
      <c r="A383" t="s">
        <v>31</v>
      </c>
      <c r="B383" t="s">
        <v>239</v>
      </c>
      <c r="C383" t="s">
        <v>240</v>
      </c>
      <c r="D383" t="s">
        <v>17</v>
      </c>
      <c r="E383">
        <v>1</v>
      </c>
      <c r="F383" t="s">
        <v>241</v>
      </c>
      <c r="H383" t="s">
        <v>35</v>
      </c>
      <c r="I383" t="s">
        <v>36</v>
      </c>
      <c r="K383" t="s">
        <v>20</v>
      </c>
      <c r="L383" t="s">
        <v>37</v>
      </c>
    </row>
    <row r="384" spans="1:76">
      <c r="L384" t="s">
        <v>662</v>
      </c>
    </row>
    <row r="385" spans="1:76">
      <c r="L385" t="s">
        <v>663</v>
      </c>
    </row>
    <row r="386" spans="1:76">
      <c r="L386" t="s">
        <v>664</v>
      </c>
    </row>
    <row r="387" spans="1:76">
      <c r="L387" t="s">
        <v>665</v>
      </c>
      <c r="M387">
        <f>IF(DAY(NOW())&lt;M3,INDIRECT(ADDRESS(387,7))-INDIRECT(ADDRESS(382,13))+INDIRECT(ADDRESS(383,13))-INDIRECT(ADDRESS(386,13)),INDIRECT(ADDRESS(387,7))-INDIRECT(ADDRESS(382,13))+INDIRECT(ADDRESS(385,13))-INDIRECT(ADDRESS(386,13)))</f>
        <v>0</v>
      </c>
      <c r="N387">
        <f>IF(DAY(NOW())&lt;M3,INDIRECT(ADDRESS(387,13))-INDIRECT(ADDRESS(382,14))+INDIRECT(ADDRESS(383,14))-INDIRECT(ADDRESS(386,14)),INDIRECT(ADDRESS(387,13))-INDIRECT(ADDRESS(382,14))+INDIRECT(ADDRESS(385,14))-INDIRECT(ADDRESS(386,14)))</f>
        <v>0</v>
      </c>
      <c r="O387">
        <f>IF(DAY(NOW())&lt;M3,INDIRECT(ADDRESS(387,14))-INDIRECT(ADDRESS(382,15))+INDIRECT(ADDRESS(383,15))-INDIRECT(ADDRESS(386,15)),INDIRECT(ADDRESS(387,14))-INDIRECT(ADDRESS(382,15))+INDIRECT(ADDRESS(385,15))-INDIRECT(ADDRESS(386,15)))</f>
        <v>0</v>
      </c>
      <c r="P387">
        <f>IF(DAY(NOW())&lt;M3,INDIRECT(ADDRESS(387,15))-INDIRECT(ADDRESS(382,16))+INDIRECT(ADDRESS(383,16))-INDIRECT(ADDRESS(386,16)),INDIRECT(ADDRESS(387,15))-INDIRECT(ADDRESS(382,16))+INDIRECT(ADDRESS(385,16))-INDIRECT(ADDRESS(386,16)))</f>
        <v>0</v>
      </c>
      <c r="Q387">
        <f>IF(DAY(NOW())&lt;M3,INDIRECT(ADDRESS(387,16))-INDIRECT(ADDRESS(382,17))+INDIRECT(ADDRESS(383,17))-INDIRECT(ADDRESS(386,17)),INDIRECT(ADDRESS(387,16))-INDIRECT(ADDRESS(382,17))+INDIRECT(ADDRESS(385,17))-INDIRECT(ADDRESS(386,17)))</f>
        <v>0</v>
      </c>
      <c r="R387">
        <f>IF(DAY(NOW())&lt;M3,INDIRECT(ADDRESS(387,17))-INDIRECT(ADDRESS(382,18))+INDIRECT(ADDRESS(383,18))-INDIRECT(ADDRESS(386,18)),INDIRECT(ADDRESS(387,17))-INDIRECT(ADDRESS(382,18))+INDIRECT(ADDRESS(385,18))-INDIRECT(ADDRESS(386,18)))</f>
        <v>0</v>
      </c>
      <c r="S387">
        <f>IF(DAY(NOW())&lt;M3,INDIRECT(ADDRESS(387,18))-INDIRECT(ADDRESS(382,19))+INDIRECT(ADDRESS(383,19))-INDIRECT(ADDRESS(386,19)),INDIRECT(ADDRESS(387,18))-INDIRECT(ADDRESS(382,19))+INDIRECT(ADDRESS(385,19))-INDIRECT(ADDRESS(386,19)))</f>
        <v>0</v>
      </c>
      <c r="T387">
        <f>IF(DAY(NOW())&lt;M3,INDIRECT(ADDRESS(387,19))-INDIRECT(ADDRESS(382,20))+INDIRECT(ADDRESS(383,20))-INDIRECT(ADDRESS(386,20)),INDIRECT(ADDRESS(387,19))-INDIRECT(ADDRESS(382,20))+INDIRECT(ADDRESS(385,20))-INDIRECT(ADDRESS(386,20)))</f>
        <v>0</v>
      </c>
      <c r="U387">
        <f>IF(DAY(NOW())&lt;M3,INDIRECT(ADDRESS(387,20))-INDIRECT(ADDRESS(382,21))+INDIRECT(ADDRESS(383,21))-INDIRECT(ADDRESS(386,21)),INDIRECT(ADDRESS(387,20))-INDIRECT(ADDRESS(382,21))+INDIRECT(ADDRESS(385,21))-INDIRECT(ADDRESS(386,21)))</f>
        <v>0</v>
      </c>
      <c r="V387">
        <f>IF(DAY(NOW())&lt;M3,INDIRECT(ADDRESS(387,21))-INDIRECT(ADDRESS(382,22))+INDIRECT(ADDRESS(383,22))-INDIRECT(ADDRESS(386,22)),INDIRECT(ADDRESS(387,21))-INDIRECT(ADDRESS(382,22))+INDIRECT(ADDRESS(385,22))-INDIRECT(ADDRESS(386,22)))</f>
        <v>0</v>
      </c>
      <c r="W387">
        <f>IF(DAY(NOW())&lt;M3,INDIRECT(ADDRESS(387,22))-INDIRECT(ADDRESS(382,23))+INDIRECT(ADDRESS(383,23))-INDIRECT(ADDRESS(386,23)),INDIRECT(ADDRESS(387,22))-INDIRECT(ADDRESS(382,23))+INDIRECT(ADDRESS(385,23))-INDIRECT(ADDRESS(386,23)))</f>
        <v>0</v>
      </c>
      <c r="X387">
        <f>IF(DAY(NOW())&lt;M3,INDIRECT(ADDRESS(387,23))-INDIRECT(ADDRESS(382,24))+INDIRECT(ADDRESS(383,24))-INDIRECT(ADDRESS(386,24)),INDIRECT(ADDRESS(387,23))-INDIRECT(ADDRESS(382,24))+INDIRECT(ADDRESS(385,24))-INDIRECT(ADDRESS(386,24)))</f>
        <v>0</v>
      </c>
      <c r="Y387">
        <f>IF(DAY(NOW())&lt;M3,INDIRECT(ADDRESS(387,24))-INDIRECT(ADDRESS(382,25))+INDIRECT(ADDRESS(383,25))-INDIRECT(ADDRESS(386,25)),INDIRECT(ADDRESS(387,24))-INDIRECT(ADDRESS(382,25))+INDIRECT(ADDRESS(385,25))-INDIRECT(ADDRESS(386,25)))</f>
        <v>0</v>
      </c>
      <c r="Z387">
        <f>IF(DAY(NOW())&lt;M3,INDIRECT(ADDRESS(387,25))-INDIRECT(ADDRESS(382,26))+INDIRECT(ADDRESS(383,26))-INDIRECT(ADDRESS(386,26)),INDIRECT(ADDRESS(387,25))-INDIRECT(ADDRESS(382,26))+INDIRECT(ADDRESS(385,26))-INDIRECT(ADDRESS(386,26)))</f>
        <v>0</v>
      </c>
      <c r="AA387">
        <f>IF(DAY(NOW())&lt;M3,INDIRECT(ADDRESS(387,26))-INDIRECT(ADDRESS(382,27))+INDIRECT(ADDRESS(383,27))-INDIRECT(ADDRESS(386,27)),INDIRECT(ADDRESS(387,26))-INDIRECT(ADDRESS(382,27))+INDIRECT(ADDRESS(385,27))-INDIRECT(ADDRESS(386,27)))</f>
        <v>0</v>
      </c>
      <c r="AB387">
        <f>IF(DAY(NOW())&lt;M3,INDIRECT(ADDRESS(387,27))-INDIRECT(ADDRESS(382,28))+INDIRECT(ADDRESS(383,28))-INDIRECT(ADDRESS(386,28)),INDIRECT(ADDRESS(387,27))-INDIRECT(ADDRESS(382,28))+INDIRECT(ADDRESS(385,28))-INDIRECT(ADDRESS(386,28)))</f>
        <v>0</v>
      </c>
      <c r="AC387">
        <f>IF(DAY(NOW())&lt;M3,INDIRECT(ADDRESS(387,28))-INDIRECT(ADDRESS(382,29))+INDIRECT(ADDRESS(383,29))-INDIRECT(ADDRESS(386,29)),INDIRECT(ADDRESS(387,28))-INDIRECT(ADDRESS(382,29))+INDIRECT(ADDRESS(385,29))-INDIRECT(ADDRESS(386,29)))</f>
        <v>0</v>
      </c>
      <c r="AD387">
        <f>IF(DAY(NOW())&lt;M3,INDIRECT(ADDRESS(387,29))-INDIRECT(ADDRESS(382,30))+INDIRECT(ADDRESS(383,30))-INDIRECT(ADDRESS(386,30)),INDIRECT(ADDRESS(387,29))-INDIRECT(ADDRESS(382,30))+INDIRECT(ADDRESS(385,30))-INDIRECT(ADDRESS(386,30)))</f>
        <v>0</v>
      </c>
      <c r="AE387">
        <f>IF(DAY(NOW())&lt;M3,INDIRECT(ADDRESS(387,30))-INDIRECT(ADDRESS(382,31))+INDIRECT(ADDRESS(383,31))-INDIRECT(ADDRESS(386,31)),INDIRECT(ADDRESS(387,30))-INDIRECT(ADDRESS(382,31))+INDIRECT(ADDRESS(385,31))-INDIRECT(ADDRESS(386,31)))</f>
        <v>0</v>
      </c>
      <c r="AF387">
        <f>IF(DAY(NOW())&lt;M3,INDIRECT(ADDRESS(387,31))-INDIRECT(ADDRESS(382,32))+INDIRECT(ADDRESS(383,32))-INDIRECT(ADDRESS(386,32)),INDIRECT(ADDRESS(387,31))-INDIRECT(ADDRESS(382,32))+INDIRECT(ADDRESS(385,32))-INDIRECT(ADDRESS(386,32)))</f>
        <v>0</v>
      </c>
      <c r="AG387">
        <f>IF(DAY(NOW())&lt;M3,INDIRECT(ADDRESS(387,32))-INDIRECT(ADDRESS(382,33))+INDIRECT(ADDRESS(383,33))-INDIRECT(ADDRESS(386,33)),INDIRECT(ADDRESS(387,32))-INDIRECT(ADDRESS(382,33))+INDIRECT(ADDRESS(385,33))-INDIRECT(ADDRESS(386,33)))</f>
        <v>0</v>
      </c>
      <c r="AH387">
        <f>IF(DAY(NOW())&lt;M3,INDIRECT(ADDRESS(387,33))-INDIRECT(ADDRESS(382,34))+INDIRECT(ADDRESS(383,34))-INDIRECT(ADDRESS(386,34)),INDIRECT(ADDRESS(387,33))-INDIRECT(ADDRESS(382,34))+INDIRECT(ADDRESS(385,34))-INDIRECT(ADDRESS(386,34)))</f>
        <v>0</v>
      </c>
      <c r="AI387">
        <f>IF(DAY(NOW())&lt;M3,INDIRECT(ADDRESS(387,34))-INDIRECT(ADDRESS(382,35))+INDIRECT(ADDRESS(383,35))-INDIRECT(ADDRESS(386,35)),INDIRECT(ADDRESS(387,34))-INDIRECT(ADDRESS(382,35))+INDIRECT(ADDRESS(385,35))-INDIRECT(ADDRESS(386,35)))</f>
        <v>0</v>
      </c>
      <c r="AJ387">
        <f>IF(DAY(NOW())&lt;M3,INDIRECT(ADDRESS(387,35))-INDIRECT(ADDRESS(382,36))+INDIRECT(ADDRESS(383,36))-INDIRECT(ADDRESS(386,36)),INDIRECT(ADDRESS(387,35))-INDIRECT(ADDRESS(382,36))+INDIRECT(ADDRESS(385,36))-INDIRECT(ADDRESS(386,36)))</f>
        <v>0</v>
      </c>
      <c r="AK387">
        <f>IF(DAY(NOW())&lt;M3,INDIRECT(ADDRESS(387,36))-INDIRECT(ADDRESS(382,37))+INDIRECT(ADDRESS(383,37))-INDIRECT(ADDRESS(386,37)),INDIRECT(ADDRESS(387,36))-INDIRECT(ADDRESS(382,37))+INDIRECT(ADDRESS(385,37))-INDIRECT(ADDRESS(386,37)))</f>
        <v>0</v>
      </c>
      <c r="AL387">
        <f>IF(DAY(NOW())&lt;M3,INDIRECT(ADDRESS(387,37))-INDIRECT(ADDRESS(382,38))+INDIRECT(ADDRESS(383,38))-INDIRECT(ADDRESS(386,38)),INDIRECT(ADDRESS(387,37))-INDIRECT(ADDRESS(382,38))+INDIRECT(ADDRESS(385,38))-INDIRECT(ADDRESS(386,38)))</f>
        <v>0</v>
      </c>
      <c r="AM387">
        <f>IF(DAY(NOW())&lt;M3,INDIRECT(ADDRESS(387,38))-INDIRECT(ADDRESS(382,39))+INDIRECT(ADDRESS(383,39))-INDIRECT(ADDRESS(386,39)),INDIRECT(ADDRESS(387,38))-INDIRECT(ADDRESS(382,39))+INDIRECT(ADDRESS(385,39))-INDIRECT(ADDRESS(386,39)))</f>
        <v>0</v>
      </c>
      <c r="AN387">
        <f>IF(DAY(NOW())&lt;M3,INDIRECT(ADDRESS(387,39))-INDIRECT(ADDRESS(382,40))+INDIRECT(ADDRESS(383,40))-INDIRECT(ADDRESS(386,40)),INDIRECT(ADDRESS(387,39))-INDIRECT(ADDRESS(382,40))+INDIRECT(ADDRESS(385,40))-INDIRECT(ADDRESS(386,40)))</f>
        <v>0</v>
      </c>
      <c r="AO387">
        <f>IF(DAY(NOW())&lt;M3,INDIRECT(ADDRESS(387,40))-INDIRECT(ADDRESS(382,41))+INDIRECT(ADDRESS(383,41))-INDIRECT(ADDRESS(386,41)),INDIRECT(ADDRESS(387,40))-INDIRECT(ADDRESS(382,41))+INDIRECT(ADDRESS(385,41))-INDIRECT(ADDRESS(386,41)))</f>
        <v>0</v>
      </c>
      <c r="AP387">
        <f>IF(DAY(NOW())&lt;M3,INDIRECT(ADDRESS(387,41))-INDIRECT(ADDRESS(382,42))+INDIRECT(ADDRESS(383,42))-INDIRECT(ADDRESS(386,42)),INDIRECT(ADDRESS(387,41))-INDIRECT(ADDRESS(382,42))+INDIRECT(ADDRESS(385,42))-INDIRECT(ADDRESS(386,42)))</f>
        <v>0</v>
      </c>
      <c r="AQ387">
        <f>IF(DAY(NOW())&lt;M3,INDIRECT(ADDRESS(387,42))-INDIRECT(ADDRESS(382,43))+INDIRECT(ADDRESS(383,43))-INDIRECT(ADDRESS(386,43)),INDIRECT(ADDRESS(387,42))-INDIRECT(ADDRESS(382,43))+INDIRECT(ADDRESS(385,43))-INDIRECT(ADDRESS(386,43)))</f>
        <v>0</v>
      </c>
      <c r="AR387">
        <f>IF(DAY(NOW())&lt;M3,INDIRECT(ADDRESS(387,43))-INDIRECT(ADDRESS(382,44))+INDIRECT(ADDRESS(383,44))-INDIRECT(ADDRESS(386,44)),INDIRECT(ADDRESS(387,43))-INDIRECT(ADDRESS(382,44))+INDIRECT(ADDRESS(385,44))-INDIRECT(ADDRESS(386,44)))</f>
        <v>0</v>
      </c>
    </row>
    <row r="388" spans="1:76">
      <c r="A388" t="s">
        <v>14</v>
      </c>
      <c r="B388" t="s">
        <v>242</v>
      </c>
      <c r="C388" t="s">
        <v>243</v>
      </c>
      <c r="D388" t="s">
        <v>244</v>
      </c>
      <c r="E388">
        <v>1</v>
      </c>
      <c r="F388" t="s">
        <v>245</v>
      </c>
      <c r="H388" t="s">
        <v>237</v>
      </c>
      <c r="I388" t="s">
        <v>30</v>
      </c>
      <c r="K388" t="s">
        <v>20</v>
      </c>
      <c r="L388" t="s">
        <v>21</v>
      </c>
      <c r="BX388">
        <f>sum(j388:an388)</f>
        <v>0</v>
      </c>
    </row>
    <row r="389" spans="1:76">
      <c r="A389" t="s">
        <v>14</v>
      </c>
      <c r="B389" t="s">
        <v>242</v>
      </c>
      <c r="C389" t="s">
        <v>243</v>
      </c>
      <c r="D389" t="s">
        <v>244</v>
      </c>
      <c r="E389">
        <v>1</v>
      </c>
      <c r="F389" t="s">
        <v>245</v>
      </c>
      <c r="H389" t="s">
        <v>237</v>
      </c>
      <c r="I389" t="s">
        <v>30</v>
      </c>
      <c r="K389" t="s">
        <v>20</v>
      </c>
      <c r="L389" t="s">
        <v>37</v>
      </c>
    </row>
    <row r="390" spans="1:76">
      <c r="L390" t="s">
        <v>662</v>
      </c>
    </row>
    <row r="391" spans="1:76">
      <c r="L391" t="s">
        <v>663</v>
      </c>
    </row>
    <row r="392" spans="1:76">
      <c r="L392" t="s">
        <v>664</v>
      </c>
    </row>
    <row r="393" spans="1:76">
      <c r="L393" t="s">
        <v>665</v>
      </c>
      <c r="M393">
        <f>IF(DAY(NOW())&lt;M3,INDIRECT(ADDRESS(393,7))-INDIRECT(ADDRESS(388,13))+INDIRECT(ADDRESS(389,13))-INDIRECT(ADDRESS(392,13)),INDIRECT(ADDRESS(393,7))-INDIRECT(ADDRESS(388,13))+INDIRECT(ADDRESS(391,13))-INDIRECT(ADDRESS(392,13)))</f>
        <v>0</v>
      </c>
      <c r="N393">
        <f>IF(DAY(NOW())&lt;M3,INDIRECT(ADDRESS(393,13))-INDIRECT(ADDRESS(388,14))+INDIRECT(ADDRESS(389,14))-INDIRECT(ADDRESS(392,14)),INDIRECT(ADDRESS(393,13))-INDIRECT(ADDRESS(388,14))+INDIRECT(ADDRESS(391,14))-INDIRECT(ADDRESS(392,14)))</f>
        <v>0</v>
      </c>
      <c r="O393">
        <f>IF(DAY(NOW())&lt;M3,INDIRECT(ADDRESS(393,14))-INDIRECT(ADDRESS(388,15))+INDIRECT(ADDRESS(389,15))-INDIRECT(ADDRESS(392,15)),INDIRECT(ADDRESS(393,14))-INDIRECT(ADDRESS(388,15))+INDIRECT(ADDRESS(391,15))-INDIRECT(ADDRESS(392,15)))</f>
        <v>0</v>
      </c>
      <c r="P393">
        <f>IF(DAY(NOW())&lt;M3,INDIRECT(ADDRESS(393,15))-INDIRECT(ADDRESS(388,16))+INDIRECT(ADDRESS(389,16))-INDIRECT(ADDRESS(392,16)),INDIRECT(ADDRESS(393,15))-INDIRECT(ADDRESS(388,16))+INDIRECT(ADDRESS(391,16))-INDIRECT(ADDRESS(392,16)))</f>
        <v>0</v>
      </c>
      <c r="Q393">
        <f>IF(DAY(NOW())&lt;M3,INDIRECT(ADDRESS(393,16))-INDIRECT(ADDRESS(388,17))+INDIRECT(ADDRESS(389,17))-INDIRECT(ADDRESS(392,17)),INDIRECT(ADDRESS(393,16))-INDIRECT(ADDRESS(388,17))+INDIRECT(ADDRESS(391,17))-INDIRECT(ADDRESS(392,17)))</f>
        <v>0</v>
      </c>
      <c r="R393">
        <f>IF(DAY(NOW())&lt;M3,INDIRECT(ADDRESS(393,17))-INDIRECT(ADDRESS(388,18))+INDIRECT(ADDRESS(389,18))-INDIRECT(ADDRESS(392,18)),INDIRECT(ADDRESS(393,17))-INDIRECT(ADDRESS(388,18))+INDIRECT(ADDRESS(391,18))-INDIRECT(ADDRESS(392,18)))</f>
        <v>0</v>
      </c>
      <c r="S393">
        <f>IF(DAY(NOW())&lt;M3,INDIRECT(ADDRESS(393,18))-INDIRECT(ADDRESS(388,19))+INDIRECT(ADDRESS(389,19))-INDIRECT(ADDRESS(392,19)),INDIRECT(ADDRESS(393,18))-INDIRECT(ADDRESS(388,19))+INDIRECT(ADDRESS(391,19))-INDIRECT(ADDRESS(392,19)))</f>
        <v>0</v>
      </c>
      <c r="T393">
        <f>IF(DAY(NOW())&lt;M3,INDIRECT(ADDRESS(393,19))-INDIRECT(ADDRESS(388,20))+INDIRECT(ADDRESS(389,20))-INDIRECT(ADDRESS(392,20)),INDIRECT(ADDRESS(393,19))-INDIRECT(ADDRESS(388,20))+INDIRECT(ADDRESS(391,20))-INDIRECT(ADDRESS(392,20)))</f>
        <v>0</v>
      </c>
      <c r="U393">
        <f>IF(DAY(NOW())&lt;M3,INDIRECT(ADDRESS(393,20))-INDIRECT(ADDRESS(388,21))+INDIRECT(ADDRESS(389,21))-INDIRECT(ADDRESS(392,21)),INDIRECT(ADDRESS(393,20))-INDIRECT(ADDRESS(388,21))+INDIRECT(ADDRESS(391,21))-INDIRECT(ADDRESS(392,21)))</f>
        <v>0</v>
      </c>
      <c r="V393">
        <f>IF(DAY(NOW())&lt;M3,INDIRECT(ADDRESS(393,21))-INDIRECT(ADDRESS(388,22))+INDIRECT(ADDRESS(389,22))-INDIRECT(ADDRESS(392,22)),INDIRECT(ADDRESS(393,21))-INDIRECT(ADDRESS(388,22))+INDIRECT(ADDRESS(391,22))-INDIRECT(ADDRESS(392,22)))</f>
        <v>0</v>
      </c>
      <c r="W393">
        <f>IF(DAY(NOW())&lt;M3,INDIRECT(ADDRESS(393,22))-INDIRECT(ADDRESS(388,23))+INDIRECT(ADDRESS(389,23))-INDIRECT(ADDRESS(392,23)),INDIRECT(ADDRESS(393,22))-INDIRECT(ADDRESS(388,23))+INDIRECT(ADDRESS(391,23))-INDIRECT(ADDRESS(392,23)))</f>
        <v>0</v>
      </c>
      <c r="X393">
        <f>IF(DAY(NOW())&lt;M3,INDIRECT(ADDRESS(393,23))-INDIRECT(ADDRESS(388,24))+INDIRECT(ADDRESS(389,24))-INDIRECT(ADDRESS(392,24)),INDIRECT(ADDRESS(393,23))-INDIRECT(ADDRESS(388,24))+INDIRECT(ADDRESS(391,24))-INDIRECT(ADDRESS(392,24)))</f>
        <v>0</v>
      </c>
      <c r="Y393">
        <f>IF(DAY(NOW())&lt;M3,INDIRECT(ADDRESS(393,24))-INDIRECT(ADDRESS(388,25))+INDIRECT(ADDRESS(389,25))-INDIRECT(ADDRESS(392,25)),INDIRECT(ADDRESS(393,24))-INDIRECT(ADDRESS(388,25))+INDIRECT(ADDRESS(391,25))-INDIRECT(ADDRESS(392,25)))</f>
        <v>0</v>
      </c>
      <c r="Z393">
        <f>IF(DAY(NOW())&lt;M3,INDIRECT(ADDRESS(393,25))-INDIRECT(ADDRESS(388,26))+INDIRECT(ADDRESS(389,26))-INDIRECT(ADDRESS(392,26)),INDIRECT(ADDRESS(393,25))-INDIRECT(ADDRESS(388,26))+INDIRECT(ADDRESS(391,26))-INDIRECT(ADDRESS(392,26)))</f>
        <v>0</v>
      </c>
      <c r="AA393">
        <f>IF(DAY(NOW())&lt;M3,INDIRECT(ADDRESS(393,26))-INDIRECT(ADDRESS(388,27))+INDIRECT(ADDRESS(389,27))-INDIRECT(ADDRESS(392,27)),INDIRECT(ADDRESS(393,26))-INDIRECT(ADDRESS(388,27))+INDIRECT(ADDRESS(391,27))-INDIRECT(ADDRESS(392,27)))</f>
        <v>0</v>
      </c>
      <c r="AB393">
        <f>IF(DAY(NOW())&lt;M3,INDIRECT(ADDRESS(393,27))-INDIRECT(ADDRESS(388,28))+INDIRECT(ADDRESS(389,28))-INDIRECT(ADDRESS(392,28)),INDIRECT(ADDRESS(393,27))-INDIRECT(ADDRESS(388,28))+INDIRECT(ADDRESS(391,28))-INDIRECT(ADDRESS(392,28)))</f>
        <v>0</v>
      </c>
      <c r="AC393">
        <f>IF(DAY(NOW())&lt;M3,INDIRECT(ADDRESS(393,28))-INDIRECT(ADDRESS(388,29))+INDIRECT(ADDRESS(389,29))-INDIRECT(ADDRESS(392,29)),INDIRECT(ADDRESS(393,28))-INDIRECT(ADDRESS(388,29))+INDIRECT(ADDRESS(391,29))-INDIRECT(ADDRESS(392,29)))</f>
        <v>0</v>
      </c>
      <c r="AD393">
        <f>IF(DAY(NOW())&lt;M3,INDIRECT(ADDRESS(393,29))-INDIRECT(ADDRESS(388,30))+INDIRECT(ADDRESS(389,30))-INDIRECT(ADDRESS(392,30)),INDIRECT(ADDRESS(393,29))-INDIRECT(ADDRESS(388,30))+INDIRECT(ADDRESS(391,30))-INDIRECT(ADDRESS(392,30)))</f>
        <v>0</v>
      </c>
      <c r="AE393">
        <f>IF(DAY(NOW())&lt;M3,INDIRECT(ADDRESS(393,30))-INDIRECT(ADDRESS(388,31))+INDIRECT(ADDRESS(389,31))-INDIRECT(ADDRESS(392,31)),INDIRECT(ADDRESS(393,30))-INDIRECT(ADDRESS(388,31))+INDIRECT(ADDRESS(391,31))-INDIRECT(ADDRESS(392,31)))</f>
        <v>0</v>
      </c>
      <c r="AF393">
        <f>IF(DAY(NOW())&lt;M3,INDIRECT(ADDRESS(393,31))-INDIRECT(ADDRESS(388,32))+INDIRECT(ADDRESS(389,32))-INDIRECT(ADDRESS(392,32)),INDIRECT(ADDRESS(393,31))-INDIRECT(ADDRESS(388,32))+INDIRECT(ADDRESS(391,32))-INDIRECT(ADDRESS(392,32)))</f>
        <v>0</v>
      </c>
      <c r="AG393">
        <f>IF(DAY(NOW())&lt;M3,INDIRECT(ADDRESS(393,32))-INDIRECT(ADDRESS(388,33))+INDIRECT(ADDRESS(389,33))-INDIRECT(ADDRESS(392,33)),INDIRECT(ADDRESS(393,32))-INDIRECT(ADDRESS(388,33))+INDIRECT(ADDRESS(391,33))-INDIRECT(ADDRESS(392,33)))</f>
        <v>0</v>
      </c>
      <c r="AH393">
        <f>IF(DAY(NOW())&lt;M3,INDIRECT(ADDRESS(393,33))-INDIRECT(ADDRESS(388,34))+INDIRECT(ADDRESS(389,34))-INDIRECT(ADDRESS(392,34)),INDIRECT(ADDRESS(393,33))-INDIRECT(ADDRESS(388,34))+INDIRECT(ADDRESS(391,34))-INDIRECT(ADDRESS(392,34)))</f>
        <v>0</v>
      </c>
      <c r="AI393">
        <f>IF(DAY(NOW())&lt;M3,INDIRECT(ADDRESS(393,34))-INDIRECT(ADDRESS(388,35))+INDIRECT(ADDRESS(389,35))-INDIRECT(ADDRESS(392,35)),INDIRECT(ADDRESS(393,34))-INDIRECT(ADDRESS(388,35))+INDIRECT(ADDRESS(391,35))-INDIRECT(ADDRESS(392,35)))</f>
        <v>0</v>
      </c>
      <c r="AJ393">
        <f>IF(DAY(NOW())&lt;M3,INDIRECT(ADDRESS(393,35))-INDIRECT(ADDRESS(388,36))+INDIRECT(ADDRESS(389,36))-INDIRECT(ADDRESS(392,36)),INDIRECT(ADDRESS(393,35))-INDIRECT(ADDRESS(388,36))+INDIRECT(ADDRESS(391,36))-INDIRECT(ADDRESS(392,36)))</f>
        <v>0</v>
      </c>
      <c r="AK393">
        <f>IF(DAY(NOW())&lt;M3,INDIRECT(ADDRESS(393,36))-INDIRECT(ADDRESS(388,37))+INDIRECT(ADDRESS(389,37))-INDIRECT(ADDRESS(392,37)),INDIRECT(ADDRESS(393,36))-INDIRECT(ADDRESS(388,37))+INDIRECT(ADDRESS(391,37))-INDIRECT(ADDRESS(392,37)))</f>
        <v>0</v>
      </c>
      <c r="AL393">
        <f>IF(DAY(NOW())&lt;M3,INDIRECT(ADDRESS(393,37))-INDIRECT(ADDRESS(388,38))+INDIRECT(ADDRESS(389,38))-INDIRECT(ADDRESS(392,38)),INDIRECT(ADDRESS(393,37))-INDIRECT(ADDRESS(388,38))+INDIRECT(ADDRESS(391,38))-INDIRECT(ADDRESS(392,38)))</f>
        <v>0</v>
      </c>
      <c r="AM393">
        <f>IF(DAY(NOW())&lt;M3,INDIRECT(ADDRESS(393,38))-INDIRECT(ADDRESS(388,39))+INDIRECT(ADDRESS(389,39))-INDIRECT(ADDRESS(392,39)),INDIRECT(ADDRESS(393,38))-INDIRECT(ADDRESS(388,39))+INDIRECT(ADDRESS(391,39))-INDIRECT(ADDRESS(392,39)))</f>
        <v>0</v>
      </c>
      <c r="AN393">
        <f>IF(DAY(NOW())&lt;M3,INDIRECT(ADDRESS(393,39))-INDIRECT(ADDRESS(388,40))+INDIRECT(ADDRESS(389,40))-INDIRECT(ADDRESS(392,40)),INDIRECT(ADDRESS(393,39))-INDIRECT(ADDRESS(388,40))+INDIRECT(ADDRESS(391,40))-INDIRECT(ADDRESS(392,40)))</f>
        <v>0</v>
      </c>
      <c r="AO393">
        <f>IF(DAY(NOW())&lt;M3,INDIRECT(ADDRESS(393,40))-INDIRECT(ADDRESS(388,41))+INDIRECT(ADDRESS(389,41))-INDIRECT(ADDRESS(392,41)),INDIRECT(ADDRESS(393,40))-INDIRECT(ADDRESS(388,41))+INDIRECT(ADDRESS(391,41))-INDIRECT(ADDRESS(392,41)))</f>
        <v>0</v>
      </c>
      <c r="AP393">
        <f>IF(DAY(NOW())&lt;M3,INDIRECT(ADDRESS(393,41))-INDIRECT(ADDRESS(388,42))+INDIRECT(ADDRESS(389,42))-INDIRECT(ADDRESS(392,42)),INDIRECT(ADDRESS(393,41))-INDIRECT(ADDRESS(388,42))+INDIRECT(ADDRESS(391,42))-INDIRECT(ADDRESS(392,42)))</f>
        <v>0</v>
      </c>
      <c r="AQ393">
        <f>IF(DAY(NOW())&lt;M3,INDIRECT(ADDRESS(393,42))-INDIRECT(ADDRESS(388,43))+INDIRECT(ADDRESS(389,43))-INDIRECT(ADDRESS(392,43)),INDIRECT(ADDRESS(393,42))-INDIRECT(ADDRESS(388,43))+INDIRECT(ADDRESS(391,43))-INDIRECT(ADDRESS(392,43)))</f>
        <v>0</v>
      </c>
      <c r="AR393">
        <f>IF(DAY(NOW())&lt;M3,INDIRECT(ADDRESS(393,43))-INDIRECT(ADDRESS(388,44))+INDIRECT(ADDRESS(389,44))-INDIRECT(ADDRESS(392,44)),INDIRECT(ADDRESS(393,43))-INDIRECT(ADDRESS(388,44))+INDIRECT(ADDRESS(391,44))-INDIRECT(ADDRESS(392,44)))</f>
        <v>0</v>
      </c>
    </row>
    <row r="394" spans="1:76">
      <c r="A394" t="s">
        <v>14</v>
      </c>
      <c r="B394" t="s">
        <v>246</v>
      </c>
      <c r="C394" t="s">
        <v>247</v>
      </c>
      <c r="D394" t="s">
        <v>163</v>
      </c>
      <c r="E394">
        <v>1</v>
      </c>
      <c r="F394" t="s">
        <v>248</v>
      </c>
      <c r="H394" t="s">
        <v>249</v>
      </c>
      <c r="I394" t="s">
        <v>250</v>
      </c>
      <c r="K394" t="s">
        <v>20</v>
      </c>
      <c r="L394" t="s">
        <v>21</v>
      </c>
      <c r="BX394">
        <f>sum(j394:an394)</f>
        <v>0</v>
      </c>
    </row>
    <row r="395" spans="1:76">
      <c r="A395" t="s">
        <v>14</v>
      </c>
      <c r="B395" t="s">
        <v>246</v>
      </c>
      <c r="C395" t="s">
        <v>247</v>
      </c>
      <c r="D395" t="s">
        <v>163</v>
      </c>
      <c r="E395">
        <v>1</v>
      </c>
      <c r="F395" t="s">
        <v>248</v>
      </c>
      <c r="H395" t="s">
        <v>249</v>
      </c>
      <c r="I395" t="s">
        <v>250</v>
      </c>
      <c r="K395" t="s">
        <v>20</v>
      </c>
      <c r="L395" t="s">
        <v>37</v>
      </c>
    </row>
    <row r="396" spans="1:76">
      <c r="L396" t="s">
        <v>662</v>
      </c>
    </row>
    <row r="397" spans="1:76">
      <c r="L397" t="s">
        <v>663</v>
      </c>
    </row>
    <row r="398" spans="1:76">
      <c r="L398" t="s">
        <v>664</v>
      </c>
    </row>
    <row r="399" spans="1:76">
      <c r="L399" t="s">
        <v>665</v>
      </c>
      <c r="M399">
        <f>IF(DAY(NOW())&lt;M3,INDIRECT(ADDRESS(399,7))-INDIRECT(ADDRESS(394,13))+INDIRECT(ADDRESS(395,13))-INDIRECT(ADDRESS(398,13)),INDIRECT(ADDRESS(399,7))-INDIRECT(ADDRESS(394,13))+INDIRECT(ADDRESS(397,13))-INDIRECT(ADDRESS(398,13)))</f>
        <v>0</v>
      </c>
      <c r="N399">
        <f>IF(DAY(NOW())&lt;M3,INDIRECT(ADDRESS(399,13))-INDIRECT(ADDRESS(394,14))+INDIRECT(ADDRESS(395,14))-INDIRECT(ADDRESS(398,14)),INDIRECT(ADDRESS(399,13))-INDIRECT(ADDRESS(394,14))+INDIRECT(ADDRESS(397,14))-INDIRECT(ADDRESS(398,14)))</f>
        <v>0</v>
      </c>
      <c r="O399">
        <f>IF(DAY(NOW())&lt;M3,INDIRECT(ADDRESS(399,14))-INDIRECT(ADDRESS(394,15))+INDIRECT(ADDRESS(395,15))-INDIRECT(ADDRESS(398,15)),INDIRECT(ADDRESS(399,14))-INDIRECT(ADDRESS(394,15))+INDIRECT(ADDRESS(397,15))-INDIRECT(ADDRESS(398,15)))</f>
        <v>0</v>
      </c>
      <c r="P399">
        <f>IF(DAY(NOW())&lt;M3,INDIRECT(ADDRESS(399,15))-INDIRECT(ADDRESS(394,16))+INDIRECT(ADDRESS(395,16))-INDIRECT(ADDRESS(398,16)),INDIRECT(ADDRESS(399,15))-INDIRECT(ADDRESS(394,16))+INDIRECT(ADDRESS(397,16))-INDIRECT(ADDRESS(398,16)))</f>
        <v>0</v>
      </c>
      <c r="Q399">
        <f>IF(DAY(NOW())&lt;M3,INDIRECT(ADDRESS(399,16))-INDIRECT(ADDRESS(394,17))+INDIRECT(ADDRESS(395,17))-INDIRECT(ADDRESS(398,17)),INDIRECT(ADDRESS(399,16))-INDIRECT(ADDRESS(394,17))+INDIRECT(ADDRESS(397,17))-INDIRECT(ADDRESS(398,17)))</f>
        <v>0</v>
      </c>
      <c r="R399">
        <f>IF(DAY(NOW())&lt;M3,INDIRECT(ADDRESS(399,17))-INDIRECT(ADDRESS(394,18))+INDIRECT(ADDRESS(395,18))-INDIRECT(ADDRESS(398,18)),INDIRECT(ADDRESS(399,17))-INDIRECT(ADDRESS(394,18))+INDIRECT(ADDRESS(397,18))-INDIRECT(ADDRESS(398,18)))</f>
        <v>0</v>
      </c>
      <c r="S399">
        <f>IF(DAY(NOW())&lt;M3,INDIRECT(ADDRESS(399,18))-INDIRECT(ADDRESS(394,19))+INDIRECT(ADDRESS(395,19))-INDIRECT(ADDRESS(398,19)),INDIRECT(ADDRESS(399,18))-INDIRECT(ADDRESS(394,19))+INDIRECT(ADDRESS(397,19))-INDIRECT(ADDRESS(398,19)))</f>
        <v>0</v>
      </c>
      <c r="T399">
        <f>IF(DAY(NOW())&lt;M3,INDIRECT(ADDRESS(399,19))-INDIRECT(ADDRESS(394,20))+INDIRECT(ADDRESS(395,20))-INDIRECT(ADDRESS(398,20)),INDIRECT(ADDRESS(399,19))-INDIRECT(ADDRESS(394,20))+INDIRECT(ADDRESS(397,20))-INDIRECT(ADDRESS(398,20)))</f>
        <v>0</v>
      </c>
      <c r="U399">
        <f>IF(DAY(NOW())&lt;M3,INDIRECT(ADDRESS(399,20))-INDIRECT(ADDRESS(394,21))+INDIRECT(ADDRESS(395,21))-INDIRECT(ADDRESS(398,21)),INDIRECT(ADDRESS(399,20))-INDIRECT(ADDRESS(394,21))+INDIRECT(ADDRESS(397,21))-INDIRECT(ADDRESS(398,21)))</f>
        <v>0</v>
      </c>
      <c r="V399">
        <f>IF(DAY(NOW())&lt;M3,INDIRECT(ADDRESS(399,21))-INDIRECT(ADDRESS(394,22))+INDIRECT(ADDRESS(395,22))-INDIRECT(ADDRESS(398,22)),INDIRECT(ADDRESS(399,21))-INDIRECT(ADDRESS(394,22))+INDIRECT(ADDRESS(397,22))-INDIRECT(ADDRESS(398,22)))</f>
        <v>0</v>
      </c>
      <c r="W399">
        <f>IF(DAY(NOW())&lt;M3,INDIRECT(ADDRESS(399,22))-INDIRECT(ADDRESS(394,23))+INDIRECT(ADDRESS(395,23))-INDIRECT(ADDRESS(398,23)),INDIRECT(ADDRESS(399,22))-INDIRECT(ADDRESS(394,23))+INDIRECT(ADDRESS(397,23))-INDIRECT(ADDRESS(398,23)))</f>
        <v>0</v>
      </c>
      <c r="X399">
        <f>IF(DAY(NOW())&lt;M3,INDIRECT(ADDRESS(399,23))-INDIRECT(ADDRESS(394,24))+INDIRECT(ADDRESS(395,24))-INDIRECT(ADDRESS(398,24)),INDIRECT(ADDRESS(399,23))-INDIRECT(ADDRESS(394,24))+INDIRECT(ADDRESS(397,24))-INDIRECT(ADDRESS(398,24)))</f>
        <v>0</v>
      </c>
      <c r="Y399">
        <f>IF(DAY(NOW())&lt;M3,INDIRECT(ADDRESS(399,24))-INDIRECT(ADDRESS(394,25))+INDIRECT(ADDRESS(395,25))-INDIRECT(ADDRESS(398,25)),INDIRECT(ADDRESS(399,24))-INDIRECT(ADDRESS(394,25))+INDIRECT(ADDRESS(397,25))-INDIRECT(ADDRESS(398,25)))</f>
        <v>0</v>
      </c>
      <c r="Z399">
        <f>IF(DAY(NOW())&lt;M3,INDIRECT(ADDRESS(399,25))-INDIRECT(ADDRESS(394,26))+INDIRECT(ADDRESS(395,26))-INDIRECT(ADDRESS(398,26)),INDIRECT(ADDRESS(399,25))-INDIRECT(ADDRESS(394,26))+INDIRECT(ADDRESS(397,26))-INDIRECT(ADDRESS(398,26)))</f>
        <v>0</v>
      </c>
      <c r="AA399">
        <f>IF(DAY(NOW())&lt;M3,INDIRECT(ADDRESS(399,26))-INDIRECT(ADDRESS(394,27))+INDIRECT(ADDRESS(395,27))-INDIRECT(ADDRESS(398,27)),INDIRECT(ADDRESS(399,26))-INDIRECT(ADDRESS(394,27))+INDIRECT(ADDRESS(397,27))-INDIRECT(ADDRESS(398,27)))</f>
        <v>0</v>
      </c>
      <c r="AB399">
        <f>IF(DAY(NOW())&lt;M3,INDIRECT(ADDRESS(399,27))-INDIRECT(ADDRESS(394,28))+INDIRECT(ADDRESS(395,28))-INDIRECT(ADDRESS(398,28)),INDIRECT(ADDRESS(399,27))-INDIRECT(ADDRESS(394,28))+INDIRECT(ADDRESS(397,28))-INDIRECT(ADDRESS(398,28)))</f>
        <v>0</v>
      </c>
      <c r="AC399">
        <f>IF(DAY(NOW())&lt;M3,INDIRECT(ADDRESS(399,28))-INDIRECT(ADDRESS(394,29))+INDIRECT(ADDRESS(395,29))-INDIRECT(ADDRESS(398,29)),INDIRECT(ADDRESS(399,28))-INDIRECT(ADDRESS(394,29))+INDIRECT(ADDRESS(397,29))-INDIRECT(ADDRESS(398,29)))</f>
        <v>0</v>
      </c>
      <c r="AD399">
        <f>IF(DAY(NOW())&lt;M3,INDIRECT(ADDRESS(399,29))-INDIRECT(ADDRESS(394,30))+INDIRECT(ADDRESS(395,30))-INDIRECT(ADDRESS(398,30)),INDIRECT(ADDRESS(399,29))-INDIRECT(ADDRESS(394,30))+INDIRECT(ADDRESS(397,30))-INDIRECT(ADDRESS(398,30)))</f>
        <v>0</v>
      </c>
      <c r="AE399">
        <f>IF(DAY(NOW())&lt;M3,INDIRECT(ADDRESS(399,30))-INDIRECT(ADDRESS(394,31))+INDIRECT(ADDRESS(395,31))-INDIRECT(ADDRESS(398,31)),INDIRECT(ADDRESS(399,30))-INDIRECT(ADDRESS(394,31))+INDIRECT(ADDRESS(397,31))-INDIRECT(ADDRESS(398,31)))</f>
        <v>0</v>
      </c>
      <c r="AF399">
        <f>IF(DAY(NOW())&lt;M3,INDIRECT(ADDRESS(399,31))-INDIRECT(ADDRESS(394,32))+INDIRECT(ADDRESS(395,32))-INDIRECT(ADDRESS(398,32)),INDIRECT(ADDRESS(399,31))-INDIRECT(ADDRESS(394,32))+INDIRECT(ADDRESS(397,32))-INDIRECT(ADDRESS(398,32)))</f>
        <v>0</v>
      </c>
      <c r="AG399">
        <f>IF(DAY(NOW())&lt;M3,INDIRECT(ADDRESS(399,32))-INDIRECT(ADDRESS(394,33))+INDIRECT(ADDRESS(395,33))-INDIRECT(ADDRESS(398,33)),INDIRECT(ADDRESS(399,32))-INDIRECT(ADDRESS(394,33))+INDIRECT(ADDRESS(397,33))-INDIRECT(ADDRESS(398,33)))</f>
        <v>0</v>
      </c>
      <c r="AH399">
        <f>IF(DAY(NOW())&lt;M3,INDIRECT(ADDRESS(399,33))-INDIRECT(ADDRESS(394,34))+INDIRECT(ADDRESS(395,34))-INDIRECT(ADDRESS(398,34)),INDIRECT(ADDRESS(399,33))-INDIRECT(ADDRESS(394,34))+INDIRECT(ADDRESS(397,34))-INDIRECT(ADDRESS(398,34)))</f>
        <v>0</v>
      </c>
      <c r="AI399">
        <f>IF(DAY(NOW())&lt;M3,INDIRECT(ADDRESS(399,34))-INDIRECT(ADDRESS(394,35))+INDIRECT(ADDRESS(395,35))-INDIRECT(ADDRESS(398,35)),INDIRECT(ADDRESS(399,34))-INDIRECT(ADDRESS(394,35))+INDIRECT(ADDRESS(397,35))-INDIRECT(ADDRESS(398,35)))</f>
        <v>0</v>
      </c>
      <c r="AJ399">
        <f>IF(DAY(NOW())&lt;M3,INDIRECT(ADDRESS(399,35))-INDIRECT(ADDRESS(394,36))+INDIRECT(ADDRESS(395,36))-INDIRECT(ADDRESS(398,36)),INDIRECT(ADDRESS(399,35))-INDIRECT(ADDRESS(394,36))+INDIRECT(ADDRESS(397,36))-INDIRECT(ADDRESS(398,36)))</f>
        <v>0</v>
      </c>
      <c r="AK399">
        <f>IF(DAY(NOW())&lt;M3,INDIRECT(ADDRESS(399,36))-INDIRECT(ADDRESS(394,37))+INDIRECT(ADDRESS(395,37))-INDIRECT(ADDRESS(398,37)),INDIRECT(ADDRESS(399,36))-INDIRECT(ADDRESS(394,37))+INDIRECT(ADDRESS(397,37))-INDIRECT(ADDRESS(398,37)))</f>
        <v>0</v>
      </c>
      <c r="AL399">
        <f>IF(DAY(NOW())&lt;M3,INDIRECT(ADDRESS(399,37))-INDIRECT(ADDRESS(394,38))+INDIRECT(ADDRESS(395,38))-INDIRECT(ADDRESS(398,38)),INDIRECT(ADDRESS(399,37))-INDIRECT(ADDRESS(394,38))+INDIRECT(ADDRESS(397,38))-INDIRECT(ADDRESS(398,38)))</f>
        <v>0</v>
      </c>
      <c r="AM399">
        <f>IF(DAY(NOW())&lt;M3,INDIRECT(ADDRESS(399,38))-INDIRECT(ADDRESS(394,39))+INDIRECT(ADDRESS(395,39))-INDIRECT(ADDRESS(398,39)),INDIRECT(ADDRESS(399,38))-INDIRECT(ADDRESS(394,39))+INDIRECT(ADDRESS(397,39))-INDIRECT(ADDRESS(398,39)))</f>
        <v>0</v>
      </c>
      <c r="AN399">
        <f>IF(DAY(NOW())&lt;M3,INDIRECT(ADDRESS(399,39))-INDIRECT(ADDRESS(394,40))+INDIRECT(ADDRESS(395,40))-INDIRECT(ADDRESS(398,40)),INDIRECT(ADDRESS(399,39))-INDIRECT(ADDRESS(394,40))+INDIRECT(ADDRESS(397,40))-INDIRECT(ADDRESS(398,40)))</f>
        <v>0</v>
      </c>
      <c r="AO399">
        <f>IF(DAY(NOW())&lt;M3,INDIRECT(ADDRESS(399,40))-INDIRECT(ADDRESS(394,41))+INDIRECT(ADDRESS(395,41))-INDIRECT(ADDRESS(398,41)),INDIRECT(ADDRESS(399,40))-INDIRECT(ADDRESS(394,41))+INDIRECT(ADDRESS(397,41))-INDIRECT(ADDRESS(398,41)))</f>
        <v>0</v>
      </c>
      <c r="AP399">
        <f>IF(DAY(NOW())&lt;M3,INDIRECT(ADDRESS(399,41))-INDIRECT(ADDRESS(394,42))+INDIRECT(ADDRESS(395,42))-INDIRECT(ADDRESS(398,42)),INDIRECT(ADDRESS(399,41))-INDIRECT(ADDRESS(394,42))+INDIRECT(ADDRESS(397,42))-INDIRECT(ADDRESS(398,42)))</f>
        <v>0</v>
      </c>
      <c r="AQ399">
        <f>IF(DAY(NOW())&lt;M3,INDIRECT(ADDRESS(399,42))-INDIRECT(ADDRESS(394,43))+INDIRECT(ADDRESS(395,43))-INDIRECT(ADDRESS(398,43)),INDIRECT(ADDRESS(399,42))-INDIRECT(ADDRESS(394,43))+INDIRECT(ADDRESS(397,43))-INDIRECT(ADDRESS(398,43)))</f>
        <v>0</v>
      </c>
      <c r="AR399">
        <f>IF(DAY(NOW())&lt;M3,INDIRECT(ADDRESS(399,43))-INDIRECT(ADDRESS(394,44))+INDIRECT(ADDRESS(395,44))-INDIRECT(ADDRESS(398,44)),INDIRECT(ADDRESS(399,43))-INDIRECT(ADDRESS(394,44))+INDIRECT(ADDRESS(397,44))-INDIRECT(ADDRESS(398,44)))</f>
        <v>0</v>
      </c>
    </row>
    <row r="400" spans="1:76">
      <c r="A400" t="s">
        <v>31</v>
      </c>
      <c r="B400" t="s">
        <v>251</v>
      </c>
      <c r="C400" t="s">
        <v>252</v>
      </c>
      <c r="D400" t="s">
        <v>17</v>
      </c>
      <c r="E400">
        <v>1</v>
      </c>
      <c r="F400" t="s">
        <v>253</v>
      </c>
      <c r="H400" t="s">
        <v>35</v>
      </c>
      <c r="I400" t="s">
        <v>36</v>
      </c>
      <c r="K400" t="s">
        <v>20</v>
      </c>
      <c r="L400" t="s">
        <v>21</v>
      </c>
      <c r="M400">
        <f>sumifs(BOM!m:m,BOM!A:A,".1",BOM!B:B,"852-254000-100")</f>
        <v>0</v>
      </c>
      <c r="N400">
        <f>sumifs(BOM!n:n,BOM!A:A,".1",BOM!B:B,"852-254000-100")</f>
        <v>0</v>
      </c>
      <c r="O400">
        <f>sumifs(BOM!o:o,BOM!A:A,".1",BOM!B:B,"852-254000-100")</f>
        <v>0</v>
      </c>
      <c r="P400">
        <f>sumifs(BOM!p:p,BOM!A:A,".1",BOM!B:B,"852-254000-100")</f>
        <v>0</v>
      </c>
      <c r="Q400">
        <f>sumifs(BOM!q:q,BOM!A:A,".1",BOM!B:B,"852-254000-100")</f>
        <v>0</v>
      </c>
      <c r="R400">
        <f>sumifs(BOM!r:r,BOM!A:A,".1",BOM!B:B,"852-254000-100")</f>
        <v>0</v>
      </c>
      <c r="S400">
        <f>sumifs(BOM!s:s,BOM!A:A,".1",BOM!B:B,"852-254000-100")</f>
        <v>0</v>
      </c>
      <c r="T400">
        <f>sumifs(BOM!t:t,BOM!A:A,".1",BOM!B:B,"852-254000-100")</f>
        <v>0</v>
      </c>
      <c r="U400">
        <f>sumifs(BOM!u:u,BOM!A:A,".1",BOM!B:B,"852-254000-100")</f>
        <v>0</v>
      </c>
      <c r="V400">
        <f>sumifs(BOM!v:v,BOM!A:A,".1",BOM!B:B,"852-254000-100")</f>
        <v>0</v>
      </c>
      <c r="W400">
        <f>sumifs(BOM!w:w,BOM!A:A,".1",BOM!B:B,"852-254000-100")</f>
        <v>0</v>
      </c>
      <c r="X400">
        <f>sumifs(BOM!x:x,BOM!A:A,".1",BOM!B:B,"852-254000-100")</f>
        <v>0</v>
      </c>
      <c r="Y400">
        <f>sumifs(BOM!y:y,BOM!A:A,".1",BOM!B:B,"852-254000-100")</f>
        <v>0</v>
      </c>
      <c r="Z400">
        <f>sumifs(BOM!z:z,BOM!A:A,".1",BOM!B:B,"852-254000-100")</f>
        <v>0</v>
      </c>
      <c r="AA400">
        <f>sumifs(BOM!aa:aa,BOM!A:A,".1",BOM!B:B,"852-254000-100")</f>
        <v>0</v>
      </c>
      <c r="AB400">
        <f>sumifs(BOM!ab:ab,BOM!A:A,".1",BOM!B:B,"852-254000-100")</f>
        <v>0</v>
      </c>
      <c r="AC400">
        <f>sumifs(BOM!ac:ac,BOM!A:A,".1",BOM!B:B,"852-254000-100")</f>
        <v>0</v>
      </c>
      <c r="AD400">
        <f>sumifs(BOM!ad:ad,BOM!A:A,".1",BOM!B:B,"852-254000-100")</f>
        <v>0</v>
      </c>
      <c r="AE400">
        <f>sumifs(BOM!ae:ae,BOM!A:A,".1",BOM!B:B,"852-254000-100")</f>
        <v>0</v>
      </c>
      <c r="AF400">
        <f>sumifs(BOM!af:af,BOM!A:A,".1",BOM!B:B,"852-254000-100")</f>
        <v>0</v>
      </c>
      <c r="AG400">
        <f>sumifs(BOM!ag:ag,BOM!A:A,".1",BOM!B:B,"852-254000-100")</f>
        <v>0</v>
      </c>
      <c r="AH400">
        <f>sumifs(BOM!ah:ah,BOM!A:A,".1",BOM!B:B,"852-254000-100")</f>
        <v>0</v>
      </c>
      <c r="AI400">
        <f>sumifs(BOM!ai:ai,BOM!A:A,".1",BOM!B:B,"852-254000-100")</f>
        <v>0</v>
      </c>
      <c r="AJ400">
        <f>sumifs(BOM!aj:aj,BOM!A:A,".1",BOM!B:B,"852-254000-100")</f>
        <v>0</v>
      </c>
      <c r="AK400">
        <f>sumifs(BOM!ak:ak,BOM!A:A,".1",BOM!B:B,"852-254000-100")</f>
        <v>0</v>
      </c>
      <c r="AL400">
        <f>sumifs(BOM!al:al,BOM!A:A,".1",BOM!B:B,"852-254000-100")</f>
        <v>0</v>
      </c>
      <c r="AM400">
        <f>sumifs(BOM!am:am,BOM!A:A,".1",BOM!B:B,"852-254000-100")</f>
        <v>0</v>
      </c>
      <c r="AN400">
        <f>sumifs(BOM!an:an,BOM!A:A,".1",BOM!B:B,"852-254000-100")</f>
        <v>0</v>
      </c>
      <c r="AO400">
        <f>sumifs(BOM!ao:ao,BOM!A:A,".1",BOM!B:B,"852-254000-100")</f>
        <v>0</v>
      </c>
      <c r="AP400">
        <f>sumifs(BOM!ap:ap,BOM!A:A,".1",BOM!B:B,"852-254000-100")</f>
        <v>0</v>
      </c>
      <c r="AQ400">
        <f>sumifs(BOM!aq:aq,BOM!A:A,".1",BOM!B:B,"852-254000-100")</f>
        <v>0</v>
      </c>
      <c r="AR400">
        <f>sumifs(BOM!ar:ar,BOM!A:A,".1",BOM!B:B,"852-254000-100")</f>
        <v>0</v>
      </c>
      <c r="BX400">
        <f>sum(j400:an400)</f>
        <v>0</v>
      </c>
    </row>
    <row r="401" spans="1:76">
      <c r="A401" t="s">
        <v>31</v>
      </c>
      <c r="B401" t="s">
        <v>251</v>
      </c>
      <c r="C401" t="s">
        <v>252</v>
      </c>
      <c r="D401" t="s">
        <v>17</v>
      </c>
      <c r="E401">
        <v>1</v>
      </c>
      <c r="F401" t="s">
        <v>253</v>
      </c>
      <c r="H401" t="s">
        <v>35</v>
      </c>
      <c r="I401" t="s">
        <v>36</v>
      </c>
      <c r="K401" t="s">
        <v>20</v>
      </c>
      <c r="L401" t="s">
        <v>37</v>
      </c>
    </row>
    <row r="402" spans="1:76">
      <c r="L402" t="s">
        <v>662</v>
      </c>
    </row>
    <row r="403" spans="1:76">
      <c r="L403" t="s">
        <v>663</v>
      </c>
    </row>
    <row r="404" spans="1:76">
      <c r="L404" t="s">
        <v>664</v>
      </c>
    </row>
    <row r="405" spans="1:76">
      <c r="L405" t="s">
        <v>665</v>
      </c>
      <c r="M405">
        <f>IF(DAY(NOW())&lt;M3,INDIRECT(ADDRESS(405,7))-INDIRECT(ADDRESS(400,13))+INDIRECT(ADDRESS(401,13))-INDIRECT(ADDRESS(404,13)),INDIRECT(ADDRESS(405,7))-INDIRECT(ADDRESS(400,13))+INDIRECT(ADDRESS(403,13))-INDIRECT(ADDRESS(404,13)))</f>
        <v>0</v>
      </c>
      <c r="N405">
        <f>IF(DAY(NOW())&lt;M3,INDIRECT(ADDRESS(405,13))-INDIRECT(ADDRESS(400,14))+INDIRECT(ADDRESS(401,14))-INDIRECT(ADDRESS(404,14)),INDIRECT(ADDRESS(405,13))-INDIRECT(ADDRESS(400,14))+INDIRECT(ADDRESS(403,14))-INDIRECT(ADDRESS(404,14)))</f>
        <v>0</v>
      </c>
      <c r="O405">
        <f>IF(DAY(NOW())&lt;M3,INDIRECT(ADDRESS(405,14))-INDIRECT(ADDRESS(400,15))+INDIRECT(ADDRESS(401,15))-INDIRECT(ADDRESS(404,15)),INDIRECT(ADDRESS(405,14))-INDIRECT(ADDRESS(400,15))+INDIRECT(ADDRESS(403,15))-INDIRECT(ADDRESS(404,15)))</f>
        <v>0</v>
      </c>
      <c r="P405">
        <f>IF(DAY(NOW())&lt;M3,INDIRECT(ADDRESS(405,15))-INDIRECT(ADDRESS(400,16))+INDIRECT(ADDRESS(401,16))-INDIRECT(ADDRESS(404,16)),INDIRECT(ADDRESS(405,15))-INDIRECT(ADDRESS(400,16))+INDIRECT(ADDRESS(403,16))-INDIRECT(ADDRESS(404,16)))</f>
        <v>0</v>
      </c>
      <c r="Q405">
        <f>IF(DAY(NOW())&lt;M3,INDIRECT(ADDRESS(405,16))-INDIRECT(ADDRESS(400,17))+INDIRECT(ADDRESS(401,17))-INDIRECT(ADDRESS(404,17)),INDIRECT(ADDRESS(405,16))-INDIRECT(ADDRESS(400,17))+INDIRECT(ADDRESS(403,17))-INDIRECT(ADDRESS(404,17)))</f>
        <v>0</v>
      </c>
      <c r="R405">
        <f>IF(DAY(NOW())&lt;M3,INDIRECT(ADDRESS(405,17))-INDIRECT(ADDRESS(400,18))+INDIRECT(ADDRESS(401,18))-INDIRECT(ADDRESS(404,18)),INDIRECT(ADDRESS(405,17))-INDIRECT(ADDRESS(400,18))+INDIRECT(ADDRESS(403,18))-INDIRECT(ADDRESS(404,18)))</f>
        <v>0</v>
      </c>
      <c r="S405">
        <f>IF(DAY(NOW())&lt;M3,INDIRECT(ADDRESS(405,18))-INDIRECT(ADDRESS(400,19))+INDIRECT(ADDRESS(401,19))-INDIRECT(ADDRESS(404,19)),INDIRECT(ADDRESS(405,18))-INDIRECT(ADDRESS(400,19))+INDIRECT(ADDRESS(403,19))-INDIRECT(ADDRESS(404,19)))</f>
        <v>0</v>
      </c>
      <c r="T405">
        <f>IF(DAY(NOW())&lt;M3,INDIRECT(ADDRESS(405,19))-INDIRECT(ADDRESS(400,20))+INDIRECT(ADDRESS(401,20))-INDIRECT(ADDRESS(404,20)),INDIRECT(ADDRESS(405,19))-INDIRECT(ADDRESS(400,20))+INDIRECT(ADDRESS(403,20))-INDIRECT(ADDRESS(404,20)))</f>
        <v>0</v>
      </c>
      <c r="U405">
        <f>IF(DAY(NOW())&lt;M3,INDIRECT(ADDRESS(405,20))-INDIRECT(ADDRESS(400,21))+INDIRECT(ADDRESS(401,21))-INDIRECT(ADDRESS(404,21)),INDIRECT(ADDRESS(405,20))-INDIRECT(ADDRESS(400,21))+INDIRECT(ADDRESS(403,21))-INDIRECT(ADDRESS(404,21)))</f>
        <v>0</v>
      </c>
      <c r="V405">
        <f>IF(DAY(NOW())&lt;M3,INDIRECT(ADDRESS(405,21))-INDIRECT(ADDRESS(400,22))+INDIRECT(ADDRESS(401,22))-INDIRECT(ADDRESS(404,22)),INDIRECT(ADDRESS(405,21))-INDIRECT(ADDRESS(400,22))+INDIRECT(ADDRESS(403,22))-INDIRECT(ADDRESS(404,22)))</f>
        <v>0</v>
      </c>
      <c r="W405">
        <f>IF(DAY(NOW())&lt;M3,INDIRECT(ADDRESS(405,22))-INDIRECT(ADDRESS(400,23))+INDIRECT(ADDRESS(401,23))-INDIRECT(ADDRESS(404,23)),INDIRECT(ADDRESS(405,22))-INDIRECT(ADDRESS(400,23))+INDIRECT(ADDRESS(403,23))-INDIRECT(ADDRESS(404,23)))</f>
        <v>0</v>
      </c>
      <c r="X405">
        <f>IF(DAY(NOW())&lt;M3,INDIRECT(ADDRESS(405,23))-INDIRECT(ADDRESS(400,24))+INDIRECT(ADDRESS(401,24))-INDIRECT(ADDRESS(404,24)),INDIRECT(ADDRESS(405,23))-INDIRECT(ADDRESS(400,24))+INDIRECT(ADDRESS(403,24))-INDIRECT(ADDRESS(404,24)))</f>
        <v>0</v>
      </c>
      <c r="Y405">
        <f>IF(DAY(NOW())&lt;M3,INDIRECT(ADDRESS(405,24))-INDIRECT(ADDRESS(400,25))+INDIRECT(ADDRESS(401,25))-INDIRECT(ADDRESS(404,25)),INDIRECT(ADDRESS(405,24))-INDIRECT(ADDRESS(400,25))+INDIRECT(ADDRESS(403,25))-INDIRECT(ADDRESS(404,25)))</f>
        <v>0</v>
      </c>
      <c r="Z405">
        <f>IF(DAY(NOW())&lt;M3,INDIRECT(ADDRESS(405,25))-INDIRECT(ADDRESS(400,26))+INDIRECT(ADDRESS(401,26))-INDIRECT(ADDRESS(404,26)),INDIRECT(ADDRESS(405,25))-INDIRECT(ADDRESS(400,26))+INDIRECT(ADDRESS(403,26))-INDIRECT(ADDRESS(404,26)))</f>
        <v>0</v>
      </c>
      <c r="AA405">
        <f>IF(DAY(NOW())&lt;M3,INDIRECT(ADDRESS(405,26))-INDIRECT(ADDRESS(400,27))+INDIRECT(ADDRESS(401,27))-INDIRECT(ADDRESS(404,27)),INDIRECT(ADDRESS(405,26))-INDIRECT(ADDRESS(400,27))+INDIRECT(ADDRESS(403,27))-INDIRECT(ADDRESS(404,27)))</f>
        <v>0</v>
      </c>
      <c r="AB405">
        <f>IF(DAY(NOW())&lt;M3,INDIRECT(ADDRESS(405,27))-INDIRECT(ADDRESS(400,28))+INDIRECT(ADDRESS(401,28))-INDIRECT(ADDRESS(404,28)),INDIRECT(ADDRESS(405,27))-INDIRECT(ADDRESS(400,28))+INDIRECT(ADDRESS(403,28))-INDIRECT(ADDRESS(404,28)))</f>
        <v>0</v>
      </c>
      <c r="AC405">
        <f>IF(DAY(NOW())&lt;M3,INDIRECT(ADDRESS(405,28))-INDIRECT(ADDRESS(400,29))+INDIRECT(ADDRESS(401,29))-INDIRECT(ADDRESS(404,29)),INDIRECT(ADDRESS(405,28))-INDIRECT(ADDRESS(400,29))+INDIRECT(ADDRESS(403,29))-INDIRECT(ADDRESS(404,29)))</f>
        <v>0</v>
      </c>
      <c r="AD405">
        <f>IF(DAY(NOW())&lt;M3,INDIRECT(ADDRESS(405,29))-INDIRECT(ADDRESS(400,30))+INDIRECT(ADDRESS(401,30))-INDIRECT(ADDRESS(404,30)),INDIRECT(ADDRESS(405,29))-INDIRECT(ADDRESS(400,30))+INDIRECT(ADDRESS(403,30))-INDIRECT(ADDRESS(404,30)))</f>
        <v>0</v>
      </c>
      <c r="AE405">
        <f>IF(DAY(NOW())&lt;M3,INDIRECT(ADDRESS(405,30))-INDIRECT(ADDRESS(400,31))+INDIRECT(ADDRESS(401,31))-INDIRECT(ADDRESS(404,31)),INDIRECT(ADDRESS(405,30))-INDIRECT(ADDRESS(400,31))+INDIRECT(ADDRESS(403,31))-INDIRECT(ADDRESS(404,31)))</f>
        <v>0</v>
      </c>
      <c r="AF405">
        <f>IF(DAY(NOW())&lt;M3,INDIRECT(ADDRESS(405,31))-INDIRECT(ADDRESS(400,32))+INDIRECT(ADDRESS(401,32))-INDIRECT(ADDRESS(404,32)),INDIRECT(ADDRESS(405,31))-INDIRECT(ADDRESS(400,32))+INDIRECT(ADDRESS(403,32))-INDIRECT(ADDRESS(404,32)))</f>
        <v>0</v>
      </c>
      <c r="AG405">
        <f>IF(DAY(NOW())&lt;M3,INDIRECT(ADDRESS(405,32))-INDIRECT(ADDRESS(400,33))+INDIRECT(ADDRESS(401,33))-INDIRECT(ADDRESS(404,33)),INDIRECT(ADDRESS(405,32))-INDIRECT(ADDRESS(400,33))+INDIRECT(ADDRESS(403,33))-INDIRECT(ADDRESS(404,33)))</f>
        <v>0</v>
      </c>
      <c r="AH405">
        <f>IF(DAY(NOW())&lt;M3,INDIRECT(ADDRESS(405,33))-INDIRECT(ADDRESS(400,34))+INDIRECT(ADDRESS(401,34))-INDIRECT(ADDRESS(404,34)),INDIRECT(ADDRESS(405,33))-INDIRECT(ADDRESS(400,34))+INDIRECT(ADDRESS(403,34))-INDIRECT(ADDRESS(404,34)))</f>
        <v>0</v>
      </c>
      <c r="AI405">
        <f>IF(DAY(NOW())&lt;M3,INDIRECT(ADDRESS(405,34))-INDIRECT(ADDRESS(400,35))+INDIRECT(ADDRESS(401,35))-INDIRECT(ADDRESS(404,35)),INDIRECT(ADDRESS(405,34))-INDIRECT(ADDRESS(400,35))+INDIRECT(ADDRESS(403,35))-INDIRECT(ADDRESS(404,35)))</f>
        <v>0</v>
      </c>
      <c r="AJ405">
        <f>IF(DAY(NOW())&lt;M3,INDIRECT(ADDRESS(405,35))-INDIRECT(ADDRESS(400,36))+INDIRECT(ADDRESS(401,36))-INDIRECT(ADDRESS(404,36)),INDIRECT(ADDRESS(405,35))-INDIRECT(ADDRESS(400,36))+INDIRECT(ADDRESS(403,36))-INDIRECT(ADDRESS(404,36)))</f>
        <v>0</v>
      </c>
      <c r="AK405">
        <f>IF(DAY(NOW())&lt;M3,INDIRECT(ADDRESS(405,36))-INDIRECT(ADDRESS(400,37))+INDIRECT(ADDRESS(401,37))-INDIRECT(ADDRESS(404,37)),INDIRECT(ADDRESS(405,36))-INDIRECT(ADDRESS(400,37))+INDIRECT(ADDRESS(403,37))-INDIRECT(ADDRESS(404,37)))</f>
        <v>0</v>
      </c>
      <c r="AL405">
        <f>IF(DAY(NOW())&lt;M3,INDIRECT(ADDRESS(405,37))-INDIRECT(ADDRESS(400,38))+INDIRECT(ADDRESS(401,38))-INDIRECT(ADDRESS(404,38)),INDIRECT(ADDRESS(405,37))-INDIRECT(ADDRESS(400,38))+INDIRECT(ADDRESS(403,38))-INDIRECT(ADDRESS(404,38)))</f>
        <v>0</v>
      </c>
      <c r="AM405">
        <f>IF(DAY(NOW())&lt;M3,INDIRECT(ADDRESS(405,38))-INDIRECT(ADDRESS(400,39))+INDIRECT(ADDRESS(401,39))-INDIRECT(ADDRESS(404,39)),INDIRECT(ADDRESS(405,38))-INDIRECT(ADDRESS(400,39))+INDIRECT(ADDRESS(403,39))-INDIRECT(ADDRESS(404,39)))</f>
        <v>0</v>
      </c>
      <c r="AN405">
        <f>IF(DAY(NOW())&lt;M3,INDIRECT(ADDRESS(405,39))-INDIRECT(ADDRESS(400,40))+INDIRECT(ADDRESS(401,40))-INDIRECT(ADDRESS(404,40)),INDIRECT(ADDRESS(405,39))-INDIRECT(ADDRESS(400,40))+INDIRECT(ADDRESS(403,40))-INDIRECT(ADDRESS(404,40)))</f>
        <v>0</v>
      </c>
      <c r="AO405">
        <f>IF(DAY(NOW())&lt;M3,INDIRECT(ADDRESS(405,40))-INDIRECT(ADDRESS(400,41))+INDIRECT(ADDRESS(401,41))-INDIRECT(ADDRESS(404,41)),INDIRECT(ADDRESS(405,40))-INDIRECT(ADDRESS(400,41))+INDIRECT(ADDRESS(403,41))-INDIRECT(ADDRESS(404,41)))</f>
        <v>0</v>
      </c>
      <c r="AP405">
        <f>IF(DAY(NOW())&lt;M3,INDIRECT(ADDRESS(405,41))-INDIRECT(ADDRESS(400,42))+INDIRECT(ADDRESS(401,42))-INDIRECT(ADDRESS(404,42)),INDIRECT(ADDRESS(405,41))-INDIRECT(ADDRESS(400,42))+INDIRECT(ADDRESS(403,42))-INDIRECT(ADDRESS(404,42)))</f>
        <v>0</v>
      </c>
      <c r="AQ405">
        <f>IF(DAY(NOW())&lt;M3,INDIRECT(ADDRESS(405,42))-INDIRECT(ADDRESS(400,43))+INDIRECT(ADDRESS(401,43))-INDIRECT(ADDRESS(404,43)),INDIRECT(ADDRESS(405,42))-INDIRECT(ADDRESS(400,43))+INDIRECT(ADDRESS(403,43))-INDIRECT(ADDRESS(404,43)))</f>
        <v>0</v>
      </c>
      <c r="AR405">
        <f>IF(DAY(NOW())&lt;M3,INDIRECT(ADDRESS(405,43))-INDIRECT(ADDRESS(400,44))+INDIRECT(ADDRESS(401,44))-INDIRECT(ADDRESS(404,44)),INDIRECT(ADDRESS(405,43))-INDIRECT(ADDRESS(400,44))+INDIRECT(ADDRESS(403,44))-INDIRECT(ADDRESS(404,44)))</f>
        <v>0</v>
      </c>
    </row>
    <row r="406" spans="1:76">
      <c r="A406" t="s">
        <v>14</v>
      </c>
      <c r="B406" t="s">
        <v>254</v>
      </c>
      <c r="C406" t="s">
        <v>255</v>
      </c>
      <c r="D406" t="s">
        <v>256</v>
      </c>
      <c r="E406">
        <v>1</v>
      </c>
      <c r="F406" t="s">
        <v>257</v>
      </c>
      <c r="H406" t="s">
        <v>249</v>
      </c>
      <c r="I406" t="s">
        <v>258</v>
      </c>
      <c r="K406" t="s">
        <v>20</v>
      </c>
      <c r="L406" t="s">
        <v>21</v>
      </c>
      <c r="BX406">
        <f>sum(j406:an406)</f>
        <v>0</v>
      </c>
    </row>
    <row r="407" spans="1:76">
      <c r="A407" t="s">
        <v>14</v>
      </c>
      <c r="B407" t="s">
        <v>254</v>
      </c>
      <c r="C407" t="s">
        <v>255</v>
      </c>
      <c r="D407" t="s">
        <v>256</v>
      </c>
      <c r="E407">
        <v>1</v>
      </c>
      <c r="F407" t="s">
        <v>257</v>
      </c>
      <c r="H407" t="s">
        <v>249</v>
      </c>
      <c r="I407" t="s">
        <v>258</v>
      </c>
      <c r="K407" t="s">
        <v>20</v>
      </c>
      <c r="L407" t="s">
        <v>37</v>
      </c>
    </row>
    <row r="408" spans="1:76">
      <c r="L408" t="s">
        <v>662</v>
      </c>
    </row>
    <row r="409" spans="1:76">
      <c r="L409" t="s">
        <v>663</v>
      </c>
    </row>
    <row r="410" spans="1:76">
      <c r="L410" t="s">
        <v>664</v>
      </c>
    </row>
    <row r="411" spans="1:76">
      <c r="L411" t="s">
        <v>665</v>
      </c>
      <c r="M411">
        <f>IF(DAY(NOW())&lt;M3,INDIRECT(ADDRESS(411,7))-INDIRECT(ADDRESS(406,13))+INDIRECT(ADDRESS(407,13))-INDIRECT(ADDRESS(410,13)),INDIRECT(ADDRESS(411,7))-INDIRECT(ADDRESS(406,13))+INDIRECT(ADDRESS(409,13))-INDIRECT(ADDRESS(410,13)))</f>
        <v>0</v>
      </c>
      <c r="N411">
        <f>IF(DAY(NOW())&lt;M3,INDIRECT(ADDRESS(411,13))-INDIRECT(ADDRESS(406,14))+INDIRECT(ADDRESS(407,14))-INDIRECT(ADDRESS(410,14)),INDIRECT(ADDRESS(411,13))-INDIRECT(ADDRESS(406,14))+INDIRECT(ADDRESS(409,14))-INDIRECT(ADDRESS(410,14)))</f>
        <v>0</v>
      </c>
      <c r="O411">
        <f>IF(DAY(NOW())&lt;M3,INDIRECT(ADDRESS(411,14))-INDIRECT(ADDRESS(406,15))+INDIRECT(ADDRESS(407,15))-INDIRECT(ADDRESS(410,15)),INDIRECT(ADDRESS(411,14))-INDIRECT(ADDRESS(406,15))+INDIRECT(ADDRESS(409,15))-INDIRECT(ADDRESS(410,15)))</f>
        <v>0</v>
      </c>
      <c r="P411">
        <f>IF(DAY(NOW())&lt;M3,INDIRECT(ADDRESS(411,15))-INDIRECT(ADDRESS(406,16))+INDIRECT(ADDRESS(407,16))-INDIRECT(ADDRESS(410,16)),INDIRECT(ADDRESS(411,15))-INDIRECT(ADDRESS(406,16))+INDIRECT(ADDRESS(409,16))-INDIRECT(ADDRESS(410,16)))</f>
        <v>0</v>
      </c>
      <c r="Q411">
        <f>IF(DAY(NOW())&lt;M3,INDIRECT(ADDRESS(411,16))-INDIRECT(ADDRESS(406,17))+INDIRECT(ADDRESS(407,17))-INDIRECT(ADDRESS(410,17)),INDIRECT(ADDRESS(411,16))-INDIRECT(ADDRESS(406,17))+INDIRECT(ADDRESS(409,17))-INDIRECT(ADDRESS(410,17)))</f>
        <v>0</v>
      </c>
      <c r="R411">
        <f>IF(DAY(NOW())&lt;M3,INDIRECT(ADDRESS(411,17))-INDIRECT(ADDRESS(406,18))+INDIRECT(ADDRESS(407,18))-INDIRECT(ADDRESS(410,18)),INDIRECT(ADDRESS(411,17))-INDIRECT(ADDRESS(406,18))+INDIRECT(ADDRESS(409,18))-INDIRECT(ADDRESS(410,18)))</f>
        <v>0</v>
      </c>
      <c r="S411">
        <f>IF(DAY(NOW())&lt;M3,INDIRECT(ADDRESS(411,18))-INDIRECT(ADDRESS(406,19))+INDIRECT(ADDRESS(407,19))-INDIRECT(ADDRESS(410,19)),INDIRECT(ADDRESS(411,18))-INDIRECT(ADDRESS(406,19))+INDIRECT(ADDRESS(409,19))-INDIRECT(ADDRESS(410,19)))</f>
        <v>0</v>
      </c>
      <c r="T411">
        <f>IF(DAY(NOW())&lt;M3,INDIRECT(ADDRESS(411,19))-INDIRECT(ADDRESS(406,20))+INDIRECT(ADDRESS(407,20))-INDIRECT(ADDRESS(410,20)),INDIRECT(ADDRESS(411,19))-INDIRECT(ADDRESS(406,20))+INDIRECT(ADDRESS(409,20))-INDIRECT(ADDRESS(410,20)))</f>
        <v>0</v>
      </c>
      <c r="U411">
        <f>IF(DAY(NOW())&lt;M3,INDIRECT(ADDRESS(411,20))-INDIRECT(ADDRESS(406,21))+INDIRECT(ADDRESS(407,21))-INDIRECT(ADDRESS(410,21)),INDIRECT(ADDRESS(411,20))-INDIRECT(ADDRESS(406,21))+INDIRECT(ADDRESS(409,21))-INDIRECT(ADDRESS(410,21)))</f>
        <v>0</v>
      </c>
      <c r="V411">
        <f>IF(DAY(NOW())&lt;M3,INDIRECT(ADDRESS(411,21))-INDIRECT(ADDRESS(406,22))+INDIRECT(ADDRESS(407,22))-INDIRECT(ADDRESS(410,22)),INDIRECT(ADDRESS(411,21))-INDIRECT(ADDRESS(406,22))+INDIRECT(ADDRESS(409,22))-INDIRECT(ADDRESS(410,22)))</f>
        <v>0</v>
      </c>
      <c r="W411">
        <f>IF(DAY(NOW())&lt;M3,INDIRECT(ADDRESS(411,22))-INDIRECT(ADDRESS(406,23))+INDIRECT(ADDRESS(407,23))-INDIRECT(ADDRESS(410,23)),INDIRECT(ADDRESS(411,22))-INDIRECT(ADDRESS(406,23))+INDIRECT(ADDRESS(409,23))-INDIRECT(ADDRESS(410,23)))</f>
        <v>0</v>
      </c>
      <c r="X411">
        <f>IF(DAY(NOW())&lt;M3,INDIRECT(ADDRESS(411,23))-INDIRECT(ADDRESS(406,24))+INDIRECT(ADDRESS(407,24))-INDIRECT(ADDRESS(410,24)),INDIRECT(ADDRESS(411,23))-INDIRECT(ADDRESS(406,24))+INDIRECT(ADDRESS(409,24))-INDIRECT(ADDRESS(410,24)))</f>
        <v>0</v>
      </c>
      <c r="Y411">
        <f>IF(DAY(NOW())&lt;M3,INDIRECT(ADDRESS(411,24))-INDIRECT(ADDRESS(406,25))+INDIRECT(ADDRESS(407,25))-INDIRECT(ADDRESS(410,25)),INDIRECT(ADDRESS(411,24))-INDIRECT(ADDRESS(406,25))+INDIRECT(ADDRESS(409,25))-INDIRECT(ADDRESS(410,25)))</f>
        <v>0</v>
      </c>
      <c r="Z411">
        <f>IF(DAY(NOW())&lt;M3,INDIRECT(ADDRESS(411,25))-INDIRECT(ADDRESS(406,26))+INDIRECT(ADDRESS(407,26))-INDIRECT(ADDRESS(410,26)),INDIRECT(ADDRESS(411,25))-INDIRECT(ADDRESS(406,26))+INDIRECT(ADDRESS(409,26))-INDIRECT(ADDRESS(410,26)))</f>
        <v>0</v>
      </c>
      <c r="AA411">
        <f>IF(DAY(NOW())&lt;M3,INDIRECT(ADDRESS(411,26))-INDIRECT(ADDRESS(406,27))+INDIRECT(ADDRESS(407,27))-INDIRECT(ADDRESS(410,27)),INDIRECT(ADDRESS(411,26))-INDIRECT(ADDRESS(406,27))+INDIRECT(ADDRESS(409,27))-INDIRECT(ADDRESS(410,27)))</f>
        <v>0</v>
      </c>
      <c r="AB411">
        <f>IF(DAY(NOW())&lt;M3,INDIRECT(ADDRESS(411,27))-INDIRECT(ADDRESS(406,28))+INDIRECT(ADDRESS(407,28))-INDIRECT(ADDRESS(410,28)),INDIRECT(ADDRESS(411,27))-INDIRECT(ADDRESS(406,28))+INDIRECT(ADDRESS(409,28))-INDIRECT(ADDRESS(410,28)))</f>
        <v>0</v>
      </c>
      <c r="AC411">
        <f>IF(DAY(NOW())&lt;M3,INDIRECT(ADDRESS(411,28))-INDIRECT(ADDRESS(406,29))+INDIRECT(ADDRESS(407,29))-INDIRECT(ADDRESS(410,29)),INDIRECT(ADDRESS(411,28))-INDIRECT(ADDRESS(406,29))+INDIRECT(ADDRESS(409,29))-INDIRECT(ADDRESS(410,29)))</f>
        <v>0</v>
      </c>
      <c r="AD411">
        <f>IF(DAY(NOW())&lt;M3,INDIRECT(ADDRESS(411,29))-INDIRECT(ADDRESS(406,30))+INDIRECT(ADDRESS(407,30))-INDIRECT(ADDRESS(410,30)),INDIRECT(ADDRESS(411,29))-INDIRECT(ADDRESS(406,30))+INDIRECT(ADDRESS(409,30))-INDIRECT(ADDRESS(410,30)))</f>
        <v>0</v>
      </c>
      <c r="AE411">
        <f>IF(DAY(NOW())&lt;M3,INDIRECT(ADDRESS(411,30))-INDIRECT(ADDRESS(406,31))+INDIRECT(ADDRESS(407,31))-INDIRECT(ADDRESS(410,31)),INDIRECT(ADDRESS(411,30))-INDIRECT(ADDRESS(406,31))+INDIRECT(ADDRESS(409,31))-INDIRECT(ADDRESS(410,31)))</f>
        <v>0</v>
      </c>
      <c r="AF411">
        <f>IF(DAY(NOW())&lt;M3,INDIRECT(ADDRESS(411,31))-INDIRECT(ADDRESS(406,32))+INDIRECT(ADDRESS(407,32))-INDIRECT(ADDRESS(410,32)),INDIRECT(ADDRESS(411,31))-INDIRECT(ADDRESS(406,32))+INDIRECT(ADDRESS(409,32))-INDIRECT(ADDRESS(410,32)))</f>
        <v>0</v>
      </c>
      <c r="AG411">
        <f>IF(DAY(NOW())&lt;M3,INDIRECT(ADDRESS(411,32))-INDIRECT(ADDRESS(406,33))+INDIRECT(ADDRESS(407,33))-INDIRECT(ADDRESS(410,33)),INDIRECT(ADDRESS(411,32))-INDIRECT(ADDRESS(406,33))+INDIRECT(ADDRESS(409,33))-INDIRECT(ADDRESS(410,33)))</f>
        <v>0</v>
      </c>
      <c r="AH411">
        <f>IF(DAY(NOW())&lt;M3,INDIRECT(ADDRESS(411,33))-INDIRECT(ADDRESS(406,34))+INDIRECT(ADDRESS(407,34))-INDIRECT(ADDRESS(410,34)),INDIRECT(ADDRESS(411,33))-INDIRECT(ADDRESS(406,34))+INDIRECT(ADDRESS(409,34))-INDIRECT(ADDRESS(410,34)))</f>
        <v>0</v>
      </c>
      <c r="AI411">
        <f>IF(DAY(NOW())&lt;M3,INDIRECT(ADDRESS(411,34))-INDIRECT(ADDRESS(406,35))+INDIRECT(ADDRESS(407,35))-INDIRECT(ADDRESS(410,35)),INDIRECT(ADDRESS(411,34))-INDIRECT(ADDRESS(406,35))+INDIRECT(ADDRESS(409,35))-INDIRECT(ADDRESS(410,35)))</f>
        <v>0</v>
      </c>
      <c r="AJ411">
        <f>IF(DAY(NOW())&lt;M3,INDIRECT(ADDRESS(411,35))-INDIRECT(ADDRESS(406,36))+INDIRECT(ADDRESS(407,36))-INDIRECT(ADDRESS(410,36)),INDIRECT(ADDRESS(411,35))-INDIRECT(ADDRESS(406,36))+INDIRECT(ADDRESS(409,36))-INDIRECT(ADDRESS(410,36)))</f>
        <v>0</v>
      </c>
      <c r="AK411">
        <f>IF(DAY(NOW())&lt;M3,INDIRECT(ADDRESS(411,36))-INDIRECT(ADDRESS(406,37))+INDIRECT(ADDRESS(407,37))-INDIRECT(ADDRESS(410,37)),INDIRECT(ADDRESS(411,36))-INDIRECT(ADDRESS(406,37))+INDIRECT(ADDRESS(409,37))-INDIRECT(ADDRESS(410,37)))</f>
        <v>0</v>
      </c>
      <c r="AL411">
        <f>IF(DAY(NOW())&lt;M3,INDIRECT(ADDRESS(411,37))-INDIRECT(ADDRESS(406,38))+INDIRECT(ADDRESS(407,38))-INDIRECT(ADDRESS(410,38)),INDIRECT(ADDRESS(411,37))-INDIRECT(ADDRESS(406,38))+INDIRECT(ADDRESS(409,38))-INDIRECT(ADDRESS(410,38)))</f>
        <v>0</v>
      </c>
      <c r="AM411">
        <f>IF(DAY(NOW())&lt;M3,INDIRECT(ADDRESS(411,38))-INDIRECT(ADDRESS(406,39))+INDIRECT(ADDRESS(407,39))-INDIRECT(ADDRESS(410,39)),INDIRECT(ADDRESS(411,38))-INDIRECT(ADDRESS(406,39))+INDIRECT(ADDRESS(409,39))-INDIRECT(ADDRESS(410,39)))</f>
        <v>0</v>
      </c>
      <c r="AN411">
        <f>IF(DAY(NOW())&lt;M3,INDIRECT(ADDRESS(411,39))-INDIRECT(ADDRESS(406,40))+INDIRECT(ADDRESS(407,40))-INDIRECT(ADDRESS(410,40)),INDIRECT(ADDRESS(411,39))-INDIRECT(ADDRESS(406,40))+INDIRECT(ADDRESS(409,40))-INDIRECT(ADDRESS(410,40)))</f>
        <v>0</v>
      </c>
      <c r="AO411">
        <f>IF(DAY(NOW())&lt;M3,INDIRECT(ADDRESS(411,40))-INDIRECT(ADDRESS(406,41))+INDIRECT(ADDRESS(407,41))-INDIRECT(ADDRESS(410,41)),INDIRECT(ADDRESS(411,40))-INDIRECT(ADDRESS(406,41))+INDIRECT(ADDRESS(409,41))-INDIRECT(ADDRESS(410,41)))</f>
        <v>0</v>
      </c>
      <c r="AP411">
        <f>IF(DAY(NOW())&lt;M3,INDIRECT(ADDRESS(411,41))-INDIRECT(ADDRESS(406,42))+INDIRECT(ADDRESS(407,42))-INDIRECT(ADDRESS(410,42)),INDIRECT(ADDRESS(411,41))-INDIRECT(ADDRESS(406,42))+INDIRECT(ADDRESS(409,42))-INDIRECT(ADDRESS(410,42)))</f>
        <v>0</v>
      </c>
      <c r="AQ411">
        <f>IF(DAY(NOW())&lt;M3,INDIRECT(ADDRESS(411,42))-INDIRECT(ADDRESS(406,43))+INDIRECT(ADDRESS(407,43))-INDIRECT(ADDRESS(410,43)),INDIRECT(ADDRESS(411,42))-INDIRECT(ADDRESS(406,43))+INDIRECT(ADDRESS(409,43))-INDIRECT(ADDRESS(410,43)))</f>
        <v>0</v>
      </c>
      <c r="AR411">
        <f>IF(DAY(NOW())&lt;M3,INDIRECT(ADDRESS(411,43))-INDIRECT(ADDRESS(406,44))+INDIRECT(ADDRESS(407,44))-INDIRECT(ADDRESS(410,44)),INDIRECT(ADDRESS(411,43))-INDIRECT(ADDRESS(406,44))+INDIRECT(ADDRESS(409,44))-INDIRECT(ADDRESS(410,44)))</f>
        <v>0</v>
      </c>
    </row>
    <row r="412" spans="1:76">
      <c r="A412" t="s">
        <v>31</v>
      </c>
      <c r="B412" t="s">
        <v>259</v>
      </c>
      <c r="C412" t="s">
        <v>260</v>
      </c>
      <c r="D412" t="s">
        <v>256</v>
      </c>
      <c r="E412">
        <v>1</v>
      </c>
      <c r="F412" t="s">
        <v>261</v>
      </c>
      <c r="H412" t="s">
        <v>35</v>
      </c>
      <c r="I412" t="s">
        <v>36</v>
      </c>
      <c r="K412" t="s">
        <v>20</v>
      </c>
      <c r="L412" t="s">
        <v>21</v>
      </c>
      <c r="M412">
        <f>sumifs(BOM!m:m,BOM!A:A,".1",BOM!B:B,"212-045000-000")</f>
        <v>0</v>
      </c>
      <c r="N412">
        <f>sumifs(BOM!n:n,BOM!A:A,".1",BOM!B:B,"212-045000-000")</f>
        <v>0</v>
      </c>
      <c r="O412">
        <f>sumifs(BOM!o:o,BOM!A:A,".1",BOM!B:B,"212-045000-000")</f>
        <v>0</v>
      </c>
      <c r="P412">
        <f>sumifs(BOM!p:p,BOM!A:A,".1",BOM!B:B,"212-045000-000")</f>
        <v>0</v>
      </c>
      <c r="Q412">
        <f>sumifs(BOM!q:q,BOM!A:A,".1",BOM!B:B,"212-045000-000")</f>
        <v>0</v>
      </c>
      <c r="R412">
        <f>sumifs(BOM!r:r,BOM!A:A,".1",BOM!B:B,"212-045000-000")</f>
        <v>0</v>
      </c>
      <c r="S412">
        <f>sumifs(BOM!s:s,BOM!A:A,".1",BOM!B:B,"212-045000-000")</f>
        <v>0</v>
      </c>
      <c r="T412">
        <f>sumifs(BOM!t:t,BOM!A:A,".1",BOM!B:B,"212-045000-000")</f>
        <v>0</v>
      </c>
      <c r="U412">
        <f>sumifs(BOM!u:u,BOM!A:A,".1",BOM!B:B,"212-045000-000")</f>
        <v>0</v>
      </c>
      <c r="V412">
        <f>sumifs(BOM!v:v,BOM!A:A,".1",BOM!B:B,"212-045000-000")</f>
        <v>0</v>
      </c>
      <c r="W412">
        <f>sumifs(BOM!w:w,BOM!A:A,".1",BOM!B:B,"212-045000-000")</f>
        <v>0</v>
      </c>
      <c r="X412">
        <f>sumifs(BOM!x:x,BOM!A:A,".1",BOM!B:B,"212-045000-000")</f>
        <v>0</v>
      </c>
      <c r="Y412">
        <f>sumifs(BOM!y:y,BOM!A:A,".1",BOM!B:B,"212-045000-000")</f>
        <v>0</v>
      </c>
      <c r="Z412">
        <f>sumifs(BOM!z:z,BOM!A:A,".1",BOM!B:B,"212-045000-000")</f>
        <v>0</v>
      </c>
      <c r="AA412">
        <f>sumifs(BOM!aa:aa,BOM!A:A,".1",BOM!B:B,"212-045000-000")</f>
        <v>0</v>
      </c>
      <c r="AB412">
        <f>sumifs(BOM!ab:ab,BOM!A:A,".1",BOM!B:B,"212-045000-000")</f>
        <v>0</v>
      </c>
      <c r="AC412">
        <f>sumifs(BOM!ac:ac,BOM!A:A,".1",BOM!B:B,"212-045000-000")</f>
        <v>0</v>
      </c>
      <c r="AD412">
        <f>sumifs(BOM!ad:ad,BOM!A:A,".1",BOM!B:B,"212-045000-000")</f>
        <v>0</v>
      </c>
      <c r="AE412">
        <f>sumifs(BOM!ae:ae,BOM!A:A,".1",BOM!B:B,"212-045000-000")</f>
        <v>0</v>
      </c>
      <c r="AF412">
        <f>sumifs(BOM!af:af,BOM!A:A,".1",BOM!B:B,"212-045000-000")</f>
        <v>0</v>
      </c>
      <c r="AG412">
        <f>sumifs(BOM!ag:ag,BOM!A:A,".1",BOM!B:B,"212-045000-000")</f>
        <v>0</v>
      </c>
      <c r="AH412">
        <f>sumifs(BOM!ah:ah,BOM!A:A,".1",BOM!B:B,"212-045000-000")</f>
        <v>0</v>
      </c>
      <c r="AI412">
        <f>sumifs(BOM!ai:ai,BOM!A:A,".1",BOM!B:B,"212-045000-000")</f>
        <v>0</v>
      </c>
      <c r="AJ412">
        <f>sumifs(BOM!aj:aj,BOM!A:A,".1",BOM!B:B,"212-045000-000")</f>
        <v>0</v>
      </c>
      <c r="AK412">
        <f>sumifs(BOM!ak:ak,BOM!A:A,".1",BOM!B:B,"212-045000-000")</f>
        <v>0</v>
      </c>
      <c r="AL412">
        <f>sumifs(BOM!al:al,BOM!A:A,".1",BOM!B:B,"212-045000-000")</f>
        <v>0</v>
      </c>
      <c r="AM412">
        <f>sumifs(BOM!am:am,BOM!A:A,".1",BOM!B:B,"212-045000-000")</f>
        <v>0</v>
      </c>
      <c r="AN412">
        <f>sumifs(BOM!an:an,BOM!A:A,".1",BOM!B:B,"212-045000-000")</f>
        <v>0</v>
      </c>
      <c r="AO412">
        <f>sumifs(BOM!ao:ao,BOM!A:A,".1",BOM!B:B,"212-045000-000")</f>
        <v>0</v>
      </c>
      <c r="AP412">
        <f>sumifs(BOM!ap:ap,BOM!A:A,".1",BOM!B:B,"212-045000-000")</f>
        <v>0</v>
      </c>
      <c r="AQ412">
        <f>sumifs(BOM!aq:aq,BOM!A:A,".1",BOM!B:B,"212-045000-000")</f>
        <v>0</v>
      </c>
      <c r="AR412">
        <f>sumifs(BOM!ar:ar,BOM!A:A,".1",BOM!B:B,"212-045000-000")</f>
        <v>0</v>
      </c>
      <c r="BX412">
        <f>sum(j412:an412)</f>
        <v>0</v>
      </c>
    </row>
    <row r="413" spans="1:76">
      <c r="A413" t="s">
        <v>31</v>
      </c>
      <c r="B413" t="s">
        <v>259</v>
      </c>
      <c r="C413" t="s">
        <v>260</v>
      </c>
      <c r="D413" t="s">
        <v>256</v>
      </c>
      <c r="E413">
        <v>1</v>
      </c>
      <c r="F413" t="s">
        <v>261</v>
      </c>
      <c r="H413" t="s">
        <v>35</v>
      </c>
      <c r="I413" t="s">
        <v>36</v>
      </c>
      <c r="K413" t="s">
        <v>20</v>
      </c>
      <c r="L413" t="s">
        <v>37</v>
      </c>
    </row>
    <row r="414" spans="1:76">
      <c r="L414" t="s">
        <v>662</v>
      </c>
    </row>
    <row r="415" spans="1:76">
      <c r="L415" t="s">
        <v>663</v>
      </c>
    </row>
    <row r="416" spans="1:76">
      <c r="L416" t="s">
        <v>664</v>
      </c>
    </row>
    <row r="417" spans="1:76">
      <c r="L417" t="s">
        <v>665</v>
      </c>
      <c r="M417">
        <f>IF(DAY(NOW())&lt;M3,INDIRECT(ADDRESS(417,7))-INDIRECT(ADDRESS(412,13))+INDIRECT(ADDRESS(413,13))-INDIRECT(ADDRESS(416,13)),INDIRECT(ADDRESS(417,7))-INDIRECT(ADDRESS(412,13))+INDIRECT(ADDRESS(415,13))-INDIRECT(ADDRESS(416,13)))</f>
        <v>0</v>
      </c>
      <c r="N417">
        <f>IF(DAY(NOW())&lt;M3,INDIRECT(ADDRESS(417,13))-INDIRECT(ADDRESS(412,14))+INDIRECT(ADDRESS(413,14))-INDIRECT(ADDRESS(416,14)),INDIRECT(ADDRESS(417,13))-INDIRECT(ADDRESS(412,14))+INDIRECT(ADDRESS(415,14))-INDIRECT(ADDRESS(416,14)))</f>
        <v>0</v>
      </c>
      <c r="O417">
        <f>IF(DAY(NOW())&lt;M3,INDIRECT(ADDRESS(417,14))-INDIRECT(ADDRESS(412,15))+INDIRECT(ADDRESS(413,15))-INDIRECT(ADDRESS(416,15)),INDIRECT(ADDRESS(417,14))-INDIRECT(ADDRESS(412,15))+INDIRECT(ADDRESS(415,15))-INDIRECT(ADDRESS(416,15)))</f>
        <v>0</v>
      </c>
      <c r="P417">
        <f>IF(DAY(NOW())&lt;M3,INDIRECT(ADDRESS(417,15))-INDIRECT(ADDRESS(412,16))+INDIRECT(ADDRESS(413,16))-INDIRECT(ADDRESS(416,16)),INDIRECT(ADDRESS(417,15))-INDIRECT(ADDRESS(412,16))+INDIRECT(ADDRESS(415,16))-INDIRECT(ADDRESS(416,16)))</f>
        <v>0</v>
      </c>
      <c r="Q417">
        <f>IF(DAY(NOW())&lt;M3,INDIRECT(ADDRESS(417,16))-INDIRECT(ADDRESS(412,17))+INDIRECT(ADDRESS(413,17))-INDIRECT(ADDRESS(416,17)),INDIRECT(ADDRESS(417,16))-INDIRECT(ADDRESS(412,17))+INDIRECT(ADDRESS(415,17))-INDIRECT(ADDRESS(416,17)))</f>
        <v>0</v>
      </c>
      <c r="R417">
        <f>IF(DAY(NOW())&lt;M3,INDIRECT(ADDRESS(417,17))-INDIRECT(ADDRESS(412,18))+INDIRECT(ADDRESS(413,18))-INDIRECT(ADDRESS(416,18)),INDIRECT(ADDRESS(417,17))-INDIRECT(ADDRESS(412,18))+INDIRECT(ADDRESS(415,18))-INDIRECT(ADDRESS(416,18)))</f>
        <v>0</v>
      </c>
      <c r="S417">
        <f>IF(DAY(NOW())&lt;M3,INDIRECT(ADDRESS(417,18))-INDIRECT(ADDRESS(412,19))+INDIRECT(ADDRESS(413,19))-INDIRECT(ADDRESS(416,19)),INDIRECT(ADDRESS(417,18))-INDIRECT(ADDRESS(412,19))+INDIRECT(ADDRESS(415,19))-INDIRECT(ADDRESS(416,19)))</f>
        <v>0</v>
      </c>
      <c r="T417">
        <f>IF(DAY(NOW())&lt;M3,INDIRECT(ADDRESS(417,19))-INDIRECT(ADDRESS(412,20))+INDIRECT(ADDRESS(413,20))-INDIRECT(ADDRESS(416,20)),INDIRECT(ADDRESS(417,19))-INDIRECT(ADDRESS(412,20))+INDIRECT(ADDRESS(415,20))-INDIRECT(ADDRESS(416,20)))</f>
        <v>0</v>
      </c>
      <c r="U417">
        <f>IF(DAY(NOW())&lt;M3,INDIRECT(ADDRESS(417,20))-INDIRECT(ADDRESS(412,21))+INDIRECT(ADDRESS(413,21))-INDIRECT(ADDRESS(416,21)),INDIRECT(ADDRESS(417,20))-INDIRECT(ADDRESS(412,21))+INDIRECT(ADDRESS(415,21))-INDIRECT(ADDRESS(416,21)))</f>
        <v>0</v>
      </c>
      <c r="V417">
        <f>IF(DAY(NOW())&lt;M3,INDIRECT(ADDRESS(417,21))-INDIRECT(ADDRESS(412,22))+INDIRECT(ADDRESS(413,22))-INDIRECT(ADDRESS(416,22)),INDIRECT(ADDRESS(417,21))-INDIRECT(ADDRESS(412,22))+INDIRECT(ADDRESS(415,22))-INDIRECT(ADDRESS(416,22)))</f>
        <v>0</v>
      </c>
      <c r="W417">
        <f>IF(DAY(NOW())&lt;M3,INDIRECT(ADDRESS(417,22))-INDIRECT(ADDRESS(412,23))+INDIRECT(ADDRESS(413,23))-INDIRECT(ADDRESS(416,23)),INDIRECT(ADDRESS(417,22))-INDIRECT(ADDRESS(412,23))+INDIRECT(ADDRESS(415,23))-INDIRECT(ADDRESS(416,23)))</f>
        <v>0</v>
      </c>
      <c r="X417">
        <f>IF(DAY(NOW())&lt;M3,INDIRECT(ADDRESS(417,23))-INDIRECT(ADDRESS(412,24))+INDIRECT(ADDRESS(413,24))-INDIRECT(ADDRESS(416,24)),INDIRECT(ADDRESS(417,23))-INDIRECT(ADDRESS(412,24))+INDIRECT(ADDRESS(415,24))-INDIRECT(ADDRESS(416,24)))</f>
        <v>0</v>
      </c>
      <c r="Y417">
        <f>IF(DAY(NOW())&lt;M3,INDIRECT(ADDRESS(417,24))-INDIRECT(ADDRESS(412,25))+INDIRECT(ADDRESS(413,25))-INDIRECT(ADDRESS(416,25)),INDIRECT(ADDRESS(417,24))-INDIRECT(ADDRESS(412,25))+INDIRECT(ADDRESS(415,25))-INDIRECT(ADDRESS(416,25)))</f>
        <v>0</v>
      </c>
      <c r="Z417">
        <f>IF(DAY(NOW())&lt;M3,INDIRECT(ADDRESS(417,25))-INDIRECT(ADDRESS(412,26))+INDIRECT(ADDRESS(413,26))-INDIRECT(ADDRESS(416,26)),INDIRECT(ADDRESS(417,25))-INDIRECT(ADDRESS(412,26))+INDIRECT(ADDRESS(415,26))-INDIRECT(ADDRESS(416,26)))</f>
        <v>0</v>
      </c>
      <c r="AA417">
        <f>IF(DAY(NOW())&lt;M3,INDIRECT(ADDRESS(417,26))-INDIRECT(ADDRESS(412,27))+INDIRECT(ADDRESS(413,27))-INDIRECT(ADDRESS(416,27)),INDIRECT(ADDRESS(417,26))-INDIRECT(ADDRESS(412,27))+INDIRECT(ADDRESS(415,27))-INDIRECT(ADDRESS(416,27)))</f>
        <v>0</v>
      </c>
      <c r="AB417">
        <f>IF(DAY(NOW())&lt;M3,INDIRECT(ADDRESS(417,27))-INDIRECT(ADDRESS(412,28))+INDIRECT(ADDRESS(413,28))-INDIRECT(ADDRESS(416,28)),INDIRECT(ADDRESS(417,27))-INDIRECT(ADDRESS(412,28))+INDIRECT(ADDRESS(415,28))-INDIRECT(ADDRESS(416,28)))</f>
        <v>0</v>
      </c>
      <c r="AC417">
        <f>IF(DAY(NOW())&lt;M3,INDIRECT(ADDRESS(417,28))-INDIRECT(ADDRESS(412,29))+INDIRECT(ADDRESS(413,29))-INDIRECT(ADDRESS(416,29)),INDIRECT(ADDRESS(417,28))-INDIRECT(ADDRESS(412,29))+INDIRECT(ADDRESS(415,29))-INDIRECT(ADDRESS(416,29)))</f>
        <v>0</v>
      </c>
      <c r="AD417">
        <f>IF(DAY(NOW())&lt;M3,INDIRECT(ADDRESS(417,29))-INDIRECT(ADDRESS(412,30))+INDIRECT(ADDRESS(413,30))-INDIRECT(ADDRESS(416,30)),INDIRECT(ADDRESS(417,29))-INDIRECT(ADDRESS(412,30))+INDIRECT(ADDRESS(415,30))-INDIRECT(ADDRESS(416,30)))</f>
        <v>0</v>
      </c>
      <c r="AE417">
        <f>IF(DAY(NOW())&lt;M3,INDIRECT(ADDRESS(417,30))-INDIRECT(ADDRESS(412,31))+INDIRECT(ADDRESS(413,31))-INDIRECT(ADDRESS(416,31)),INDIRECT(ADDRESS(417,30))-INDIRECT(ADDRESS(412,31))+INDIRECT(ADDRESS(415,31))-INDIRECT(ADDRESS(416,31)))</f>
        <v>0</v>
      </c>
      <c r="AF417">
        <f>IF(DAY(NOW())&lt;M3,INDIRECT(ADDRESS(417,31))-INDIRECT(ADDRESS(412,32))+INDIRECT(ADDRESS(413,32))-INDIRECT(ADDRESS(416,32)),INDIRECT(ADDRESS(417,31))-INDIRECT(ADDRESS(412,32))+INDIRECT(ADDRESS(415,32))-INDIRECT(ADDRESS(416,32)))</f>
        <v>0</v>
      </c>
      <c r="AG417">
        <f>IF(DAY(NOW())&lt;M3,INDIRECT(ADDRESS(417,32))-INDIRECT(ADDRESS(412,33))+INDIRECT(ADDRESS(413,33))-INDIRECT(ADDRESS(416,33)),INDIRECT(ADDRESS(417,32))-INDIRECT(ADDRESS(412,33))+INDIRECT(ADDRESS(415,33))-INDIRECT(ADDRESS(416,33)))</f>
        <v>0</v>
      </c>
      <c r="AH417">
        <f>IF(DAY(NOW())&lt;M3,INDIRECT(ADDRESS(417,33))-INDIRECT(ADDRESS(412,34))+INDIRECT(ADDRESS(413,34))-INDIRECT(ADDRESS(416,34)),INDIRECT(ADDRESS(417,33))-INDIRECT(ADDRESS(412,34))+INDIRECT(ADDRESS(415,34))-INDIRECT(ADDRESS(416,34)))</f>
        <v>0</v>
      </c>
      <c r="AI417">
        <f>IF(DAY(NOW())&lt;M3,INDIRECT(ADDRESS(417,34))-INDIRECT(ADDRESS(412,35))+INDIRECT(ADDRESS(413,35))-INDIRECT(ADDRESS(416,35)),INDIRECT(ADDRESS(417,34))-INDIRECT(ADDRESS(412,35))+INDIRECT(ADDRESS(415,35))-INDIRECT(ADDRESS(416,35)))</f>
        <v>0</v>
      </c>
      <c r="AJ417">
        <f>IF(DAY(NOW())&lt;M3,INDIRECT(ADDRESS(417,35))-INDIRECT(ADDRESS(412,36))+INDIRECT(ADDRESS(413,36))-INDIRECT(ADDRESS(416,36)),INDIRECT(ADDRESS(417,35))-INDIRECT(ADDRESS(412,36))+INDIRECT(ADDRESS(415,36))-INDIRECT(ADDRESS(416,36)))</f>
        <v>0</v>
      </c>
      <c r="AK417">
        <f>IF(DAY(NOW())&lt;M3,INDIRECT(ADDRESS(417,36))-INDIRECT(ADDRESS(412,37))+INDIRECT(ADDRESS(413,37))-INDIRECT(ADDRESS(416,37)),INDIRECT(ADDRESS(417,36))-INDIRECT(ADDRESS(412,37))+INDIRECT(ADDRESS(415,37))-INDIRECT(ADDRESS(416,37)))</f>
        <v>0</v>
      </c>
      <c r="AL417">
        <f>IF(DAY(NOW())&lt;M3,INDIRECT(ADDRESS(417,37))-INDIRECT(ADDRESS(412,38))+INDIRECT(ADDRESS(413,38))-INDIRECT(ADDRESS(416,38)),INDIRECT(ADDRESS(417,37))-INDIRECT(ADDRESS(412,38))+INDIRECT(ADDRESS(415,38))-INDIRECT(ADDRESS(416,38)))</f>
        <v>0</v>
      </c>
      <c r="AM417">
        <f>IF(DAY(NOW())&lt;M3,INDIRECT(ADDRESS(417,38))-INDIRECT(ADDRESS(412,39))+INDIRECT(ADDRESS(413,39))-INDIRECT(ADDRESS(416,39)),INDIRECT(ADDRESS(417,38))-INDIRECT(ADDRESS(412,39))+INDIRECT(ADDRESS(415,39))-INDIRECT(ADDRESS(416,39)))</f>
        <v>0</v>
      </c>
      <c r="AN417">
        <f>IF(DAY(NOW())&lt;M3,INDIRECT(ADDRESS(417,39))-INDIRECT(ADDRESS(412,40))+INDIRECT(ADDRESS(413,40))-INDIRECT(ADDRESS(416,40)),INDIRECT(ADDRESS(417,39))-INDIRECT(ADDRESS(412,40))+INDIRECT(ADDRESS(415,40))-INDIRECT(ADDRESS(416,40)))</f>
        <v>0</v>
      </c>
      <c r="AO417">
        <f>IF(DAY(NOW())&lt;M3,INDIRECT(ADDRESS(417,40))-INDIRECT(ADDRESS(412,41))+INDIRECT(ADDRESS(413,41))-INDIRECT(ADDRESS(416,41)),INDIRECT(ADDRESS(417,40))-INDIRECT(ADDRESS(412,41))+INDIRECT(ADDRESS(415,41))-INDIRECT(ADDRESS(416,41)))</f>
        <v>0</v>
      </c>
      <c r="AP417">
        <f>IF(DAY(NOW())&lt;M3,INDIRECT(ADDRESS(417,41))-INDIRECT(ADDRESS(412,42))+INDIRECT(ADDRESS(413,42))-INDIRECT(ADDRESS(416,42)),INDIRECT(ADDRESS(417,41))-INDIRECT(ADDRESS(412,42))+INDIRECT(ADDRESS(415,42))-INDIRECT(ADDRESS(416,42)))</f>
        <v>0</v>
      </c>
      <c r="AQ417">
        <f>IF(DAY(NOW())&lt;M3,INDIRECT(ADDRESS(417,42))-INDIRECT(ADDRESS(412,43))+INDIRECT(ADDRESS(413,43))-INDIRECT(ADDRESS(416,43)),INDIRECT(ADDRESS(417,42))-INDIRECT(ADDRESS(412,43))+INDIRECT(ADDRESS(415,43))-INDIRECT(ADDRESS(416,43)))</f>
        <v>0</v>
      </c>
      <c r="AR417">
        <f>IF(DAY(NOW())&lt;M3,INDIRECT(ADDRESS(417,43))-INDIRECT(ADDRESS(412,44))+INDIRECT(ADDRESS(413,44))-INDIRECT(ADDRESS(416,44)),INDIRECT(ADDRESS(417,43))-INDIRECT(ADDRESS(412,44))+INDIRECT(ADDRESS(415,44))-INDIRECT(ADDRESS(416,44)))</f>
        <v>0</v>
      </c>
    </row>
    <row r="418" spans="1:76">
      <c r="A418" t="s">
        <v>14</v>
      </c>
      <c r="B418" t="s">
        <v>262</v>
      </c>
      <c r="C418" t="s">
        <v>263</v>
      </c>
      <c r="D418" t="s">
        <v>264</v>
      </c>
      <c r="E418">
        <v>1</v>
      </c>
      <c r="F418" t="s">
        <v>265</v>
      </c>
      <c r="H418" t="s">
        <v>266</v>
      </c>
      <c r="I418" t="s">
        <v>91</v>
      </c>
      <c r="K418" t="s">
        <v>20</v>
      </c>
      <c r="L418" t="s">
        <v>21</v>
      </c>
      <c r="BX418">
        <f>sum(j418:an418)</f>
        <v>0</v>
      </c>
    </row>
    <row r="419" spans="1:76">
      <c r="A419" t="s">
        <v>14</v>
      </c>
      <c r="B419" t="s">
        <v>262</v>
      </c>
      <c r="C419" t="s">
        <v>263</v>
      </c>
      <c r="D419" t="s">
        <v>264</v>
      </c>
      <c r="E419">
        <v>1</v>
      </c>
      <c r="F419" t="s">
        <v>265</v>
      </c>
      <c r="H419" t="s">
        <v>266</v>
      </c>
      <c r="I419" t="s">
        <v>91</v>
      </c>
      <c r="K419" t="s">
        <v>20</v>
      </c>
      <c r="L419" t="s">
        <v>37</v>
      </c>
    </row>
    <row r="420" spans="1:76">
      <c r="L420" t="s">
        <v>662</v>
      </c>
    </row>
    <row r="421" spans="1:76">
      <c r="L421" t="s">
        <v>663</v>
      </c>
    </row>
    <row r="422" spans="1:76">
      <c r="L422" t="s">
        <v>664</v>
      </c>
    </row>
    <row r="423" spans="1:76">
      <c r="L423" t="s">
        <v>665</v>
      </c>
      <c r="M423">
        <f>IF(DAY(NOW())&lt;M3,INDIRECT(ADDRESS(423,7))-INDIRECT(ADDRESS(418,13))+INDIRECT(ADDRESS(419,13))-INDIRECT(ADDRESS(422,13)),INDIRECT(ADDRESS(423,7))-INDIRECT(ADDRESS(418,13))+INDIRECT(ADDRESS(421,13))-INDIRECT(ADDRESS(422,13)))</f>
        <v>0</v>
      </c>
      <c r="N423">
        <f>IF(DAY(NOW())&lt;M3,INDIRECT(ADDRESS(423,13))-INDIRECT(ADDRESS(418,14))+INDIRECT(ADDRESS(419,14))-INDIRECT(ADDRESS(422,14)),INDIRECT(ADDRESS(423,13))-INDIRECT(ADDRESS(418,14))+INDIRECT(ADDRESS(421,14))-INDIRECT(ADDRESS(422,14)))</f>
        <v>0</v>
      </c>
      <c r="O423">
        <f>IF(DAY(NOW())&lt;M3,INDIRECT(ADDRESS(423,14))-INDIRECT(ADDRESS(418,15))+INDIRECT(ADDRESS(419,15))-INDIRECT(ADDRESS(422,15)),INDIRECT(ADDRESS(423,14))-INDIRECT(ADDRESS(418,15))+INDIRECT(ADDRESS(421,15))-INDIRECT(ADDRESS(422,15)))</f>
        <v>0</v>
      </c>
      <c r="P423">
        <f>IF(DAY(NOW())&lt;M3,INDIRECT(ADDRESS(423,15))-INDIRECT(ADDRESS(418,16))+INDIRECT(ADDRESS(419,16))-INDIRECT(ADDRESS(422,16)),INDIRECT(ADDRESS(423,15))-INDIRECT(ADDRESS(418,16))+INDIRECT(ADDRESS(421,16))-INDIRECT(ADDRESS(422,16)))</f>
        <v>0</v>
      </c>
      <c r="Q423">
        <f>IF(DAY(NOW())&lt;M3,INDIRECT(ADDRESS(423,16))-INDIRECT(ADDRESS(418,17))+INDIRECT(ADDRESS(419,17))-INDIRECT(ADDRESS(422,17)),INDIRECT(ADDRESS(423,16))-INDIRECT(ADDRESS(418,17))+INDIRECT(ADDRESS(421,17))-INDIRECT(ADDRESS(422,17)))</f>
        <v>0</v>
      </c>
      <c r="R423">
        <f>IF(DAY(NOW())&lt;M3,INDIRECT(ADDRESS(423,17))-INDIRECT(ADDRESS(418,18))+INDIRECT(ADDRESS(419,18))-INDIRECT(ADDRESS(422,18)),INDIRECT(ADDRESS(423,17))-INDIRECT(ADDRESS(418,18))+INDIRECT(ADDRESS(421,18))-INDIRECT(ADDRESS(422,18)))</f>
        <v>0</v>
      </c>
      <c r="S423">
        <f>IF(DAY(NOW())&lt;M3,INDIRECT(ADDRESS(423,18))-INDIRECT(ADDRESS(418,19))+INDIRECT(ADDRESS(419,19))-INDIRECT(ADDRESS(422,19)),INDIRECT(ADDRESS(423,18))-INDIRECT(ADDRESS(418,19))+INDIRECT(ADDRESS(421,19))-INDIRECT(ADDRESS(422,19)))</f>
        <v>0</v>
      </c>
      <c r="T423">
        <f>IF(DAY(NOW())&lt;M3,INDIRECT(ADDRESS(423,19))-INDIRECT(ADDRESS(418,20))+INDIRECT(ADDRESS(419,20))-INDIRECT(ADDRESS(422,20)),INDIRECT(ADDRESS(423,19))-INDIRECT(ADDRESS(418,20))+INDIRECT(ADDRESS(421,20))-INDIRECT(ADDRESS(422,20)))</f>
        <v>0</v>
      </c>
      <c r="U423">
        <f>IF(DAY(NOW())&lt;M3,INDIRECT(ADDRESS(423,20))-INDIRECT(ADDRESS(418,21))+INDIRECT(ADDRESS(419,21))-INDIRECT(ADDRESS(422,21)),INDIRECT(ADDRESS(423,20))-INDIRECT(ADDRESS(418,21))+INDIRECT(ADDRESS(421,21))-INDIRECT(ADDRESS(422,21)))</f>
        <v>0</v>
      </c>
      <c r="V423">
        <f>IF(DAY(NOW())&lt;M3,INDIRECT(ADDRESS(423,21))-INDIRECT(ADDRESS(418,22))+INDIRECT(ADDRESS(419,22))-INDIRECT(ADDRESS(422,22)),INDIRECT(ADDRESS(423,21))-INDIRECT(ADDRESS(418,22))+INDIRECT(ADDRESS(421,22))-INDIRECT(ADDRESS(422,22)))</f>
        <v>0</v>
      </c>
      <c r="W423">
        <f>IF(DAY(NOW())&lt;M3,INDIRECT(ADDRESS(423,22))-INDIRECT(ADDRESS(418,23))+INDIRECT(ADDRESS(419,23))-INDIRECT(ADDRESS(422,23)),INDIRECT(ADDRESS(423,22))-INDIRECT(ADDRESS(418,23))+INDIRECT(ADDRESS(421,23))-INDIRECT(ADDRESS(422,23)))</f>
        <v>0</v>
      </c>
      <c r="X423">
        <f>IF(DAY(NOW())&lt;M3,INDIRECT(ADDRESS(423,23))-INDIRECT(ADDRESS(418,24))+INDIRECT(ADDRESS(419,24))-INDIRECT(ADDRESS(422,24)),INDIRECT(ADDRESS(423,23))-INDIRECT(ADDRESS(418,24))+INDIRECT(ADDRESS(421,24))-INDIRECT(ADDRESS(422,24)))</f>
        <v>0</v>
      </c>
      <c r="Y423">
        <f>IF(DAY(NOW())&lt;M3,INDIRECT(ADDRESS(423,24))-INDIRECT(ADDRESS(418,25))+INDIRECT(ADDRESS(419,25))-INDIRECT(ADDRESS(422,25)),INDIRECT(ADDRESS(423,24))-INDIRECT(ADDRESS(418,25))+INDIRECT(ADDRESS(421,25))-INDIRECT(ADDRESS(422,25)))</f>
        <v>0</v>
      </c>
      <c r="Z423">
        <f>IF(DAY(NOW())&lt;M3,INDIRECT(ADDRESS(423,25))-INDIRECT(ADDRESS(418,26))+INDIRECT(ADDRESS(419,26))-INDIRECT(ADDRESS(422,26)),INDIRECT(ADDRESS(423,25))-INDIRECT(ADDRESS(418,26))+INDIRECT(ADDRESS(421,26))-INDIRECT(ADDRESS(422,26)))</f>
        <v>0</v>
      </c>
      <c r="AA423">
        <f>IF(DAY(NOW())&lt;M3,INDIRECT(ADDRESS(423,26))-INDIRECT(ADDRESS(418,27))+INDIRECT(ADDRESS(419,27))-INDIRECT(ADDRESS(422,27)),INDIRECT(ADDRESS(423,26))-INDIRECT(ADDRESS(418,27))+INDIRECT(ADDRESS(421,27))-INDIRECT(ADDRESS(422,27)))</f>
        <v>0</v>
      </c>
      <c r="AB423">
        <f>IF(DAY(NOW())&lt;M3,INDIRECT(ADDRESS(423,27))-INDIRECT(ADDRESS(418,28))+INDIRECT(ADDRESS(419,28))-INDIRECT(ADDRESS(422,28)),INDIRECT(ADDRESS(423,27))-INDIRECT(ADDRESS(418,28))+INDIRECT(ADDRESS(421,28))-INDIRECT(ADDRESS(422,28)))</f>
        <v>0</v>
      </c>
      <c r="AC423">
        <f>IF(DAY(NOW())&lt;M3,INDIRECT(ADDRESS(423,28))-INDIRECT(ADDRESS(418,29))+INDIRECT(ADDRESS(419,29))-INDIRECT(ADDRESS(422,29)),INDIRECT(ADDRESS(423,28))-INDIRECT(ADDRESS(418,29))+INDIRECT(ADDRESS(421,29))-INDIRECT(ADDRESS(422,29)))</f>
        <v>0</v>
      </c>
      <c r="AD423">
        <f>IF(DAY(NOW())&lt;M3,INDIRECT(ADDRESS(423,29))-INDIRECT(ADDRESS(418,30))+INDIRECT(ADDRESS(419,30))-INDIRECT(ADDRESS(422,30)),INDIRECT(ADDRESS(423,29))-INDIRECT(ADDRESS(418,30))+INDIRECT(ADDRESS(421,30))-INDIRECT(ADDRESS(422,30)))</f>
        <v>0</v>
      </c>
      <c r="AE423">
        <f>IF(DAY(NOW())&lt;M3,INDIRECT(ADDRESS(423,30))-INDIRECT(ADDRESS(418,31))+INDIRECT(ADDRESS(419,31))-INDIRECT(ADDRESS(422,31)),INDIRECT(ADDRESS(423,30))-INDIRECT(ADDRESS(418,31))+INDIRECT(ADDRESS(421,31))-INDIRECT(ADDRESS(422,31)))</f>
        <v>0</v>
      </c>
      <c r="AF423">
        <f>IF(DAY(NOW())&lt;M3,INDIRECT(ADDRESS(423,31))-INDIRECT(ADDRESS(418,32))+INDIRECT(ADDRESS(419,32))-INDIRECT(ADDRESS(422,32)),INDIRECT(ADDRESS(423,31))-INDIRECT(ADDRESS(418,32))+INDIRECT(ADDRESS(421,32))-INDIRECT(ADDRESS(422,32)))</f>
        <v>0</v>
      </c>
      <c r="AG423">
        <f>IF(DAY(NOW())&lt;M3,INDIRECT(ADDRESS(423,32))-INDIRECT(ADDRESS(418,33))+INDIRECT(ADDRESS(419,33))-INDIRECT(ADDRESS(422,33)),INDIRECT(ADDRESS(423,32))-INDIRECT(ADDRESS(418,33))+INDIRECT(ADDRESS(421,33))-INDIRECT(ADDRESS(422,33)))</f>
        <v>0</v>
      </c>
      <c r="AH423">
        <f>IF(DAY(NOW())&lt;M3,INDIRECT(ADDRESS(423,33))-INDIRECT(ADDRESS(418,34))+INDIRECT(ADDRESS(419,34))-INDIRECT(ADDRESS(422,34)),INDIRECT(ADDRESS(423,33))-INDIRECT(ADDRESS(418,34))+INDIRECT(ADDRESS(421,34))-INDIRECT(ADDRESS(422,34)))</f>
        <v>0</v>
      </c>
      <c r="AI423">
        <f>IF(DAY(NOW())&lt;M3,INDIRECT(ADDRESS(423,34))-INDIRECT(ADDRESS(418,35))+INDIRECT(ADDRESS(419,35))-INDIRECT(ADDRESS(422,35)),INDIRECT(ADDRESS(423,34))-INDIRECT(ADDRESS(418,35))+INDIRECT(ADDRESS(421,35))-INDIRECT(ADDRESS(422,35)))</f>
        <v>0</v>
      </c>
      <c r="AJ423">
        <f>IF(DAY(NOW())&lt;M3,INDIRECT(ADDRESS(423,35))-INDIRECT(ADDRESS(418,36))+INDIRECT(ADDRESS(419,36))-INDIRECT(ADDRESS(422,36)),INDIRECT(ADDRESS(423,35))-INDIRECT(ADDRESS(418,36))+INDIRECT(ADDRESS(421,36))-INDIRECT(ADDRESS(422,36)))</f>
        <v>0</v>
      </c>
      <c r="AK423">
        <f>IF(DAY(NOW())&lt;M3,INDIRECT(ADDRESS(423,36))-INDIRECT(ADDRESS(418,37))+INDIRECT(ADDRESS(419,37))-INDIRECT(ADDRESS(422,37)),INDIRECT(ADDRESS(423,36))-INDIRECT(ADDRESS(418,37))+INDIRECT(ADDRESS(421,37))-INDIRECT(ADDRESS(422,37)))</f>
        <v>0</v>
      </c>
      <c r="AL423">
        <f>IF(DAY(NOW())&lt;M3,INDIRECT(ADDRESS(423,37))-INDIRECT(ADDRESS(418,38))+INDIRECT(ADDRESS(419,38))-INDIRECT(ADDRESS(422,38)),INDIRECT(ADDRESS(423,37))-INDIRECT(ADDRESS(418,38))+INDIRECT(ADDRESS(421,38))-INDIRECT(ADDRESS(422,38)))</f>
        <v>0</v>
      </c>
      <c r="AM423">
        <f>IF(DAY(NOW())&lt;M3,INDIRECT(ADDRESS(423,38))-INDIRECT(ADDRESS(418,39))+INDIRECT(ADDRESS(419,39))-INDIRECT(ADDRESS(422,39)),INDIRECT(ADDRESS(423,38))-INDIRECT(ADDRESS(418,39))+INDIRECT(ADDRESS(421,39))-INDIRECT(ADDRESS(422,39)))</f>
        <v>0</v>
      </c>
      <c r="AN423">
        <f>IF(DAY(NOW())&lt;M3,INDIRECT(ADDRESS(423,39))-INDIRECT(ADDRESS(418,40))+INDIRECT(ADDRESS(419,40))-INDIRECT(ADDRESS(422,40)),INDIRECT(ADDRESS(423,39))-INDIRECT(ADDRESS(418,40))+INDIRECT(ADDRESS(421,40))-INDIRECT(ADDRESS(422,40)))</f>
        <v>0</v>
      </c>
      <c r="AO423">
        <f>IF(DAY(NOW())&lt;M3,INDIRECT(ADDRESS(423,40))-INDIRECT(ADDRESS(418,41))+INDIRECT(ADDRESS(419,41))-INDIRECT(ADDRESS(422,41)),INDIRECT(ADDRESS(423,40))-INDIRECT(ADDRESS(418,41))+INDIRECT(ADDRESS(421,41))-INDIRECT(ADDRESS(422,41)))</f>
        <v>0</v>
      </c>
      <c r="AP423">
        <f>IF(DAY(NOW())&lt;M3,INDIRECT(ADDRESS(423,41))-INDIRECT(ADDRESS(418,42))+INDIRECT(ADDRESS(419,42))-INDIRECT(ADDRESS(422,42)),INDIRECT(ADDRESS(423,41))-INDIRECT(ADDRESS(418,42))+INDIRECT(ADDRESS(421,42))-INDIRECT(ADDRESS(422,42)))</f>
        <v>0</v>
      </c>
      <c r="AQ423">
        <f>IF(DAY(NOW())&lt;M3,INDIRECT(ADDRESS(423,42))-INDIRECT(ADDRESS(418,43))+INDIRECT(ADDRESS(419,43))-INDIRECT(ADDRESS(422,43)),INDIRECT(ADDRESS(423,42))-INDIRECT(ADDRESS(418,43))+INDIRECT(ADDRESS(421,43))-INDIRECT(ADDRESS(422,43)))</f>
        <v>0</v>
      </c>
      <c r="AR423">
        <f>IF(DAY(NOW())&lt;M3,INDIRECT(ADDRESS(423,43))-INDIRECT(ADDRESS(418,44))+INDIRECT(ADDRESS(419,44))-INDIRECT(ADDRESS(422,44)),INDIRECT(ADDRESS(423,43))-INDIRECT(ADDRESS(418,44))+INDIRECT(ADDRESS(421,44))-INDIRECT(ADDRESS(422,44)))</f>
        <v>0</v>
      </c>
    </row>
    <row r="424" spans="1:76">
      <c r="A424" t="s">
        <v>14</v>
      </c>
      <c r="B424" t="s">
        <v>267</v>
      </c>
      <c r="C424" t="s">
        <v>268</v>
      </c>
      <c r="D424" t="s">
        <v>27</v>
      </c>
      <c r="E424">
        <v>1</v>
      </c>
      <c r="F424" t="s">
        <v>269</v>
      </c>
      <c r="H424" t="s">
        <v>72</v>
      </c>
      <c r="I424" t="s">
        <v>270</v>
      </c>
      <c r="K424" t="s">
        <v>20</v>
      </c>
      <c r="L424" t="s">
        <v>21</v>
      </c>
      <c r="BX424">
        <f>sum(j424:an424)</f>
        <v>0</v>
      </c>
    </row>
    <row r="425" spans="1:76">
      <c r="A425" t="s">
        <v>14</v>
      </c>
      <c r="B425" t="s">
        <v>267</v>
      </c>
      <c r="C425" t="s">
        <v>268</v>
      </c>
      <c r="D425" t="s">
        <v>27</v>
      </c>
      <c r="E425">
        <v>1</v>
      </c>
      <c r="F425" t="s">
        <v>269</v>
      </c>
      <c r="H425" t="s">
        <v>72</v>
      </c>
      <c r="I425" t="s">
        <v>270</v>
      </c>
      <c r="K425" t="s">
        <v>20</v>
      </c>
      <c r="L425" t="s">
        <v>37</v>
      </c>
    </row>
    <row r="426" spans="1:76">
      <c r="L426" t="s">
        <v>662</v>
      </c>
    </row>
    <row r="427" spans="1:76">
      <c r="L427" t="s">
        <v>663</v>
      </c>
    </row>
    <row r="428" spans="1:76">
      <c r="L428" t="s">
        <v>664</v>
      </c>
    </row>
    <row r="429" spans="1:76">
      <c r="L429" t="s">
        <v>665</v>
      </c>
      <c r="M429">
        <f>IF(DAY(NOW())&lt;M3,INDIRECT(ADDRESS(429,7))-INDIRECT(ADDRESS(424,13))+INDIRECT(ADDRESS(425,13))-INDIRECT(ADDRESS(428,13)),INDIRECT(ADDRESS(429,7))-INDIRECT(ADDRESS(424,13))+INDIRECT(ADDRESS(427,13))-INDIRECT(ADDRESS(428,13)))</f>
        <v>0</v>
      </c>
      <c r="N429">
        <f>IF(DAY(NOW())&lt;M3,INDIRECT(ADDRESS(429,13))-INDIRECT(ADDRESS(424,14))+INDIRECT(ADDRESS(425,14))-INDIRECT(ADDRESS(428,14)),INDIRECT(ADDRESS(429,13))-INDIRECT(ADDRESS(424,14))+INDIRECT(ADDRESS(427,14))-INDIRECT(ADDRESS(428,14)))</f>
        <v>0</v>
      </c>
      <c r="O429">
        <f>IF(DAY(NOW())&lt;M3,INDIRECT(ADDRESS(429,14))-INDIRECT(ADDRESS(424,15))+INDIRECT(ADDRESS(425,15))-INDIRECT(ADDRESS(428,15)),INDIRECT(ADDRESS(429,14))-INDIRECT(ADDRESS(424,15))+INDIRECT(ADDRESS(427,15))-INDIRECT(ADDRESS(428,15)))</f>
        <v>0</v>
      </c>
      <c r="P429">
        <f>IF(DAY(NOW())&lt;M3,INDIRECT(ADDRESS(429,15))-INDIRECT(ADDRESS(424,16))+INDIRECT(ADDRESS(425,16))-INDIRECT(ADDRESS(428,16)),INDIRECT(ADDRESS(429,15))-INDIRECT(ADDRESS(424,16))+INDIRECT(ADDRESS(427,16))-INDIRECT(ADDRESS(428,16)))</f>
        <v>0</v>
      </c>
      <c r="Q429">
        <f>IF(DAY(NOW())&lt;M3,INDIRECT(ADDRESS(429,16))-INDIRECT(ADDRESS(424,17))+INDIRECT(ADDRESS(425,17))-INDIRECT(ADDRESS(428,17)),INDIRECT(ADDRESS(429,16))-INDIRECT(ADDRESS(424,17))+INDIRECT(ADDRESS(427,17))-INDIRECT(ADDRESS(428,17)))</f>
        <v>0</v>
      </c>
      <c r="R429">
        <f>IF(DAY(NOW())&lt;M3,INDIRECT(ADDRESS(429,17))-INDIRECT(ADDRESS(424,18))+INDIRECT(ADDRESS(425,18))-INDIRECT(ADDRESS(428,18)),INDIRECT(ADDRESS(429,17))-INDIRECT(ADDRESS(424,18))+INDIRECT(ADDRESS(427,18))-INDIRECT(ADDRESS(428,18)))</f>
        <v>0</v>
      </c>
      <c r="S429">
        <f>IF(DAY(NOW())&lt;M3,INDIRECT(ADDRESS(429,18))-INDIRECT(ADDRESS(424,19))+INDIRECT(ADDRESS(425,19))-INDIRECT(ADDRESS(428,19)),INDIRECT(ADDRESS(429,18))-INDIRECT(ADDRESS(424,19))+INDIRECT(ADDRESS(427,19))-INDIRECT(ADDRESS(428,19)))</f>
        <v>0</v>
      </c>
      <c r="T429">
        <f>IF(DAY(NOW())&lt;M3,INDIRECT(ADDRESS(429,19))-INDIRECT(ADDRESS(424,20))+INDIRECT(ADDRESS(425,20))-INDIRECT(ADDRESS(428,20)),INDIRECT(ADDRESS(429,19))-INDIRECT(ADDRESS(424,20))+INDIRECT(ADDRESS(427,20))-INDIRECT(ADDRESS(428,20)))</f>
        <v>0</v>
      </c>
      <c r="U429">
        <f>IF(DAY(NOW())&lt;M3,INDIRECT(ADDRESS(429,20))-INDIRECT(ADDRESS(424,21))+INDIRECT(ADDRESS(425,21))-INDIRECT(ADDRESS(428,21)),INDIRECT(ADDRESS(429,20))-INDIRECT(ADDRESS(424,21))+INDIRECT(ADDRESS(427,21))-INDIRECT(ADDRESS(428,21)))</f>
        <v>0</v>
      </c>
      <c r="V429">
        <f>IF(DAY(NOW())&lt;M3,INDIRECT(ADDRESS(429,21))-INDIRECT(ADDRESS(424,22))+INDIRECT(ADDRESS(425,22))-INDIRECT(ADDRESS(428,22)),INDIRECT(ADDRESS(429,21))-INDIRECT(ADDRESS(424,22))+INDIRECT(ADDRESS(427,22))-INDIRECT(ADDRESS(428,22)))</f>
        <v>0</v>
      </c>
      <c r="W429">
        <f>IF(DAY(NOW())&lt;M3,INDIRECT(ADDRESS(429,22))-INDIRECT(ADDRESS(424,23))+INDIRECT(ADDRESS(425,23))-INDIRECT(ADDRESS(428,23)),INDIRECT(ADDRESS(429,22))-INDIRECT(ADDRESS(424,23))+INDIRECT(ADDRESS(427,23))-INDIRECT(ADDRESS(428,23)))</f>
        <v>0</v>
      </c>
      <c r="X429">
        <f>IF(DAY(NOW())&lt;M3,INDIRECT(ADDRESS(429,23))-INDIRECT(ADDRESS(424,24))+INDIRECT(ADDRESS(425,24))-INDIRECT(ADDRESS(428,24)),INDIRECT(ADDRESS(429,23))-INDIRECT(ADDRESS(424,24))+INDIRECT(ADDRESS(427,24))-INDIRECT(ADDRESS(428,24)))</f>
        <v>0</v>
      </c>
      <c r="Y429">
        <f>IF(DAY(NOW())&lt;M3,INDIRECT(ADDRESS(429,24))-INDIRECT(ADDRESS(424,25))+INDIRECT(ADDRESS(425,25))-INDIRECT(ADDRESS(428,25)),INDIRECT(ADDRESS(429,24))-INDIRECT(ADDRESS(424,25))+INDIRECT(ADDRESS(427,25))-INDIRECT(ADDRESS(428,25)))</f>
        <v>0</v>
      </c>
      <c r="Z429">
        <f>IF(DAY(NOW())&lt;M3,INDIRECT(ADDRESS(429,25))-INDIRECT(ADDRESS(424,26))+INDIRECT(ADDRESS(425,26))-INDIRECT(ADDRESS(428,26)),INDIRECT(ADDRESS(429,25))-INDIRECT(ADDRESS(424,26))+INDIRECT(ADDRESS(427,26))-INDIRECT(ADDRESS(428,26)))</f>
        <v>0</v>
      </c>
      <c r="AA429">
        <f>IF(DAY(NOW())&lt;M3,INDIRECT(ADDRESS(429,26))-INDIRECT(ADDRESS(424,27))+INDIRECT(ADDRESS(425,27))-INDIRECT(ADDRESS(428,27)),INDIRECT(ADDRESS(429,26))-INDIRECT(ADDRESS(424,27))+INDIRECT(ADDRESS(427,27))-INDIRECT(ADDRESS(428,27)))</f>
        <v>0</v>
      </c>
      <c r="AB429">
        <f>IF(DAY(NOW())&lt;M3,INDIRECT(ADDRESS(429,27))-INDIRECT(ADDRESS(424,28))+INDIRECT(ADDRESS(425,28))-INDIRECT(ADDRESS(428,28)),INDIRECT(ADDRESS(429,27))-INDIRECT(ADDRESS(424,28))+INDIRECT(ADDRESS(427,28))-INDIRECT(ADDRESS(428,28)))</f>
        <v>0</v>
      </c>
      <c r="AC429">
        <f>IF(DAY(NOW())&lt;M3,INDIRECT(ADDRESS(429,28))-INDIRECT(ADDRESS(424,29))+INDIRECT(ADDRESS(425,29))-INDIRECT(ADDRESS(428,29)),INDIRECT(ADDRESS(429,28))-INDIRECT(ADDRESS(424,29))+INDIRECT(ADDRESS(427,29))-INDIRECT(ADDRESS(428,29)))</f>
        <v>0</v>
      </c>
      <c r="AD429">
        <f>IF(DAY(NOW())&lt;M3,INDIRECT(ADDRESS(429,29))-INDIRECT(ADDRESS(424,30))+INDIRECT(ADDRESS(425,30))-INDIRECT(ADDRESS(428,30)),INDIRECT(ADDRESS(429,29))-INDIRECT(ADDRESS(424,30))+INDIRECT(ADDRESS(427,30))-INDIRECT(ADDRESS(428,30)))</f>
        <v>0</v>
      </c>
      <c r="AE429">
        <f>IF(DAY(NOW())&lt;M3,INDIRECT(ADDRESS(429,30))-INDIRECT(ADDRESS(424,31))+INDIRECT(ADDRESS(425,31))-INDIRECT(ADDRESS(428,31)),INDIRECT(ADDRESS(429,30))-INDIRECT(ADDRESS(424,31))+INDIRECT(ADDRESS(427,31))-INDIRECT(ADDRESS(428,31)))</f>
        <v>0</v>
      </c>
      <c r="AF429">
        <f>IF(DAY(NOW())&lt;M3,INDIRECT(ADDRESS(429,31))-INDIRECT(ADDRESS(424,32))+INDIRECT(ADDRESS(425,32))-INDIRECT(ADDRESS(428,32)),INDIRECT(ADDRESS(429,31))-INDIRECT(ADDRESS(424,32))+INDIRECT(ADDRESS(427,32))-INDIRECT(ADDRESS(428,32)))</f>
        <v>0</v>
      </c>
      <c r="AG429">
        <f>IF(DAY(NOW())&lt;M3,INDIRECT(ADDRESS(429,32))-INDIRECT(ADDRESS(424,33))+INDIRECT(ADDRESS(425,33))-INDIRECT(ADDRESS(428,33)),INDIRECT(ADDRESS(429,32))-INDIRECT(ADDRESS(424,33))+INDIRECT(ADDRESS(427,33))-INDIRECT(ADDRESS(428,33)))</f>
        <v>0</v>
      </c>
      <c r="AH429">
        <f>IF(DAY(NOW())&lt;M3,INDIRECT(ADDRESS(429,33))-INDIRECT(ADDRESS(424,34))+INDIRECT(ADDRESS(425,34))-INDIRECT(ADDRESS(428,34)),INDIRECT(ADDRESS(429,33))-INDIRECT(ADDRESS(424,34))+INDIRECT(ADDRESS(427,34))-INDIRECT(ADDRESS(428,34)))</f>
        <v>0</v>
      </c>
      <c r="AI429">
        <f>IF(DAY(NOW())&lt;M3,INDIRECT(ADDRESS(429,34))-INDIRECT(ADDRESS(424,35))+INDIRECT(ADDRESS(425,35))-INDIRECT(ADDRESS(428,35)),INDIRECT(ADDRESS(429,34))-INDIRECT(ADDRESS(424,35))+INDIRECT(ADDRESS(427,35))-INDIRECT(ADDRESS(428,35)))</f>
        <v>0</v>
      </c>
      <c r="AJ429">
        <f>IF(DAY(NOW())&lt;M3,INDIRECT(ADDRESS(429,35))-INDIRECT(ADDRESS(424,36))+INDIRECT(ADDRESS(425,36))-INDIRECT(ADDRESS(428,36)),INDIRECT(ADDRESS(429,35))-INDIRECT(ADDRESS(424,36))+INDIRECT(ADDRESS(427,36))-INDIRECT(ADDRESS(428,36)))</f>
        <v>0</v>
      </c>
      <c r="AK429">
        <f>IF(DAY(NOW())&lt;M3,INDIRECT(ADDRESS(429,36))-INDIRECT(ADDRESS(424,37))+INDIRECT(ADDRESS(425,37))-INDIRECT(ADDRESS(428,37)),INDIRECT(ADDRESS(429,36))-INDIRECT(ADDRESS(424,37))+INDIRECT(ADDRESS(427,37))-INDIRECT(ADDRESS(428,37)))</f>
        <v>0</v>
      </c>
      <c r="AL429">
        <f>IF(DAY(NOW())&lt;M3,INDIRECT(ADDRESS(429,37))-INDIRECT(ADDRESS(424,38))+INDIRECT(ADDRESS(425,38))-INDIRECT(ADDRESS(428,38)),INDIRECT(ADDRESS(429,37))-INDIRECT(ADDRESS(424,38))+INDIRECT(ADDRESS(427,38))-INDIRECT(ADDRESS(428,38)))</f>
        <v>0</v>
      </c>
      <c r="AM429">
        <f>IF(DAY(NOW())&lt;M3,INDIRECT(ADDRESS(429,38))-INDIRECT(ADDRESS(424,39))+INDIRECT(ADDRESS(425,39))-INDIRECT(ADDRESS(428,39)),INDIRECT(ADDRESS(429,38))-INDIRECT(ADDRESS(424,39))+INDIRECT(ADDRESS(427,39))-INDIRECT(ADDRESS(428,39)))</f>
        <v>0</v>
      </c>
      <c r="AN429">
        <f>IF(DAY(NOW())&lt;M3,INDIRECT(ADDRESS(429,39))-INDIRECT(ADDRESS(424,40))+INDIRECT(ADDRESS(425,40))-INDIRECT(ADDRESS(428,40)),INDIRECT(ADDRESS(429,39))-INDIRECT(ADDRESS(424,40))+INDIRECT(ADDRESS(427,40))-INDIRECT(ADDRESS(428,40)))</f>
        <v>0</v>
      </c>
      <c r="AO429">
        <f>IF(DAY(NOW())&lt;M3,INDIRECT(ADDRESS(429,40))-INDIRECT(ADDRESS(424,41))+INDIRECT(ADDRESS(425,41))-INDIRECT(ADDRESS(428,41)),INDIRECT(ADDRESS(429,40))-INDIRECT(ADDRESS(424,41))+INDIRECT(ADDRESS(427,41))-INDIRECT(ADDRESS(428,41)))</f>
        <v>0</v>
      </c>
      <c r="AP429">
        <f>IF(DAY(NOW())&lt;M3,INDIRECT(ADDRESS(429,41))-INDIRECT(ADDRESS(424,42))+INDIRECT(ADDRESS(425,42))-INDIRECT(ADDRESS(428,42)),INDIRECT(ADDRESS(429,41))-INDIRECT(ADDRESS(424,42))+INDIRECT(ADDRESS(427,42))-INDIRECT(ADDRESS(428,42)))</f>
        <v>0</v>
      </c>
      <c r="AQ429">
        <f>IF(DAY(NOW())&lt;M3,INDIRECT(ADDRESS(429,42))-INDIRECT(ADDRESS(424,43))+INDIRECT(ADDRESS(425,43))-INDIRECT(ADDRESS(428,43)),INDIRECT(ADDRESS(429,42))-INDIRECT(ADDRESS(424,43))+INDIRECT(ADDRESS(427,43))-INDIRECT(ADDRESS(428,43)))</f>
        <v>0</v>
      </c>
      <c r="AR429">
        <f>IF(DAY(NOW())&lt;M3,INDIRECT(ADDRESS(429,43))-INDIRECT(ADDRESS(424,44))+INDIRECT(ADDRESS(425,44))-INDIRECT(ADDRESS(428,44)),INDIRECT(ADDRESS(429,43))-INDIRECT(ADDRESS(424,44))+INDIRECT(ADDRESS(427,44))-INDIRECT(ADDRESS(428,44)))</f>
        <v>0</v>
      </c>
    </row>
    <row r="430" spans="1:76">
      <c r="A430" t="s">
        <v>31</v>
      </c>
      <c r="B430" t="s">
        <v>271</v>
      </c>
      <c r="C430" t="s">
        <v>272</v>
      </c>
      <c r="D430" t="s">
        <v>17</v>
      </c>
      <c r="E430">
        <v>1</v>
      </c>
      <c r="F430" t="s">
        <v>273</v>
      </c>
      <c r="H430" t="s">
        <v>35</v>
      </c>
      <c r="I430" t="s">
        <v>36</v>
      </c>
      <c r="K430" t="s">
        <v>20</v>
      </c>
      <c r="L430" t="s">
        <v>21</v>
      </c>
      <c r="M430">
        <f>sumifs(BOM!m:m,BOM!A:A,".1",BOM!B:B,"852-255000-100")</f>
        <v>0</v>
      </c>
      <c r="N430">
        <f>sumifs(BOM!n:n,BOM!A:A,".1",BOM!B:B,"852-255000-100")</f>
        <v>0</v>
      </c>
      <c r="O430">
        <f>sumifs(BOM!o:o,BOM!A:A,".1",BOM!B:B,"852-255000-100")</f>
        <v>0</v>
      </c>
      <c r="P430">
        <f>sumifs(BOM!p:p,BOM!A:A,".1",BOM!B:B,"852-255000-100")</f>
        <v>0</v>
      </c>
      <c r="Q430">
        <f>sumifs(BOM!q:q,BOM!A:A,".1",BOM!B:B,"852-255000-100")</f>
        <v>0</v>
      </c>
      <c r="R430">
        <f>sumifs(BOM!r:r,BOM!A:A,".1",BOM!B:B,"852-255000-100")</f>
        <v>0</v>
      </c>
      <c r="S430">
        <f>sumifs(BOM!s:s,BOM!A:A,".1",BOM!B:B,"852-255000-100")</f>
        <v>0</v>
      </c>
      <c r="T430">
        <f>sumifs(BOM!t:t,BOM!A:A,".1",BOM!B:B,"852-255000-100")</f>
        <v>0</v>
      </c>
      <c r="U430">
        <f>sumifs(BOM!u:u,BOM!A:A,".1",BOM!B:B,"852-255000-100")</f>
        <v>0</v>
      </c>
      <c r="V430">
        <f>sumifs(BOM!v:v,BOM!A:A,".1",BOM!B:B,"852-255000-100")</f>
        <v>0</v>
      </c>
      <c r="W430">
        <f>sumifs(BOM!w:w,BOM!A:A,".1",BOM!B:B,"852-255000-100")</f>
        <v>0</v>
      </c>
      <c r="X430">
        <f>sumifs(BOM!x:x,BOM!A:A,".1",BOM!B:B,"852-255000-100")</f>
        <v>0</v>
      </c>
      <c r="Y430">
        <f>sumifs(BOM!y:y,BOM!A:A,".1",BOM!B:B,"852-255000-100")</f>
        <v>0</v>
      </c>
      <c r="Z430">
        <f>sumifs(BOM!z:z,BOM!A:A,".1",BOM!B:B,"852-255000-100")</f>
        <v>0</v>
      </c>
      <c r="AA430">
        <f>sumifs(BOM!aa:aa,BOM!A:A,".1",BOM!B:B,"852-255000-100")</f>
        <v>0</v>
      </c>
      <c r="AB430">
        <f>sumifs(BOM!ab:ab,BOM!A:A,".1",BOM!B:B,"852-255000-100")</f>
        <v>0</v>
      </c>
      <c r="AC430">
        <f>sumifs(BOM!ac:ac,BOM!A:A,".1",BOM!B:B,"852-255000-100")</f>
        <v>0</v>
      </c>
      <c r="AD430">
        <f>sumifs(BOM!ad:ad,BOM!A:A,".1",BOM!B:B,"852-255000-100")</f>
        <v>0</v>
      </c>
      <c r="AE430">
        <f>sumifs(BOM!ae:ae,BOM!A:A,".1",BOM!B:B,"852-255000-100")</f>
        <v>0</v>
      </c>
      <c r="AF430">
        <f>sumifs(BOM!af:af,BOM!A:A,".1",BOM!B:B,"852-255000-100")</f>
        <v>0</v>
      </c>
      <c r="AG430">
        <f>sumifs(BOM!ag:ag,BOM!A:A,".1",BOM!B:B,"852-255000-100")</f>
        <v>0</v>
      </c>
      <c r="AH430">
        <f>sumifs(BOM!ah:ah,BOM!A:A,".1",BOM!B:B,"852-255000-100")</f>
        <v>0</v>
      </c>
      <c r="AI430">
        <f>sumifs(BOM!ai:ai,BOM!A:A,".1",BOM!B:B,"852-255000-100")</f>
        <v>0</v>
      </c>
      <c r="AJ430">
        <f>sumifs(BOM!aj:aj,BOM!A:A,".1",BOM!B:B,"852-255000-100")</f>
        <v>0</v>
      </c>
      <c r="AK430">
        <f>sumifs(BOM!ak:ak,BOM!A:A,".1",BOM!B:B,"852-255000-100")</f>
        <v>0</v>
      </c>
      <c r="AL430">
        <f>sumifs(BOM!al:al,BOM!A:A,".1",BOM!B:B,"852-255000-100")</f>
        <v>0</v>
      </c>
      <c r="AM430">
        <f>sumifs(BOM!am:am,BOM!A:A,".1",BOM!B:B,"852-255000-100")</f>
        <v>0</v>
      </c>
      <c r="AN430">
        <f>sumifs(BOM!an:an,BOM!A:A,".1",BOM!B:B,"852-255000-100")</f>
        <v>0</v>
      </c>
      <c r="AO430">
        <f>sumifs(BOM!ao:ao,BOM!A:A,".1",BOM!B:B,"852-255000-100")</f>
        <v>0</v>
      </c>
      <c r="AP430">
        <f>sumifs(BOM!ap:ap,BOM!A:A,".1",BOM!B:B,"852-255000-100")</f>
        <v>0</v>
      </c>
      <c r="AQ430">
        <f>sumifs(BOM!aq:aq,BOM!A:A,".1",BOM!B:B,"852-255000-100")</f>
        <v>0</v>
      </c>
      <c r="AR430">
        <f>sumifs(BOM!ar:ar,BOM!A:A,".1",BOM!B:B,"852-255000-100")</f>
        <v>0</v>
      </c>
      <c r="BX430">
        <f>sum(j430:an430)</f>
        <v>0</v>
      </c>
    </row>
    <row r="431" spans="1:76">
      <c r="A431" t="s">
        <v>31</v>
      </c>
      <c r="B431" t="s">
        <v>271</v>
      </c>
      <c r="C431" t="s">
        <v>272</v>
      </c>
      <c r="D431" t="s">
        <v>17</v>
      </c>
      <c r="E431">
        <v>1</v>
      </c>
      <c r="F431" t="s">
        <v>273</v>
      </c>
      <c r="H431" t="s">
        <v>35</v>
      </c>
      <c r="I431" t="s">
        <v>36</v>
      </c>
      <c r="K431" t="s">
        <v>20</v>
      </c>
      <c r="L431" t="s">
        <v>37</v>
      </c>
    </row>
    <row r="432" spans="1:76">
      <c r="L432" t="s">
        <v>662</v>
      </c>
    </row>
    <row r="433" spans="1:76">
      <c r="L433" t="s">
        <v>663</v>
      </c>
    </row>
    <row r="434" spans="1:76">
      <c r="L434" t="s">
        <v>664</v>
      </c>
    </row>
    <row r="435" spans="1:76">
      <c r="L435" t="s">
        <v>665</v>
      </c>
      <c r="M435">
        <f>IF(DAY(NOW())&lt;M3,INDIRECT(ADDRESS(435,7))-INDIRECT(ADDRESS(430,13))+INDIRECT(ADDRESS(431,13))-INDIRECT(ADDRESS(434,13)),INDIRECT(ADDRESS(435,7))-INDIRECT(ADDRESS(430,13))+INDIRECT(ADDRESS(433,13))-INDIRECT(ADDRESS(434,13)))</f>
        <v>0</v>
      </c>
      <c r="N435">
        <f>IF(DAY(NOW())&lt;M3,INDIRECT(ADDRESS(435,13))-INDIRECT(ADDRESS(430,14))+INDIRECT(ADDRESS(431,14))-INDIRECT(ADDRESS(434,14)),INDIRECT(ADDRESS(435,13))-INDIRECT(ADDRESS(430,14))+INDIRECT(ADDRESS(433,14))-INDIRECT(ADDRESS(434,14)))</f>
        <v>0</v>
      </c>
      <c r="O435">
        <f>IF(DAY(NOW())&lt;M3,INDIRECT(ADDRESS(435,14))-INDIRECT(ADDRESS(430,15))+INDIRECT(ADDRESS(431,15))-INDIRECT(ADDRESS(434,15)),INDIRECT(ADDRESS(435,14))-INDIRECT(ADDRESS(430,15))+INDIRECT(ADDRESS(433,15))-INDIRECT(ADDRESS(434,15)))</f>
        <v>0</v>
      </c>
      <c r="P435">
        <f>IF(DAY(NOW())&lt;M3,INDIRECT(ADDRESS(435,15))-INDIRECT(ADDRESS(430,16))+INDIRECT(ADDRESS(431,16))-INDIRECT(ADDRESS(434,16)),INDIRECT(ADDRESS(435,15))-INDIRECT(ADDRESS(430,16))+INDIRECT(ADDRESS(433,16))-INDIRECT(ADDRESS(434,16)))</f>
        <v>0</v>
      </c>
      <c r="Q435">
        <f>IF(DAY(NOW())&lt;M3,INDIRECT(ADDRESS(435,16))-INDIRECT(ADDRESS(430,17))+INDIRECT(ADDRESS(431,17))-INDIRECT(ADDRESS(434,17)),INDIRECT(ADDRESS(435,16))-INDIRECT(ADDRESS(430,17))+INDIRECT(ADDRESS(433,17))-INDIRECT(ADDRESS(434,17)))</f>
        <v>0</v>
      </c>
      <c r="R435">
        <f>IF(DAY(NOW())&lt;M3,INDIRECT(ADDRESS(435,17))-INDIRECT(ADDRESS(430,18))+INDIRECT(ADDRESS(431,18))-INDIRECT(ADDRESS(434,18)),INDIRECT(ADDRESS(435,17))-INDIRECT(ADDRESS(430,18))+INDIRECT(ADDRESS(433,18))-INDIRECT(ADDRESS(434,18)))</f>
        <v>0</v>
      </c>
      <c r="S435">
        <f>IF(DAY(NOW())&lt;M3,INDIRECT(ADDRESS(435,18))-INDIRECT(ADDRESS(430,19))+INDIRECT(ADDRESS(431,19))-INDIRECT(ADDRESS(434,19)),INDIRECT(ADDRESS(435,18))-INDIRECT(ADDRESS(430,19))+INDIRECT(ADDRESS(433,19))-INDIRECT(ADDRESS(434,19)))</f>
        <v>0</v>
      </c>
      <c r="T435">
        <f>IF(DAY(NOW())&lt;M3,INDIRECT(ADDRESS(435,19))-INDIRECT(ADDRESS(430,20))+INDIRECT(ADDRESS(431,20))-INDIRECT(ADDRESS(434,20)),INDIRECT(ADDRESS(435,19))-INDIRECT(ADDRESS(430,20))+INDIRECT(ADDRESS(433,20))-INDIRECT(ADDRESS(434,20)))</f>
        <v>0</v>
      </c>
      <c r="U435">
        <f>IF(DAY(NOW())&lt;M3,INDIRECT(ADDRESS(435,20))-INDIRECT(ADDRESS(430,21))+INDIRECT(ADDRESS(431,21))-INDIRECT(ADDRESS(434,21)),INDIRECT(ADDRESS(435,20))-INDIRECT(ADDRESS(430,21))+INDIRECT(ADDRESS(433,21))-INDIRECT(ADDRESS(434,21)))</f>
        <v>0</v>
      </c>
      <c r="V435">
        <f>IF(DAY(NOW())&lt;M3,INDIRECT(ADDRESS(435,21))-INDIRECT(ADDRESS(430,22))+INDIRECT(ADDRESS(431,22))-INDIRECT(ADDRESS(434,22)),INDIRECT(ADDRESS(435,21))-INDIRECT(ADDRESS(430,22))+INDIRECT(ADDRESS(433,22))-INDIRECT(ADDRESS(434,22)))</f>
        <v>0</v>
      </c>
      <c r="W435">
        <f>IF(DAY(NOW())&lt;M3,INDIRECT(ADDRESS(435,22))-INDIRECT(ADDRESS(430,23))+INDIRECT(ADDRESS(431,23))-INDIRECT(ADDRESS(434,23)),INDIRECT(ADDRESS(435,22))-INDIRECT(ADDRESS(430,23))+INDIRECT(ADDRESS(433,23))-INDIRECT(ADDRESS(434,23)))</f>
        <v>0</v>
      </c>
      <c r="X435">
        <f>IF(DAY(NOW())&lt;M3,INDIRECT(ADDRESS(435,23))-INDIRECT(ADDRESS(430,24))+INDIRECT(ADDRESS(431,24))-INDIRECT(ADDRESS(434,24)),INDIRECT(ADDRESS(435,23))-INDIRECT(ADDRESS(430,24))+INDIRECT(ADDRESS(433,24))-INDIRECT(ADDRESS(434,24)))</f>
        <v>0</v>
      </c>
      <c r="Y435">
        <f>IF(DAY(NOW())&lt;M3,INDIRECT(ADDRESS(435,24))-INDIRECT(ADDRESS(430,25))+INDIRECT(ADDRESS(431,25))-INDIRECT(ADDRESS(434,25)),INDIRECT(ADDRESS(435,24))-INDIRECT(ADDRESS(430,25))+INDIRECT(ADDRESS(433,25))-INDIRECT(ADDRESS(434,25)))</f>
        <v>0</v>
      </c>
      <c r="Z435">
        <f>IF(DAY(NOW())&lt;M3,INDIRECT(ADDRESS(435,25))-INDIRECT(ADDRESS(430,26))+INDIRECT(ADDRESS(431,26))-INDIRECT(ADDRESS(434,26)),INDIRECT(ADDRESS(435,25))-INDIRECT(ADDRESS(430,26))+INDIRECT(ADDRESS(433,26))-INDIRECT(ADDRESS(434,26)))</f>
        <v>0</v>
      </c>
      <c r="AA435">
        <f>IF(DAY(NOW())&lt;M3,INDIRECT(ADDRESS(435,26))-INDIRECT(ADDRESS(430,27))+INDIRECT(ADDRESS(431,27))-INDIRECT(ADDRESS(434,27)),INDIRECT(ADDRESS(435,26))-INDIRECT(ADDRESS(430,27))+INDIRECT(ADDRESS(433,27))-INDIRECT(ADDRESS(434,27)))</f>
        <v>0</v>
      </c>
      <c r="AB435">
        <f>IF(DAY(NOW())&lt;M3,INDIRECT(ADDRESS(435,27))-INDIRECT(ADDRESS(430,28))+INDIRECT(ADDRESS(431,28))-INDIRECT(ADDRESS(434,28)),INDIRECT(ADDRESS(435,27))-INDIRECT(ADDRESS(430,28))+INDIRECT(ADDRESS(433,28))-INDIRECT(ADDRESS(434,28)))</f>
        <v>0</v>
      </c>
      <c r="AC435">
        <f>IF(DAY(NOW())&lt;M3,INDIRECT(ADDRESS(435,28))-INDIRECT(ADDRESS(430,29))+INDIRECT(ADDRESS(431,29))-INDIRECT(ADDRESS(434,29)),INDIRECT(ADDRESS(435,28))-INDIRECT(ADDRESS(430,29))+INDIRECT(ADDRESS(433,29))-INDIRECT(ADDRESS(434,29)))</f>
        <v>0</v>
      </c>
      <c r="AD435">
        <f>IF(DAY(NOW())&lt;M3,INDIRECT(ADDRESS(435,29))-INDIRECT(ADDRESS(430,30))+INDIRECT(ADDRESS(431,30))-INDIRECT(ADDRESS(434,30)),INDIRECT(ADDRESS(435,29))-INDIRECT(ADDRESS(430,30))+INDIRECT(ADDRESS(433,30))-INDIRECT(ADDRESS(434,30)))</f>
        <v>0</v>
      </c>
      <c r="AE435">
        <f>IF(DAY(NOW())&lt;M3,INDIRECT(ADDRESS(435,30))-INDIRECT(ADDRESS(430,31))+INDIRECT(ADDRESS(431,31))-INDIRECT(ADDRESS(434,31)),INDIRECT(ADDRESS(435,30))-INDIRECT(ADDRESS(430,31))+INDIRECT(ADDRESS(433,31))-INDIRECT(ADDRESS(434,31)))</f>
        <v>0</v>
      </c>
      <c r="AF435">
        <f>IF(DAY(NOW())&lt;M3,INDIRECT(ADDRESS(435,31))-INDIRECT(ADDRESS(430,32))+INDIRECT(ADDRESS(431,32))-INDIRECT(ADDRESS(434,32)),INDIRECT(ADDRESS(435,31))-INDIRECT(ADDRESS(430,32))+INDIRECT(ADDRESS(433,32))-INDIRECT(ADDRESS(434,32)))</f>
        <v>0</v>
      </c>
      <c r="AG435">
        <f>IF(DAY(NOW())&lt;M3,INDIRECT(ADDRESS(435,32))-INDIRECT(ADDRESS(430,33))+INDIRECT(ADDRESS(431,33))-INDIRECT(ADDRESS(434,33)),INDIRECT(ADDRESS(435,32))-INDIRECT(ADDRESS(430,33))+INDIRECT(ADDRESS(433,33))-INDIRECT(ADDRESS(434,33)))</f>
        <v>0</v>
      </c>
      <c r="AH435">
        <f>IF(DAY(NOW())&lt;M3,INDIRECT(ADDRESS(435,33))-INDIRECT(ADDRESS(430,34))+INDIRECT(ADDRESS(431,34))-INDIRECT(ADDRESS(434,34)),INDIRECT(ADDRESS(435,33))-INDIRECT(ADDRESS(430,34))+INDIRECT(ADDRESS(433,34))-INDIRECT(ADDRESS(434,34)))</f>
        <v>0</v>
      </c>
      <c r="AI435">
        <f>IF(DAY(NOW())&lt;M3,INDIRECT(ADDRESS(435,34))-INDIRECT(ADDRESS(430,35))+INDIRECT(ADDRESS(431,35))-INDIRECT(ADDRESS(434,35)),INDIRECT(ADDRESS(435,34))-INDIRECT(ADDRESS(430,35))+INDIRECT(ADDRESS(433,35))-INDIRECT(ADDRESS(434,35)))</f>
        <v>0</v>
      </c>
      <c r="AJ435">
        <f>IF(DAY(NOW())&lt;M3,INDIRECT(ADDRESS(435,35))-INDIRECT(ADDRESS(430,36))+INDIRECT(ADDRESS(431,36))-INDIRECT(ADDRESS(434,36)),INDIRECT(ADDRESS(435,35))-INDIRECT(ADDRESS(430,36))+INDIRECT(ADDRESS(433,36))-INDIRECT(ADDRESS(434,36)))</f>
        <v>0</v>
      </c>
      <c r="AK435">
        <f>IF(DAY(NOW())&lt;M3,INDIRECT(ADDRESS(435,36))-INDIRECT(ADDRESS(430,37))+INDIRECT(ADDRESS(431,37))-INDIRECT(ADDRESS(434,37)),INDIRECT(ADDRESS(435,36))-INDIRECT(ADDRESS(430,37))+INDIRECT(ADDRESS(433,37))-INDIRECT(ADDRESS(434,37)))</f>
        <v>0</v>
      </c>
      <c r="AL435">
        <f>IF(DAY(NOW())&lt;M3,INDIRECT(ADDRESS(435,37))-INDIRECT(ADDRESS(430,38))+INDIRECT(ADDRESS(431,38))-INDIRECT(ADDRESS(434,38)),INDIRECT(ADDRESS(435,37))-INDIRECT(ADDRESS(430,38))+INDIRECT(ADDRESS(433,38))-INDIRECT(ADDRESS(434,38)))</f>
        <v>0</v>
      </c>
      <c r="AM435">
        <f>IF(DAY(NOW())&lt;M3,INDIRECT(ADDRESS(435,38))-INDIRECT(ADDRESS(430,39))+INDIRECT(ADDRESS(431,39))-INDIRECT(ADDRESS(434,39)),INDIRECT(ADDRESS(435,38))-INDIRECT(ADDRESS(430,39))+INDIRECT(ADDRESS(433,39))-INDIRECT(ADDRESS(434,39)))</f>
        <v>0</v>
      </c>
      <c r="AN435">
        <f>IF(DAY(NOW())&lt;M3,INDIRECT(ADDRESS(435,39))-INDIRECT(ADDRESS(430,40))+INDIRECT(ADDRESS(431,40))-INDIRECT(ADDRESS(434,40)),INDIRECT(ADDRESS(435,39))-INDIRECT(ADDRESS(430,40))+INDIRECT(ADDRESS(433,40))-INDIRECT(ADDRESS(434,40)))</f>
        <v>0</v>
      </c>
      <c r="AO435">
        <f>IF(DAY(NOW())&lt;M3,INDIRECT(ADDRESS(435,40))-INDIRECT(ADDRESS(430,41))+INDIRECT(ADDRESS(431,41))-INDIRECT(ADDRESS(434,41)),INDIRECT(ADDRESS(435,40))-INDIRECT(ADDRESS(430,41))+INDIRECT(ADDRESS(433,41))-INDIRECT(ADDRESS(434,41)))</f>
        <v>0</v>
      </c>
      <c r="AP435">
        <f>IF(DAY(NOW())&lt;M3,INDIRECT(ADDRESS(435,41))-INDIRECT(ADDRESS(430,42))+INDIRECT(ADDRESS(431,42))-INDIRECT(ADDRESS(434,42)),INDIRECT(ADDRESS(435,41))-INDIRECT(ADDRESS(430,42))+INDIRECT(ADDRESS(433,42))-INDIRECT(ADDRESS(434,42)))</f>
        <v>0</v>
      </c>
      <c r="AQ435">
        <f>IF(DAY(NOW())&lt;M3,INDIRECT(ADDRESS(435,42))-INDIRECT(ADDRESS(430,43))+INDIRECT(ADDRESS(431,43))-INDIRECT(ADDRESS(434,43)),INDIRECT(ADDRESS(435,42))-INDIRECT(ADDRESS(430,43))+INDIRECT(ADDRESS(433,43))-INDIRECT(ADDRESS(434,43)))</f>
        <v>0</v>
      </c>
      <c r="AR435">
        <f>IF(DAY(NOW())&lt;M3,INDIRECT(ADDRESS(435,43))-INDIRECT(ADDRESS(430,44))+INDIRECT(ADDRESS(431,44))-INDIRECT(ADDRESS(434,44)),INDIRECT(ADDRESS(435,43))-INDIRECT(ADDRESS(430,44))+INDIRECT(ADDRESS(433,44))-INDIRECT(ADDRESS(434,44)))</f>
        <v>0</v>
      </c>
    </row>
    <row r="436" spans="1:76">
      <c r="A436" t="s">
        <v>14</v>
      </c>
      <c r="B436" t="s">
        <v>274</v>
      </c>
      <c r="C436" t="s">
        <v>89</v>
      </c>
      <c r="D436" t="s">
        <v>275</v>
      </c>
      <c r="E436">
        <v>1</v>
      </c>
      <c r="F436" t="s">
        <v>276</v>
      </c>
      <c r="H436" t="s">
        <v>72</v>
      </c>
      <c r="I436" t="s">
        <v>91</v>
      </c>
      <c r="K436" t="s">
        <v>20</v>
      </c>
      <c r="L436" t="s">
        <v>21</v>
      </c>
      <c r="BX436">
        <f>sum(j436:an436)</f>
        <v>0</v>
      </c>
    </row>
    <row r="437" spans="1:76">
      <c r="A437" t="s">
        <v>14</v>
      </c>
      <c r="B437" t="s">
        <v>274</v>
      </c>
      <c r="C437" t="s">
        <v>89</v>
      </c>
      <c r="D437" t="s">
        <v>275</v>
      </c>
      <c r="E437">
        <v>1</v>
      </c>
      <c r="F437" t="s">
        <v>276</v>
      </c>
      <c r="H437" t="s">
        <v>72</v>
      </c>
      <c r="I437" t="s">
        <v>91</v>
      </c>
      <c r="K437" t="s">
        <v>20</v>
      </c>
      <c r="L437" t="s">
        <v>37</v>
      </c>
    </row>
    <row r="438" spans="1:76">
      <c r="L438" t="s">
        <v>662</v>
      </c>
    </row>
    <row r="439" spans="1:76">
      <c r="L439" t="s">
        <v>663</v>
      </c>
    </row>
    <row r="440" spans="1:76">
      <c r="L440" t="s">
        <v>664</v>
      </c>
    </row>
    <row r="441" spans="1:76">
      <c r="L441" t="s">
        <v>665</v>
      </c>
      <c r="M441">
        <f>IF(DAY(NOW())&lt;M3,INDIRECT(ADDRESS(441,7))-INDIRECT(ADDRESS(436,13))+INDIRECT(ADDRESS(437,13))-INDIRECT(ADDRESS(440,13)),INDIRECT(ADDRESS(441,7))-INDIRECT(ADDRESS(436,13))+INDIRECT(ADDRESS(439,13))-INDIRECT(ADDRESS(440,13)))</f>
        <v>0</v>
      </c>
      <c r="N441">
        <f>IF(DAY(NOW())&lt;M3,INDIRECT(ADDRESS(441,13))-INDIRECT(ADDRESS(436,14))+INDIRECT(ADDRESS(437,14))-INDIRECT(ADDRESS(440,14)),INDIRECT(ADDRESS(441,13))-INDIRECT(ADDRESS(436,14))+INDIRECT(ADDRESS(439,14))-INDIRECT(ADDRESS(440,14)))</f>
        <v>0</v>
      </c>
      <c r="O441">
        <f>IF(DAY(NOW())&lt;M3,INDIRECT(ADDRESS(441,14))-INDIRECT(ADDRESS(436,15))+INDIRECT(ADDRESS(437,15))-INDIRECT(ADDRESS(440,15)),INDIRECT(ADDRESS(441,14))-INDIRECT(ADDRESS(436,15))+INDIRECT(ADDRESS(439,15))-INDIRECT(ADDRESS(440,15)))</f>
        <v>0</v>
      </c>
      <c r="P441">
        <f>IF(DAY(NOW())&lt;M3,INDIRECT(ADDRESS(441,15))-INDIRECT(ADDRESS(436,16))+INDIRECT(ADDRESS(437,16))-INDIRECT(ADDRESS(440,16)),INDIRECT(ADDRESS(441,15))-INDIRECT(ADDRESS(436,16))+INDIRECT(ADDRESS(439,16))-INDIRECT(ADDRESS(440,16)))</f>
        <v>0</v>
      </c>
      <c r="Q441">
        <f>IF(DAY(NOW())&lt;M3,INDIRECT(ADDRESS(441,16))-INDIRECT(ADDRESS(436,17))+INDIRECT(ADDRESS(437,17))-INDIRECT(ADDRESS(440,17)),INDIRECT(ADDRESS(441,16))-INDIRECT(ADDRESS(436,17))+INDIRECT(ADDRESS(439,17))-INDIRECT(ADDRESS(440,17)))</f>
        <v>0</v>
      </c>
      <c r="R441">
        <f>IF(DAY(NOW())&lt;M3,INDIRECT(ADDRESS(441,17))-INDIRECT(ADDRESS(436,18))+INDIRECT(ADDRESS(437,18))-INDIRECT(ADDRESS(440,18)),INDIRECT(ADDRESS(441,17))-INDIRECT(ADDRESS(436,18))+INDIRECT(ADDRESS(439,18))-INDIRECT(ADDRESS(440,18)))</f>
        <v>0</v>
      </c>
      <c r="S441">
        <f>IF(DAY(NOW())&lt;M3,INDIRECT(ADDRESS(441,18))-INDIRECT(ADDRESS(436,19))+INDIRECT(ADDRESS(437,19))-INDIRECT(ADDRESS(440,19)),INDIRECT(ADDRESS(441,18))-INDIRECT(ADDRESS(436,19))+INDIRECT(ADDRESS(439,19))-INDIRECT(ADDRESS(440,19)))</f>
        <v>0</v>
      </c>
      <c r="T441">
        <f>IF(DAY(NOW())&lt;M3,INDIRECT(ADDRESS(441,19))-INDIRECT(ADDRESS(436,20))+INDIRECT(ADDRESS(437,20))-INDIRECT(ADDRESS(440,20)),INDIRECT(ADDRESS(441,19))-INDIRECT(ADDRESS(436,20))+INDIRECT(ADDRESS(439,20))-INDIRECT(ADDRESS(440,20)))</f>
        <v>0</v>
      </c>
      <c r="U441">
        <f>IF(DAY(NOW())&lt;M3,INDIRECT(ADDRESS(441,20))-INDIRECT(ADDRESS(436,21))+INDIRECT(ADDRESS(437,21))-INDIRECT(ADDRESS(440,21)),INDIRECT(ADDRESS(441,20))-INDIRECT(ADDRESS(436,21))+INDIRECT(ADDRESS(439,21))-INDIRECT(ADDRESS(440,21)))</f>
        <v>0</v>
      </c>
      <c r="V441">
        <f>IF(DAY(NOW())&lt;M3,INDIRECT(ADDRESS(441,21))-INDIRECT(ADDRESS(436,22))+INDIRECT(ADDRESS(437,22))-INDIRECT(ADDRESS(440,22)),INDIRECT(ADDRESS(441,21))-INDIRECT(ADDRESS(436,22))+INDIRECT(ADDRESS(439,22))-INDIRECT(ADDRESS(440,22)))</f>
        <v>0</v>
      </c>
      <c r="W441">
        <f>IF(DAY(NOW())&lt;M3,INDIRECT(ADDRESS(441,22))-INDIRECT(ADDRESS(436,23))+INDIRECT(ADDRESS(437,23))-INDIRECT(ADDRESS(440,23)),INDIRECT(ADDRESS(441,22))-INDIRECT(ADDRESS(436,23))+INDIRECT(ADDRESS(439,23))-INDIRECT(ADDRESS(440,23)))</f>
        <v>0</v>
      </c>
      <c r="X441">
        <f>IF(DAY(NOW())&lt;M3,INDIRECT(ADDRESS(441,23))-INDIRECT(ADDRESS(436,24))+INDIRECT(ADDRESS(437,24))-INDIRECT(ADDRESS(440,24)),INDIRECT(ADDRESS(441,23))-INDIRECT(ADDRESS(436,24))+INDIRECT(ADDRESS(439,24))-INDIRECT(ADDRESS(440,24)))</f>
        <v>0</v>
      </c>
      <c r="Y441">
        <f>IF(DAY(NOW())&lt;M3,INDIRECT(ADDRESS(441,24))-INDIRECT(ADDRESS(436,25))+INDIRECT(ADDRESS(437,25))-INDIRECT(ADDRESS(440,25)),INDIRECT(ADDRESS(441,24))-INDIRECT(ADDRESS(436,25))+INDIRECT(ADDRESS(439,25))-INDIRECT(ADDRESS(440,25)))</f>
        <v>0</v>
      </c>
      <c r="Z441">
        <f>IF(DAY(NOW())&lt;M3,INDIRECT(ADDRESS(441,25))-INDIRECT(ADDRESS(436,26))+INDIRECT(ADDRESS(437,26))-INDIRECT(ADDRESS(440,26)),INDIRECT(ADDRESS(441,25))-INDIRECT(ADDRESS(436,26))+INDIRECT(ADDRESS(439,26))-INDIRECT(ADDRESS(440,26)))</f>
        <v>0</v>
      </c>
      <c r="AA441">
        <f>IF(DAY(NOW())&lt;M3,INDIRECT(ADDRESS(441,26))-INDIRECT(ADDRESS(436,27))+INDIRECT(ADDRESS(437,27))-INDIRECT(ADDRESS(440,27)),INDIRECT(ADDRESS(441,26))-INDIRECT(ADDRESS(436,27))+INDIRECT(ADDRESS(439,27))-INDIRECT(ADDRESS(440,27)))</f>
        <v>0</v>
      </c>
      <c r="AB441">
        <f>IF(DAY(NOW())&lt;M3,INDIRECT(ADDRESS(441,27))-INDIRECT(ADDRESS(436,28))+INDIRECT(ADDRESS(437,28))-INDIRECT(ADDRESS(440,28)),INDIRECT(ADDRESS(441,27))-INDIRECT(ADDRESS(436,28))+INDIRECT(ADDRESS(439,28))-INDIRECT(ADDRESS(440,28)))</f>
        <v>0</v>
      </c>
      <c r="AC441">
        <f>IF(DAY(NOW())&lt;M3,INDIRECT(ADDRESS(441,28))-INDIRECT(ADDRESS(436,29))+INDIRECT(ADDRESS(437,29))-INDIRECT(ADDRESS(440,29)),INDIRECT(ADDRESS(441,28))-INDIRECT(ADDRESS(436,29))+INDIRECT(ADDRESS(439,29))-INDIRECT(ADDRESS(440,29)))</f>
        <v>0</v>
      </c>
      <c r="AD441">
        <f>IF(DAY(NOW())&lt;M3,INDIRECT(ADDRESS(441,29))-INDIRECT(ADDRESS(436,30))+INDIRECT(ADDRESS(437,30))-INDIRECT(ADDRESS(440,30)),INDIRECT(ADDRESS(441,29))-INDIRECT(ADDRESS(436,30))+INDIRECT(ADDRESS(439,30))-INDIRECT(ADDRESS(440,30)))</f>
        <v>0</v>
      </c>
      <c r="AE441">
        <f>IF(DAY(NOW())&lt;M3,INDIRECT(ADDRESS(441,30))-INDIRECT(ADDRESS(436,31))+INDIRECT(ADDRESS(437,31))-INDIRECT(ADDRESS(440,31)),INDIRECT(ADDRESS(441,30))-INDIRECT(ADDRESS(436,31))+INDIRECT(ADDRESS(439,31))-INDIRECT(ADDRESS(440,31)))</f>
        <v>0</v>
      </c>
      <c r="AF441">
        <f>IF(DAY(NOW())&lt;M3,INDIRECT(ADDRESS(441,31))-INDIRECT(ADDRESS(436,32))+INDIRECT(ADDRESS(437,32))-INDIRECT(ADDRESS(440,32)),INDIRECT(ADDRESS(441,31))-INDIRECT(ADDRESS(436,32))+INDIRECT(ADDRESS(439,32))-INDIRECT(ADDRESS(440,32)))</f>
        <v>0</v>
      </c>
      <c r="AG441">
        <f>IF(DAY(NOW())&lt;M3,INDIRECT(ADDRESS(441,32))-INDIRECT(ADDRESS(436,33))+INDIRECT(ADDRESS(437,33))-INDIRECT(ADDRESS(440,33)),INDIRECT(ADDRESS(441,32))-INDIRECT(ADDRESS(436,33))+INDIRECT(ADDRESS(439,33))-INDIRECT(ADDRESS(440,33)))</f>
        <v>0</v>
      </c>
      <c r="AH441">
        <f>IF(DAY(NOW())&lt;M3,INDIRECT(ADDRESS(441,33))-INDIRECT(ADDRESS(436,34))+INDIRECT(ADDRESS(437,34))-INDIRECT(ADDRESS(440,34)),INDIRECT(ADDRESS(441,33))-INDIRECT(ADDRESS(436,34))+INDIRECT(ADDRESS(439,34))-INDIRECT(ADDRESS(440,34)))</f>
        <v>0</v>
      </c>
      <c r="AI441">
        <f>IF(DAY(NOW())&lt;M3,INDIRECT(ADDRESS(441,34))-INDIRECT(ADDRESS(436,35))+INDIRECT(ADDRESS(437,35))-INDIRECT(ADDRESS(440,35)),INDIRECT(ADDRESS(441,34))-INDIRECT(ADDRESS(436,35))+INDIRECT(ADDRESS(439,35))-INDIRECT(ADDRESS(440,35)))</f>
        <v>0</v>
      </c>
      <c r="AJ441">
        <f>IF(DAY(NOW())&lt;M3,INDIRECT(ADDRESS(441,35))-INDIRECT(ADDRESS(436,36))+INDIRECT(ADDRESS(437,36))-INDIRECT(ADDRESS(440,36)),INDIRECT(ADDRESS(441,35))-INDIRECT(ADDRESS(436,36))+INDIRECT(ADDRESS(439,36))-INDIRECT(ADDRESS(440,36)))</f>
        <v>0</v>
      </c>
      <c r="AK441">
        <f>IF(DAY(NOW())&lt;M3,INDIRECT(ADDRESS(441,36))-INDIRECT(ADDRESS(436,37))+INDIRECT(ADDRESS(437,37))-INDIRECT(ADDRESS(440,37)),INDIRECT(ADDRESS(441,36))-INDIRECT(ADDRESS(436,37))+INDIRECT(ADDRESS(439,37))-INDIRECT(ADDRESS(440,37)))</f>
        <v>0</v>
      </c>
      <c r="AL441">
        <f>IF(DAY(NOW())&lt;M3,INDIRECT(ADDRESS(441,37))-INDIRECT(ADDRESS(436,38))+INDIRECT(ADDRESS(437,38))-INDIRECT(ADDRESS(440,38)),INDIRECT(ADDRESS(441,37))-INDIRECT(ADDRESS(436,38))+INDIRECT(ADDRESS(439,38))-INDIRECT(ADDRESS(440,38)))</f>
        <v>0</v>
      </c>
      <c r="AM441">
        <f>IF(DAY(NOW())&lt;M3,INDIRECT(ADDRESS(441,38))-INDIRECT(ADDRESS(436,39))+INDIRECT(ADDRESS(437,39))-INDIRECT(ADDRESS(440,39)),INDIRECT(ADDRESS(441,38))-INDIRECT(ADDRESS(436,39))+INDIRECT(ADDRESS(439,39))-INDIRECT(ADDRESS(440,39)))</f>
        <v>0</v>
      </c>
      <c r="AN441">
        <f>IF(DAY(NOW())&lt;M3,INDIRECT(ADDRESS(441,39))-INDIRECT(ADDRESS(436,40))+INDIRECT(ADDRESS(437,40))-INDIRECT(ADDRESS(440,40)),INDIRECT(ADDRESS(441,39))-INDIRECT(ADDRESS(436,40))+INDIRECT(ADDRESS(439,40))-INDIRECT(ADDRESS(440,40)))</f>
        <v>0</v>
      </c>
      <c r="AO441">
        <f>IF(DAY(NOW())&lt;M3,INDIRECT(ADDRESS(441,40))-INDIRECT(ADDRESS(436,41))+INDIRECT(ADDRESS(437,41))-INDIRECT(ADDRESS(440,41)),INDIRECT(ADDRESS(441,40))-INDIRECT(ADDRESS(436,41))+INDIRECT(ADDRESS(439,41))-INDIRECT(ADDRESS(440,41)))</f>
        <v>0</v>
      </c>
      <c r="AP441">
        <f>IF(DAY(NOW())&lt;M3,INDIRECT(ADDRESS(441,41))-INDIRECT(ADDRESS(436,42))+INDIRECT(ADDRESS(437,42))-INDIRECT(ADDRESS(440,42)),INDIRECT(ADDRESS(441,41))-INDIRECT(ADDRESS(436,42))+INDIRECT(ADDRESS(439,42))-INDIRECT(ADDRESS(440,42)))</f>
        <v>0</v>
      </c>
      <c r="AQ441">
        <f>IF(DAY(NOW())&lt;M3,INDIRECT(ADDRESS(441,42))-INDIRECT(ADDRESS(436,43))+INDIRECT(ADDRESS(437,43))-INDIRECT(ADDRESS(440,43)),INDIRECT(ADDRESS(441,42))-INDIRECT(ADDRESS(436,43))+INDIRECT(ADDRESS(439,43))-INDIRECT(ADDRESS(440,43)))</f>
        <v>0</v>
      </c>
      <c r="AR441">
        <f>IF(DAY(NOW())&lt;M3,INDIRECT(ADDRESS(441,43))-INDIRECT(ADDRESS(436,44))+INDIRECT(ADDRESS(437,44))-INDIRECT(ADDRESS(440,44)),INDIRECT(ADDRESS(441,43))-INDIRECT(ADDRESS(436,44))+INDIRECT(ADDRESS(439,44))-INDIRECT(ADDRESS(440,44)))</f>
        <v>0</v>
      </c>
    </row>
    <row r="442" spans="1:76">
      <c r="A442" t="s">
        <v>31</v>
      </c>
      <c r="B442" t="s">
        <v>277</v>
      </c>
      <c r="C442" t="s">
        <v>93</v>
      </c>
      <c r="D442" t="s">
        <v>17</v>
      </c>
      <c r="E442">
        <v>1</v>
      </c>
      <c r="F442" t="s">
        <v>278</v>
      </c>
      <c r="H442" t="s">
        <v>35</v>
      </c>
      <c r="I442" t="s">
        <v>36</v>
      </c>
      <c r="K442" t="s">
        <v>20</v>
      </c>
      <c r="L442" t="s">
        <v>21</v>
      </c>
      <c r="M442">
        <f>sumifs(BOM!m:m,BOM!A:A,".1",BOM!B:B,"852-257000-100")</f>
        <v>0</v>
      </c>
      <c r="N442">
        <f>sumifs(BOM!n:n,BOM!A:A,".1",BOM!B:B,"852-257000-100")</f>
        <v>0</v>
      </c>
      <c r="O442">
        <f>sumifs(BOM!o:o,BOM!A:A,".1",BOM!B:B,"852-257000-100")</f>
        <v>0</v>
      </c>
      <c r="P442">
        <f>sumifs(BOM!p:p,BOM!A:A,".1",BOM!B:B,"852-257000-100")</f>
        <v>0</v>
      </c>
      <c r="Q442">
        <f>sumifs(BOM!q:q,BOM!A:A,".1",BOM!B:B,"852-257000-100")</f>
        <v>0</v>
      </c>
      <c r="R442">
        <f>sumifs(BOM!r:r,BOM!A:A,".1",BOM!B:B,"852-257000-100")</f>
        <v>0</v>
      </c>
      <c r="S442">
        <f>sumifs(BOM!s:s,BOM!A:A,".1",BOM!B:B,"852-257000-100")</f>
        <v>0</v>
      </c>
      <c r="T442">
        <f>sumifs(BOM!t:t,BOM!A:A,".1",BOM!B:B,"852-257000-100")</f>
        <v>0</v>
      </c>
      <c r="U442">
        <f>sumifs(BOM!u:u,BOM!A:A,".1",BOM!B:B,"852-257000-100")</f>
        <v>0</v>
      </c>
      <c r="V442">
        <f>sumifs(BOM!v:v,BOM!A:A,".1",BOM!B:B,"852-257000-100")</f>
        <v>0</v>
      </c>
      <c r="W442">
        <f>sumifs(BOM!w:w,BOM!A:A,".1",BOM!B:B,"852-257000-100")</f>
        <v>0</v>
      </c>
      <c r="X442">
        <f>sumifs(BOM!x:x,BOM!A:A,".1",BOM!B:B,"852-257000-100")</f>
        <v>0</v>
      </c>
      <c r="Y442">
        <f>sumifs(BOM!y:y,BOM!A:A,".1",BOM!B:B,"852-257000-100")</f>
        <v>0</v>
      </c>
      <c r="Z442">
        <f>sumifs(BOM!z:z,BOM!A:A,".1",BOM!B:B,"852-257000-100")</f>
        <v>0</v>
      </c>
      <c r="AA442">
        <f>sumifs(BOM!aa:aa,BOM!A:A,".1",BOM!B:B,"852-257000-100")</f>
        <v>0</v>
      </c>
      <c r="AB442">
        <f>sumifs(BOM!ab:ab,BOM!A:A,".1",BOM!B:B,"852-257000-100")</f>
        <v>0</v>
      </c>
      <c r="AC442">
        <f>sumifs(BOM!ac:ac,BOM!A:A,".1",BOM!B:B,"852-257000-100")</f>
        <v>0</v>
      </c>
      <c r="AD442">
        <f>sumifs(BOM!ad:ad,BOM!A:A,".1",BOM!B:B,"852-257000-100")</f>
        <v>0</v>
      </c>
      <c r="AE442">
        <f>sumifs(BOM!ae:ae,BOM!A:A,".1",BOM!B:B,"852-257000-100")</f>
        <v>0</v>
      </c>
      <c r="AF442">
        <f>sumifs(BOM!af:af,BOM!A:A,".1",BOM!B:B,"852-257000-100")</f>
        <v>0</v>
      </c>
      <c r="AG442">
        <f>sumifs(BOM!ag:ag,BOM!A:A,".1",BOM!B:B,"852-257000-100")</f>
        <v>0</v>
      </c>
      <c r="AH442">
        <f>sumifs(BOM!ah:ah,BOM!A:A,".1",BOM!B:B,"852-257000-100")</f>
        <v>0</v>
      </c>
      <c r="AI442">
        <f>sumifs(BOM!ai:ai,BOM!A:A,".1",BOM!B:B,"852-257000-100")</f>
        <v>0</v>
      </c>
      <c r="AJ442">
        <f>sumifs(BOM!aj:aj,BOM!A:A,".1",BOM!B:B,"852-257000-100")</f>
        <v>0</v>
      </c>
      <c r="AK442">
        <f>sumifs(BOM!ak:ak,BOM!A:A,".1",BOM!B:B,"852-257000-100")</f>
        <v>0</v>
      </c>
      <c r="AL442">
        <f>sumifs(BOM!al:al,BOM!A:A,".1",BOM!B:B,"852-257000-100")</f>
        <v>0</v>
      </c>
      <c r="AM442">
        <f>sumifs(BOM!am:am,BOM!A:A,".1",BOM!B:B,"852-257000-100")</f>
        <v>0</v>
      </c>
      <c r="AN442">
        <f>sumifs(BOM!an:an,BOM!A:A,".1",BOM!B:B,"852-257000-100")</f>
        <v>0</v>
      </c>
      <c r="AO442">
        <f>sumifs(BOM!ao:ao,BOM!A:A,".1",BOM!B:B,"852-257000-100")</f>
        <v>0</v>
      </c>
      <c r="AP442">
        <f>sumifs(BOM!ap:ap,BOM!A:A,".1",BOM!B:B,"852-257000-100")</f>
        <v>0</v>
      </c>
      <c r="AQ442">
        <f>sumifs(BOM!aq:aq,BOM!A:A,".1",BOM!B:B,"852-257000-100")</f>
        <v>0</v>
      </c>
      <c r="AR442">
        <f>sumifs(BOM!ar:ar,BOM!A:A,".1",BOM!B:B,"852-257000-100")</f>
        <v>0</v>
      </c>
      <c r="BX442">
        <f>sum(j442:an442)</f>
        <v>0</v>
      </c>
    </row>
    <row r="443" spans="1:76">
      <c r="A443" t="s">
        <v>31</v>
      </c>
      <c r="B443" t="s">
        <v>277</v>
      </c>
      <c r="C443" t="s">
        <v>93</v>
      </c>
      <c r="D443" t="s">
        <v>17</v>
      </c>
      <c r="E443">
        <v>1</v>
      </c>
      <c r="F443" t="s">
        <v>278</v>
      </c>
      <c r="H443" t="s">
        <v>35</v>
      </c>
      <c r="I443" t="s">
        <v>36</v>
      </c>
      <c r="K443" t="s">
        <v>20</v>
      </c>
      <c r="L443" t="s">
        <v>37</v>
      </c>
    </row>
    <row r="444" spans="1:76">
      <c r="L444" t="s">
        <v>662</v>
      </c>
    </row>
    <row r="445" spans="1:76">
      <c r="L445" t="s">
        <v>663</v>
      </c>
    </row>
    <row r="446" spans="1:76">
      <c r="L446" t="s">
        <v>664</v>
      </c>
    </row>
    <row r="447" spans="1:76">
      <c r="L447" t="s">
        <v>665</v>
      </c>
      <c r="M447">
        <f>IF(DAY(NOW())&lt;M3,INDIRECT(ADDRESS(447,7))-INDIRECT(ADDRESS(442,13))+INDIRECT(ADDRESS(443,13))-INDIRECT(ADDRESS(446,13)),INDIRECT(ADDRESS(447,7))-INDIRECT(ADDRESS(442,13))+INDIRECT(ADDRESS(445,13))-INDIRECT(ADDRESS(446,13)))</f>
        <v>0</v>
      </c>
      <c r="N447">
        <f>IF(DAY(NOW())&lt;M3,INDIRECT(ADDRESS(447,13))-INDIRECT(ADDRESS(442,14))+INDIRECT(ADDRESS(443,14))-INDIRECT(ADDRESS(446,14)),INDIRECT(ADDRESS(447,13))-INDIRECT(ADDRESS(442,14))+INDIRECT(ADDRESS(445,14))-INDIRECT(ADDRESS(446,14)))</f>
        <v>0</v>
      </c>
      <c r="O447">
        <f>IF(DAY(NOW())&lt;M3,INDIRECT(ADDRESS(447,14))-INDIRECT(ADDRESS(442,15))+INDIRECT(ADDRESS(443,15))-INDIRECT(ADDRESS(446,15)),INDIRECT(ADDRESS(447,14))-INDIRECT(ADDRESS(442,15))+INDIRECT(ADDRESS(445,15))-INDIRECT(ADDRESS(446,15)))</f>
        <v>0</v>
      </c>
      <c r="P447">
        <f>IF(DAY(NOW())&lt;M3,INDIRECT(ADDRESS(447,15))-INDIRECT(ADDRESS(442,16))+INDIRECT(ADDRESS(443,16))-INDIRECT(ADDRESS(446,16)),INDIRECT(ADDRESS(447,15))-INDIRECT(ADDRESS(442,16))+INDIRECT(ADDRESS(445,16))-INDIRECT(ADDRESS(446,16)))</f>
        <v>0</v>
      </c>
      <c r="Q447">
        <f>IF(DAY(NOW())&lt;M3,INDIRECT(ADDRESS(447,16))-INDIRECT(ADDRESS(442,17))+INDIRECT(ADDRESS(443,17))-INDIRECT(ADDRESS(446,17)),INDIRECT(ADDRESS(447,16))-INDIRECT(ADDRESS(442,17))+INDIRECT(ADDRESS(445,17))-INDIRECT(ADDRESS(446,17)))</f>
        <v>0</v>
      </c>
      <c r="R447">
        <f>IF(DAY(NOW())&lt;M3,INDIRECT(ADDRESS(447,17))-INDIRECT(ADDRESS(442,18))+INDIRECT(ADDRESS(443,18))-INDIRECT(ADDRESS(446,18)),INDIRECT(ADDRESS(447,17))-INDIRECT(ADDRESS(442,18))+INDIRECT(ADDRESS(445,18))-INDIRECT(ADDRESS(446,18)))</f>
        <v>0</v>
      </c>
      <c r="S447">
        <f>IF(DAY(NOW())&lt;M3,INDIRECT(ADDRESS(447,18))-INDIRECT(ADDRESS(442,19))+INDIRECT(ADDRESS(443,19))-INDIRECT(ADDRESS(446,19)),INDIRECT(ADDRESS(447,18))-INDIRECT(ADDRESS(442,19))+INDIRECT(ADDRESS(445,19))-INDIRECT(ADDRESS(446,19)))</f>
        <v>0</v>
      </c>
      <c r="T447">
        <f>IF(DAY(NOW())&lt;M3,INDIRECT(ADDRESS(447,19))-INDIRECT(ADDRESS(442,20))+INDIRECT(ADDRESS(443,20))-INDIRECT(ADDRESS(446,20)),INDIRECT(ADDRESS(447,19))-INDIRECT(ADDRESS(442,20))+INDIRECT(ADDRESS(445,20))-INDIRECT(ADDRESS(446,20)))</f>
        <v>0</v>
      </c>
      <c r="U447">
        <f>IF(DAY(NOW())&lt;M3,INDIRECT(ADDRESS(447,20))-INDIRECT(ADDRESS(442,21))+INDIRECT(ADDRESS(443,21))-INDIRECT(ADDRESS(446,21)),INDIRECT(ADDRESS(447,20))-INDIRECT(ADDRESS(442,21))+INDIRECT(ADDRESS(445,21))-INDIRECT(ADDRESS(446,21)))</f>
        <v>0</v>
      </c>
      <c r="V447">
        <f>IF(DAY(NOW())&lt;M3,INDIRECT(ADDRESS(447,21))-INDIRECT(ADDRESS(442,22))+INDIRECT(ADDRESS(443,22))-INDIRECT(ADDRESS(446,22)),INDIRECT(ADDRESS(447,21))-INDIRECT(ADDRESS(442,22))+INDIRECT(ADDRESS(445,22))-INDIRECT(ADDRESS(446,22)))</f>
        <v>0</v>
      </c>
      <c r="W447">
        <f>IF(DAY(NOW())&lt;M3,INDIRECT(ADDRESS(447,22))-INDIRECT(ADDRESS(442,23))+INDIRECT(ADDRESS(443,23))-INDIRECT(ADDRESS(446,23)),INDIRECT(ADDRESS(447,22))-INDIRECT(ADDRESS(442,23))+INDIRECT(ADDRESS(445,23))-INDIRECT(ADDRESS(446,23)))</f>
        <v>0</v>
      </c>
      <c r="X447">
        <f>IF(DAY(NOW())&lt;M3,INDIRECT(ADDRESS(447,23))-INDIRECT(ADDRESS(442,24))+INDIRECT(ADDRESS(443,24))-INDIRECT(ADDRESS(446,24)),INDIRECT(ADDRESS(447,23))-INDIRECT(ADDRESS(442,24))+INDIRECT(ADDRESS(445,24))-INDIRECT(ADDRESS(446,24)))</f>
        <v>0</v>
      </c>
      <c r="Y447">
        <f>IF(DAY(NOW())&lt;M3,INDIRECT(ADDRESS(447,24))-INDIRECT(ADDRESS(442,25))+INDIRECT(ADDRESS(443,25))-INDIRECT(ADDRESS(446,25)),INDIRECT(ADDRESS(447,24))-INDIRECT(ADDRESS(442,25))+INDIRECT(ADDRESS(445,25))-INDIRECT(ADDRESS(446,25)))</f>
        <v>0</v>
      </c>
      <c r="Z447">
        <f>IF(DAY(NOW())&lt;M3,INDIRECT(ADDRESS(447,25))-INDIRECT(ADDRESS(442,26))+INDIRECT(ADDRESS(443,26))-INDIRECT(ADDRESS(446,26)),INDIRECT(ADDRESS(447,25))-INDIRECT(ADDRESS(442,26))+INDIRECT(ADDRESS(445,26))-INDIRECT(ADDRESS(446,26)))</f>
        <v>0</v>
      </c>
      <c r="AA447">
        <f>IF(DAY(NOW())&lt;M3,INDIRECT(ADDRESS(447,26))-INDIRECT(ADDRESS(442,27))+INDIRECT(ADDRESS(443,27))-INDIRECT(ADDRESS(446,27)),INDIRECT(ADDRESS(447,26))-INDIRECT(ADDRESS(442,27))+INDIRECT(ADDRESS(445,27))-INDIRECT(ADDRESS(446,27)))</f>
        <v>0</v>
      </c>
      <c r="AB447">
        <f>IF(DAY(NOW())&lt;M3,INDIRECT(ADDRESS(447,27))-INDIRECT(ADDRESS(442,28))+INDIRECT(ADDRESS(443,28))-INDIRECT(ADDRESS(446,28)),INDIRECT(ADDRESS(447,27))-INDIRECT(ADDRESS(442,28))+INDIRECT(ADDRESS(445,28))-INDIRECT(ADDRESS(446,28)))</f>
        <v>0</v>
      </c>
      <c r="AC447">
        <f>IF(DAY(NOW())&lt;M3,INDIRECT(ADDRESS(447,28))-INDIRECT(ADDRESS(442,29))+INDIRECT(ADDRESS(443,29))-INDIRECT(ADDRESS(446,29)),INDIRECT(ADDRESS(447,28))-INDIRECT(ADDRESS(442,29))+INDIRECT(ADDRESS(445,29))-INDIRECT(ADDRESS(446,29)))</f>
        <v>0</v>
      </c>
      <c r="AD447">
        <f>IF(DAY(NOW())&lt;M3,INDIRECT(ADDRESS(447,29))-INDIRECT(ADDRESS(442,30))+INDIRECT(ADDRESS(443,30))-INDIRECT(ADDRESS(446,30)),INDIRECT(ADDRESS(447,29))-INDIRECT(ADDRESS(442,30))+INDIRECT(ADDRESS(445,30))-INDIRECT(ADDRESS(446,30)))</f>
        <v>0</v>
      </c>
      <c r="AE447">
        <f>IF(DAY(NOW())&lt;M3,INDIRECT(ADDRESS(447,30))-INDIRECT(ADDRESS(442,31))+INDIRECT(ADDRESS(443,31))-INDIRECT(ADDRESS(446,31)),INDIRECT(ADDRESS(447,30))-INDIRECT(ADDRESS(442,31))+INDIRECT(ADDRESS(445,31))-INDIRECT(ADDRESS(446,31)))</f>
        <v>0</v>
      </c>
      <c r="AF447">
        <f>IF(DAY(NOW())&lt;M3,INDIRECT(ADDRESS(447,31))-INDIRECT(ADDRESS(442,32))+INDIRECT(ADDRESS(443,32))-INDIRECT(ADDRESS(446,32)),INDIRECT(ADDRESS(447,31))-INDIRECT(ADDRESS(442,32))+INDIRECT(ADDRESS(445,32))-INDIRECT(ADDRESS(446,32)))</f>
        <v>0</v>
      </c>
      <c r="AG447">
        <f>IF(DAY(NOW())&lt;M3,INDIRECT(ADDRESS(447,32))-INDIRECT(ADDRESS(442,33))+INDIRECT(ADDRESS(443,33))-INDIRECT(ADDRESS(446,33)),INDIRECT(ADDRESS(447,32))-INDIRECT(ADDRESS(442,33))+INDIRECT(ADDRESS(445,33))-INDIRECT(ADDRESS(446,33)))</f>
        <v>0</v>
      </c>
      <c r="AH447">
        <f>IF(DAY(NOW())&lt;M3,INDIRECT(ADDRESS(447,33))-INDIRECT(ADDRESS(442,34))+INDIRECT(ADDRESS(443,34))-INDIRECT(ADDRESS(446,34)),INDIRECT(ADDRESS(447,33))-INDIRECT(ADDRESS(442,34))+INDIRECT(ADDRESS(445,34))-INDIRECT(ADDRESS(446,34)))</f>
        <v>0</v>
      </c>
      <c r="AI447">
        <f>IF(DAY(NOW())&lt;M3,INDIRECT(ADDRESS(447,34))-INDIRECT(ADDRESS(442,35))+INDIRECT(ADDRESS(443,35))-INDIRECT(ADDRESS(446,35)),INDIRECT(ADDRESS(447,34))-INDIRECT(ADDRESS(442,35))+INDIRECT(ADDRESS(445,35))-INDIRECT(ADDRESS(446,35)))</f>
        <v>0</v>
      </c>
      <c r="AJ447">
        <f>IF(DAY(NOW())&lt;M3,INDIRECT(ADDRESS(447,35))-INDIRECT(ADDRESS(442,36))+INDIRECT(ADDRESS(443,36))-INDIRECT(ADDRESS(446,36)),INDIRECT(ADDRESS(447,35))-INDIRECT(ADDRESS(442,36))+INDIRECT(ADDRESS(445,36))-INDIRECT(ADDRESS(446,36)))</f>
        <v>0</v>
      </c>
      <c r="AK447">
        <f>IF(DAY(NOW())&lt;M3,INDIRECT(ADDRESS(447,36))-INDIRECT(ADDRESS(442,37))+INDIRECT(ADDRESS(443,37))-INDIRECT(ADDRESS(446,37)),INDIRECT(ADDRESS(447,36))-INDIRECT(ADDRESS(442,37))+INDIRECT(ADDRESS(445,37))-INDIRECT(ADDRESS(446,37)))</f>
        <v>0</v>
      </c>
      <c r="AL447">
        <f>IF(DAY(NOW())&lt;M3,INDIRECT(ADDRESS(447,37))-INDIRECT(ADDRESS(442,38))+INDIRECT(ADDRESS(443,38))-INDIRECT(ADDRESS(446,38)),INDIRECT(ADDRESS(447,37))-INDIRECT(ADDRESS(442,38))+INDIRECT(ADDRESS(445,38))-INDIRECT(ADDRESS(446,38)))</f>
        <v>0</v>
      </c>
      <c r="AM447">
        <f>IF(DAY(NOW())&lt;M3,INDIRECT(ADDRESS(447,38))-INDIRECT(ADDRESS(442,39))+INDIRECT(ADDRESS(443,39))-INDIRECT(ADDRESS(446,39)),INDIRECT(ADDRESS(447,38))-INDIRECT(ADDRESS(442,39))+INDIRECT(ADDRESS(445,39))-INDIRECT(ADDRESS(446,39)))</f>
        <v>0</v>
      </c>
      <c r="AN447">
        <f>IF(DAY(NOW())&lt;M3,INDIRECT(ADDRESS(447,39))-INDIRECT(ADDRESS(442,40))+INDIRECT(ADDRESS(443,40))-INDIRECT(ADDRESS(446,40)),INDIRECT(ADDRESS(447,39))-INDIRECT(ADDRESS(442,40))+INDIRECT(ADDRESS(445,40))-INDIRECT(ADDRESS(446,40)))</f>
        <v>0</v>
      </c>
      <c r="AO447">
        <f>IF(DAY(NOW())&lt;M3,INDIRECT(ADDRESS(447,40))-INDIRECT(ADDRESS(442,41))+INDIRECT(ADDRESS(443,41))-INDIRECT(ADDRESS(446,41)),INDIRECT(ADDRESS(447,40))-INDIRECT(ADDRESS(442,41))+INDIRECT(ADDRESS(445,41))-INDIRECT(ADDRESS(446,41)))</f>
        <v>0</v>
      </c>
      <c r="AP447">
        <f>IF(DAY(NOW())&lt;M3,INDIRECT(ADDRESS(447,41))-INDIRECT(ADDRESS(442,42))+INDIRECT(ADDRESS(443,42))-INDIRECT(ADDRESS(446,42)),INDIRECT(ADDRESS(447,41))-INDIRECT(ADDRESS(442,42))+INDIRECT(ADDRESS(445,42))-INDIRECT(ADDRESS(446,42)))</f>
        <v>0</v>
      </c>
      <c r="AQ447">
        <f>IF(DAY(NOW())&lt;M3,INDIRECT(ADDRESS(447,42))-INDIRECT(ADDRESS(442,43))+INDIRECT(ADDRESS(443,43))-INDIRECT(ADDRESS(446,43)),INDIRECT(ADDRESS(447,42))-INDIRECT(ADDRESS(442,43))+INDIRECT(ADDRESS(445,43))-INDIRECT(ADDRESS(446,43)))</f>
        <v>0</v>
      </c>
      <c r="AR447">
        <f>IF(DAY(NOW())&lt;M3,INDIRECT(ADDRESS(447,43))-INDIRECT(ADDRESS(442,44))+INDIRECT(ADDRESS(443,44))-INDIRECT(ADDRESS(446,44)),INDIRECT(ADDRESS(447,43))-INDIRECT(ADDRESS(442,44))+INDIRECT(ADDRESS(445,44))-INDIRECT(ADDRESS(446,44)))</f>
        <v>0</v>
      </c>
    </row>
    <row r="448" spans="1:76">
      <c r="A448" t="s">
        <v>14</v>
      </c>
      <c r="B448" t="s">
        <v>279</v>
      </c>
      <c r="C448" t="s">
        <v>96</v>
      </c>
      <c r="D448" t="s">
        <v>275</v>
      </c>
      <c r="E448">
        <v>1</v>
      </c>
      <c r="F448" t="s">
        <v>280</v>
      </c>
      <c r="H448" t="s">
        <v>72</v>
      </c>
      <c r="I448" t="s">
        <v>91</v>
      </c>
      <c r="K448" t="s">
        <v>20</v>
      </c>
      <c r="L448" t="s">
        <v>21</v>
      </c>
      <c r="BX448">
        <f>sum(j448:an448)</f>
        <v>0</v>
      </c>
    </row>
    <row r="449" spans="1:76">
      <c r="A449" t="s">
        <v>14</v>
      </c>
      <c r="B449" t="s">
        <v>279</v>
      </c>
      <c r="C449" t="s">
        <v>96</v>
      </c>
      <c r="D449" t="s">
        <v>275</v>
      </c>
      <c r="E449">
        <v>1</v>
      </c>
      <c r="F449" t="s">
        <v>280</v>
      </c>
      <c r="H449" t="s">
        <v>72</v>
      </c>
      <c r="I449" t="s">
        <v>91</v>
      </c>
      <c r="K449" t="s">
        <v>20</v>
      </c>
      <c r="L449" t="s">
        <v>37</v>
      </c>
    </row>
    <row r="450" spans="1:76">
      <c r="L450" t="s">
        <v>662</v>
      </c>
    </row>
    <row r="451" spans="1:76">
      <c r="L451" t="s">
        <v>663</v>
      </c>
    </row>
    <row r="452" spans="1:76">
      <c r="L452" t="s">
        <v>664</v>
      </c>
    </row>
    <row r="453" spans="1:76">
      <c r="L453" t="s">
        <v>665</v>
      </c>
      <c r="M453">
        <f>IF(DAY(NOW())&lt;M3,INDIRECT(ADDRESS(453,7))-INDIRECT(ADDRESS(448,13))+INDIRECT(ADDRESS(449,13))-INDIRECT(ADDRESS(452,13)),INDIRECT(ADDRESS(453,7))-INDIRECT(ADDRESS(448,13))+INDIRECT(ADDRESS(451,13))-INDIRECT(ADDRESS(452,13)))</f>
        <v>0</v>
      </c>
      <c r="N453">
        <f>IF(DAY(NOW())&lt;M3,INDIRECT(ADDRESS(453,13))-INDIRECT(ADDRESS(448,14))+INDIRECT(ADDRESS(449,14))-INDIRECT(ADDRESS(452,14)),INDIRECT(ADDRESS(453,13))-INDIRECT(ADDRESS(448,14))+INDIRECT(ADDRESS(451,14))-INDIRECT(ADDRESS(452,14)))</f>
        <v>0</v>
      </c>
      <c r="O453">
        <f>IF(DAY(NOW())&lt;M3,INDIRECT(ADDRESS(453,14))-INDIRECT(ADDRESS(448,15))+INDIRECT(ADDRESS(449,15))-INDIRECT(ADDRESS(452,15)),INDIRECT(ADDRESS(453,14))-INDIRECT(ADDRESS(448,15))+INDIRECT(ADDRESS(451,15))-INDIRECT(ADDRESS(452,15)))</f>
        <v>0</v>
      </c>
      <c r="P453">
        <f>IF(DAY(NOW())&lt;M3,INDIRECT(ADDRESS(453,15))-INDIRECT(ADDRESS(448,16))+INDIRECT(ADDRESS(449,16))-INDIRECT(ADDRESS(452,16)),INDIRECT(ADDRESS(453,15))-INDIRECT(ADDRESS(448,16))+INDIRECT(ADDRESS(451,16))-INDIRECT(ADDRESS(452,16)))</f>
        <v>0</v>
      </c>
      <c r="Q453">
        <f>IF(DAY(NOW())&lt;M3,INDIRECT(ADDRESS(453,16))-INDIRECT(ADDRESS(448,17))+INDIRECT(ADDRESS(449,17))-INDIRECT(ADDRESS(452,17)),INDIRECT(ADDRESS(453,16))-INDIRECT(ADDRESS(448,17))+INDIRECT(ADDRESS(451,17))-INDIRECT(ADDRESS(452,17)))</f>
        <v>0</v>
      </c>
      <c r="R453">
        <f>IF(DAY(NOW())&lt;M3,INDIRECT(ADDRESS(453,17))-INDIRECT(ADDRESS(448,18))+INDIRECT(ADDRESS(449,18))-INDIRECT(ADDRESS(452,18)),INDIRECT(ADDRESS(453,17))-INDIRECT(ADDRESS(448,18))+INDIRECT(ADDRESS(451,18))-INDIRECT(ADDRESS(452,18)))</f>
        <v>0</v>
      </c>
      <c r="S453">
        <f>IF(DAY(NOW())&lt;M3,INDIRECT(ADDRESS(453,18))-INDIRECT(ADDRESS(448,19))+INDIRECT(ADDRESS(449,19))-INDIRECT(ADDRESS(452,19)),INDIRECT(ADDRESS(453,18))-INDIRECT(ADDRESS(448,19))+INDIRECT(ADDRESS(451,19))-INDIRECT(ADDRESS(452,19)))</f>
        <v>0</v>
      </c>
      <c r="T453">
        <f>IF(DAY(NOW())&lt;M3,INDIRECT(ADDRESS(453,19))-INDIRECT(ADDRESS(448,20))+INDIRECT(ADDRESS(449,20))-INDIRECT(ADDRESS(452,20)),INDIRECT(ADDRESS(453,19))-INDIRECT(ADDRESS(448,20))+INDIRECT(ADDRESS(451,20))-INDIRECT(ADDRESS(452,20)))</f>
        <v>0</v>
      </c>
      <c r="U453">
        <f>IF(DAY(NOW())&lt;M3,INDIRECT(ADDRESS(453,20))-INDIRECT(ADDRESS(448,21))+INDIRECT(ADDRESS(449,21))-INDIRECT(ADDRESS(452,21)),INDIRECT(ADDRESS(453,20))-INDIRECT(ADDRESS(448,21))+INDIRECT(ADDRESS(451,21))-INDIRECT(ADDRESS(452,21)))</f>
        <v>0</v>
      </c>
      <c r="V453">
        <f>IF(DAY(NOW())&lt;M3,INDIRECT(ADDRESS(453,21))-INDIRECT(ADDRESS(448,22))+INDIRECT(ADDRESS(449,22))-INDIRECT(ADDRESS(452,22)),INDIRECT(ADDRESS(453,21))-INDIRECT(ADDRESS(448,22))+INDIRECT(ADDRESS(451,22))-INDIRECT(ADDRESS(452,22)))</f>
        <v>0</v>
      </c>
      <c r="W453">
        <f>IF(DAY(NOW())&lt;M3,INDIRECT(ADDRESS(453,22))-INDIRECT(ADDRESS(448,23))+INDIRECT(ADDRESS(449,23))-INDIRECT(ADDRESS(452,23)),INDIRECT(ADDRESS(453,22))-INDIRECT(ADDRESS(448,23))+INDIRECT(ADDRESS(451,23))-INDIRECT(ADDRESS(452,23)))</f>
        <v>0</v>
      </c>
      <c r="X453">
        <f>IF(DAY(NOW())&lt;M3,INDIRECT(ADDRESS(453,23))-INDIRECT(ADDRESS(448,24))+INDIRECT(ADDRESS(449,24))-INDIRECT(ADDRESS(452,24)),INDIRECT(ADDRESS(453,23))-INDIRECT(ADDRESS(448,24))+INDIRECT(ADDRESS(451,24))-INDIRECT(ADDRESS(452,24)))</f>
        <v>0</v>
      </c>
      <c r="Y453">
        <f>IF(DAY(NOW())&lt;M3,INDIRECT(ADDRESS(453,24))-INDIRECT(ADDRESS(448,25))+INDIRECT(ADDRESS(449,25))-INDIRECT(ADDRESS(452,25)),INDIRECT(ADDRESS(453,24))-INDIRECT(ADDRESS(448,25))+INDIRECT(ADDRESS(451,25))-INDIRECT(ADDRESS(452,25)))</f>
        <v>0</v>
      </c>
      <c r="Z453">
        <f>IF(DAY(NOW())&lt;M3,INDIRECT(ADDRESS(453,25))-INDIRECT(ADDRESS(448,26))+INDIRECT(ADDRESS(449,26))-INDIRECT(ADDRESS(452,26)),INDIRECT(ADDRESS(453,25))-INDIRECT(ADDRESS(448,26))+INDIRECT(ADDRESS(451,26))-INDIRECT(ADDRESS(452,26)))</f>
        <v>0</v>
      </c>
      <c r="AA453">
        <f>IF(DAY(NOW())&lt;M3,INDIRECT(ADDRESS(453,26))-INDIRECT(ADDRESS(448,27))+INDIRECT(ADDRESS(449,27))-INDIRECT(ADDRESS(452,27)),INDIRECT(ADDRESS(453,26))-INDIRECT(ADDRESS(448,27))+INDIRECT(ADDRESS(451,27))-INDIRECT(ADDRESS(452,27)))</f>
        <v>0</v>
      </c>
      <c r="AB453">
        <f>IF(DAY(NOW())&lt;M3,INDIRECT(ADDRESS(453,27))-INDIRECT(ADDRESS(448,28))+INDIRECT(ADDRESS(449,28))-INDIRECT(ADDRESS(452,28)),INDIRECT(ADDRESS(453,27))-INDIRECT(ADDRESS(448,28))+INDIRECT(ADDRESS(451,28))-INDIRECT(ADDRESS(452,28)))</f>
        <v>0</v>
      </c>
      <c r="AC453">
        <f>IF(DAY(NOW())&lt;M3,INDIRECT(ADDRESS(453,28))-INDIRECT(ADDRESS(448,29))+INDIRECT(ADDRESS(449,29))-INDIRECT(ADDRESS(452,29)),INDIRECT(ADDRESS(453,28))-INDIRECT(ADDRESS(448,29))+INDIRECT(ADDRESS(451,29))-INDIRECT(ADDRESS(452,29)))</f>
        <v>0</v>
      </c>
      <c r="AD453">
        <f>IF(DAY(NOW())&lt;M3,INDIRECT(ADDRESS(453,29))-INDIRECT(ADDRESS(448,30))+INDIRECT(ADDRESS(449,30))-INDIRECT(ADDRESS(452,30)),INDIRECT(ADDRESS(453,29))-INDIRECT(ADDRESS(448,30))+INDIRECT(ADDRESS(451,30))-INDIRECT(ADDRESS(452,30)))</f>
        <v>0</v>
      </c>
      <c r="AE453">
        <f>IF(DAY(NOW())&lt;M3,INDIRECT(ADDRESS(453,30))-INDIRECT(ADDRESS(448,31))+INDIRECT(ADDRESS(449,31))-INDIRECT(ADDRESS(452,31)),INDIRECT(ADDRESS(453,30))-INDIRECT(ADDRESS(448,31))+INDIRECT(ADDRESS(451,31))-INDIRECT(ADDRESS(452,31)))</f>
        <v>0</v>
      </c>
      <c r="AF453">
        <f>IF(DAY(NOW())&lt;M3,INDIRECT(ADDRESS(453,31))-INDIRECT(ADDRESS(448,32))+INDIRECT(ADDRESS(449,32))-INDIRECT(ADDRESS(452,32)),INDIRECT(ADDRESS(453,31))-INDIRECT(ADDRESS(448,32))+INDIRECT(ADDRESS(451,32))-INDIRECT(ADDRESS(452,32)))</f>
        <v>0</v>
      </c>
      <c r="AG453">
        <f>IF(DAY(NOW())&lt;M3,INDIRECT(ADDRESS(453,32))-INDIRECT(ADDRESS(448,33))+INDIRECT(ADDRESS(449,33))-INDIRECT(ADDRESS(452,33)),INDIRECT(ADDRESS(453,32))-INDIRECT(ADDRESS(448,33))+INDIRECT(ADDRESS(451,33))-INDIRECT(ADDRESS(452,33)))</f>
        <v>0</v>
      </c>
      <c r="AH453">
        <f>IF(DAY(NOW())&lt;M3,INDIRECT(ADDRESS(453,33))-INDIRECT(ADDRESS(448,34))+INDIRECT(ADDRESS(449,34))-INDIRECT(ADDRESS(452,34)),INDIRECT(ADDRESS(453,33))-INDIRECT(ADDRESS(448,34))+INDIRECT(ADDRESS(451,34))-INDIRECT(ADDRESS(452,34)))</f>
        <v>0</v>
      </c>
      <c r="AI453">
        <f>IF(DAY(NOW())&lt;M3,INDIRECT(ADDRESS(453,34))-INDIRECT(ADDRESS(448,35))+INDIRECT(ADDRESS(449,35))-INDIRECT(ADDRESS(452,35)),INDIRECT(ADDRESS(453,34))-INDIRECT(ADDRESS(448,35))+INDIRECT(ADDRESS(451,35))-INDIRECT(ADDRESS(452,35)))</f>
        <v>0</v>
      </c>
      <c r="AJ453">
        <f>IF(DAY(NOW())&lt;M3,INDIRECT(ADDRESS(453,35))-INDIRECT(ADDRESS(448,36))+INDIRECT(ADDRESS(449,36))-INDIRECT(ADDRESS(452,36)),INDIRECT(ADDRESS(453,35))-INDIRECT(ADDRESS(448,36))+INDIRECT(ADDRESS(451,36))-INDIRECT(ADDRESS(452,36)))</f>
        <v>0</v>
      </c>
      <c r="AK453">
        <f>IF(DAY(NOW())&lt;M3,INDIRECT(ADDRESS(453,36))-INDIRECT(ADDRESS(448,37))+INDIRECT(ADDRESS(449,37))-INDIRECT(ADDRESS(452,37)),INDIRECT(ADDRESS(453,36))-INDIRECT(ADDRESS(448,37))+INDIRECT(ADDRESS(451,37))-INDIRECT(ADDRESS(452,37)))</f>
        <v>0</v>
      </c>
      <c r="AL453">
        <f>IF(DAY(NOW())&lt;M3,INDIRECT(ADDRESS(453,37))-INDIRECT(ADDRESS(448,38))+INDIRECT(ADDRESS(449,38))-INDIRECT(ADDRESS(452,38)),INDIRECT(ADDRESS(453,37))-INDIRECT(ADDRESS(448,38))+INDIRECT(ADDRESS(451,38))-INDIRECT(ADDRESS(452,38)))</f>
        <v>0</v>
      </c>
      <c r="AM453">
        <f>IF(DAY(NOW())&lt;M3,INDIRECT(ADDRESS(453,38))-INDIRECT(ADDRESS(448,39))+INDIRECT(ADDRESS(449,39))-INDIRECT(ADDRESS(452,39)),INDIRECT(ADDRESS(453,38))-INDIRECT(ADDRESS(448,39))+INDIRECT(ADDRESS(451,39))-INDIRECT(ADDRESS(452,39)))</f>
        <v>0</v>
      </c>
      <c r="AN453">
        <f>IF(DAY(NOW())&lt;M3,INDIRECT(ADDRESS(453,39))-INDIRECT(ADDRESS(448,40))+INDIRECT(ADDRESS(449,40))-INDIRECT(ADDRESS(452,40)),INDIRECT(ADDRESS(453,39))-INDIRECT(ADDRESS(448,40))+INDIRECT(ADDRESS(451,40))-INDIRECT(ADDRESS(452,40)))</f>
        <v>0</v>
      </c>
      <c r="AO453">
        <f>IF(DAY(NOW())&lt;M3,INDIRECT(ADDRESS(453,40))-INDIRECT(ADDRESS(448,41))+INDIRECT(ADDRESS(449,41))-INDIRECT(ADDRESS(452,41)),INDIRECT(ADDRESS(453,40))-INDIRECT(ADDRESS(448,41))+INDIRECT(ADDRESS(451,41))-INDIRECT(ADDRESS(452,41)))</f>
        <v>0</v>
      </c>
      <c r="AP453">
        <f>IF(DAY(NOW())&lt;M3,INDIRECT(ADDRESS(453,41))-INDIRECT(ADDRESS(448,42))+INDIRECT(ADDRESS(449,42))-INDIRECT(ADDRESS(452,42)),INDIRECT(ADDRESS(453,41))-INDIRECT(ADDRESS(448,42))+INDIRECT(ADDRESS(451,42))-INDIRECT(ADDRESS(452,42)))</f>
        <v>0</v>
      </c>
      <c r="AQ453">
        <f>IF(DAY(NOW())&lt;M3,INDIRECT(ADDRESS(453,42))-INDIRECT(ADDRESS(448,43))+INDIRECT(ADDRESS(449,43))-INDIRECT(ADDRESS(452,43)),INDIRECT(ADDRESS(453,42))-INDIRECT(ADDRESS(448,43))+INDIRECT(ADDRESS(451,43))-INDIRECT(ADDRESS(452,43)))</f>
        <v>0</v>
      </c>
      <c r="AR453">
        <f>IF(DAY(NOW())&lt;M3,INDIRECT(ADDRESS(453,43))-INDIRECT(ADDRESS(448,44))+INDIRECT(ADDRESS(449,44))-INDIRECT(ADDRESS(452,44)),INDIRECT(ADDRESS(453,43))-INDIRECT(ADDRESS(448,44))+INDIRECT(ADDRESS(451,44))-INDIRECT(ADDRESS(452,44)))</f>
        <v>0</v>
      </c>
    </row>
    <row r="454" spans="1:76">
      <c r="A454" t="s">
        <v>31</v>
      </c>
      <c r="B454" t="s">
        <v>281</v>
      </c>
      <c r="C454" t="s">
        <v>99</v>
      </c>
      <c r="D454" t="s">
        <v>17</v>
      </c>
      <c r="E454">
        <v>1</v>
      </c>
      <c r="F454" t="s">
        <v>282</v>
      </c>
      <c r="H454" t="s">
        <v>35</v>
      </c>
      <c r="I454" t="s">
        <v>36</v>
      </c>
      <c r="K454" t="s">
        <v>20</v>
      </c>
      <c r="L454" t="s">
        <v>21</v>
      </c>
      <c r="M454">
        <f>sumifs(BOM!m:m,BOM!A:A,".1",BOM!B:B,"852-258000-100")</f>
        <v>0</v>
      </c>
      <c r="N454">
        <f>sumifs(BOM!n:n,BOM!A:A,".1",BOM!B:B,"852-258000-100")</f>
        <v>0</v>
      </c>
      <c r="O454">
        <f>sumifs(BOM!o:o,BOM!A:A,".1",BOM!B:B,"852-258000-100")</f>
        <v>0</v>
      </c>
      <c r="P454">
        <f>sumifs(BOM!p:p,BOM!A:A,".1",BOM!B:B,"852-258000-100")</f>
        <v>0</v>
      </c>
      <c r="Q454">
        <f>sumifs(BOM!q:q,BOM!A:A,".1",BOM!B:B,"852-258000-100")</f>
        <v>0</v>
      </c>
      <c r="R454">
        <f>sumifs(BOM!r:r,BOM!A:A,".1",BOM!B:B,"852-258000-100")</f>
        <v>0</v>
      </c>
      <c r="S454">
        <f>sumifs(BOM!s:s,BOM!A:A,".1",BOM!B:B,"852-258000-100")</f>
        <v>0</v>
      </c>
      <c r="T454">
        <f>sumifs(BOM!t:t,BOM!A:A,".1",BOM!B:B,"852-258000-100")</f>
        <v>0</v>
      </c>
      <c r="U454">
        <f>sumifs(BOM!u:u,BOM!A:A,".1",BOM!B:B,"852-258000-100")</f>
        <v>0</v>
      </c>
      <c r="V454">
        <f>sumifs(BOM!v:v,BOM!A:A,".1",BOM!B:B,"852-258000-100")</f>
        <v>0</v>
      </c>
      <c r="W454">
        <f>sumifs(BOM!w:w,BOM!A:A,".1",BOM!B:B,"852-258000-100")</f>
        <v>0</v>
      </c>
      <c r="X454">
        <f>sumifs(BOM!x:x,BOM!A:A,".1",BOM!B:B,"852-258000-100")</f>
        <v>0</v>
      </c>
      <c r="Y454">
        <f>sumifs(BOM!y:y,BOM!A:A,".1",BOM!B:B,"852-258000-100")</f>
        <v>0</v>
      </c>
      <c r="Z454">
        <f>sumifs(BOM!z:z,BOM!A:A,".1",BOM!B:B,"852-258000-100")</f>
        <v>0</v>
      </c>
      <c r="AA454">
        <f>sumifs(BOM!aa:aa,BOM!A:A,".1",BOM!B:B,"852-258000-100")</f>
        <v>0</v>
      </c>
      <c r="AB454">
        <f>sumifs(BOM!ab:ab,BOM!A:A,".1",BOM!B:B,"852-258000-100")</f>
        <v>0</v>
      </c>
      <c r="AC454">
        <f>sumifs(BOM!ac:ac,BOM!A:A,".1",BOM!B:B,"852-258000-100")</f>
        <v>0</v>
      </c>
      <c r="AD454">
        <f>sumifs(BOM!ad:ad,BOM!A:A,".1",BOM!B:B,"852-258000-100")</f>
        <v>0</v>
      </c>
      <c r="AE454">
        <f>sumifs(BOM!ae:ae,BOM!A:A,".1",BOM!B:B,"852-258000-100")</f>
        <v>0</v>
      </c>
      <c r="AF454">
        <f>sumifs(BOM!af:af,BOM!A:A,".1",BOM!B:B,"852-258000-100")</f>
        <v>0</v>
      </c>
      <c r="AG454">
        <f>sumifs(BOM!ag:ag,BOM!A:A,".1",BOM!B:B,"852-258000-100")</f>
        <v>0</v>
      </c>
      <c r="AH454">
        <f>sumifs(BOM!ah:ah,BOM!A:A,".1",BOM!B:B,"852-258000-100")</f>
        <v>0</v>
      </c>
      <c r="AI454">
        <f>sumifs(BOM!ai:ai,BOM!A:A,".1",BOM!B:B,"852-258000-100")</f>
        <v>0</v>
      </c>
      <c r="AJ454">
        <f>sumifs(BOM!aj:aj,BOM!A:A,".1",BOM!B:B,"852-258000-100")</f>
        <v>0</v>
      </c>
      <c r="AK454">
        <f>sumifs(BOM!ak:ak,BOM!A:A,".1",BOM!B:B,"852-258000-100")</f>
        <v>0</v>
      </c>
      <c r="AL454">
        <f>sumifs(BOM!al:al,BOM!A:A,".1",BOM!B:B,"852-258000-100")</f>
        <v>0</v>
      </c>
      <c r="AM454">
        <f>sumifs(BOM!am:am,BOM!A:A,".1",BOM!B:B,"852-258000-100")</f>
        <v>0</v>
      </c>
      <c r="AN454">
        <f>sumifs(BOM!an:an,BOM!A:A,".1",BOM!B:B,"852-258000-100")</f>
        <v>0</v>
      </c>
      <c r="AO454">
        <f>sumifs(BOM!ao:ao,BOM!A:A,".1",BOM!B:B,"852-258000-100")</f>
        <v>0</v>
      </c>
      <c r="AP454">
        <f>sumifs(BOM!ap:ap,BOM!A:A,".1",BOM!B:B,"852-258000-100")</f>
        <v>0</v>
      </c>
      <c r="AQ454">
        <f>sumifs(BOM!aq:aq,BOM!A:A,".1",BOM!B:B,"852-258000-100")</f>
        <v>0</v>
      </c>
      <c r="AR454">
        <f>sumifs(BOM!ar:ar,BOM!A:A,".1",BOM!B:B,"852-258000-100")</f>
        <v>0</v>
      </c>
      <c r="BX454">
        <f>sum(j454:an454)</f>
        <v>0</v>
      </c>
    </row>
    <row r="455" spans="1:76">
      <c r="A455" t="s">
        <v>31</v>
      </c>
      <c r="B455" t="s">
        <v>281</v>
      </c>
      <c r="C455" t="s">
        <v>99</v>
      </c>
      <c r="D455" t="s">
        <v>17</v>
      </c>
      <c r="E455">
        <v>1</v>
      </c>
      <c r="F455" t="s">
        <v>282</v>
      </c>
      <c r="H455" t="s">
        <v>35</v>
      </c>
      <c r="I455" t="s">
        <v>36</v>
      </c>
      <c r="K455" t="s">
        <v>20</v>
      </c>
      <c r="L455" t="s">
        <v>37</v>
      </c>
    </row>
    <row r="456" spans="1:76">
      <c r="L456" t="s">
        <v>662</v>
      </c>
    </row>
    <row r="457" spans="1:76">
      <c r="L457" t="s">
        <v>663</v>
      </c>
    </row>
    <row r="458" spans="1:76">
      <c r="L458" t="s">
        <v>664</v>
      </c>
    </row>
    <row r="459" spans="1:76">
      <c r="L459" t="s">
        <v>665</v>
      </c>
      <c r="M459">
        <f>IF(DAY(NOW())&lt;M3,INDIRECT(ADDRESS(459,7))-INDIRECT(ADDRESS(454,13))+INDIRECT(ADDRESS(455,13))-INDIRECT(ADDRESS(458,13)),INDIRECT(ADDRESS(459,7))-INDIRECT(ADDRESS(454,13))+INDIRECT(ADDRESS(457,13))-INDIRECT(ADDRESS(458,13)))</f>
        <v>0</v>
      </c>
      <c r="N459">
        <f>IF(DAY(NOW())&lt;M3,INDIRECT(ADDRESS(459,13))-INDIRECT(ADDRESS(454,14))+INDIRECT(ADDRESS(455,14))-INDIRECT(ADDRESS(458,14)),INDIRECT(ADDRESS(459,13))-INDIRECT(ADDRESS(454,14))+INDIRECT(ADDRESS(457,14))-INDIRECT(ADDRESS(458,14)))</f>
        <v>0</v>
      </c>
      <c r="O459">
        <f>IF(DAY(NOW())&lt;M3,INDIRECT(ADDRESS(459,14))-INDIRECT(ADDRESS(454,15))+INDIRECT(ADDRESS(455,15))-INDIRECT(ADDRESS(458,15)),INDIRECT(ADDRESS(459,14))-INDIRECT(ADDRESS(454,15))+INDIRECT(ADDRESS(457,15))-INDIRECT(ADDRESS(458,15)))</f>
        <v>0</v>
      </c>
      <c r="P459">
        <f>IF(DAY(NOW())&lt;M3,INDIRECT(ADDRESS(459,15))-INDIRECT(ADDRESS(454,16))+INDIRECT(ADDRESS(455,16))-INDIRECT(ADDRESS(458,16)),INDIRECT(ADDRESS(459,15))-INDIRECT(ADDRESS(454,16))+INDIRECT(ADDRESS(457,16))-INDIRECT(ADDRESS(458,16)))</f>
        <v>0</v>
      </c>
      <c r="Q459">
        <f>IF(DAY(NOW())&lt;M3,INDIRECT(ADDRESS(459,16))-INDIRECT(ADDRESS(454,17))+INDIRECT(ADDRESS(455,17))-INDIRECT(ADDRESS(458,17)),INDIRECT(ADDRESS(459,16))-INDIRECT(ADDRESS(454,17))+INDIRECT(ADDRESS(457,17))-INDIRECT(ADDRESS(458,17)))</f>
        <v>0</v>
      </c>
      <c r="R459">
        <f>IF(DAY(NOW())&lt;M3,INDIRECT(ADDRESS(459,17))-INDIRECT(ADDRESS(454,18))+INDIRECT(ADDRESS(455,18))-INDIRECT(ADDRESS(458,18)),INDIRECT(ADDRESS(459,17))-INDIRECT(ADDRESS(454,18))+INDIRECT(ADDRESS(457,18))-INDIRECT(ADDRESS(458,18)))</f>
        <v>0</v>
      </c>
      <c r="S459">
        <f>IF(DAY(NOW())&lt;M3,INDIRECT(ADDRESS(459,18))-INDIRECT(ADDRESS(454,19))+INDIRECT(ADDRESS(455,19))-INDIRECT(ADDRESS(458,19)),INDIRECT(ADDRESS(459,18))-INDIRECT(ADDRESS(454,19))+INDIRECT(ADDRESS(457,19))-INDIRECT(ADDRESS(458,19)))</f>
        <v>0</v>
      </c>
      <c r="T459">
        <f>IF(DAY(NOW())&lt;M3,INDIRECT(ADDRESS(459,19))-INDIRECT(ADDRESS(454,20))+INDIRECT(ADDRESS(455,20))-INDIRECT(ADDRESS(458,20)),INDIRECT(ADDRESS(459,19))-INDIRECT(ADDRESS(454,20))+INDIRECT(ADDRESS(457,20))-INDIRECT(ADDRESS(458,20)))</f>
        <v>0</v>
      </c>
      <c r="U459">
        <f>IF(DAY(NOW())&lt;M3,INDIRECT(ADDRESS(459,20))-INDIRECT(ADDRESS(454,21))+INDIRECT(ADDRESS(455,21))-INDIRECT(ADDRESS(458,21)),INDIRECT(ADDRESS(459,20))-INDIRECT(ADDRESS(454,21))+INDIRECT(ADDRESS(457,21))-INDIRECT(ADDRESS(458,21)))</f>
        <v>0</v>
      </c>
      <c r="V459">
        <f>IF(DAY(NOW())&lt;M3,INDIRECT(ADDRESS(459,21))-INDIRECT(ADDRESS(454,22))+INDIRECT(ADDRESS(455,22))-INDIRECT(ADDRESS(458,22)),INDIRECT(ADDRESS(459,21))-INDIRECT(ADDRESS(454,22))+INDIRECT(ADDRESS(457,22))-INDIRECT(ADDRESS(458,22)))</f>
        <v>0</v>
      </c>
      <c r="W459">
        <f>IF(DAY(NOW())&lt;M3,INDIRECT(ADDRESS(459,22))-INDIRECT(ADDRESS(454,23))+INDIRECT(ADDRESS(455,23))-INDIRECT(ADDRESS(458,23)),INDIRECT(ADDRESS(459,22))-INDIRECT(ADDRESS(454,23))+INDIRECT(ADDRESS(457,23))-INDIRECT(ADDRESS(458,23)))</f>
        <v>0</v>
      </c>
      <c r="X459">
        <f>IF(DAY(NOW())&lt;M3,INDIRECT(ADDRESS(459,23))-INDIRECT(ADDRESS(454,24))+INDIRECT(ADDRESS(455,24))-INDIRECT(ADDRESS(458,24)),INDIRECT(ADDRESS(459,23))-INDIRECT(ADDRESS(454,24))+INDIRECT(ADDRESS(457,24))-INDIRECT(ADDRESS(458,24)))</f>
        <v>0</v>
      </c>
      <c r="Y459">
        <f>IF(DAY(NOW())&lt;M3,INDIRECT(ADDRESS(459,24))-INDIRECT(ADDRESS(454,25))+INDIRECT(ADDRESS(455,25))-INDIRECT(ADDRESS(458,25)),INDIRECT(ADDRESS(459,24))-INDIRECT(ADDRESS(454,25))+INDIRECT(ADDRESS(457,25))-INDIRECT(ADDRESS(458,25)))</f>
        <v>0</v>
      </c>
      <c r="Z459">
        <f>IF(DAY(NOW())&lt;M3,INDIRECT(ADDRESS(459,25))-INDIRECT(ADDRESS(454,26))+INDIRECT(ADDRESS(455,26))-INDIRECT(ADDRESS(458,26)),INDIRECT(ADDRESS(459,25))-INDIRECT(ADDRESS(454,26))+INDIRECT(ADDRESS(457,26))-INDIRECT(ADDRESS(458,26)))</f>
        <v>0</v>
      </c>
      <c r="AA459">
        <f>IF(DAY(NOW())&lt;M3,INDIRECT(ADDRESS(459,26))-INDIRECT(ADDRESS(454,27))+INDIRECT(ADDRESS(455,27))-INDIRECT(ADDRESS(458,27)),INDIRECT(ADDRESS(459,26))-INDIRECT(ADDRESS(454,27))+INDIRECT(ADDRESS(457,27))-INDIRECT(ADDRESS(458,27)))</f>
        <v>0</v>
      </c>
      <c r="AB459">
        <f>IF(DAY(NOW())&lt;M3,INDIRECT(ADDRESS(459,27))-INDIRECT(ADDRESS(454,28))+INDIRECT(ADDRESS(455,28))-INDIRECT(ADDRESS(458,28)),INDIRECT(ADDRESS(459,27))-INDIRECT(ADDRESS(454,28))+INDIRECT(ADDRESS(457,28))-INDIRECT(ADDRESS(458,28)))</f>
        <v>0</v>
      </c>
      <c r="AC459">
        <f>IF(DAY(NOW())&lt;M3,INDIRECT(ADDRESS(459,28))-INDIRECT(ADDRESS(454,29))+INDIRECT(ADDRESS(455,29))-INDIRECT(ADDRESS(458,29)),INDIRECT(ADDRESS(459,28))-INDIRECT(ADDRESS(454,29))+INDIRECT(ADDRESS(457,29))-INDIRECT(ADDRESS(458,29)))</f>
        <v>0</v>
      </c>
      <c r="AD459">
        <f>IF(DAY(NOW())&lt;M3,INDIRECT(ADDRESS(459,29))-INDIRECT(ADDRESS(454,30))+INDIRECT(ADDRESS(455,30))-INDIRECT(ADDRESS(458,30)),INDIRECT(ADDRESS(459,29))-INDIRECT(ADDRESS(454,30))+INDIRECT(ADDRESS(457,30))-INDIRECT(ADDRESS(458,30)))</f>
        <v>0</v>
      </c>
      <c r="AE459">
        <f>IF(DAY(NOW())&lt;M3,INDIRECT(ADDRESS(459,30))-INDIRECT(ADDRESS(454,31))+INDIRECT(ADDRESS(455,31))-INDIRECT(ADDRESS(458,31)),INDIRECT(ADDRESS(459,30))-INDIRECT(ADDRESS(454,31))+INDIRECT(ADDRESS(457,31))-INDIRECT(ADDRESS(458,31)))</f>
        <v>0</v>
      </c>
      <c r="AF459">
        <f>IF(DAY(NOW())&lt;M3,INDIRECT(ADDRESS(459,31))-INDIRECT(ADDRESS(454,32))+INDIRECT(ADDRESS(455,32))-INDIRECT(ADDRESS(458,32)),INDIRECT(ADDRESS(459,31))-INDIRECT(ADDRESS(454,32))+INDIRECT(ADDRESS(457,32))-INDIRECT(ADDRESS(458,32)))</f>
        <v>0</v>
      </c>
      <c r="AG459">
        <f>IF(DAY(NOW())&lt;M3,INDIRECT(ADDRESS(459,32))-INDIRECT(ADDRESS(454,33))+INDIRECT(ADDRESS(455,33))-INDIRECT(ADDRESS(458,33)),INDIRECT(ADDRESS(459,32))-INDIRECT(ADDRESS(454,33))+INDIRECT(ADDRESS(457,33))-INDIRECT(ADDRESS(458,33)))</f>
        <v>0</v>
      </c>
      <c r="AH459">
        <f>IF(DAY(NOW())&lt;M3,INDIRECT(ADDRESS(459,33))-INDIRECT(ADDRESS(454,34))+INDIRECT(ADDRESS(455,34))-INDIRECT(ADDRESS(458,34)),INDIRECT(ADDRESS(459,33))-INDIRECT(ADDRESS(454,34))+INDIRECT(ADDRESS(457,34))-INDIRECT(ADDRESS(458,34)))</f>
        <v>0</v>
      </c>
      <c r="AI459">
        <f>IF(DAY(NOW())&lt;M3,INDIRECT(ADDRESS(459,34))-INDIRECT(ADDRESS(454,35))+INDIRECT(ADDRESS(455,35))-INDIRECT(ADDRESS(458,35)),INDIRECT(ADDRESS(459,34))-INDIRECT(ADDRESS(454,35))+INDIRECT(ADDRESS(457,35))-INDIRECT(ADDRESS(458,35)))</f>
        <v>0</v>
      </c>
      <c r="AJ459">
        <f>IF(DAY(NOW())&lt;M3,INDIRECT(ADDRESS(459,35))-INDIRECT(ADDRESS(454,36))+INDIRECT(ADDRESS(455,36))-INDIRECT(ADDRESS(458,36)),INDIRECT(ADDRESS(459,35))-INDIRECT(ADDRESS(454,36))+INDIRECT(ADDRESS(457,36))-INDIRECT(ADDRESS(458,36)))</f>
        <v>0</v>
      </c>
      <c r="AK459">
        <f>IF(DAY(NOW())&lt;M3,INDIRECT(ADDRESS(459,36))-INDIRECT(ADDRESS(454,37))+INDIRECT(ADDRESS(455,37))-INDIRECT(ADDRESS(458,37)),INDIRECT(ADDRESS(459,36))-INDIRECT(ADDRESS(454,37))+INDIRECT(ADDRESS(457,37))-INDIRECT(ADDRESS(458,37)))</f>
        <v>0</v>
      </c>
      <c r="AL459">
        <f>IF(DAY(NOW())&lt;M3,INDIRECT(ADDRESS(459,37))-INDIRECT(ADDRESS(454,38))+INDIRECT(ADDRESS(455,38))-INDIRECT(ADDRESS(458,38)),INDIRECT(ADDRESS(459,37))-INDIRECT(ADDRESS(454,38))+INDIRECT(ADDRESS(457,38))-INDIRECT(ADDRESS(458,38)))</f>
        <v>0</v>
      </c>
      <c r="AM459">
        <f>IF(DAY(NOW())&lt;M3,INDIRECT(ADDRESS(459,38))-INDIRECT(ADDRESS(454,39))+INDIRECT(ADDRESS(455,39))-INDIRECT(ADDRESS(458,39)),INDIRECT(ADDRESS(459,38))-INDIRECT(ADDRESS(454,39))+INDIRECT(ADDRESS(457,39))-INDIRECT(ADDRESS(458,39)))</f>
        <v>0</v>
      </c>
      <c r="AN459">
        <f>IF(DAY(NOW())&lt;M3,INDIRECT(ADDRESS(459,39))-INDIRECT(ADDRESS(454,40))+INDIRECT(ADDRESS(455,40))-INDIRECT(ADDRESS(458,40)),INDIRECT(ADDRESS(459,39))-INDIRECT(ADDRESS(454,40))+INDIRECT(ADDRESS(457,40))-INDIRECT(ADDRESS(458,40)))</f>
        <v>0</v>
      </c>
      <c r="AO459">
        <f>IF(DAY(NOW())&lt;M3,INDIRECT(ADDRESS(459,40))-INDIRECT(ADDRESS(454,41))+INDIRECT(ADDRESS(455,41))-INDIRECT(ADDRESS(458,41)),INDIRECT(ADDRESS(459,40))-INDIRECT(ADDRESS(454,41))+INDIRECT(ADDRESS(457,41))-INDIRECT(ADDRESS(458,41)))</f>
        <v>0</v>
      </c>
      <c r="AP459">
        <f>IF(DAY(NOW())&lt;M3,INDIRECT(ADDRESS(459,41))-INDIRECT(ADDRESS(454,42))+INDIRECT(ADDRESS(455,42))-INDIRECT(ADDRESS(458,42)),INDIRECT(ADDRESS(459,41))-INDIRECT(ADDRESS(454,42))+INDIRECT(ADDRESS(457,42))-INDIRECT(ADDRESS(458,42)))</f>
        <v>0</v>
      </c>
      <c r="AQ459">
        <f>IF(DAY(NOW())&lt;M3,INDIRECT(ADDRESS(459,42))-INDIRECT(ADDRESS(454,43))+INDIRECT(ADDRESS(455,43))-INDIRECT(ADDRESS(458,43)),INDIRECT(ADDRESS(459,42))-INDIRECT(ADDRESS(454,43))+INDIRECT(ADDRESS(457,43))-INDIRECT(ADDRESS(458,43)))</f>
        <v>0</v>
      </c>
      <c r="AR459">
        <f>IF(DAY(NOW())&lt;M3,INDIRECT(ADDRESS(459,43))-INDIRECT(ADDRESS(454,44))+INDIRECT(ADDRESS(455,44))-INDIRECT(ADDRESS(458,44)),INDIRECT(ADDRESS(459,43))-INDIRECT(ADDRESS(454,44))+INDIRECT(ADDRESS(457,44))-INDIRECT(ADDRESS(458,44)))</f>
        <v>0</v>
      </c>
    </row>
    <row r="460" spans="1:76">
      <c r="A460" t="s">
        <v>14</v>
      </c>
      <c r="B460" t="s">
        <v>283</v>
      </c>
      <c r="C460" t="s">
        <v>268</v>
      </c>
      <c r="D460" t="s">
        <v>27</v>
      </c>
      <c r="E460">
        <v>1</v>
      </c>
      <c r="F460" t="s">
        <v>284</v>
      </c>
      <c r="H460" t="s">
        <v>72</v>
      </c>
      <c r="I460" t="s">
        <v>285</v>
      </c>
      <c r="K460" t="s">
        <v>20</v>
      </c>
      <c r="L460" t="s">
        <v>21</v>
      </c>
      <c r="BX460">
        <f>sum(j460:an460)</f>
        <v>0</v>
      </c>
    </row>
    <row r="461" spans="1:76">
      <c r="A461" t="s">
        <v>14</v>
      </c>
      <c r="B461" t="s">
        <v>283</v>
      </c>
      <c r="C461" t="s">
        <v>268</v>
      </c>
      <c r="D461" t="s">
        <v>27</v>
      </c>
      <c r="E461">
        <v>1</v>
      </c>
      <c r="F461" t="s">
        <v>284</v>
      </c>
      <c r="H461" t="s">
        <v>72</v>
      </c>
      <c r="I461" t="s">
        <v>285</v>
      </c>
      <c r="K461" t="s">
        <v>20</v>
      </c>
      <c r="L461" t="s">
        <v>37</v>
      </c>
    </row>
    <row r="462" spans="1:76">
      <c r="L462" t="s">
        <v>662</v>
      </c>
    </row>
    <row r="463" spans="1:76">
      <c r="L463" t="s">
        <v>663</v>
      </c>
    </row>
    <row r="464" spans="1:76">
      <c r="L464" t="s">
        <v>664</v>
      </c>
    </row>
    <row r="465" spans="1:76">
      <c r="L465" t="s">
        <v>665</v>
      </c>
      <c r="M465">
        <f>IF(DAY(NOW())&lt;M3,INDIRECT(ADDRESS(465,7))-INDIRECT(ADDRESS(460,13))+INDIRECT(ADDRESS(461,13))-INDIRECT(ADDRESS(464,13)),INDIRECT(ADDRESS(465,7))-INDIRECT(ADDRESS(460,13))+INDIRECT(ADDRESS(463,13))-INDIRECT(ADDRESS(464,13)))</f>
        <v>0</v>
      </c>
      <c r="N465">
        <f>IF(DAY(NOW())&lt;M3,INDIRECT(ADDRESS(465,13))-INDIRECT(ADDRESS(460,14))+INDIRECT(ADDRESS(461,14))-INDIRECT(ADDRESS(464,14)),INDIRECT(ADDRESS(465,13))-INDIRECT(ADDRESS(460,14))+INDIRECT(ADDRESS(463,14))-INDIRECT(ADDRESS(464,14)))</f>
        <v>0</v>
      </c>
      <c r="O465">
        <f>IF(DAY(NOW())&lt;M3,INDIRECT(ADDRESS(465,14))-INDIRECT(ADDRESS(460,15))+INDIRECT(ADDRESS(461,15))-INDIRECT(ADDRESS(464,15)),INDIRECT(ADDRESS(465,14))-INDIRECT(ADDRESS(460,15))+INDIRECT(ADDRESS(463,15))-INDIRECT(ADDRESS(464,15)))</f>
        <v>0</v>
      </c>
      <c r="P465">
        <f>IF(DAY(NOW())&lt;M3,INDIRECT(ADDRESS(465,15))-INDIRECT(ADDRESS(460,16))+INDIRECT(ADDRESS(461,16))-INDIRECT(ADDRESS(464,16)),INDIRECT(ADDRESS(465,15))-INDIRECT(ADDRESS(460,16))+INDIRECT(ADDRESS(463,16))-INDIRECT(ADDRESS(464,16)))</f>
        <v>0</v>
      </c>
      <c r="Q465">
        <f>IF(DAY(NOW())&lt;M3,INDIRECT(ADDRESS(465,16))-INDIRECT(ADDRESS(460,17))+INDIRECT(ADDRESS(461,17))-INDIRECT(ADDRESS(464,17)),INDIRECT(ADDRESS(465,16))-INDIRECT(ADDRESS(460,17))+INDIRECT(ADDRESS(463,17))-INDIRECT(ADDRESS(464,17)))</f>
        <v>0</v>
      </c>
      <c r="R465">
        <f>IF(DAY(NOW())&lt;M3,INDIRECT(ADDRESS(465,17))-INDIRECT(ADDRESS(460,18))+INDIRECT(ADDRESS(461,18))-INDIRECT(ADDRESS(464,18)),INDIRECT(ADDRESS(465,17))-INDIRECT(ADDRESS(460,18))+INDIRECT(ADDRESS(463,18))-INDIRECT(ADDRESS(464,18)))</f>
        <v>0</v>
      </c>
      <c r="S465">
        <f>IF(DAY(NOW())&lt;M3,INDIRECT(ADDRESS(465,18))-INDIRECT(ADDRESS(460,19))+INDIRECT(ADDRESS(461,19))-INDIRECT(ADDRESS(464,19)),INDIRECT(ADDRESS(465,18))-INDIRECT(ADDRESS(460,19))+INDIRECT(ADDRESS(463,19))-INDIRECT(ADDRESS(464,19)))</f>
        <v>0</v>
      </c>
      <c r="T465">
        <f>IF(DAY(NOW())&lt;M3,INDIRECT(ADDRESS(465,19))-INDIRECT(ADDRESS(460,20))+INDIRECT(ADDRESS(461,20))-INDIRECT(ADDRESS(464,20)),INDIRECT(ADDRESS(465,19))-INDIRECT(ADDRESS(460,20))+INDIRECT(ADDRESS(463,20))-INDIRECT(ADDRESS(464,20)))</f>
        <v>0</v>
      </c>
      <c r="U465">
        <f>IF(DAY(NOW())&lt;M3,INDIRECT(ADDRESS(465,20))-INDIRECT(ADDRESS(460,21))+INDIRECT(ADDRESS(461,21))-INDIRECT(ADDRESS(464,21)),INDIRECT(ADDRESS(465,20))-INDIRECT(ADDRESS(460,21))+INDIRECT(ADDRESS(463,21))-INDIRECT(ADDRESS(464,21)))</f>
        <v>0</v>
      </c>
      <c r="V465">
        <f>IF(DAY(NOW())&lt;M3,INDIRECT(ADDRESS(465,21))-INDIRECT(ADDRESS(460,22))+INDIRECT(ADDRESS(461,22))-INDIRECT(ADDRESS(464,22)),INDIRECT(ADDRESS(465,21))-INDIRECT(ADDRESS(460,22))+INDIRECT(ADDRESS(463,22))-INDIRECT(ADDRESS(464,22)))</f>
        <v>0</v>
      </c>
      <c r="W465">
        <f>IF(DAY(NOW())&lt;M3,INDIRECT(ADDRESS(465,22))-INDIRECT(ADDRESS(460,23))+INDIRECT(ADDRESS(461,23))-INDIRECT(ADDRESS(464,23)),INDIRECT(ADDRESS(465,22))-INDIRECT(ADDRESS(460,23))+INDIRECT(ADDRESS(463,23))-INDIRECT(ADDRESS(464,23)))</f>
        <v>0</v>
      </c>
      <c r="X465">
        <f>IF(DAY(NOW())&lt;M3,INDIRECT(ADDRESS(465,23))-INDIRECT(ADDRESS(460,24))+INDIRECT(ADDRESS(461,24))-INDIRECT(ADDRESS(464,24)),INDIRECT(ADDRESS(465,23))-INDIRECT(ADDRESS(460,24))+INDIRECT(ADDRESS(463,24))-INDIRECT(ADDRESS(464,24)))</f>
        <v>0</v>
      </c>
      <c r="Y465">
        <f>IF(DAY(NOW())&lt;M3,INDIRECT(ADDRESS(465,24))-INDIRECT(ADDRESS(460,25))+INDIRECT(ADDRESS(461,25))-INDIRECT(ADDRESS(464,25)),INDIRECT(ADDRESS(465,24))-INDIRECT(ADDRESS(460,25))+INDIRECT(ADDRESS(463,25))-INDIRECT(ADDRESS(464,25)))</f>
        <v>0</v>
      </c>
      <c r="Z465">
        <f>IF(DAY(NOW())&lt;M3,INDIRECT(ADDRESS(465,25))-INDIRECT(ADDRESS(460,26))+INDIRECT(ADDRESS(461,26))-INDIRECT(ADDRESS(464,26)),INDIRECT(ADDRESS(465,25))-INDIRECT(ADDRESS(460,26))+INDIRECT(ADDRESS(463,26))-INDIRECT(ADDRESS(464,26)))</f>
        <v>0</v>
      </c>
      <c r="AA465">
        <f>IF(DAY(NOW())&lt;M3,INDIRECT(ADDRESS(465,26))-INDIRECT(ADDRESS(460,27))+INDIRECT(ADDRESS(461,27))-INDIRECT(ADDRESS(464,27)),INDIRECT(ADDRESS(465,26))-INDIRECT(ADDRESS(460,27))+INDIRECT(ADDRESS(463,27))-INDIRECT(ADDRESS(464,27)))</f>
        <v>0</v>
      </c>
      <c r="AB465">
        <f>IF(DAY(NOW())&lt;M3,INDIRECT(ADDRESS(465,27))-INDIRECT(ADDRESS(460,28))+INDIRECT(ADDRESS(461,28))-INDIRECT(ADDRESS(464,28)),INDIRECT(ADDRESS(465,27))-INDIRECT(ADDRESS(460,28))+INDIRECT(ADDRESS(463,28))-INDIRECT(ADDRESS(464,28)))</f>
        <v>0</v>
      </c>
      <c r="AC465">
        <f>IF(DAY(NOW())&lt;M3,INDIRECT(ADDRESS(465,28))-INDIRECT(ADDRESS(460,29))+INDIRECT(ADDRESS(461,29))-INDIRECT(ADDRESS(464,29)),INDIRECT(ADDRESS(465,28))-INDIRECT(ADDRESS(460,29))+INDIRECT(ADDRESS(463,29))-INDIRECT(ADDRESS(464,29)))</f>
        <v>0</v>
      </c>
      <c r="AD465">
        <f>IF(DAY(NOW())&lt;M3,INDIRECT(ADDRESS(465,29))-INDIRECT(ADDRESS(460,30))+INDIRECT(ADDRESS(461,30))-INDIRECT(ADDRESS(464,30)),INDIRECT(ADDRESS(465,29))-INDIRECT(ADDRESS(460,30))+INDIRECT(ADDRESS(463,30))-INDIRECT(ADDRESS(464,30)))</f>
        <v>0</v>
      </c>
      <c r="AE465">
        <f>IF(DAY(NOW())&lt;M3,INDIRECT(ADDRESS(465,30))-INDIRECT(ADDRESS(460,31))+INDIRECT(ADDRESS(461,31))-INDIRECT(ADDRESS(464,31)),INDIRECT(ADDRESS(465,30))-INDIRECT(ADDRESS(460,31))+INDIRECT(ADDRESS(463,31))-INDIRECT(ADDRESS(464,31)))</f>
        <v>0</v>
      </c>
      <c r="AF465">
        <f>IF(DAY(NOW())&lt;M3,INDIRECT(ADDRESS(465,31))-INDIRECT(ADDRESS(460,32))+INDIRECT(ADDRESS(461,32))-INDIRECT(ADDRESS(464,32)),INDIRECT(ADDRESS(465,31))-INDIRECT(ADDRESS(460,32))+INDIRECT(ADDRESS(463,32))-INDIRECT(ADDRESS(464,32)))</f>
        <v>0</v>
      </c>
      <c r="AG465">
        <f>IF(DAY(NOW())&lt;M3,INDIRECT(ADDRESS(465,32))-INDIRECT(ADDRESS(460,33))+INDIRECT(ADDRESS(461,33))-INDIRECT(ADDRESS(464,33)),INDIRECT(ADDRESS(465,32))-INDIRECT(ADDRESS(460,33))+INDIRECT(ADDRESS(463,33))-INDIRECT(ADDRESS(464,33)))</f>
        <v>0</v>
      </c>
      <c r="AH465">
        <f>IF(DAY(NOW())&lt;M3,INDIRECT(ADDRESS(465,33))-INDIRECT(ADDRESS(460,34))+INDIRECT(ADDRESS(461,34))-INDIRECT(ADDRESS(464,34)),INDIRECT(ADDRESS(465,33))-INDIRECT(ADDRESS(460,34))+INDIRECT(ADDRESS(463,34))-INDIRECT(ADDRESS(464,34)))</f>
        <v>0</v>
      </c>
      <c r="AI465">
        <f>IF(DAY(NOW())&lt;M3,INDIRECT(ADDRESS(465,34))-INDIRECT(ADDRESS(460,35))+INDIRECT(ADDRESS(461,35))-INDIRECT(ADDRESS(464,35)),INDIRECT(ADDRESS(465,34))-INDIRECT(ADDRESS(460,35))+INDIRECT(ADDRESS(463,35))-INDIRECT(ADDRESS(464,35)))</f>
        <v>0</v>
      </c>
      <c r="AJ465">
        <f>IF(DAY(NOW())&lt;M3,INDIRECT(ADDRESS(465,35))-INDIRECT(ADDRESS(460,36))+INDIRECT(ADDRESS(461,36))-INDIRECT(ADDRESS(464,36)),INDIRECT(ADDRESS(465,35))-INDIRECT(ADDRESS(460,36))+INDIRECT(ADDRESS(463,36))-INDIRECT(ADDRESS(464,36)))</f>
        <v>0</v>
      </c>
      <c r="AK465">
        <f>IF(DAY(NOW())&lt;M3,INDIRECT(ADDRESS(465,36))-INDIRECT(ADDRESS(460,37))+INDIRECT(ADDRESS(461,37))-INDIRECT(ADDRESS(464,37)),INDIRECT(ADDRESS(465,36))-INDIRECT(ADDRESS(460,37))+INDIRECT(ADDRESS(463,37))-INDIRECT(ADDRESS(464,37)))</f>
        <v>0</v>
      </c>
      <c r="AL465">
        <f>IF(DAY(NOW())&lt;M3,INDIRECT(ADDRESS(465,37))-INDIRECT(ADDRESS(460,38))+INDIRECT(ADDRESS(461,38))-INDIRECT(ADDRESS(464,38)),INDIRECT(ADDRESS(465,37))-INDIRECT(ADDRESS(460,38))+INDIRECT(ADDRESS(463,38))-INDIRECT(ADDRESS(464,38)))</f>
        <v>0</v>
      </c>
      <c r="AM465">
        <f>IF(DAY(NOW())&lt;M3,INDIRECT(ADDRESS(465,38))-INDIRECT(ADDRESS(460,39))+INDIRECT(ADDRESS(461,39))-INDIRECT(ADDRESS(464,39)),INDIRECT(ADDRESS(465,38))-INDIRECT(ADDRESS(460,39))+INDIRECT(ADDRESS(463,39))-INDIRECT(ADDRESS(464,39)))</f>
        <v>0</v>
      </c>
      <c r="AN465">
        <f>IF(DAY(NOW())&lt;M3,INDIRECT(ADDRESS(465,39))-INDIRECT(ADDRESS(460,40))+INDIRECT(ADDRESS(461,40))-INDIRECT(ADDRESS(464,40)),INDIRECT(ADDRESS(465,39))-INDIRECT(ADDRESS(460,40))+INDIRECT(ADDRESS(463,40))-INDIRECT(ADDRESS(464,40)))</f>
        <v>0</v>
      </c>
      <c r="AO465">
        <f>IF(DAY(NOW())&lt;M3,INDIRECT(ADDRESS(465,40))-INDIRECT(ADDRESS(460,41))+INDIRECT(ADDRESS(461,41))-INDIRECT(ADDRESS(464,41)),INDIRECT(ADDRESS(465,40))-INDIRECT(ADDRESS(460,41))+INDIRECT(ADDRESS(463,41))-INDIRECT(ADDRESS(464,41)))</f>
        <v>0</v>
      </c>
      <c r="AP465">
        <f>IF(DAY(NOW())&lt;M3,INDIRECT(ADDRESS(465,41))-INDIRECT(ADDRESS(460,42))+INDIRECT(ADDRESS(461,42))-INDIRECT(ADDRESS(464,42)),INDIRECT(ADDRESS(465,41))-INDIRECT(ADDRESS(460,42))+INDIRECT(ADDRESS(463,42))-INDIRECT(ADDRESS(464,42)))</f>
        <v>0</v>
      </c>
      <c r="AQ465">
        <f>IF(DAY(NOW())&lt;M3,INDIRECT(ADDRESS(465,42))-INDIRECT(ADDRESS(460,43))+INDIRECT(ADDRESS(461,43))-INDIRECT(ADDRESS(464,43)),INDIRECT(ADDRESS(465,42))-INDIRECT(ADDRESS(460,43))+INDIRECT(ADDRESS(463,43))-INDIRECT(ADDRESS(464,43)))</f>
        <v>0</v>
      </c>
      <c r="AR465">
        <f>IF(DAY(NOW())&lt;M3,INDIRECT(ADDRESS(465,43))-INDIRECT(ADDRESS(460,44))+INDIRECT(ADDRESS(461,44))-INDIRECT(ADDRESS(464,44)),INDIRECT(ADDRESS(465,43))-INDIRECT(ADDRESS(460,44))+INDIRECT(ADDRESS(463,44))-INDIRECT(ADDRESS(464,44)))</f>
        <v>0</v>
      </c>
    </row>
    <row r="466" spans="1:76">
      <c r="A466" t="s">
        <v>31</v>
      </c>
      <c r="B466" t="s">
        <v>286</v>
      </c>
      <c r="C466" t="s">
        <v>272</v>
      </c>
      <c r="D466" t="s">
        <v>17</v>
      </c>
      <c r="E466">
        <v>1</v>
      </c>
      <c r="F466" t="s">
        <v>287</v>
      </c>
      <c r="H466" t="s">
        <v>35</v>
      </c>
      <c r="I466" t="s">
        <v>36</v>
      </c>
      <c r="K466" t="s">
        <v>20</v>
      </c>
      <c r="L466" t="s">
        <v>21</v>
      </c>
      <c r="M466">
        <f>sumifs(BOM!m:m,BOM!A:A,".1",BOM!B:B,"852-259000-100")</f>
        <v>0</v>
      </c>
      <c r="N466">
        <f>sumifs(BOM!n:n,BOM!A:A,".1",BOM!B:B,"852-259000-100")</f>
        <v>0</v>
      </c>
      <c r="O466">
        <f>sumifs(BOM!o:o,BOM!A:A,".1",BOM!B:B,"852-259000-100")</f>
        <v>0</v>
      </c>
      <c r="P466">
        <f>sumifs(BOM!p:p,BOM!A:A,".1",BOM!B:B,"852-259000-100")</f>
        <v>0</v>
      </c>
      <c r="Q466">
        <f>sumifs(BOM!q:q,BOM!A:A,".1",BOM!B:B,"852-259000-100")</f>
        <v>0</v>
      </c>
      <c r="R466">
        <f>sumifs(BOM!r:r,BOM!A:A,".1",BOM!B:B,"852-259000-100")</f>
        <v>0</v>
      </c>
      <c r="S466">
        <f>sumifs(BOM!s:s,BOM!A:A,".1",BOM!B:B,"852-259000-100")</f>
        <v>0</v>
      </c>
      <c r="T466">
        <f>sumifs(BOM!t:t,BOM!A:A,".1",BOM!B:B,"852-259000-100")</f>
        <v>0</v>
      </c>
      <c r="U466">
        <f>sumifs(BOM!u:u,BOM!A:A,".1",BOM!B:B,"852-259000-100")</f>
        <v>0</v>
      </c>
      <c r="V466">
        <f>sumifs(BOM!v:v,BOM!A:A,".1",BOM!B:B,"852-259000-100")</f>
        <v>0</v>
      </c>
      <c r="W466">
        <f>sumifs(BOM!w:w,BOM!A:A,".1",BOM!B:B,"852-259000-100")</f>
        <v>0</v>
      </c>
      <c r="X466">
        <f>sumifs(BOM!x:x,BOM!A:A,".1",BOM!B:B,"852-259000-100")</f>
        <v>0</v>
      </c>
      <c r="Y466">
        <f>sumifs(BOM!y:y,BOM!A:A,".1",BOM!B:B,"852-259000-100")</f>
        <v>0</v>
      </c>
      <c r="Z466">
        <f>sumifs(BOM!z:z,BOM!A:A,".1",BOM!B:B,"852-259000-100")</f>
        <v>0</v>
      </c>
      <c r="AA466">
        <f>sumifs(BOM!aa:aa,BOM!A:A,".1",BOM!B:B,"852-259000-100")</f>
        <v>0</v>
      </c>
      <c r="AB466">
        <f>sumifs(BOM!ab:ab,BOM!A:A,".1",BOM!B:B,"852-259000-100")</f>
        <v>0</v>
      </c>
      <c r="AC466">
        <f>sumifs(BOM!ac:ac,BOM!A:A,".1",BOM!B:B,"852-259000-100")</f>
        <v>0</v>
      </c>
      <c r="AD466">
        <f>sumifs(BOM!ad:ad,BOM!A:A,".1",BOM!B:B,"852-259000-100")</f>
        <v>0</v>
      </c>
      <c r="AE466">
        <f>sumifs(BOM!ae:ae,BOM!A:A,".1",BOM!B:B,"852-259000-100")</f>
        <v>0</v>
      </c>
      <c r="AF466">
        <f>sumifs(BOM!af:af,BOM!A:A,".1",BOM!B:B,"852-259000-100")</f>
        <v>0</v>
      </c>
      <c r="AG466">
        <f>sumifs(BOM!ag:ag,BOM!A:A,".1",BOM!B:B,"852-259000-100")</f>
        <v>0</v>
      </c>
      <c r="AH466">
        <f>sumifs(BOM!ah:ah,BOM!A:A,".1",BOM!B:B,"852-259000-100")</f>
        <v>0</v>
      </c>
      <c r="AI466">
        <f>sumifs(BOM!ai:ai,BOM!A:A,".1",BOM!B:B,"852-259000-100")</f>
        <v>0</v>
      </c>
      <c r="AJ466">
        <f>sumifs(BOM!aj:aj,BOM!A:A,".1",BOM!B:B,"852-259000-100")</f>
        <v>0</v>
      </c>
      <c r="AK466">
        <f>sumifs(BOM!ak:ak,BOM!A:A,".1",BOM!B:B,"852-259000-100")</f>
        <v>0</v>
      </c>
      <c r="AL466">
        <f>sumifs(BOM!al:al,BOM!A:A,".1",BOM!B:B,"852-259000-100")</f>
        <v>0</v>
      </c>
      <c r="AM466">
        <f>sumifs(BOM!am:am,BOM!A:A,".1",BOM!B:B,"852-259000-100")</f>
        <v>0</v>
      </c>
      <c r="AN466">
        <f>sumifs(BOM!an:an,BOM!A:A,".1",BOM!B:B,"852-259000-100")</f>
        <v>0</v>
      </c>
      <c r="AO466">
        <f>sumifs(BOM!ao:ao,BOM!A:A,".1",BOM!B:B,"852-259000-100")</f>
        <v>0</v>
      </c>
      <c r="AP466">
        <f>sumifs(BOM!ap:ap,BOM!A:A,".1",BOM!B:B,"852-259000-100")</f>
        <v>0</v>
      </c>
      <c r="AQ466">
        <f>sumifs(BOM!aq:aq,BOM!A:A,".1",BOM!B:B,"852-259000-100")</f>
        <v>0</v>
      </c>
      <c r="AR466">
        <f>sumifs(BOM!ar:ar,BOM!A:A,".1",BOM!B:B,"852-259000-100")</f>
        <v>0</v>
      </c>
      <c r="BX466">
        <f>sum(j466:an466)</f>
        <v>0</v>
      </c>
    </row>
    <row r="467" spans="1:76">
      <c r="A467" t="s">
        <v>31</v>
      </c>
      <c r="B467" t="s">
        <v>286</v>
      </c>
      <c r="C467" t="s">
        <v>272</v>
      </c>
      <c r="D467" t="s">
        <v>17</v>
      </c>
      <c r="E467">
        <v>1</v>
      </c>
      <c r="F467" t="s">
        <v>287</v>
      </c>
      <c r="H467" t="s">
        <v>35</v>
      </c>
      <c r="I467" t="s">
        <v>36</v>
      </c>
      <c r="K467" t="s">
        <v>20</v>
      </c>
      <c r="L467" t="s">
        <v>37</v>
      </c>
    </row>
    <row r="468" spans="1:76">
      <c r="L468" t="s">
        <v>662</v>
      </c>
    </row>
    <row r="469" spans="1:76">
      <c r="L469" t="s">
        <v>663</v>
      </c>
    </row>
    <row r="470" spans="1:76">
      <c r="L470" t="s">
        <v>664</v>
      </c>
    </row>
    <row r="471" spans="1:76">
      <c r="L471" t="s">
        <v>665</v>
      </c>
      <c r="M471">
        <f>IF(DAY(NOW())&lt;M3,INDIRECT(ADDRESS(471,7))-INDIRECT(ADDRESS(466,13))+INDIRECT(ADDRESS(467,13))-INDIRECT(ADDRESS(470,13)),INDIRECT(ADDRESS(471,7))-INDIRECT(ADDRESS(466,13))+INDIRECT(ADDRESS(469,13))-INDIRECT(ADDRESS(470,13)))</f>
        <v>0</v>
      </c>
      <c r="N471">
        <f>IF(DAY(NOW())&lt;M3,INDIRECT(ADDRESS(471,13))-INDIRECT(ADDRESS(466,14))+INDIRECT(ADDRESS(467,14))-INDIRECT(ADDRESS(470,14)),INDIRECT(ADDRESS(471,13))-INDIRECT(ADDRESS(466,14))+INDIRECT(ADDRESS(469,14))-INDIRECT(ADDRESS(470,14)))</f>
        <v>0</v>
      </c>
      <c r="O471">
        <f>IF(DAY(NOW())&lt;M3,INDIRECT(ADDRESS(471,14))-INDIRECT(ADDRESS(466,15))+INDIRECT(ADDRESS(467,15))-INDIRECT(ADDRESS(470,15)),INDIRECT(ADDRESS(471,14))-INDIRECT(ADDRESS(466,15))+INDIRECT(ADDRESS(469,15))-INDIRECT(ADDRESS(470,15)))</f>
        <v>0</v>
      </c>
      <c r="P471">
        <f>IF(DAY(NOW())&lt;M3,INDIRECT(ADDRESS(471,15))-INDIRECT(ADDRESS(466,16))+INDIRECT(ADDRESS(467,16))-INDIRECT(ADDRESS(470,16)),INDIRECT(ADDRESS(471,15))-INDIRECT(ADDRESS(466,16))+INDIRECT(ADDRESS(469,16))-INDIRECT(ADDRESS(470,16)))</f>
        <v>0</v>
      </c>
      <c r="Q471">
        <f>IF(DAY(NOW())&lt;M3,INDIRECT(ADDRESS(471,16))-INDIRECT(ADDRESS(466,17))+INDIRECT(ADDRESS(467,17))-INDIRECT(ADDRESS(470,17)),INDIRECT(ADDRESS(471,16))-INDIRECT(ADDRESS(466,17))+INDIRECT(ADDRESS(469,17))-INDIRECT(ADDRESS(470,17)))</f>
        <v>0</v>
      </c>
      <c r="R471">
        <f>IF(DAY(NOW())&lt;M3,INDIRECT(ADDRESS(471,17))-INDIRECT(ADDRESS(466,18))+INDIRECT(ADDRESS(467,18))-INDIRECT(ADDRESS(470,18)),INDIRECT(ADDRESS(471,17))-INDIRECT(ADDRESS(466,18))+INDIRECT(ADDRESS(469,18))-INDIRECT(ADDRESS(470,18)))</f>
        <v>0</v>
      </c>
      <c r="S471">
        <f>IF(DAY(NOW())&lt;M3,INDIRECT(ADDRESS(471,18))-INDIRECT(ADDRESS(466,19))+INDIRECT(ADDRESS(467,19))-INDIRECT(ADDRESS(470,19)),INDIRECT(ADDRESS(471,18))-INDIRECT(ADDRESS(466,19))+INDIRECT(ADDRESS(469,19))-INDIRECT(ADDRESS(470,19)))</f>
        <v>0</v>
      </c>
      <c r="T471">
        <f>IF(DAY(NOW())&lt;M3,INDIRECT(ADDRESS(471,19))-INDIRECT(ADDRESS(466,20))+INDIRECT(ADDRESS(467,20))-INDIRECT(ADDRESS(470,20)),INDIRECT(ADDRESS(471,19))-INDIRECT(ADDRESS(466,20))+INDIRECT(ADDRESS(469,20))-INDIRECT(ADDRESS(470,20)))</f>
        <v>0</v>
      </c>
      <c r="U471">
        <f>IF(DAY(NOW())&lt;M3,INDIRECT(ADDRESS(471,20))-INDIRECT(ADDRESS(466,21))+INDIRECT(ADDRESS(467,21))-INDIRECT(ADDRESS(470,21)),INDIRECT(ADDRESS(471,20))-INDIRECT(ADDRESS(466,21))+INDIRECT(ADDRESS(469,21))-INDIRECT(ADDRESS(470,21)))</f>
        <v>0</v>
      </c>
      <c r="V471">
        <f>IF(DAY(NOW())&lt;M3,INDIRECT(ADDRESS(471,21))-INDIRECT(ADDRESS(466,22))+INDIRECT(ADDRESS(467,22))-INDIRECT(ADDRESS(470,22)),INDIRECT(ADDRESS(471,21))-INDIRECT(ADDRESS(466,22))+INDIRECT(ADDRESS(469,22))-INDIRECT(ADDRESS(470,22)))</f>
        <v>0</v>
      </c>
      <c r="W471">
        <f>IF(DAY(NOW())&lt;M3,INDIRECT(ADDRESS(471,22))-INDIRECT(ADDRESS(466,23))+INDIRECT(ADDRESS(467,23))-INDIRECT(ADDRESS(470,23)),INDIRECT(ADDRESS(471,22))-INDIRECT(ADDRESS(466,23))+INDIRECT(ADDRESS(469,23))-INDIRECT(ADDRESS(470,23)))</f>
        <v>0</v>
      </c>
      <c r="X471">
        <f>IF(DAY(NOW())&lt;M3,INDIRECT(ADDRESS(471,23))-INDIRECT(ADDRESS(466,24))+INDIRECT(ADDRESS(467,24))-INDIRECT(ADDRESS(470,24)),INDIRECT(ADDRESS(471,23))-INDIRECT(ADDRESS(466,24))+INDIRECT(ADDRESS(469,24))-INDIRECT(ADDRESS(470,24)))</f>
        <v>0</v>
      </c>
      <c r="Y471">
        <f>IF(DAY(NOW())&lt;M3,INDIRECT(ADDRESS(471,24))-INDIRECT(ADDRESS(466,25))+INDIRECT(ADDRESS(467,25))-INDIRECT(ADDRESS(470,25)),INDIRECT(ADDRESS(471,24))-INDIRECT(ADDRESS(466,25))+INDIRECT(ADDRESS(469,25))-INDIRECT(ADDRESS(470,25)))</f>
        <v>0</v>
      </c>
      <c r="Z471">
        <f>IF(DAY(NOW())&lt;M3,INDIRECT(ADDRESS(471,25))-INDIRECT(ADDRESS(466,26))+INDIRECT(ADDRESS(467,26))-INDIRECT(ADDRESS(470,26)),INDIRECT(ADDRESS(471,25))-INDIRECT(ADDRESS(466,26))+INDIRECT(ADDRESS(469,26))-INDIRECT(ADDRESS(470,26)))</f>
        <v>0</v>
      </c>
      <c r="AA471">
        <f>IF(DAY(NOW())&lt;M3,INDIRECT(ADDRESS(471,26))-INDIRECT(ADDRESS(466,27))+INDIRECT(ADDRESS(467,27))-INDIRECT(ADDRESS(470,27)),INDIRECT(ADDRESS(471,26))-INDIRECT(ADDRESS(466,27))+INDIRECT(ADDRESS(469,27))-INDIRECT(ADDRESS(470,27)))</f>
        <v>0</v>
      </c>
      <c r="AB471">
        <f>IF(DAY(NOW())&lt;M3,INDIRECT(ADDRESS(471,27))-INDIRECT(ADDRESS(466,28))+INDIRECT(ADDRESS(467,28))-INDIRECT(ADDRESS(470,28)),INDIRECT(ADDRESS(471,27))-INDIRECT(ADDRESS(466,28))+INDIRECT(ADDRESS(469,28))-INDIRECT(ADDRESS(470,28)))</f>
        <v>0</v>
      </c>
      <c r="AC471">
        <f>IF(DAY(NOW())&lt;M3,INDIRECT(ADDRESS(471,28))-INDIRECT(ADDRESS(466,29))+INDIRECT(ADDRESS(467,29))-INDIRECT(ADDRESS(470,29)),INDIRECT(ADDRESS(471,28))-INDIRECT(ADDRESS(466,29))+INDIRECT(ADDRESS(469,29))-INDIRECT(ADDRESS(470,29)))</f>
        <v>0</v>
      </c>
      <c r="AD471">
        <f>IF(DAY(NOW())&lt;M3,INDIRECT(ADDRESS(471,29))-INDIRECT(ADDRESS(466,30))+INDIRECT(ADDRESS(467,30))-INDIRECT(ADDRESS(470,30)),INDIRECT(ADDRESS(471,29))-INDIRECT(ADDRESS(466,30))+INDIRECT(ADDRESS(469,30))-INDIRECT(ADDRESS(470,30)))</f>
        <v>0</v>
      </c>
      <c r="AE471">
        <f>IF(DAY(NOW())&lt;M3,INDIRECT(ADDRESS(471,30))-INDIRECT(ADDRESS(466,31))+INDIRECT(ADDRESS(467,31))-INDIRECT(ADDRESS(470,31)),INDIRECT(ADDRESS(471,30))-INDIRECT(ADDRESS(466,31))+INDIRECT(ADDRESS(469,31))-INDIRECT(ADDRESS(470,31)))</f>
        <v>0</v>
      </c>
      <c r="AF471">
        <f>IF(DAY(NOW())&lt;M3,INDIRECT(ADDRESS(471,31))-INDIRECT(ADDRESS(466,32))+INDIRECT(ADDRESS(467,32))-INDIRECT(ADDRESS(470,32)),INDIRECT(ADDRESS(471,31))-INDIRECT(ADDRESS(466,32))+INDIRECT(ADDRESS(469,32))-INDIRECT(ADDRESS(470,32)))</f>
        <v>0</v>
      </c>
      <c r="AG471">
        <f>IF(DAY(NOW())&lt;M3,INDIRECT(ADDRESS(471,32))-INDIRECT(ADDRESS(466,33))+INDIRECT(ADDRESS(467,33))-INDIRECT(ADDRESS(470,33)),INDIRECT(ADDRESS(471,32))-INDIRECT(ADDRESS(466,33))+INDIRECT(ADDRESS(469,33))-INDIRECT(ADDRESS(470,33)))</f>
        <v>0</v>
      </c>
      <c r="AH471">
        <f>IF(DAY(NOW())&lt;M3,INDIRECT(ADDRESS(471,33))-INDIRECT(ADDRESS(466,34))+INDIRECT(ADDRESS(467,34))-INDIRECT(ADDRESS(470,34)),INDIRECT(ADDRESS(471,33))-INDIRECT(ADDRESS(466,34))+INDIRECT(ADDRESS(469,34))-INDIRECT(ADDRESS(470,34)))</f>
        <v>0</v>
      </c>
      <c r="AI471">
        <f>IF(DAY(NOW())&lt;M3,INDIRECT(ADDRESS(471,34))-INDIRECT(ADDRESS(466,35))+INDIRECT(ADDRESS(467,35))-INDIRECT(ADDRESS(470,35)),INDIRECT(ADDRESS(471,34))-INDIRECT(ADDRESS(466,35))+INDIRECT(ADDRESS(469,35))-INDIRECT(ADDRESS(470,35)))</f>
        <v>0</v>
      </c>
      <c r="AJ471">
        <f>IF(DAY(NOW())&lt;M3,INDIRECT(ADDRESS(471,35))-INDIRECT(ADDRESS(466,36))+INDIRECT(ADDRESS(467,36))-INDIRECT(ADDRESS(470,36)),INDIRECT(ADDRESS(471,35))-INDIRECT(ADDRESS(466,36))+INDIRECT(ADDRESS(469,36))-INDIRECT(ADDRESS(470,36)))</f>
        <v>0</v>
      </c>
      <c r="AK471">
        <f>IF(DAY(NOW())&lt;M3,INDIRECT(ADDRESS(471,36))-INDIRECT(ADDRESS(466,37))+INDIRECT(ADDRESS(467,37))-INDIRECT(ADDRESS(470,37)),INDIRECT(ADDRESS(471,36))-INDIRECT(ADDRESS(466,37))+INDIRECT(ADDRESS(469,37))-INDIRECT(ADDRESS(470,37)))</f>
        <v>0</v>
      </c>
      <c r="AL471">
        <f>IF(DAY(NOW())&lt;M3,INDIRECT(ADDRESS(471,37))-INDIRECT(ADDRESS(466,38))+INDIRECT(ADDRESS(467,38))-INDIRECT(ADDRESS(470,38)),INDIRECT(ADDRESS(471,37))-INDIRECT(ADDRESS(466,38))+INDIRECT(ADDRESS(469,38))-INDIRECT(ADDRESS(470,38)))</f>
        <v>0</v>
      </c>
      <c r="AM471">
        <f>IF(DAY(NOW())&lt;M3,INDIRECT(ADDRESS(471,38))-INDIRECT(ADDRESS(466,39))+INDIRECT(ADDRESS(467,39))-INDIRECT(ADDRESS(470,39)),INDIRECT(ADDRESS(471,38))-INDIRECT(ADDRESS(466,39))+INDIRECT(ADDRESS(469,39))-INDIRECT(ADDRESS(470,39)))</f>
        <v>0</v>
      </c>
      <c r="AN471">
        <f>IF(DAY(NOW())&lt;M3,INDIRECT(ADDRESS(471,39))-INDIRECT(ADDRESS(466,40))+INDIRECT(ADDRESS(467,40))-INDIRECT(ADDRESS(470,40)),INDIRECT(ADDRESS(471,39))-INDIRECT(ADDRESS(466,40))+INDIRECT(ADDRESS(469,40))-INDIRECT(ADDRESS(470,40)))</f>
        <v>0</v>
      </c>
      <c r="AO471">
        <f>IF(DAY(NOW())&lt;M3,INDIRECT(ADDRESS(471,40))-INDIRECT(ADDRESS(466,41))+INDIRECT(ADDRESS(467,41))-INDIRECT(ADDRESS(470,41)),INDIRECT(ADDRESS(471,40))-INDIRECT(ADDRESS(466,41))+INDIRECT(ADDRESS(469,41))-INDIRECT(ADDRESS(470,41)))</f>
        <v>0</v>
      </c>
      <c r="AP471">
        <f>IF(DAY(NOW())&lt;M3,INDIRECT(ADDRESS(471,41))-INDIRECT(ADDRESS(466,42))+INDIRECT(ADDRESS(467,42))-INDIRECT(ADDRESS(470,42)),INDIRECT(ADDRESS(471,41))-INDIRECT(ADDRESS(466,42))+INDIRECT(ADDRESS(469,42))-INDIRECT(ADDRESS(470,42)))</f>
        <v>0</v>
      </c>
      <c r="AQ471">
        <f>IF(DAY(NOW())&lt;M3,INDIRECT(ADDRESS(471,42))-INDIRECT(ADDRESS(466,43))+INDIRECT(ADDRESS(467,43))-INDIRECT(ADDRESS(470,43)),INDIRECT(ADDRESS(471,42))-INDIRECT(ADDRESS(466,43))+INDIRECT(ADDRESS(469,43))-INDIRECT(ADDRESS(470,43)))</f>
        <v>0</v>
      </c>
      <c r="AR471">
        <f>IF(DAY(NOW())&lt;M3,INDIRECT(ADDRESS(471,43))-INDIRECT(ADDRESS(466,44))+INDIRECT(ADDRESS(467,44))-INDIRECT(ADDRESS(470,44)),INDIRECT(ADDRESS(471,43))-INDIRECT(ADDRESS(466,44))+INDIRECT(ADDRESS(469,44))-INDIRECT(ADDRESS(470,44)))</f>
        <v>0</v>
      </c>
    </row>
    <row r="472" spans="1:76">
      <c r="A472" t="s">
        <v>14</v>
      </c>
      <c r="B472" t="s">
        <v>288</v>
      </c>
      <c r="C472" t="s">
        <v>289</v>
      </c>
      <c r="D472" t="s">
        <v>275</v>
      </c>
      <c r="E472">
        <v>1</v>
      </c>
      <c r="F472" t="s">
        <v>290</v>
      </c>
      <c r="H472" t="s">
        <v>237</v>
      </c>
      <c r="I472" t="s">
        <v>250</v>
      </c>
      <c r="K472" t="s">
        <v>20</v>
      </c>
      <c r="L472" t="s">
        <v>21</v>
      </c>
      <c r="BX472">
        <f>sum(j472:an472)</f>
        <v>0</v>
      </c>
    </row>
    <row r="473" spans="1:76">
      <c r="A473" t="s">
        <v>14</v>
      </c>
      <c r="B473" t="s">
        <v>288</v>
      </c>
      <c r="C473" t="s">
        <v>289</v>
      </c>
      <c r="D473" t="s">
        <v>275</v>
      </c>
      <c r="E473">
        <v>1</v>
      </c>
      <c r="F473" t="s">
        <v>290</v>
      </c>
      <c r="H473" t="s">
        <v>237</v>
      </c>
      <c r="I473" t="s">
        <v>250</v>
      </c>
      <c r="K473" t="s">
        <v>20</v>
      </c>
      <c r="L473" t="s">
        <v>37</v>
      </c>
    </row>
    <row r="474" spans="1:76">
      <c r="L474" t="s">
        <v>662</v>
      </c>
    </row>
    <row r="475" spans="1:76">
      <c r="L475" t="s">
        <v>663</v>
      </c>
    </row>
    <row r="476" spans="1:76">
      <c r="L476" t="s">
        <v>664</v>
      </c>
    </row>
    <row r="477" spans="1:76">
      <c r="L477" t="s">
        <v>665</v>
      </c>
      <c r="M477">
        <f>IF(DAY(NOW())&lt;M3,INDIRECT(ADDRESS(477,7))-INDIRECT(ADDRESS(472,13))+INDIRECT(ADDRESS(473,13))-INDIRECT(ADDRESS(476,13)),INDIRECT(ADDRESS(477,7))-INDIRECT(ADDRESS(472,13))+INDIRECT(ADDRESS(475,13))-INDIRECT(ADDRESS(476,13)))</f>
        <v>0</v>
      </c>
      <c r="N477">
        <f>IF(DAY(NOW())&lt;M3,INDIRECT(ADDRESS(477,13))-INDIRECT(ADDRESS(472,14))+INDIRECT(ADDRESS(473,14))-INDIRECT(ADDRESS(476,14)),INDIRECT(ADDRESS(477,13))-INDIRECT(ADDRESS(472,14))+INDIRECT(ADDRESS(475,14))-INDIRECT(ADDRESS(476,14)))</f>
        <v>0</v>
      </c>
      <c r="O477">
        <f>IF(DAY(NOW())&lt;M3,INDIRECT(ADDRESS(477,14))-INDIRECT(ADDRESS(472,15))+INDIRECT(ADDRESS(473,15))-INDIRECT(ADDRESS(476,15)),INDIRECT(ADDRESS(477,14))-INDIRECT(ADDRESS(472,15))+INDIRECT(ADDRESS(475,15))-INDIRECT(ADDRESS(476,15)))</f>
        <v>0</v>
      </c>
      <c r="P477">
        <f>IF(DAY(NOW())&lt;M3,INDIRECT(ADDRESS(477,15))-INDIRECT(ADDRESS(472,16))+INDIRECT(ADDRESS(473,16))-INDIRECT(ADDRESS(476,16)),INDIRECT(ADDRESS(477,15))-INDIRECT(ADDRESS(472,16))+INDIRECT(ADDRESS(475,16))-INDIRECT(ADDRESS(476,16)))</f>
        <v>0</v>
      </c>
      <c r="Q477">
        <f>IF(DAY(NOW())&lt;M3,INDIRECT(ADDRESS(477,16))-INDIRECT(ADDRESS(472,17))+INDIRECT(ADDRESS(473,17))-INDIRECT(ADDRESS(476,17)),INDIRECT(ADDRESS(477,16))-INDIRECT(ADDRESS(472,17))+INDIRECT(ADDRESS(475,17))-INDIRECT(ADDRESS(476,17)))</f>
        <v>0</v>
      </c>
      <c r="R477">
        <f>IF(DAY(NOW())&lt;M3,INDIRECT(ADDRESS(477,17))-INDIRECT(ADDRESS(472,18))+INDIRECT(ADDRESS(473,18))-INDIRECT(ADDRESS(476,18)),INDIRECT(ADDRESS(477,17))-INDIRECT(ADDRESS(472,18))+INDIRECT(ADDRESS(475,18))-INDIRECT(ADDRESS(476,18)))</f>
        <v>0</v>
      </c>
      <c r="S477">
        <f>IF(DAY(NOW())&lt;M3,INDIRECT(ADDRESS(477,18))-INDIRECT(ADDRESS(472,19))+INDIRECT(ADDRESS(473,19))-INDIRECT(ADDRESS(476,19)),INDIRECT(ADDRESS(477,18))-INDIRECT(ADDRESS(472,19))+INDIRECT(ADDRESS(475,19))-INDIRECT(ADDRESS(476,19)))</f>
        <v>0</v>
      </c>
      <c r="T477">
        <f>IF(DAY(NOW())&lt;M3,INDIRECT(ADDRESS(477,19))-INDIRECT(ADDRESS(472,20))+INDIRECT(ADDRESS(473,20))-INDIRECT(ADDRESS(476,20)),INDIRECT(ADDRESS(477,19))-INDIRECT(ADDRESS(472,20))+INDIRECT(ADDRESS(475,20))-INDIRECT(ADDRESS(476,20)))</f>
        <v>0</v>
      </c>
      <c r="U477">
        <f>IF(DAY(NOW())&lt;M3,INDIRECT(ADDRESS(477,20))-INDIRECT(ADDRESS(472,21))+INDIRECT(ADDRESS(473,21))-INDIRECT(ADDRESS(476,21)),INDIRECT(ADDRESS(477,20))-INDIRECT(ADDRESS(472,21))+INDIRECT(ADDRESS(475,21))-INDIRECT(ADDRESS(476,21)))</f>
        <v>0</v>
      </c>
      <c r="V477">
        <f>IF(DAY(NOW())&lt;M3,INDIRECT(ADDRESS(477,21))-INDIRECT(ADDRESS(472,22))+INDIRECT(ADDRESS(473,22))-INDIRECT(ADDRESS(476,22)),INDIRECT(ADDRESS(477,21))-INDIRECT(ADDRESS(472,22))+INDIRECT(ADDRESS(475,22))-INDIRECT(ADDRESS(476,22)))</f>
        <v>0</v>
      </c>
      <c r="W477">
        <f>IF(DAY(NOW())&lt;M3,INDIRECT(ADDRESS(477,22))-INDIRECT(ADDRESS(472,23))+INDIRECT(ADDRESS(473,23))-INDIRECT(ADDRESS(476,23)),INDIRECT(ADDRESS(477,22))-INDIRECT(ADDRESS(472,23))+INDIRECT(ADDRESS(475,23))-INDIRECT(ADDRESS(476,23)))</f>
        <v>0</v>
      </c>
      <c r="X477">
        <f>IF(DAY(NOW())&lt;M3,INDIRECT(ADDRESS(477,23))-INDIRECT(ADDRESS(472,24))+INDIRECT(ADDRESS(473,24))-INDIRECT(ADDRESS(476,24)),INDIRECT(ADDRESS(477,23))-INDIRECT(ADDRESS(472,24))+INDIRECT(ADDRESS(475,24))-INDIRECT(ADDRESS(476,24)))</f>
        <v>0</v>
      </c>
      <c r="Y477">
        <f>IF(DAY(NOW())&lt;M3,INDIRECT(ADDRESS(477,24))-INDIRECT(ADDRESS(472,25))+INDIRECT(ADDRESS(473,25))-INDIRECT(ADDRESS(476,25)),INDIRECT(ADDRESS(477,24))-INDIRECT(ADDRESS(472,25))+INDIRECT(ADDRESS(475,25))-INDIRECT(ADDRESS(476,25)))</f>
        <v>0</v>
      </c>
      <c r="Z477">
        <f>IF(DAY(NOW())&lt;M3,INDIRECT(ADDRESS(477,25))-INDIRECT(ADDRESS(472,26))+INDIRECT(ADDRESS(473,26))-INDIRECT(ADDRESS(476,26)),INDIRECT(ADDRESS(477,25))-INDIRECT(ADDRESS(472,26))+INDIRECT(ADDRESS(475,26))-INDIRECT(ADDRESS(476,26)))</f>
        <v>0</v>
      </c>
      <c r="AA477">
        <f>IF(DAY(NOW())&lt;M3,INDIRECT(ADDRESS(477,26))-INDIRECT(ADDRESS(472,27))+INDIRECT(ADDRESS(473,27))-INDIRECT(ADDRESS(476,27)),INDIRECT(ADDRESS(477,26))-INDIRECT(ADDRESS(472,27))+INDIRECT(ADDRESS(475,27))-INDIRECT(ADDRESS(476,27)))</f>
        <v>0</v>
      </c>
      <c r="AB477">
        <f>IF(DAY(NOW())&lt;M3,INDIRECT(ADDRESS(477,27))-INDIRECT(ADDRESS(472,28))+INDIRECT(ADDRESS(473,28))-INDIRECT(ADDRESS(476,28)),INDIRECT(ADDRESS(477,27))-INDIRECT(ADDRESS(472,28))+INDIRECT(ADDRESS(475,28))-INDIRECT(ADDRESS(476,28)))</f>
        <v>0</v>
      </c>
      <c r="AC477">
        <f>IF(DAY(NOW())&lt;M3,INDIRECT(ADDRESS(477,28))-INDIRECT(ADDRESS(472,29))+INDIRECT(ADDRESS(473,29))-INDIRECT(ADDRESS(476,29)),INDIRECT(ADDRESS(477,28))-INDIRECT(ADDRESS(472,29))+INDIRECT(ADDRESS(475,29))-INDIRECT(ADDRESS(476,29)))</f>
        <v>0</v>
      </c>
      <c r="AD477">
        <f>IF(DAY(NOW())&lt;M3,INDIRECT(ADDRESS(477,29))-INDIRECT(ADDRESS(472,30))+INDIRECT(ADDRESS(473,30))-INDIRECT(ADDRESS(476,30)),INDIRECT(ADDRESS(477,29))-INDIRECT(ADDRESS(472,30))+INDIRECT(ADDRESS(475,30))-INDIRECT(ADDRESS(476,30)))</f>
        <v>0</v>
      </c>
      <c r="AE477">
        <f>IF(DAY(NOW())&lt;M3,INDIRECT(ADDRESS(477,30))-INDIRECT(ADDRESS(472,31))+INDIRECT(ADDRESS(473,31))-INDIRECT(ADDRESS(476,31)),INDIRECT(ADDRESS(477,30))-INDIRECT(ADDRESS(472,31))+INDIRECT(ADDRESS(475,31))-INDIRECT(ADDRESS(476,31)))</f>
        <v>0</v>
      </c>
      <c r="AF477">
        <f>IF(DAY(NOW())&lt;M3,INDIRECT(ADDRESS(477,31))-INDIRECT(ADDRESS(472,32))+INDIRECT(ADDRESS(473,32))-INDIRECT(ADDRESS(476,32)),INDIRECT(ADDRESS(477,31))-INDIRECT(ADDRESS(472,32))+INDIRECT(ADDRESS(475,32))-INDIRECT(ADDRESS(476,32)))</f>
        <v>0</v>
      </c>
      <c r="AG477">
        <f>IF(DAY(NOW())&lt;M3,INDIRECT(ADDRESS(477,32))-INDIRECT(ADDRESS(472,33))+INDIRECT(ADDRESS(473,33))-INDIRECT(ADDRESS(476,33)),INDIRECT(ADDRESS(477,32))-INDIRECT(ADDRESS(472,33))+INDIRECT(ADDRESS(475,33))-INDIRECT(ADDRESS(476,33)))</f>
        <v>0</v>
      </c>
      <c r="AH477">
        <f>IF(DAY(NOW())&lt;M3,INDIRECT(ADDRESS(477,33))-INDIRECT(ADDRESS(472,34))+INDIRECT(ADDRESS(473,34))-INDIRECT(ADDRESS(476,34)),INDIRECT(ADDRESS(477,33))-INDIRECT(ADDRESS(472,34))+INDIRECT(ADDRESS(475,34))-INDIRECT(ADDRESS(476,34)))</f>
        <v>0</v>
      </c>
      <c r="AI477">
        <f>IF(DAY(NOW())&lt;M3,INDIRECT(ADDRESS(477,34))-INDIRECT(ADDRESS(472,35))+INDIRECT(ADDRESS(473,35))-INDIRECT(ADDRESS(476,35)),INDIRECT(ADDRESS(477,34))-INDIRECT(ADDRESS(472,35))+INDIRECT(ADDRESS(475,35))-INDIRECT(ADDRESS(476,35)))</f>
        <v>0</v>
      </c>
      <c r="AJ477">
        <f>IF(DAY(NOW())&lt;M3,INDIRECT(ADDRESS(477,35))-INDIRECT(ADDRESS(472,36))+INDIRECT(ADDRESS(473,36))-INDIRECT(ADDRESS(476,36)),INDIRECT(ADDRESS(477,35))-INDIRECT(ADDRESS(472,36))+INDIRECT(ADDRESS(475,36))-INDIRECT(ADDRESS(476,36)))</f>
        <v>0</v>
      </c>
      <c r="AK477">
        <f>IF(DAY(NOW())&lt;M3,INDIRECT(ADDRESS(477,36))-INDIRECT(ADDRESS(472,37))+INDIRECT(ADDRESS(473,37))-INDIRECT(ADDRESS(476,37)),INDIRECT(ADDRESS(477,36))-INDIRECT(ADDRESS(472,37))+INDIRECT(ADDRESS(475,37))-INDIRECT(ADDRESS(476,37)))</f>
        <v>0</v>
      </c>
      <c r="AL477">
        <f>IF(DAY(NOW())&lt;M3,INDIRECT(ADDRESS(477,37))-INDIRECT(ADDRESS(472,38))+INDIRECT(ADDRESS(473,38))-INDIRECT(ADDRESS(476,38)),INDIRECT(ADDRESS(477,37))-INDIRECT(ADDRESS(472,38))+INDIRECT(ADDRESS(475,38))-INDIRECT(ADDRESS(476,38)))</f>
        <v>0</v>
      </c>
      <c r="AM477">
        <f>IF(DAY(NOW())&lt;M3,INDIRECT(ADDRESS(477,38))-INDIRECT(ADDRESS(472,39))+INDIRECT(ADDRESS(473,39))-INDIRECT(ADDRESS(476,39)),INDIRECT(ADDRESS(477,38))-INDIRECT(ADDRESS(472,39))+INDIRECT(ADDRESS(475,39))-INDIRECT(ADDRESS(476,39)))</f>
        <v>0</v>
      </c>
      <c r="AN477">
        <f>IF(DAY(NOW())&lt;M3,INDIRECT(ADDRESS(477,39))-INDIRECT(ADDRESS(472,40))+INDIRECT(ADDRESS(473,40))-INDIRECT(ADDRESS(476,40)),INDIRECT(ADDRESS(477,39))-INDIRECT(ADDRESS(472,40))+INDIRECT(ADDRESS(475,40))-INDIRECT(ADDRESS(476,40)))</f>
        <v>0</v>
      </c>
      <c r="AO477">
        <f>IF(DAY(NOW())&lt;M3,INDIRECT(ADDRESS(477,40))-INDIRECT(ADDRESS(472,41))+INDIRECT(ADDRESS(473,41))-INDIRECT(ADDRESS(476,41)),INDIRECT(ADDRESS(477,40))-INDIRECT(ADDRESS(472,41))+INDIRECT(ADDRESS(475,41))-INDIRECT(ADDRESS(476,41)))</f>
        <v>0</v>
      </c>
      <c r="AP477">
        <f>IF(DAY(NOW())&lt;M3,INDIRECT(ADDRESS(477,41))-INDIRECT(ADDRESS(472,42))+INDIRECT(ADDRESS(473,42))-INDIRECT(ADDRESS(476,42)),INDIRECT(ADDRESS(477,41))-INDIRECT(ADDRESS(472,42))+INDIRECT(ADDRESS(475,42))-INDIRECT(ADDRESS(476,42)))</f>
        <v>0</v>
      </c>
      <c r="AQ477">
        <f>IF(DAY(NOW())&lt;M3,INDIRECT(ADDRESS(477,42))-INDIRECT(ADDRESS(472,43))+INDIRECT(ADDRESS(473,43))-INDIRECT(ADDRESS(476,43)),INDIRECT(ADDRESS(477,42))-INDIRECT(ADDRESS(472,43))+INDIRECT(ADDRESS(475,43))-INDIRECT(ADDRESS(476,43)))</f>
        <v>0</v>
      </c>
      <c r="AR477">
        <f>IF(DAY(NOW())&lt;M3,INDIRECT(ADDRESS(477,43))-INDIRECT(ADDRESS(472,44))+INDIRECT(ADDRESS(473,44))-INDIRECT(ADDRESS(476,44)),INDIRECT(ADDRESS(477,43))-INDIRECT(ADDRESS(472,44))+INDIRECT(ADDRESS(475,44))-INDIRECT(ADDRESS(476,44)))</f>
        <v>0</v>
      </c>
    </row>
    <row r="478" spans="1:76">
      <c r="A478" t="s">
        <v>31</v>
      </c>
      <c r="B478" t="s">
        <v>291</v>
      </c>
      <c r="C478" t="s">
        <v>292</v>
      </c>
      <c r="D478" t="s">
        <v>17</v>
      </c>
      <c r="E478">
        <v>1</v>
      </c>
      <c r="F478" t="s">
        <v>293</v>
      </c>
      <c r="K478" t="s">
        <v>20</v>
      </c>
      <c r="L478" t="s">
        <v>21</v>
      </c>
      <c r="M478">
        <f>sumifs(BOM!m:m,BOM!A:A,".1",BOM!B:B,"852-338000-100")</f>
        <v>0</v>
      </c>
      <c r="N478">
        <f>sumifs(BOM!n:n,BOM!A:A,".1",BOM!B:B,"852-338000-100")</f>
        <v>0</v>
      </c>
      <c r="O478">
        <f>sumifs(BOM!o:o,BOM!A:A,".1",BOM!B:B,"852-338000-100")</f>
        <v>0</v>
      </c>
      <c r="P478">
        <f>sumifs(BOM!p:p,BOM!A:A,".1",BOM!B:B,"852-338000-100")</f>
        <v>0</v>
      </c>
      <c r="Q478">
        <f>sumifs(BOM!q:q,BOM!A:A,".1",BOM!B:B,"852-338000-100")</f>
        <v>0</v>
      </c>
      <c r="R478">
        <f>sumifs(BOM!r:r,BOM!A:A,".1",BOM!B:B,"852-338000-100")</f>
        <v>0</v>
      </c>
      <c r="S478">
        <f>sumifs(BOM!s:s,BOM!A:A,".1",BOM!B:B,"852-338000-100")</f>
        <v>0</v>
      </c>
      <c r="T478">
        <f>sumifs(BOM!t:t,BOM!A:A,".1",BOM!B:B,"852-338000-100")</f>
        <v>0</v>
      </c>
      <c r="U478">
        <f>sumifs(BOM!u:u,BOM!A:A,".1",BOM!B:B,"852-338000-100")</f>
        <v>0</v>
      </c>
      <c r="V478">
        <f>sumifs(BOM!v:v,BOM!A:A,".1",BOM!B:B,"852-338000-100")</f>
        <v>0</v>
      </c>
      <c r="W478">
        <f>sumifs(BOM!w:w,BOM!A:A,".1",BOM!B:B,"852-338000-100")</f>
        <v>0</v>
      </c>
      <c r="X478">
        <f>sumifs(BOM!x:x,BOM!A:A,".1",BOM!B:B,"852-338000-100")</f>
        <v>0</v>
      </c>
      <c r="Y478">
        <f>sumifs(BOM!y:y,BOM!A:A,".1",BOM!B:B,"852-338000-100")</f>
        <v>0</v>
      </c>
      <c r="Z478">
        <f>sumifs(BOM!z:z,BOM!A:A,".1",BOM!B:B,"852-338000-100")</f>
        <v>0</v>
      </c>
      <c r="AA478">
        <f>sumifs(BOM!aa:aa,BOM!A:A,".1",BOM!B:B,"852-338000-100")</f>
        <v>0</v>
      </c>
      <c r="AB478">
        <f>sumifs(BOM!ab:ab,BOM!A:A,".1",BOM!B:B,"852-338000-100")</f>
        <v>0</v>
      </c>
      <c r="AC478">
        <f>sumifs(BOM!ac:ac,BOM!A:A,".1",BOM!B:B,"852-338000-100")</f>
        <v>0</v>
      </c>
      <c r="AD478">
        <f>sumifs(BOM!ad:ad,BOM!A:A,".1",BOM!B:B,"852-338000-100")</f>
        <v>0</v>
      </c>
      <c r="AE478">
        <f>sumifs(BOM!ae:ae,BOM!A:A,".1",BOM!B:B,"852-338000-100")</f>
        <v>0</v>
      </c>
      <c r="AF478">
        <f>sumifs(BOM!af:af,BOM!A:A,".1",BOM!B:B,"852-338000-100")</f>
        <v>0</v>
      </c>
      <c r="AG478">
        <f>sumifs(BOM!ag:ag,BOM!A:A,".1",BOM!B:B,"852-338000-100")</f>
        <v>0</v>
      </c>
      <c r="AH478">
        <f>sumifs(BOM!ah:ah,BOM!A:A,".1",BOM!B:B,"852-338000-100")</f>
        <v>0</v>
      </c>
      <c r="AI478">
        <f>sumifs(BOM!ai:ai,BOM!A:A,".1",BOM!B:B,"852-338000-100")</f>
        <v>0</v>
      </c>
      <c r="AJ478">
        <f>sumifs(BOM!aj:aj,BOM!A:A,".1",BOM!B:B,"852-338000-100")</f>
        <v>0</v>
      </c>
      <c r="AK478">
        <f>sumifs(BOM!ak:ak,BOM!A:A,".1",BOM!B:B,"852-338000-100")</f>
        <v>0</v>
      </c>
      <c r="AL478">
        <f>sumifs(BOM!al:al,BOM!A:A,".1",BOM!B:B,"852-338000-100")</f>
        <v>0</v>
      </c>
      <c r="AM478">
        <f>sumifs(BOM!am:am,BOM!A:A,".1",BOM!B:B,"852-338000-100")</f>
        <v>0</v>
      </c>
      <c r="AN478">
        <f>sumifs(BOM!an:an,BOM!A:A,".1",BOM!B:B,"852-338000-100")</f>
        <v>0</v>
      </c>
      <c r="AO478">
        <f>sumifs(BOM!ao:ao,BOM!A:A,".1",BOM!B:B,"852-338000-100")</f>
        <v>0</v>
      </c>
      <c r="AP478">
        <f>sumifs(BOM!ap:ap,BOM!A:A,".1",BOM!B:B,"852-338000-100")</f>
        <v>0</v>
      </c>
      <c r="AQ478">
        <f>sumifs(BOM!aq:aq,BOM!A:A,".1",BOM!B:B,"852-338000-100")</f>
        <v>0</v>
      </c>
      <c r="AR478">
        <f>sumifs(BOM!ar:ar,BOM!A:A,".1",BOM!B:B,"852-338000-100")</f>
        <v>0</v>
      </c>
      <c r="BX478">
        <f>sum(j478:an478)</f>
        <v>0</v>
      </c>
    </row>
    <row r="479" spans="1:76">
      <c r="A479" t="s">
        <v>31</v>
      </c>
      <c r="B479" t="s">
        <v>291</v>
      </c>
      <c r="C479" t="s">
        <v>292</v>
      </c>
      <c r="D479" t="s">
        <v>17</v>
      </c>
      <c r="E479">
        <v>1</v>
      </c>
      <c r="F479" t="s">
        <v>293</v>
      </c>
      <c r="K479" t="s">
        <v>20</v>
      </c>
      <c r="L479" t="s">
        <v>37</v>
      </c>
    </row>
    <row r="480" spans="1:76">
      <c r="L480" t="s">
        <v>662</v>
      </c>
    </row>
    <row r="481" spans="1:76">
      <c r="L481" t="s">
        <v>663</v>
      </c>
    </row>
    <row r="482" spans="1:76">
      <c r="L482" t="s">
        <v>664</v>
      </c>
    </row>
    <row r="483" spans="1:76">
      <c r="L483" t="s">
        <v>665</v>
      </c>
      <c r="M483">
        <f>IF(DAY(NOW())&lt;M3,INDIRECT(ADDRESS(483,7))-INDIRECT(ADDRESS(478,13))+INDIRECT(ADDRESS(479,13))-INDIRECT(ADDRESS(482,13)),INDIRECT(ADDRESS(483,7))-INDIRECT(ADDRESS(478,13))+INDIRECT(ADDRESS(481,13))-INDIRECT(ADDRESS(482,13)))</f>
        <v>0</v>
      </c>
      <c r="N483">
        <f>IF(DAY(NOW())&lt;M3,INDIRECT(ADDRESS(483,13))-INDIRECT(ADDRESS(478,14))+INDIRECT(ADDRESS(479,14))-INDIRECT(ADDRESS(482,14)),INDIRECT(ADDRESS(483,13))-INDIRECT(ADDRESS(478,14))+INDIRECT(ADDRESS(481,14))-INDIRECT(ADDRESS(482,14)))</f>
        <v>0</v>
      </c>
      <c r="O483">
        <f>IF(DAY(NOW())&lt;M3,INDIRECT(ADDRESS(483,14))-INDIRECT(ADDRESS(478,15))+INDIRECT(ADDRESS(479,15))-INDIRECT(ADDRESS(482,15)),INDIRECT(ADDRESS(483,14))-INDIRECT(ADDRESS(478,15))+INDIRECT(ADDRESS(481,15))-INDIRECT(ADDRESS(482,15)))</f>
        <v>0</v>
      </c>
      <c r="P483">
        <f>IF(DAY(NOW())&lt;M3,INDIRECT(ADDRESS(483,15))-INDIRECT(ADDRESS(478,16))+INDIRECT(ADDRESS(479,16))-INDIRECT(ADDRESS(482,16)),INDIRECT(ADDRESS(483,15))-INDIRECT(ADDRESS(478,16))+INDIRECT(ADDRESS(481,16))-INDIRECT(ADDRESS(482,16)))</f>
        <v>0</v>
      </c>
      <c r="Q483">
        <f>IF(DAY(NOW())&lt;M3,INDIRECT(ADDRESS(483,16))-INDIRECT(ADDRESS(478,17))+INDIRECT(ADDRESS(479,17))-INDIRECT(ADDRESS(482,17)),INDIRECT(ADDRESS(483,16))-INDIRECT(ADDRESS(478,17))+INDIRECT(ADDRESS(481,17))-INDIRECT(ADDRESS(482,17)))</f>
        <v>0</v>
      </c>
      <c r="R483">
        <f>IF(DAY(NOW())&lt;M3,INDIRECT(ADDRESS(483,17))-INDIRECT(ADDRESS(478,18))+INDIRECT(ADDRESS(479,18))-INDIRECT(ADDRESS(482,18)),INDIRECT(ADDRESS(483,17))-INDIRECT(ADDRESS(478,18))+INDIRECT(ADDRESS(481,18))-INDIRECT(ADDRESS(482,18)))</f>
        <v>0</v>
      </c>
      <c r="S483">
        <f>IF(DAY(NOW())&lt;M3,INDIRECT(ADDRESS(483,18))-INDIRECT(ADDRESS(478,19))+INDIRECT(ADDRESS(479,19))-INDIRECT(ADDRESS(482,19)),INDIRECT(ADDRESS(483,18))-INDIRECT(ADDRESS(478,19))+INDIRECT(ADDRESS(481,19))-INDIRECT(ADDRESS(482,19)))</f>
        <v>0</v>
      </c>
      <c r="T483">
        <f>IF(DAY(NOW())&lt;M3,INDIRECT(ADDRESS(483,19))-INDIRECT(ADDRESS(478,20))+INDIRECT(ADDRESS(479,20))-INDIRECT(ADDRESS(482,20)),INDIRECT(ADDRESS(483,19))-INDIRECT(ADDRESS(478,20))+INDIRECT(ADDRESS(481,20))-INDIRECT(ADDRESS(482,20)))</f>
        <v>0</v>
      </c>
      <c r="U483">
        <f>IF(DAY(NOW())&lt;M3,INDIRECT(ADDRESS(483,20))-INDIRECT(ADDRESS(478,21))+INDIRECT(ADDRESS(479,21))-INDIRECT(ADDRESS(482,21)),INDIRECT(ADDRESS(483,20))-INDIRECT(ADDRESS(478,21))+INDIRECT(ADDRESS(481,21))-INDIRECT(ADDRESS(482,21)))</f>
        <v>0</v>
      </c>
      <c r="V483">
        <f>IF(DAY(NOW())&lt;M3,INDIRECT(ADDRESS(483,21))-INDIRECT(ADDRESS(478,22))+INDIRECT(ADDRESS(479,22))-INDIRECT(ADDRESS(482,22)),INDIRECT(ADDRESS(483,21))-INDIRECT(ADDRESS(478,22))+INDIRECT(ADDRESS(481,22))-INDIRECT(ADDRESS(482,22)))</f>
        <v>0</v>
      </c>
      <c r="W483">
        <f>IF(DAY(NOW())&lt;M3,INDIRECT(ADDRESS(483,22))-INDIRECT(ADDRESS(478,23))+INDIRECT(ADDRESS(479,23))-INDIRECT(ADDRESS(482,23)),INDIRECT(ADDRESS(483,22))-INDIRECT(ADDRESS(478,23))+INDIRECT(ADDRESS(481,23))-INDIRECT(ADDRESS(482,23)))</f>
        <v>0</v>
      </c>
      <c r="X483">
        <f>IF(DAY(NOW())&lt;M3,INDIRECT(ADDRESS(483,23))-INDIRECT(ADDRESS(478,24))+INDIRECT(ADDRESS(479,24))-INDIRECT(ADDRESS(482,24)),INDIRECT(ADDRESS(483,23))-INDIRECT(ADDRESS(478,24))+INDIRECT(ADDRESS(481,24))-INDIRECT(ADDRESS(482,24)))</f>
        <v>0</v>
      </c>
      <c r="Y483">
        <f>IF(DAY(NOW())&lt;M3,INDIRECT(ADDRESS(483,24))-INDIRECT(ADDRESS(478,25))+INDIRECT(ADDRESS(479,25))-INDIRECT(ADDRESS(482,25)),INDIRECT(ADDRESS(483,24))-INDIRECT(ADDRESS(478,25))+INDIRECT(ADDRESS(481,25))-INDIRECT(ADDRESS(482,25)))</f>
        <v>0</v>
      </c>
      <c r="Z483">
        <f>IF(DAY(NOW())&lt;M3,INDIRECT(ADDRESS(483,25))-INDIRECT(ADDRESS(478,26))+INDIRECT(ADDRESS(479,26))-INDIRECT(ADDRESS(482,26)),INDIRECT(ADDRESS(483,25))-INDIRECT(ADDRESS(478,26))+INDIRECT(ADDRESS(481,26))-INDIRECT(ADDRESS(482,26)))</f>
        <v>0</v>
      </c>
      <c r="AA483">
        <f>IF(DAY(NOW())&lt;M3,INDIRECT(ADDRESS(483,26))-INDIRECT(ADDRESS(478,27))+INDIRECT(ADDRESS(479,27))-INDIRECT(ADDRESS(482,27)),INDIRECT(ADDRESS(483,26))-INDIRECT(ADDRESS(478,27))+INDIRECT(ADDRESS(481,27))-INDIRECT(ADDRESS(482,27)))</f>
        <v>0</v>
      </c>
      <c r="AB483">
        <f>IF(DAY(NOW())&lt;M3,INDIRECT(ADDRESS(483,27))-INDIRECT(ADDRESS(478,28))+INDIRECT(ADDRESS(479,28))-INDIRECT(ADDRESS(482,28)),INDIRECT(ADDRESS(483,27))-INDIRECT(ADDRESS(478,28))+INDIRECT(ADDRESS(481,28))-INDIRECT(ADDRESS(482,28)))</f>
        <v>0</v>
      </c>
      <c r="AC483">
        <f>IF(DAY(NOW())&lt;M3,INDIRECT(ADDRESS(483,28))-INDIRECT(ADDRESS(478,29))+INDIRECT(ADDRESS(479,29))-INDIRECT(ADDRESS(482,29)),INDIRECT(ADDRESS(483,28))-INDIRECT(ADDRESS(478,29))+INDIRECT(ADDRESS(481,29))-INDIRECT(ADDRESS(482,29)))</f>
        <v>0</v>
      </c>
      <c r="AD483">
        <f>IF(DAY(NOW())&lt;M3,INDIRECT(ADDRESS(483,29))-INDIRECT(ADDRESS(478,30))+INDIRECT(ADDRESS(479,30))-INDIRECT(ADDRESS(482,30)),INDIRECT(ADDRESS(483,29))-INDIRECT(ADDRESS(478,30))+INDIRECT(ADDRESS(481,30))-INDIRECT(ADDRESS(482,30)))</f>
        <v>0</v>
      </c>
      <c r="AE483">
        <f>IF(DAY(NOW())&lt;M3,INDIRECT(ADDRESS(483,30))-INDIRECT(ADDRESS(478,31))+INDIRECT(ADDRESS(479,31))-INDIRECT(ADDRESS(482,31)),INDIRECT(ADDRESS(483,30))-INDIRECT(ADDRESS(478,31))+INDIRECT(ADDRESS(481,31))-INDIRECT(ADDRESS(482,31)))</f>
        <v>0</v>
      </c>
      <c r="AF483">
        <f>IF(DAY(NOW())&lt;M3,INDIRECT(ADDRESS(483,31))-INDIRECT(ADDRESS(478,32))+INDIRECT(ADDRESS(479,32))-INDIRECT(ADDRESS(482,32)),INDIRECT(ADDRESS(483,31))-INDIRECT(ADDRESS(478,32))+INDIRECT(ADDRESS(481,32))-INDIRECT(ADDRESS(482,32)))</f>
        <v>0</v>
      </c>
      <c r="AG483">
        <f>IF(DAY(NOW())&lt;M3,INDIRECT(ADDRESS(483,32))-INDIRECT(ADDRESS(478,33))+INDIRECT(ADDRESS(479,33))-INDIRECT(ADDRESS(482,33)),INDIRECT(ADDRESS(483,32))-INDIRECT(ADDRESS(478,33))+INDIRECT(ADDRESS(481,33))-INDIRECT(ADDRESS(482,33)))</f>
        <v>0</v>
      </c>
      <c r="AH483">
        <f>IF(DAY(NOW())&lt;M3,INDIRECT(ADDRESS(483,33))-INDIRECT(ADDRESS(478,34))+INDIRECT(ADDRESS(479,34))-INDIRECT(ADDRESS(482,34)),INDIRECT(ADDRESS(483,33))-INDIRECT(ADDRESS(478,34))+INDIRECT(ADDRESS(481,34))-INDIRECT(ADDRESS(482,34)))</f>
        <v>0</v>
      </c>
      <c r="AI483">
        <f>IF(DAY(NOW())&lt;M3,INDIRECT(ADDRESS(483,34))-INDIRECT(ADDRESS(478,35))+INDIRECT(ADDRESS(479,35))-INDIRECT(ADDRESS(482,35)),INDIRECT(ADDRESS(483,34))-INDIRECT(ADDRESS(478,35))+INDIRECT(ADDRESS(481,35))-INDIRECT(ADDRESS(482,35)))</f>
        <v>0</v>
      </c>
      <c r="AJ483">
        <f>IF(DAY(NOW())&lt;M3,INDIRECT(ADDRESS(483,35))-INDIRECT(ADDRESS(478,36))+INDIRECT(ADDRESS(479,36))-INDIRECT(ADDRESS(482,36)),INDIRECT(ADDRESS(483,35))-INDIRECT(ADDRESS(478,36))+INDIRECT(ADDRESS(481,36))-INDIRECT(ADDRESS(482,36)))</f>
        <v>0</v>
      </c>
      <c r="AK483">
        <f>IF(DAY(NOW())&lt;M3,INDIRECT(ADDRESS(483,36))-INDIRECT(ADDRESS(478,37))+INDIRECT(ADDRESS(479,37))-INDIRECT(ADDRESS(482,37)),INDIRECT(ADDRESS(483,36))-INDIRECT(ADDRESS(478,37))+INDIRECT(ADDRESS(481,37))-INDIRECT(ADDRESS(482,37)))</f>
        <v>0</v>
      </c>
      <c r="AL483">
        <f>IF(DAY(NOW())&lt;M3,INDIRECT(ADDRESS(483,37))-INDIRECT(ADDRESS(478,38))+INDIRECT(ADDRESS(479,38))-INDIRECT(ADDRESS(482,38)),INDIRECT(ADDRESS(483,37))-INDIRECT(ADDRESS(478,38))+INDIRECT(ADDRESS(481,38))-INDIRECT(ADDRESS(482,38)))</f>
        <v>0</v>
      </c>
      <c r="AM483">
        <f>IF(DAY(NOW())&lt;M3,INDIRECT(ADDRESS(483,38))-INDIRECT(ADDRESS(478,39))+INDIRECT(ADDRESS(479,39))-INDIRECT(ADDRESS(482,39)),INDIRECT(ADDRESS(483,38))-INDIRECT(ADDRESS(478,39))+INDIRECT(ADDRESS(481,39))-INDIRECT(ADDRESS(482,39)))</f>
        <v>0</v>
      </c>
      <c r="AN483">
        <f>IF(DAY(NOW())&lt;M3,INDIRECT(ADDRESS(483,39))-INDIRECT(ADDRESS(478,40))+INDIRECT(ADDRESS(479,40))-INDIRECT(ADDRESS(482,40)),INDIRECT(ADDRESS(483,39))-INDIRECT(ADDRESS(478,40))+INDIRECT(ADDRESS(481,40))-INDIRECT(ADDRESS(482,40)))</f>
        <v>0</v>
      </c>
      <c r="AO483">
        <f>IF(DAY(NOW())&lt;M3,INDIRECT(ADDRESS(483,40))-INDIRECT(ADDRESS(478,41))+INDIRECT(ADDRESS(479,41))-INDIRECT(ADDRESS(482,41)),INDIRECT(ADDRESS(483,40))-INDIRECT(ADDRESS(478,41))+INDIRECT(ADDRESS(481,41))-INDIRECT(ADDRESS(482,41)))</f>
        <v>0</v>
      </c>
      <c r="AP483">
        <f>IF(DAY(NOW())&lt;M3,INDIRECT(ADDRESS(483,41))-INDIRECT(ADDRESS(478,42))+INDIRECT(ADDRESS(479,42))-INDIRECT(ADDRESS(482,42)),INDIRECT(ADDRESS(483,41))-INDIRECT(ADDRESS(478,42))+INDIRECT(ADDRESS(481,42))-INDIRECT(ADDRESS(482,42)))</f>
        <v>0</v>
      </c>
      <c r="AQ483">
        <f>IF(DAY(NOW())&lt;M3,INDIRECT(ADDRESS(483,42))-INDIRECT(ADDRESS(478,43))+INDIRECT(ADDRESS(479,43))-INDIRECT(ADDRESS(482,43)),INDIRECT(ADDRESS(483,42))-INDIRECT(ADDRESS(478,43))+INDIRECT(ADDRESS(481,43))-INDIRECT(ADDRESS(482,43)))</f>
        <v>0</v>
      </c>
      <c r="AR483">
        <f>IF(DAY(NOW())&lt;M3,INDIRECT(ADDRESS(483,43))-INDIRECT(ADDRESS(478,44))+INDIRECT(ADDRESS(479,44))-INDIRECT(ADDRESS(482,44)),INDIRECT(ADDRESS(483,43))-INDIRECT(ADDRESS(478,44))+INDIRECT(ADDRESS(481,44))-INDIRECT(ADDRESS(482,44)))</f>
        <v>0</v>
      </c>
    </row>
    <row r="484" spans="1:76">
      <c r="A484" t="s">
        <v>14</v>
      </c>
      <c r="B484" t="s">
        <v>294</v>
      </c>
      <c r="C484" t="s">
        <v>295</v>
      </c>
      <c r="D484" t="s">
        <v>296</v>
      </c>
      <c r="E484">
        <v>1</v>
      </c>
      <c r="F484" t="s">
        <v>297</v>
      </c>
      <c r="K484" t="s">
        <v>20</v>
      </c>
      <c r="L484" t="s">
        <v>21</v>
      </c>
      <c r="BX484">
        <f>sum(j484:an484)</f>
        <v>0</v>
      </c>
    </row>
    <row r="485" spans="1:76">
      <c r="A485" t="s">
        <v>14</v>
      </c>
      <c r="B485" t="s">
        <v>294</v>
      </c>
      <c r="C485" t="s">
        <v>295</v>
      </c>
      <c r="D485" t="s">
        <v>296</v>
      </c>
      <c r="E485">
        <v>1</v>
      </c>
      <c r="F485" t="s">
        <v>297</v>
      </c>
      <c r="K485" t="s">
        <v>20</v>
      </c>
      <c r="L485" t="s">
        <v>37</v>
      </c>
    </row>
    <row r="486" spans="1:76">
      <c r="L486" t="s">
        <v>662</v>
      </c>
    </row>
    <row r="487" spans="1:76">
      <c r="L487" t="s">
        <v>663</v>
      </c>
    </row>
    <row r="488" spans="1:76">
      <c r="L488" t="s">
        <v>664</v>
      </c>
    </row>
    <row r="489" spans="1:76">
      <c r="L489" t="s">
        <v>665</v>
      </c>
      <c r="M489">
        <f>IF(DAY(NOW())&lt;M3,INDIRECT(ADDRESS(489,7))-INDIRECT(ADDRESS(484,13))+INDIRECT(ADDRESS(485,13))-INDIRECT(ADDRESS(488,13)),INDIRECT(ADDRESS(489,7))-INDIRECT(ADDRESS(484,13))+INDIRECT(ADDRESS(487,13))-INDIRECT(ADDRESS(488,13)))</f>
        <v>0</v>
      </c>
      <c r="N489">
        <f>IF(DAY(NOW())&lt;M3,INDIRECT(ADDRESS(489,13))-INDIRECT(ADDRESS(484,14))+INDIRECT(ADDRESS(485,14))-INDIRECT(ADDRESS(488,14)),INDIRECT(ADDRESS(489,13))-INDIRECT(ADDRESS(484,14))+INDIRECT(ADDRESS(487,14))-INDIRECT(ADDRESS(488,14)))</f>
        <v>0</v>
      </c>
      <c r="O489">
        <f>IF(DAY(NOW())&lt;M3,INDIRECT(ADDRESS(489,14))-INDIRECT(ADDRESS(484,15))+INDIRECT(ADDRESS(485,15))-INDIRECT(ADDRESS(488,15)),INDIRECT(ADDRESS(489,14))-INDIRECT(ADDRESS(484,15))+INDIRECT(ADDRESS(487,15))-INDIRECT(ADDRESS(488,15)))</f>
        <v>0</v>
      </c>
      <c r="P489">
        <f>IF(DAY(NOW())&lt;M3,INDIRECT(ADDRESS(489,15))-INDIRECT(ADDRESS(484,16))+INDIRECT(ADDRESS(485,16))-INDIRECT(ADDRESS(488,16)),INDIRECT(ADDRESS(489,15))-INDIRECT(ADDRESS(484,16))+INDIRECT(ADDRESS(487,16))-INDIRECT(ADDRESS(488,16)))</f>
        <v>0</v>
      </c>
      <c r="Q489">
        <f>IF(DAY(NOW())&lt;M3,INDIRECT(ADDRESS(489,16))-INDIRECT(ADDRESS(484,17))+INDIRECT(ADDRESS(485,17))-INDIRECT(ADDRESS(488,17)),INDIRECT(ADDRESS(489,16))-INDIRECT(ADDRESS(484,17))+INDIRECT(ADDRESS(487,17))-INDIRECT(ADDRESS(488,17)))</f>
        <v>0</v>
      </c>
      <c r="R489">
        <f>IF(DAY(NOW())&lt;M3,INDIRECT(ADDRESS(489,17))-INDIRECT(ADDRESS(484,18))+INDIRECT(ADDRESS(485,18))-INDIRECT(ADDRESS(488,18)),INDIRECT(ADDRESS(489,17))-INDIRECT(ADDRESS(484,18))+INDIRECT(ADDRESS(487,18))-INDIRECT(ADDRESS(488,18)))</f>
        <v>0</v>
      </c>
      <c r="S489">
        <f>IF(DAY(NOW())&lt;M3,INDIRECT(ADDRESS(489,18))-INDIRECT(ADDRESS(484,19))+INDIRECT(ADDRESS(485,19))-INDIRECT(ADDRESS(488,19)),INDIRECT(ADDRESS(489,18))-INDIRECT(ADDRESS(484,19))+INDIRECT(ADDRESS(487,19))-INDIRECT(ADDRESS(488,19)))</f>
        <v>0</v>
      </c>
      <c r="T489">
        <f>IF(DAY(NOW())&lt;M3,INDIRECT(ADDRESS(489,19))-INDIRECT(ADDRESS(484,20))+INDIRECT(ADDRESS(485,20))-INDIRECT(ADDRESS(488,20)),INDIRECT(ADDRESS(489,19))-INDIRECT(ADDRESS(484,20))+INDIRECT(ADDRESS(487,20))-INDIRECT(ADDRESS(488,20)))</f>
        <v>0</v>
      </c>
      <c r="U489">
        <f>IF(DAY(NOW())&lt;M3,INDIRECT(ADDRESS(489,20))-INDIRECT(ADDRESS(484,21))+INDIRECT(ADDRESS(485,21))-INDIRECT(ADDRESS(488,21)),INDIRECT(ADDRESS(489,20))-INDIRECT(ADDRESS(484,21))+INDIRECT(ADDRESS(487,21))-INDIRECT(ADDRESS(488,21)))</f>
        <v>0</v>
      </c>
      <c r="V489">
        <f>IF(DAY(NOW())&lt;M3,INDIRECT(ADDRESS(489,21))-INDIRECT(ADDRESS(484,22))+INDIRECT(ADDRESS(485,22))-INDIRECT(ADDRESS(488,22)),INDIRECT(ADDRESS(489,21))-INDIRECT(ADDRESS(484,22))+INDIRECT(ADDRESS(487,22))-INDIRECT(ADDRESS(488,22)))</f>
        <v>0</v>
      </c>
      <c r="W489">
        <f>IF(DAY(NOW())&lt;M3,INDIRECT(ADDRESS(489,22))-INDIRECT(ADDRESS(484,23))+INDIRECT(ADDRESS(485,23))-INDIRECT(ADDRESS(488,23)),INDIRECT(ADDRESS(489,22))-INDIRECT(ADDRESS(484,23))+INDIRECT(ADDRESS(487,23))-INDIRECT(ADDRESS(488,23)))</f>
        <v>0</v>
      </c>
      <c r="X489">
        <f>IF(DAY(NOW())&lt;M3,INDIRECT(ADDRESS(489,23))-INDIRECT(ADDRESS(484,24))+INDIRECT(ADDRESS(485,24))-INDIRECT(ADDRESS(488,24)),INDIRECT(ADDRESS(489,23))-INDIRECT(ADDRESS(484,24))+INDIRECT(ADDRESS(487,24))-INDIRECT(ADDRESS(488,24)))</f>
        <v>0</v>
      </c>
      <c r="Y489">
        <f>IF(DAY(NOW())&lt;M3,INDIRECT(ADDRESS(489,24))-INDIRECT(ADDRESS(484,25))+INDIRECT(ADDRESS(485,25))-INDIRECT(ADDRESS(488,25)),INDIRECT(ADDRESS(489,24))-INDIRECT(ADDRESS(484,25))+INDIRECT(ADDRESS(487,25))-INDIRECT(ADDRESS(488,25)))</f>
        <v>0</v>
      </c>
      <c r="Z489">
        <f>IF(DAY(NOW())&lt;M3,INDIRECT(ADDRESS(489,25))-INDIRECT(ADDRESS(484,26))+INDIRECT(ADDRESS(485,26))-INDIRECT(ADDRESS(488,26)),INDIRECT(ADDRESS(489,25))-INDIRECT(ADDRESS(484,26))+INDIRECT(ADDRESS(487,26))-INDIRECT(ADDRESS(488,26)))</f>
        <v>0</v>
      </c>
      <c r="AA489">
        <f>IF(DAY(NOW())&lt;M3,INDIRECT(ADDRESS(489,26))-INDIRECT(ADDRESS(484,27))+INDIRECT(ADDRESS(485,27))-INDIRECT(ADDRESS(488,27)),INDIRECT(ADDRESS(489,26))-INDIRECT(ADDRESS(484,27))+INDIRECT(ADDRESS(487,27))-INDIRECT(ADDRESS(488,27)))</f>
        <v>0</v>
      </c>
      <c r="AB489">
        <f>IF(DAY(NOW())&lt;M3,INDIRECT(ADDRESS(489,27))-INDIRECT(ADDRESS(484,28))+INDIRECT(ADDRESS(485,28))-INDIRECT(ADDRESS(488,28)),INDIRECT(ADDRESS(489,27))-INDIRECT(ADDRESS(484,28))+INDIRECT(ADDRESS(487,28))-INDIRECT(ADDRESS(488,28)))</f>
        <v>0</v>
      </c>
      <c r="AC489">
        <f>IF(DAY(NOW())&lt;M3,INDIRECT(ADDRESS(489,28))-INDIRECT(ADDRESS(484,29))+INDIRECT(ADDRESS(485,29))-INDIRECT(ADDRESS(488,29)),INDIRECT(ADDRESS(489,28))-INDIRECT(ADDRESS(484,29))+INDIRECT(ADDRESS(487,29))-INDIRECT(ADDRESS(488,29)))</f>
        <v>0</v>
      </c>
      <c r="AD489">
        <f>IF(DAY(NOW())&lt;M3,INDIRECT(ADDRESS(489,29))-INDIRECT(ADDRESS(484,30))+INDIRECT(ADDRESS(485,30))-INDIRECT(ADDRESS(488,30)),INDIRECT(ADDRESS(489,29))-INDIRECT(ADDRESS(484,30))+INDIRECT(ADDRESS(487,30))-INDIRECT(ADDRESS(488,30)))</f>
        <v>0</v>
      </c>
      <c r="AE489">
        <f>IF(DAY(NOW())&lt;M3,INDIRECT(ADDRESS(489,30))-INDIRECT(ADDRESS(484,31))+INDIRECT(ADDRESS(485,31))-INDIRECT(ADDRESS(488,31)),INDIRECT(ADDRESS(489,30))-INDIRECT(ADDRESS(484,31))+INDIRECT(ADDRESS(487,31))-INDIRECT(ADDRESS(488,31)))</f>
        <v>0</v>
      </c>
      <c r="AF489">
        <f>IF(DAY(NOW())&lt;M3,INDIRECT(ADDRESS(489,31))-INDIRECT(ADDRESS(484,32))+INDIRECT(ADDRESS(485,32))-INDIRECT(ADDRESS(488,32)),INDIRECT(ADDRESS(489,31))-INDIRECT(ADDRESS(484,32))+INDIRECT(ADDRESS(487,32))-INDIRECT(ADDRESS(488,32)))</f>
        <v>0</v>
      </c>
      <c r="AG489">
        <f>IF(DAY(NOW())&lt;M3,INDIRECT(ADDRESS(489,32))-INDIRECT(ADDRESS(484,33))+INDIRECT(ADDRESS(485,33))-INDIRECT(ADDRESS(488,33)),INDIRECT(ADDRESS(489,32))-INDIRECT(ADDRESS(484,33))+INDIRECT(ADDRESS(487,33))-INDIRECT(ADDRESS(488,33)))</f>
        <v>0</v>
      </c>
      <c r="AH489">
        <f>IF(DAY(NOW())&lt;M3,INDIRECT(ADDRESS(489,33))-INDIRECT(ADDRESS(484,34))+INDIRECT(ADDRESS(485,34))-INDIRECT(ADDRESS(488,34)),INDIRECT(ADDRESS(489,33))-INDIRECT(ADDRESS(484,34))+INDIRECT(ADDRESS(487,34))-INDIRECT(ADDRESS(488,34)))</f>
        <v>0</v>
      </c>
      <c r="AI489">
        <f>IF(DAY(NOW())&lt;M3,INDIRECT(ADDRESS(489,34))-INDIRECT(ADDRESS(484,35))+INDIRECT(ADDRESS(485,35))-INDIRECT(ADDRESS(488,35)),INDIRECT(ADDRESS(489,34))-INDIRECT(ADDRESS(484,35))+INDIRECT(ADDRESS(487,35))-INDIRECT(ADDRESS(488,35)))</f>
        <v>0</v>
      </c>
      <c r="AJ489">
        <f>IF(DAY(NOW())&lt;M3,INDIRECT(ADDRESS(489,35))-INDIRECT(ADDRESS(484,36))+INDIRECT(ADDRESS(485,36))-INDIRECT(ADDRESS(488,36)),INDIRECT(ADDRESS(489,35))-INDIRECT(ADDRESS(484,36))+INDIRECT(ADDRESS(487,36))-INDIRECT(ADDRESS(488,36)))</f>
        <v>0</v>
      </c>
      <c r="AK489">
        <f>IF(DAY(NOW())&lt;M3,INDIRECT(ADDRESS(489,36))-INDIRECT(ADDRESS(484,37))+INDIRECT(ADDRESS(485,37))-INDIRECT(ADDRESS(488,37)),INDIRECT(ADDRESS(489,36))-INDIRECT(ADDRESS(484,37))+INDIRECT(ADDRESS(487,37))-INDIRECT(ADDRESS(488,37)))</f>
        <v>0</v>
      </c>
      <c r="AL489">
        <f>IF(DAY(NOW())&lt;M3,INDIRECT(ADDRESS(489,37))-INDIRECT(ADDRESS(484,38))+INDIRECT(ADDRESS(485,38))-INDIRECT(ADDRESS(488,38)),INDIRECT(ADDRESS(489,37))-INDIRECT(ADDRESS(484,38))+INDIRECT(ADDRESS(487,38))-INDIRECT(ADDRESS(488,38)))</f>
        <v>0</v>
      </c>
      <c r="AM489">
        <f>IF(DAY(NOW())&lt;M3,INDIRECT(ADDRESS(489,38))-INDIRECT(ADDRESS(484,39))+INDIRECT(ADDRESS(485,39))-INDIRECT(ADDRESS(488,39)),INDIRECT(ADDRESS(489,38))-INDIRECT(ADDRESS(484,39))+INDIRECT(ADDRESS(487,39))-INDIRECT(ADDRESS(488,39)))</f>
        <v>0</v>
      </c>
      <c r="AN489">
        <f>IF(DAY(NOW())&lt;M3,INDIRECT(ADDRESS(489,39))-INDIRECT(ADDRESS(484,40))+INDIRECT(ADDRESS(485,40))-INDIRECT(ADDRESS(488,40)),INDIRECT(ADDRESS(489,39))-INDIRECT(ADDRESS(484,40))+INDIRECT(ADDRESS(487,40))-INDIRECT(ADDRESS(488,40)))</f>
        <v>0</v>
      </c>
      <c r="AO489">
        <f>IF(DAY(NOW())&lt;M3,INDIRECT(ADDRESS(489,40))-INDIRECT(ADDRESS(484,41))+INDIRECT(ADDRESS(485,41))-INDIRECT(ADDRESS(488,41)),INDIRECT(ADDRESS(489,40))-INDIRECT(ADDRESS(484,41))+INDIRECT(ADDRESS(487,41))-INDIRECT(ADDRESS(488,41)))</f>
        <v>0</v>
      </c>
      <c r="AP489">
        <f>IF(DAY(NOW())&lt;M3,INDIRECT(ADDRESS(489,41))-INDIRECT(ADDRESS(484,42))+INDIRECT(ADDRESS(485,42))-INDIRECT(ADDRESS(488,42)),INDIRECT(ADDRESS(489,41))-INDIRECT(ADDRESS(484,42))+INDIRECT(ADDRESS(487,42))-INDIRECT(ADDRESS(488,42)))</f>
        <v>0</v>
      </c>
      <c r="AQ489">
        <f>IF(DAY(NOW())&lt;M3,INDIRECT(ADDRESS(489,42))-INDIRECT(ADDRESS(484,43))+INDIRECT(ADDRESS(485,43))-INDIRECT(ADDRESS(488,43)),INDIRECT(ADDRESS(489,42))-INDIRECT(ADDRESS(484,43))+INDIRECT(ADDRESS(487,43))-INDIRECT(ADDRESS(488,43)))</f>
        <v>0</v>
      </c>
      <c r="AR489">
        <f>IF(DAY(NOW())&lt;M3,INDIRECT(ADDRESS(489,43))-INDIRECT(ADDRESS(484,44))+INDIRECT(ADDRESS(485,44))-INDIRECT(ADDRESS(488,44)),INDIRECT(ADDRESS(489,43))-INDIRECT(ADDRESS(484,44))+INDIRECT(ADDRESS(487,44))-INDIRECT(ADDRESS(488,44)))</f>
        <v>0</v>
      </c>
    </row>
    <row r="490" spans="1:76">
      <c r="A490" t="s">
        <v>31</v>
      </c>
      <c r="B490" t="s">
        <v>298</v>
      </c>
      <c r="C490" t="s">
        <v>299</v>
      </c>
      <c r="D490" t="s">
        <v>17</v>
      </c>
      <c r="E490">
        <v>1</v>
      </c>
      <c r="F490" t="s">
        <v>300</v>
      </c>
      <c r="K490" t="s">
        <v>20</v>
      </c>
      <c r="L490" t="s">
        <v>21</v>
      </c>
      <c r="M490">
        <f>sumifs(BOM!m:m,BOM!A:A,".1",BOM!B:B,"852-078000-100")</f>
        <v>0</v>
      </c>
      <c r="N490">
        <f>sumifs(BOM!n:n,BOM!A:A,".1",BOM!B:B,"852-078000-100")</f>
        <v>0</v>
      </c>
      <c r="O490">
        <f>sumifs(BOM!o:o,BOM!A:A,".1",BOM!B:B,"852-078000-100")</f>
        <v>0</v>
      </c>
      <c r="P490">
        <f>sumifs(BOM!p:p,BOM!A:A,".1",BOM!B:B,"852-078000-100")</f>
        <v>0</v>
      </c>
      <c r="Q490">
        <f>sumifs(BOM!q:q,BOM!A:A,".1",BOM!B:B,"852-078000-100")</f>
        <v>0</v>
      </c>
      <c r="R490">
        <f>sumifs(BOM!r:r,BOM!A:A,".1",BOM!B:B,"852-078000-100")</f>
        <v>0</v>
      </c>
      <c r="S490">
        <f>sumifs(BOM!s:s,BOM!A:A,".1",BOM!B:B,"852-078000-100")</f>
        <v>0</v>
      </c>
      <c r="T490">
        <f>sumifs(BOM!t:t,BOM!A:A,".1",BOM!B:B,"852-078000-100")</f>
        <v>0</v>
      </c>
      <c r="U490">
        <f>sumifs(BOM!u:u,BOM!A:A,".1",BOM!B:B,"852-078000-100")</f>
        <v>0</v>
      </c>
      <c r="V490">
        <f>sumifs(BOM!v:v,BOM!A:A,".1",BOM!B:B,"852-078000-100")</f>
        <v>0</v>
      </c>
      <c r="W490">
        <f>sumifs(BOM!w:w,BOM!A:A,".1",BOM!B:B,"852-078000-100")</f>
        <v>0</v>
      </c>
      <c r="X490">
        <f>sumifs(BOM!x:x,BOM!A:A,".1",BOM!B:B,"852-078000-100")</f>
        <v>0</v>
      </c>
      <c r="Y490">
        <f>sumifs(BOM!y:y,BOM!A:A,".1",BOM!B:B,"852-078000-100")</f>
        <v>0</v>
      </c>
      <c r="Z490">
        <f>sumifs(BOM!z:z,BOM!A:A,".1",BOM!B:B,"852-078000-100")</f>
        <v>0</v>
      </c>
      <c r="AA490">
        <f>sumifs(BOM!aa:aa,BOM!A:A,".1",BOM!B:B,"852-078000-100")</f>
        <v>0</v>
      </c>
      <c r="AB490">
        <f>sumifs(BOM!ab:ab,BOM!A:A,".1",BOM!B:B,"852-078000-100")</f>
        <v>0</v>
      </c>
      <c r="AC490">
        <f>sumifs(BOM!ac:ac,BOM!A:A,".1",BOM!B:B,"852-078000-100")</f>
        <v>0</v>
      </c>
      <c r="AD490">
        <f>sumifs(BOM!ad:ad,BOM!A:A,".1",BOM!B:B,"852-078000-100")</f>
        <v>0</v>
      </c>
      <c r="AE490">
        <f>sumifs(BOM!ae:ae,BOM!A:A,".1",BOM!B:B,"852-078000-100")</f>
        <v>0</v>
      </c>
      <c r="AF490">
        <f>sumifs(BOM!af:af,BOM!A:A,".1",BOM!B:B,"852-078000-100")</f>
        <v>0</v>
      </c>
      <c r="AG490">
        <f>sumifs(BOM!ag:ag,BOM!A:A,".1",BOM!B:B,"852-078000-100")</f>
        <v>0</v>
      </c>
      <c r="AH490">
        <f>sumifs(BOM!ah:ah,BOM!A:A,".1",BOM!B:B,"852-078000-100")</f>
        <v>0</v>
      </c>
      <c r="AI490">
        <f>sumifs(BOM!ai:ai,BOM!A:A,".1",BOM!B:B,"852-078000-100")</f>
        <v>0</v>
      </c>
      <c r="AJ490">
        <f>sumifs(BOM!aj:aj,BOM!A:A,".1",BOM!B:B,"852-078000-100")</f>
        <v>0</v>
      </c>
      <c r="AK490">
        <f>sumifs(BOM!ak:ak,BOM!A:A,".1",BOM!B:B,"852-078000-100")</f>
        <v>0</v>
      </c>
      <c r="AL490">
        <f>sumifs(BOM!al:al,BOM!A:A,".1",BOM!B:B,"852-078000-100")</f>
        <v>0</v>
      </c>
      <c r="AM490">
        <f>sumifs(BOM!am:am,BOM!A:A,".1",BOM!B:B,"852-078000-100")</f>
        <v>0</v>
      </c>
      <c r="AN490">
        <f>sumifs(BOM!an:an,BOM!A:A,".1",BOM!B:B,"852-078000-100")</f>
        <v>0</v>
      </c>
      <c r="AO490">
        <f>sumifs(BOM!ao:ao,BOM!A:A,".1",BOM!B:B,"852-078000-100")</f>
        <v>0</v>
      </c>
      <c r="AP490">
        <f>sumifs(BOM!ap:ap,BOM!A:A,".1",BOM!B:B,"852-078000-100")</f>
        <v>0</v>
      </c>
      <c r="AQ490">
        <f>sumifs(BOM!aq:aq,BOM!A:A,".1",BOM!B:B,"852-078000-100")</f>
        <v>0</v>
      </c>
      <c r="AR490">
        <f>sumifs(BOM!ar:ar,BOM!A:A,".1",BOM!B:B,"852-078000-100")</f>
        <v>0</v>
      </c>
      <c r="BX490">
        <f>sum(j490:an490)</f>
        <v>0</v>
      </c>
    </row>
    <row r="491" spans="1:76">
      <c r="A491" t="s">
        <v>31</v>
      </c>
      <c r="B491" t="s">
        <v>298</v>
      </c>
      <c r="C491" t="s">
        <v>299</v>
      </c>
      <c r="D491" t="s">
        <v>17</v>
      </c>
      <c r="E491">
        <v>1</v>
      </c>
      <c r="F491" t="s">
        <v>300</v>
      </c>
      <c r="K491" t="s">
        <v>20</v>
      </c>
      <c r="L491" t="s">
        <v>37</v>
      </c>
    </row>
    <row r="492" spans="1:76">
      <c r="L492" t="s">
        <v>662</v>
      </c>
    </row>
    <row r="493" spans="1:76">
      <c r="L493" t="s">
        <v>663</v>
      </c>
    </row>
    <row r="494" spans="1:76">
      <c r="L494" t="s">
        <v>664</v>
      </c>
    </row>
    <row r="495" spans="1:76">
      <c r="L495" t="s">
        <v>665</v>
      </c>
      <c r="M495">
        <f>IF(DAY(NOW())&lt;M3,INDIRECT(ADDRESS(495,7))-INDIRECT(ADDRESS(490,13))+INDIRECT(ADDRESS(491,13))-INDIRECT(ADDRESS(494,13)),INDIRECT(ADDRESS(495,7))-INDIRECT(ADDRESS(490,13))+INDIRECT(ADDRESS(493,13))-INDIRECT(ADDRESS(494,13)))</f>
        <v>0</v>
      </c>
      <c r="N495">
        <f>IF(DAY(NOW())&lt;M3,INDIRECT(ADDRESS(495,13))-INDIRECT(ADDRESS(490,14))+INDIRECT(ADDRESS(491,14))-INDIRECT(ADDRESS(494,14)),INDIRECT(ADDRESS(495,13))-INDIRECT(ADDRESS(490,14))+INDIRECT(ADDRESS(493,14))-INDIRECT(ADDRESS(494,14)))</f>
        <v>0</v>
      </c>
      <c r="O495">
        <f>IF(DAY(NOW())&lt;M3,INDIRECT(ADDRESS(495,14))-INDIRECT(ADDRESS(490,15))+INDIRECT(ADDRESS(491,15))-INDIRECT(ADDRESS(494,15)),INDIRECT(ADDRESS(495,14))-INDIRECT(ADDRESS(490,15))+INDIRECT(ADDRESS(493,15))-INDIRECT(ADDRESS(494,15)))</f>
        <v>0</v>
      </c>
      <c r="P495">
        <f>IF(DAY(NOW())&lt;M3,INDIRECT(ADDRESS(495,15))-INDIRECT(ADDRESS(490,16))+INDIRECT(ADDRESS(491,16))-INDIRECT(ADDRESS(494,16)),INDIRECT(ADDRESS(495,15))-INDIRECT(ADDRESS(490,16))+INDIRECT(ADDRESS(493,16))-INDIRECT(ADDRESS(494,16)))</f>
        <v>0</v>
      </c>
      <c r="Q495">
        <f>IF(DAY(NOW())&lt;M3,INDIRECT(ADDRESS(495,16))-INDIRECT(ADDRESS(490,17))+INDIRECT(ADDRESS(491,17))-INDIRECT(ADDRESS(494,17)),INDIRECT(ADDRESS(495,16))-INDIRECT(ADDRESS(490,17))+INDIRECT(ADDRESS(493,17))-INDIRECT(ADDRESS(494,17)))</f>
        <v>0</v>
      </c>
      <c r="R495">
        <f>IF(DAY(NOW())&lt;M3,INDIRECT(ADDRESS(495,17))-INDIRECT(ADDRESS(490,18))+INDIRECT(ADDRESS(491,18))-INDIRECT(ADDRESS(494,18)),INDIRECT(ADDRESS(495,17))-INDIRECT(ADDRESS(490,18))+INDIRECT(ADDRESS(493,18))-INDIRECT(ADDRESS(494,18)))</f>
        <v>0</v>
      </c>
      <c r="S495">
        <f>IF(DAY(NOW())&lt;M3,INDIRECT(ADDRESS(495,18))-INDIRECT(ADDRESS(490,19))+INDIRECT(ADDRESS(491,19))-INDIRECT(ADDRESS(494,19)),INDIRECT(ADDRESS(495,18))-INDIRECT(ADDRESS(490,19))+INDIRECT(ADDRESS(493,19))-INDIRECT(ADDRESS(494,19)))</f>
        <v>0</v>
      </c>
      <c r="T495">
        <f>IF(DAY(NOW())&lt;M3,INDIRECT(ADDRESS(495,19))-INDIRECT(ADDRESS(490,20))+INDIRECT(ADDRESS(491,20))-INDIRECT(ADDRESS(494,20)),INDIRECT(ADDRESS(495,19))-INDIRECT(ADDRESS(490,20))+INDIRECT(ADDRESS(493,20))-INDIRECT(ADDRESS(494,20)))</f>
        <v>0</v>
      </c>
      <c r="U495">
        <f>IF(DAY(NOW())&lt;M3,INDIRECT(ADDRESS(495,20))-INDIRECT(ADDRESS(490,21))+INDIRECT(ADDRESS(491,21))-INDIRECT(ADDRESS(494,21)),INDIRECT(ADDRESS(495,20))-INDIRECT(ADDRESS(490,21))+INDIRECT(ADDRESS(493,21))-INDIRECT(ADDRESS(494,21)))</f>
        <v>0</v>
      </c>
      <c r="V495">
        <f>IF(DAY(NOW())&lt;M3,INDIRECT(ADDRESS(495,21))-INDIRECT(ADDRESS(490,22))+INDIRECT(ADDRESS(491,22))-INDIRECT(ADDRESS(494,22)),INDIRECT(ADDRESS(495,21))-INDIRECT(ADDRESS(490,22))+INDIRECT(ADDRESS(493,22))-INDIRECT(ADDRESS(494,22)))</f>
        <v>0</v>
      </c>
      <c r="W495">
        <f>IF(DAY(NOW())&lt;M3,INDIRECT(ADDRESS(495,22))-INDIRECT(ADDRESS(490,23))+INDIRECT(ADDRESS(491,23))-INDIRECT(ADDRESS(494,23)),INDIRECT(ADDRESS(495,22))-INDIRECT(ADDRESS(490,23))+INDIRECT(ADDRESS(493,23))-INDIRECT(ADDRESS(494,23)))</f>
        <v>0</v>
      </c>
      <c r="X495">
        <f>IF(DAY(NOW())&lt;M3,INDIRECT(ADDRESS(495,23))-INDIRECT(ADDRESS(490,24))+INDIRECT(ADDRESS(491,24))-INDIRECT(ADDRESS(494,24)),INDIRECT(ADDRESS(495,23))-INDIRECT(ADDRESS(490,24))+INDIRECT(ADDRESS(493,24))-INDIRECT(ADDRESS(494,24)))</f>
        <v>0</v>
      </c>
      <c r="Y495">
        <f>IF(DAY(NOW())&lt;M3,INDIRECT(ADDRESS(495,24))-INDIRECT(ADDRESS(490,25))+INDIRECT(ADDRESS(491,25))-INDIRECT(ADDRESS(494,25)),INDIRECT(ADDRESS(495,24))-INDIRECT(ADDRESS(490,25))+INDIRECT(ADDRESS(493,25))-INDIRECT(ADDRESS(494,25)))</f>
        <v>0</v>
      </c>
      <c r="Z495">
        <f>IF(DAY(NOW())&lt;M3,INDIRECT(ADDRESS(495,25))-INDIRECT(ADDRESS(490,26))+INDIRECT(ADDRESS(491,26))-INDIRECT(ADDRESS(494,26)),INDIRECT(ADDRESS(495,25))-INDIRECT(ADDRESS(490,26))+INDIRECT(ADDRESS(493,26))-INDIRECT(ADDRESS(494,26)))</f>
        <v>0</v>
      </c>
      <c r="AA495">
        <f>IF(DAY(NOW())&lt;M3,INDIRECT(ADDRESS(495,26))-INDIRECT(ADDRESS(490,27))+INDIRECT(ADDRESS(491,27))-INDIRECT(ADDRESS(494,27)),INDIRECT(ADDRESS(495,26))-INDIRECT(ADDRESS(490,27))+INDIRECT(ADDRESS(493,27))-INDIRECT(ADDRESS(494,27)))</f>
        <v>0</v>
      </c>
      <c r="AB495">
        <f>IF(DAY(NOW())&lt;M3,INDIRECT(ADDRESS(495,27))-INDIRECT(ADDRESS(490,28))+INDIRECT(ADDRESS(491,28))-INDIRECT(ADDRESS(494,28)),INDIRECT(ADDRESS(495,27))-INDIRECT(ADDRESS(490,28))+INDIRECT(ADDRESS(493,28))-INDIRECT(ADDRESS(494,28)))</f>
        <v>0</v>
      </c>
      <c r="AC495">
        <f>IF(DAY(NOW())&lt;M3,INDIRECT(ADDRESS(495,28))-INDIRECT(ADDRESS(490,29))+INDIRECT(ADDRESS(491,29))-INDIRECT(ADDRESS(494,29)),INDIRECT(ADDRESS(495,28))-INDIRECT(ADDRESS(490,29))+INDIRECT(ADDRESS(493,29))-INDIRECT(ADDRESS(494,29)))</f>
        <v>0</v>
      </c>
      <c r="AD495">
        <f>IF(DAY(NOW())&lt;M3,INDIRECT(ADDRESS(495,29))-INDIRECT(ADDRESS(490,30))+INDIRECT(ADDRESS(491,30))-INDIRECT(ADDRESS(494,30)),INDIRECT(ADDRESS(495,29))-INDIRECT(ADDRESS(490,30))+INDIRECT(ADDRESS(493,30))-INDIRECT(ADDRESS(494,30)))</f>
        <v>0</v>
      </c>
      <c r="AE495">
        <f>IF(DAY(NOW())&lt;M3,INDIRECT(ADDRESS(495,30))-INDIRECT(ADDRESS(490,31))+INDIRECT(ADDRESS(491,31))-INDIRECT(ADDRESS(494,31)),INDIRECT(ADDRESS(495,30))-INDIRECT(ADDRESS(490,31))+INDIRECT(ADDRESS(493,31))-INDIRECT(ADDRESS(494,31)))</f>
        <v>0</v>
      </c>
      <c r="AF495">
        <f>IF(DAY(NOW())&lt;M3,INDIRECT(ADDRESS(495,31))-INDIRECT(ADDRESS(490,32))+INDIRECT(ADDRESS(491,32))-INDIRECT(ADDRESS(494,32)),INDIRECT(ADDRESS(495,31))-INDIRECT(ADDRESS(490,32))+INDIRECT(ADDRESS(493,32))-INDIRECT(ADDRESS(494,32)))</f>
        <v>0</v>
      </c>
      <c r="AG495">
        <f>IF(DAY(NOW())&lt;M3,INDIRECT(ADDRESS(495,32))-INDIRECT(ADDRESS(490,33))+INDIRECT(ADDRESS(491,33))-INDIRECT(ADDRESS(494,33)),INDIRECT(ADDRESS(495,32))-INDIRECT(ADDRESS(490,33))+INDIRECT(ADDRESS(493,33))-INDIRECT(ADDRESS(494,33)))</f>
        <v>0</v>
      </c>
      <c r="AH495">
        <f>IF(DAY(NOW())&lt;M3,INDIRECT(ADDRESS(495,33))-INDIRECT(ADDRESS(490,34))+INDIRECT(ADDRESS(491,34))-INDIRECT(ADDRESS(494,34)),INDIRECT(ADDRESS(495,33))-INDIRECT(ADDRESS(490,34))+INDIRECT(ADDRESS(493,34))-INDIRECT(ADDRESS(494,34)))</f>
        <v>0</v>
      </c>
      <c r="AI495">
        <f>IF(DAY(NOW())&lt;M3,INDIRECT(ADDRESS(495,34))-INDIRECT(ADDRESS(490,35))+INDIRECT(ADDRESS(491,35))-INDIRECT(ADDRESS(494,35)),INDIRECT(ADDRESS(495,34))-INDIRECT(ADDRESS(490,35))+INDIRECT(ADDRESS(493,35))-INDIRECT(ADDRESS(494,35)))</f>
        <v>0</v>
      </c>
      <c r="AJ495">
        <f>IF(DAY(NOW())&lt;M3,INDIRECT(ADDRESS(495,35))-INDIRECT(ADDRESS(490,36))+INDIRECT(ADDRESS(491,36))-INDIRECT(ADDRESS(494,36)),INDIRECT(ADDRESS(495,35))-INDIRECT(ADDRESS(490,36))+INDIRECT(ADDRESS(493,36))-INDIRECT(ADDRESS(494,36)))</f>
        <v>0</v>
      </c>
      <c r="AK495">
        <f>IF(DAY(NOW())&lt;M3,INDIRECT(ADDRESS(495,36))-INDIRECT(ADDRESS(490,37))+INDIRECT(ADDRESS(491,37))-INDIRECT(ADDRESS(494,37)),INDIRECT(ADDRESS(495,36))-INDIRECT(ADDRESS(490,37))+INDIRECT(ADDRESS(493,37))-INDIRECT(ADDRESS(494,37)))</f>
        <v>0</v>
      </c>
      <c r="AL495">
        <f>IF(DAY(NOW())&lt;M3,INDIRECT(ADDRESS(495,37))-INDIRECT(ADDRESS(490,38))+INDIRECT(ADDRESS(491,38))-INDIRECT(ADDRESS(494,38)),INDIRECT(ADDRESS(495,37))-INDIRECT(ADDRESS(490,38))+INDIRECT(ADDRESS(493,38))-INDIRECT(ADDRESS(494,38)))</f>
        <v>0</v>
      </c>
      <c r="AM495">
        <f>IF(DAY(NOW())&lt;M3,INDIRECT(ADDRESS(495,38))-INDIRECT(ADDRESS(490,39))+INDIRECT(ADDRESS(491,39))-INDIRECT(ADDRESS(494,39)),INDIRECT(ADDRESS(495,38))-INDIRECT(ADDRESS(490,39))+INDIRECT(ADDRESS(493,39))-INDIRECT(ADDRESS(494,39)))</f>
        <v>0</v>
      </c>
      <c r="AN495">
        <f>IF(DAY(NOW())&lt;M3,INDIRECT(ADDRESS(495,39))-INDIRECT(ADDRESS(490,40))+INDIRECT(ADDRESS(491,40))-INDIRECT(ADDRESS(494,40)),INDIRECT(ADDRESS(495,39))-INDIRECT(ADDRESS(490,40))+INDIRECT(ADDRESS(493,40))-INDIRECT(ADDRESS(494,40)))</f>
        <v>0</v>
      </c>
      <c r="AO495">
        <f>IF(DAY(NOW())&lt;M3,INDIRECT(ADDRESS(495,40))-INDIRECT(ADDRESS(490,41))+INDIRECT(ADDRESS(491,41))-INDIRECT(ADDRESS(494,41)),INDIRECT(ADDRESS(495,40))-INDIRECT(ADDRESS(490,41))+INDIRECT(ADDRESS(493,41))-INDIRECT(ADDRESS(494,41)))</f>
        <v>0</v>
      </c>
      <c r="AP495">
        <f>IF(DAY(NOW())&lt;M3,INDIRECT(ADDRESS(495,41))-INDIRECT(ADDRESS(490,42))+INDIRECT(ADDRESS(491,42))-INDIRECT(ADDRESS(494,42)),INDIRECT(ADDRESS(495,41))-INDIRECT(ADDRESS(490,42))+INDIRECT(ADDRESS(493,42))-INDIRECT(ADDRESS(494,42)))</f>
        <v>0</v>
      </c>
      <c r="AQ495">
        <f>IF(DAY(NOW())&lt;M3,INDIRECT(ADDRESS(495,42))-INDIRECT(ADDRESS(490,43))+INDIRECT(ADDRESS(491,43))-INDIRECT(ADDRESS(494,43)),INDIRECT(ADDRESS(495,42))-INDIRECT(ADDRESS(490,43))+INDIRECT(ADDRESS(493,43))-INDIRECT(ADDRESS(494,43)))</f>
        <v>0</v>
      </c>
      <c r="AR495">
        <f>IF(DAY(NOW())&lt;M3,INDIRECT(ADDRESS(495,43))-INDIRECT(ADDRESS(490,44))+INDIRECT(ADDRESS(491,44))-INDIRECT(ADDRESS(494,44)),INDIRECT(ADDRESS(495,43))-INDIRECT(ADDRESS(490,44))+INDIRECT(ADDRESS(493,44))-INDIRECT(ADDRESS(494,44)))</f>
        <v>0</v>
      </c>
    </row>
    <row r="496" spans="1:76">
      <c r="A496" t="s">
        <v>14</v>
      </c>
      <c r="B496" t="s">
        <v>301</v>
      </c>
      <c r="C496" t="s">
        <v>302</v>
      </c>
      <c r="D496" t="s">
        <v>17</v>
      </c>
      <c r="E496">
        <v>1</v>
      </c>
      <c r="F496" t="s">
        <v>303</v>
      </c>
      <c r="K496" t="s">
        <v>20</v>
      </c>
      <c r="L496" t="s">
        <v>21</v>
      </c>
      <c r="BX496">
        <f>sum(j496:an496)</f>
        <v>0</v>
      </c>
    </row>
    <row r="497" spans="1:76">
      <c r="A497" t="s">
        <v>14</v>
      </c>
      <c r="B497" t="s">
        <v>301</v>
      </c>
      <c r="C497" t="s">
        <v>302</v>
      </c>
      <c r="D497" t="s">
        <v>17</v>
      </c>
      <c r="E497">
        <v>1</v>
      </c>
      <c r="F497" t="s">
        <v>303</v>
      </c>
      <c r="K497" t="s">
        <v>20</v>
      </c>
      <c r="L497" t="s">
        <v>37</v>
      </c>
    </row>
    <row r="498" spans="1:76">
      <c r="L498" t="s">
        <v>662</v>
      </c>
    </row>
    <row r="499" spans="1:76">
      <c r="L499" t="s">
        <v>663</v>
      </c>
    </row>
    <row r="500" spans="1:76">
      <c r="L500" t="s">
        <v>664</v>
      </c>
    </row>
    <row r="501" spans="1:76">
      <c r="L501" t="s">
        <v>665</v>
      </c>
      <c r="M501">
        <f>IF(DAY(NOW())&lt;M3,INDIRECT(ADDRESS(501,7))-INDIRECT(ADDRESS(496,13))+INDIRECT(ADDRESS(497,13))-INDIRECT(ADDRESS(500,13)),INDIRECT(ADDRESS(501,7))-INDIRECT(ADDRESS(496,13))+INDIRECT(ADDRESS(499,13))-INDIRECT(ADDRESS(500,13)))</f>
        <v>0</v>
      </c>
      <c r="N501">
        <f>IF(DAY(NOW())&lt;M3,INDIRECT(ADDRESS(501,13))-INDIRECT(ADDRESS(496,14))+INDIRECT(ADDRESS(497,14))-INDIRECT(ADDRESS(500,14)),INDIRECT(ADDRESS(501,13))-INDIRECT(ADDRESS(496,14))+INDIRECT(ADDRESS(499,14))-INDIRECT(ADDRESS(500,14)))</f>
        <v>0</v>
      </c>
      <c r="O501">
        <f>IF(DAY(NOW())&lt;M3,INDIRECT(ADDRESS(501,14))-INDIRECT(ADDRESS(496,15))+INDIRECT(ADDRESS(497,15))-INDIRECT(ADDRESS(500,15)),INDIRECT(ADDRESS(501,14))-INDIRECT(ADDRESS(496,15))+INDIRECT(ADDRESS(499,15))-INDIRECT(ADDRESS(500,15)))</f>
        <v>0</v>
      </c>
      <c r="P501">
        <f>IF(DAY(NOW())&lt;M3,INDIRECT(ADDRESS(501,15))-INDIRECT(ADDRESS(496,16))+INDIRECT(ADDRESS(497,16))-INDIRECT(ADDRESS(500,16)),INDIRECT(ADDRESS(501,15))-INDIRECT(ADDRESS(496,16))+INDIRECT(ADDRESS(499,16))-INDIRECT(ADDRESS(500,16)))</f>
        <v>0</v>
      </c>
      <c r="Q501">
        <f>IF(DAY(NOW())&lt;M3,INDIRECT(ADDRESS(501,16))-INDIRECT(ADDRESS(496,17))+INDIRECT(ADDRESS(497,17))-INDIRECT(ADDRESS(500,17)),INDIRECT(ADDRESS(501,16))-INDIRECT(ADDRESS(496,17))+INDIRECT(ADDRESS(499,17))-INDIRECT(ADDRESS(500,17)))</f>
        <v>0</v>
      </c>
      <c r="R501">
        <f>IF(DAY(NOW())&lt;M3,INDIRECT(ADDRESS(501,17))-INDIRECT(ADDRESS(496,18))+INDIRECT(ADDRESS(497,18))-INDIRECT(ADDRESS(500,18)),INDIRECT(ADDRESS(501,17))-INDIRECT(ADDRESS(496,18))+INDIRECT(ADDRESS(499,18))-INDIRECT(ADDRESS(500,18)))</f>
        <v>0</v>
      </c>
      <c r="S501">
        <f>IF(DAY(NOW())&lt;M3,INDIRECT(ADDRESS(501,18))-INDIRECT(ADDRESS(496,19))+INDIRECT(ADDRESS(497,19))-INDIRECT(ADDRESS(500,19)),INDIRECT(ADDRESS(501,18))-INDIRECT(ADDRESS(496,19))+INDIRECT(ADDRESS(499,19))-INDIRECT(ADDRESS(500,19)))</f>
        <v>0</v>
      </c>
      <c r="T501">
        <f>IF(DAY(NOW())&lt;M3,INDIRECT(ADDRESS(501,19))-INDIRECT(ADDRESS(496,20))+INDIRECT(ADDRESS(497,20))-INDIRECT(ADDRESS(500,20)),INDIRECT(ADDRESS(501,19))-INDIRECT(ADDRESS(496,20))+INDIRECT(ADDRESS(499,20))-INDIRECT(ADDRESS(500,20)))</f>
        <v>0</v>
      </c>
      <c r="U501">
        <f>IF(DAY(NOW())&lt;M3,INDIRECT(ADDRESS(501,20))-INDIRECT(ADDRESS(496,21))+INDIRECT(ADDRESS(497,21))-INDIRECT(ADDRESS(500,21)),INDIRECT(ADDRESS(501,20))-INDIRECT(ADDRESS(496,21))+INDIRECT(ADDRESS(499,21))-INDIRECT(ADDRESS(500,21)))</f>
        <v>0</v>
      </c>
      <c r="V501">
        <f>IF(DAY(NOW())&lt;M3,INDIRECT(ADDRESS(501,21))-INDIRECT(ADDRESS(496,22))+INDIRECT(ADDRESS(497,22))-INDIRECT(ADDRESS(500,22)),INDIRECT(ADDRESS(501,21))-INDIRECT(ADDRESS(496,22))+INDIRECT(ADDRESS(499,22))-INDIRECT(ADDRESS(500,22)))</f>
        <v>0</v>
      </c>
      <c r="W501">
        <f>IF(DAY(NOW())&lt;M3,INDIRECT(ADDRESS(501,22))-INDIRECT(ADDRESS(496,23))+INDIRECT(ADDRESS(497,23))-INDIRECT(ADDRESS(500,23)),INDIRECT(ADDRESS(501,22))-INDIRECT(ADDRESS(496,23))+INDIRECT(ADDRESS(499,23))-INDIRECT(ADDRESS(500,23)))</f>
        <v>0</v>
      </c>
      <c r="X501">
        <f>IF(DAY(NOW())&lt;M3,INDIRECT(ADDRESS(501,23))-INDIRECT(ADDRESS(496,24))+INDIRECT(ADDRESS(497,24))-INDIRECT(ADDRESS(500,24)),INDIRECT(ADDRESS(501,23))-INDIRECT(ADDRESS(496,24))+INDIRECT(ADDRESS(499,24))-INDIRECT(ADDRESS(500,24)))</f>
        <v>0</v>
      </c>
      <c r="Y501">
        <f>IF(DAY(NOW())&lt;M3,INDIRECT(ADDRESS(501,24))-INDIRECT(ADDRESS(496,25))+INDIRECT(ADDRESS(497,25))-INDIRECT(ADDRESS(500,25)),INDIRECT(ADDRESS(501,24))-INDIRECT(ADDRESS(496,25))+INDIRECT(ADDRESS(499,25))-INDIRECT(ADDRESS(500,25)))</f>
        <v>0</v>
      </c>
      <c r="Z501">
        <f>IF(DAY(NOW())&lt;M3,INDIRECT(ADDRESS(501,25))-INDIRECT(ADDRESS(496,26))+INDIRECT(ADDRESS(497,26))-INDIRECT(ADDRESS(500,26)),INDIRECT(ADDRESS(501,25))-INDIRECT(ADDRESS(496,26))+INDIRECT(ADDRESS(499,26))-INDIRECT(ADDRESS(500,26)))</f>
        <v>0</v>
      </c>
      <c r="AA501">
        <f>IF(DAY(NOW())&lt;M3,INDIRECT(ADDRESS(501,26))-INDIRECT(ADDRESS(496,27))+INDIRECT(ADDRESS(497,27))-INDIRECT(ADDRESS(500,27)),INDIRECT(ADDRESS(501,26))-INDIRECT(ADDRESS(496,27))+INDIRECT(ADDRESS(499,27))-INDIRECT(ADDRESS(500,27)))</f>
        <v>0</v>
      </c>
      <c r="AB501">
        <f>IF(DAY(NOW())&lt;M3,INDIRECT(ADDRESS(501,27))-INDIRECT(ADDRESS(496,28))+INDIRECT(ADDRESS(497,28))-INDIRECT(ADDRESS(500,28)),INDIRECT(ADDRESS(501,27))-INDIRECT(ADDRESS(496,28))+INDIRECT(ADDRESS(499,28))-INDIRECT(ADDRESS(500,28)))</f>
        <v>0</v>
      </c>
      <c r="AC501">
        <f>IF(DAY(NOW())&lt;M3,INDIRECT(ADDRESS(501,28))-INDIRECT(ADDRESS(496,29))+INDIRECT(ADDRESS(497,29))-INDIRECT(ADDRESS(500,29)),INDIRECT(ADDRESS(501,28))-INDIRECT(ADDRESS(496,29))+INDIRECT(ADDRESS(499,29))-INDIRECT(ADDRESS(500,29)))</f>
        <v>0</v>
      </c>
      <c r="AD501">
        <f>IF(DAY(NOW())&lt;M3,INDIRECT(ADDRESS(501,29))-INDIRECT(ADDRESS(496,30))+INDIRECT(ADDRESS(497,30))-INDIRECT(ADDRESS(500,30)),INDIRECT(ADDRESS(501,29))-INDIRECT(ADDRESS(496,30))+INDIRECT(ADDRESS(499,30))-INDIRECT(ADDRESS(500,30)))</f>
        <v>0</v>
      </c>
      <c r="AE501">
        <f>IF(DAY(NOW())&lt;M3,INDIRECT(ADDRESS(501,30))-INDIRECT(ADDRESS(496,31))+INDIRECT(ADDRESS(497,31))-INDIRECT(ADDRESS(500,31)),INDIRECT(ADDRESS(501,30))-INDIRECT(ADDRESS(496,31))+INDIRECT(ADDRESS(499,31))-INDIRECT(ADDRESS(500,31)))</f>
        <v>0</v>
      </c>
      <c r="AF501">
        <f>IF(DAY(NOW())&lt;M3,INDIRECT(ADDRESS(501,31))-INDIRECT(ADDRESS(496,32))+INDIRECT(ADDRESS(497,32))-INDIRECT(ADDRESS(500,32)),INDIRECT(ADDRESS(501,31))-INDIRECT(ADDRESS(496,32))+INDIRECT(ADDRESS(499,32))-INDIRECT(ADDRESS(500,32)))</f>
        <v>0</v>
      </c>
      <c r="AG501">
        <f>IF(DAY(NOW())&lt;M3,INDIRECT(ADDRESS(501,32))-INDIRECT(ADDRESS(496,33))+INDIRECT(ADDRESS(497,33))-INDIRECT(ADDRESS(500,33)),INDIRECT(ADDRESS(501,32))-INDIRECT(ADDRESS(496,33))+INDIRECT(ADDRESS(499,33))-INDIRECT(ADDRESS(500,33)))</f>
        <v>0</v>
      </c>
      <c r="AH501">
        <f>IF(DAY(NOW())&lt;M3,INDIRECT(ADDRESS(501,33))-INDIRECT(ADDRESS(496,34))+INDIRECT(ADDRESS(497,34))-INDIRECT(ADDRESS(500,34)),INDIRECT(ADDRESS(501,33))-INDIRECT(ADDRESS(496,34))+INDIRECT(ADDRESS(499,34))-INDIRECT(ADDRESS(500,34)))</f>
        <v>0</v>
      </c>
      <c r="AI501">
        <f>IF(DAY(NOW())&lt;M3,INDIRECT(ADDRESS(501,34))-INDIRECT(ADDRESS(496,35))+INDIRECT(ADDRESS(497,35))-INDIRECT(ADDRESS(500,35)),INDIRECT(ADDRESS(501,34))-INDIRECT(ADDRESS(496,35))+INDIRECT(ADDRESS(499,35))-INDIRECT(ADDRESS(500,35)))</f>
        <v>0</v>
      </c>
      <c r="AJ501">
        <f>IF(DAY(NOW())&lt;M3,INDIRECT(ADDRESS(501,35))-INDIRECT(ADDRESS(496,36))+INDIRECT(ADDRESS(497,36))-INDIRECT(ADDRESS(500,36)),INDIRECT(ADDRESS(501,35))-INDIRECT(ADDRESS(496,36))+INDIRECT(ADDRESS(499,36))-INDIRECT(ADDRESS(500,36)))</f>
        <v>0</v>
      </c>
      <c r="AK501">
        <f>IF(DAY(NOW())&lt;M3,INDIRECT(ADDRESS(501,36))-INDIRECT(ADDRESS(496,37))+INDIRECT(ADDRESS(497,37))-INDIRECT(ADDRESS(500,37)),INDIRECT(ADDRESS(501,36))-INDIRECT(ADDRESS(496,37))+INDIRECT(ADDRESS(499,37))-INDIRECT(ADDRESS(500,37)))</f>
        <v>0</v>
      </c>
      <c r="AL501">
        <f>IF(DAY(NOW())&lt;M3,INDIRECT(ADDRESS(501,37))-INDIRECT(ADDRESS(496,38))+INDIRECT(ADDRESS(497,38))-INDIRECT(ADDRESS(500,38)),INDIRECT(ADDRESS(501,37))-INDIRECT(ADDRESS(496,38))+INDIRECT(ADDRESS(499,38))-INDIRECT(ADDRESS(500,38)))</f>
        <v>0</v>
      </c>
      <c r="AM501">
        <f>IF(DAY(NOW())&lt;M3,INDIRECT(ADDRESS(501,38))-INDIRECT(ADDRESS(496,39))+INDIRECT(ADDRESS(497,39))-INDIRECT(ADDRESS(500,39)),INDIRECT(ADDRESS(501,38))-INDIRECT(ADDRESS(496,39))+INDIRECT(ADDRESS(499,39))-INDIRECT(ADDRESS(500,39)))</f>
        <v>0</v>
      </c>
      <c r="AN501">
        <f>IF(DAY(NOW())&lt;M3,INDIRECT(ADDRESS(501,39))-INDIRECT(ADDRESS(496,40))+INDIRECT(ADDRESS(497,40))-INDIRECT(ADDRESS(500,40)),INDIRECT(ADDRESS(501,39))-INDIRECT(ADDRESS(496,40))+INDIRECT(ADDRESS(499,40))-INDIRECT(ADDRESS(500,40)))</f>
        <v>0</v>
      </c>
      <c r="AO501">
        <f>IF(DAY(NOW())&lt;M3,INDIRECT(ADDRESS(501,40))-INDIRECT(ADDRESS(496,41))+INDIRECT(ADDRESS(497,41))-INDIRECT(ADDRESS(500,41)),INDIRECT(ADDRESS(501,40))-INDIRECT(ADDRESS(496,41))+INDIRECT(ADDRESS(499,41))-INDIRECT(ADDRESS(500,41)))</f>
        <v>0</v>
      </c>
      <c r="AP501">
        <f>IF(DAY(NOW())&lt;M3,INDIRECT(ADDRESS(501,41))-INDIRECT(ADDRESS(496,42))+INDIRECT(ADDRESS(497,42))-INDIRECT(ADDRESS(500,42)),INDIRECT(ADDRESS(501,41))-INDIRECT(ADDRESS(496,42))+INDIRECT(ADDRESS(499,42))-INDIRECT(ADDRESS(500,42)))</f>
        <v>0</v>
      </c>
      <c r="AQ501">
        <f>IF(DAY(NOW())&lt;M3,INDIRECT(ADDRESS(501,42))-INDIRECT(ADDRESS(496,43))+INDIRECT(ADDRESS(497,43))-INDIRECT(ADDRESS(500,43)),INDIRECT(ADDRESS(501,42))-INDIRECT(ADDRESS(496,43))+INDIRECT(ADDRESS(499,43))-INDIRECT(ADDRESS(500,43)))</f>
        <v>0</v>
      </c>
      <c r="AR501">
        <f>IF(DAY(NOW())&lt;M3,INDIRECT(ADDRESS(501,43))-INDIRECT(ADDRESS(496,44))+INDIRECT(ADDRESS(497,44))-INDIRECT(ADDRESS(500,44)),INDIRECT(ADDRESS(501,43))-INDIRECT(ADDRESS(496,44))+INDIRECT(ADDRESS(499,44))-INDIRECT(ADDRESS(500,44)))</f>
        <v>0</v>
      </c>
    </row>
    <row r="502" spans="1:76">
      <c r="A502" t="s">
        <v>14</v>
      </c>
      <c r="B502" t="s">
        <v>32</v>
      </c>
      <c r="C502" t="s">
        <v>33</v>
      </c>
      <c r="D502" t="s">
        <v>304</v>
      </c>
      <c r="E502">
        <v>1</v>
      </c>
      <c r="F502" t="s">
        <v>34</v>
      </c>
      <c r="K502" t="s">
        <v>305</v>
      </c>
      <c r="L502" t="s">
        <v>21</v>
      </c>
      <c r="BX502">
        <f>sum(j502:an502)</f>
        <v>0</v>
      </c>
    </row>
    <row r="503" spans="1:76">
      <c r="A503" t="s">
        <v>14</v>
      </c>
      <c r="B503" t="s">
        <v>32</v>
      </c>
      <c r="C503" t="s">
        <v>33</v>
      </c>
      <c r="D503" t="s">
        <v>304</v>
      </c>
      <c r="E503">
        <v>1</v>
      </c>
      <c r="F503" t="s">
        <v>34</v>
      </c>
      <c r="K503" t="s">
        <v>305</v>
      </c>
      <c r="L503" t="s">
        <v>37</v>
      </c>
    </row>
    <row r="504" spans="1:76">
      <c r="L504" t="s">
        <v>662</v>
      </c>
    </row>
    <row r="505" spans="1:76">
      <c r="L505" t="s">
        <v>663</v>
      </c>
    </row>
    <row r="506" spans="1:76">
      <c r="L506" t="s">
        <v>664</v>
      </c>
    </row>
    <row r="507" spans="1:76">
      <c r="L507" t="s">
        <v>665</v>
      </c>
      <c r="M507">
        <f>IF(DAY(NOW())&lt;M3,INDIRECT(ADDRESS(507,7))-INDIRECT(ADDRESS(502,13))+INDIRECT(ADDRESS(503,13))-INDIRECT(ADDRESS(506,13)),INDIRECT(ADDRESS(507,7))-INDIRECT(ADDRESS(502,13))+INDIRECT(ADDRESS(505,13))-INDIRECT(ADDRESS(506,13)))</f>
        <v>0</v>
      </c>
      <c r="N507">
        <f>IF(DAY(NOW())&lt;M3,INDIRECT(ADDRESS(507,13))-INDIRECT(ADDRESS(502,14))+INDIRECT(ADDRESS(503,14))-INDIRECT(ADDRESS(506,14)),INDIRECT(ADDRESS(507,13))-INDIRECT(ADDRESS(502,14))+INDIRECT(ADDRESS(505,14))-INDIRECT(ADDRESS(506,14)))</f>
        <v>0</v>
      </c>
      <c r="O507">
        <f>IF(DAY(NOW())&lt;M3,INDIRECT(ADDRESS(507,14))-INDIRECT(ADDRESS(502,15))+INDIRECT(ADDRESS(503,15))-INDIRECT(ADDRESS(506,15)),INDIRECT(ADDRESS(507,14))-INDIRECT(ADDRESS(502,15))+INDIRECT(ADDRESS(505,15))-INDIRECT(ADDRESS(506,15)))</f>
        <v>0</v>
      </c>
      <c r="P507">
        <f>IF(DAY(NOW())&lt;M3,INDIRECT(ADDRESS(507,15))-INDIRECT(ADDRESS(502,16))+INDIRECT(ADDRESS(503,16))-INDIRECT(ADDRESS(506,16)),INDIRECT(ADDRESS(507,15))-INDIRECT(ADDRESS(502,16))+INDIRECT(ADDRESS(505,16))-INDIRECT(ADDRESS(506,16)))</f>
        <v>0</v>
      </c>
      <c r="Q507">
        <f>IF(DAY(NOW())&lt;M3,INDIRECT(ADDRESS(507,16))-INDIRECT(ADDRESS(502,17))+INDIRECT(ADDRESS(503,17))-INDIRECT(ADDRESS(506,17)),INDIRECT(ADDRESS(507,16))-INDIRECT(ADDRESS(502,17))+INDIRECT(ADDRESS(505,17))-INDIRECT(ADDRESS(506,17)))</f>
        <v>0</v>
      </c>
      <c r="R507">
        <f>IF(DAY(NOW())&lt;M3,INDIRECT(ADDRESS(507,17))-INDIRECT(ADDRESS(502,18))+INDIRECT(ADDRESS(503,18))-INDIRECT(ADDRESS(506,18)),INDIRECT(ADDRESS(507,17))-INDIRECT(ADDRESS(502,18))+INDIRECT(ADDRESS(505,18))-INDIRECT(ADDRESS(506,18)))</f>
        <v>0</v>
      </c>
      <c r="S507">
        <f>IF(DAY(NOW())&lt;M3,INDIRECT(ADDRESS(507,18))-INDIRECT(ADDRESS(502,19))+INDIRECT(ADDRESS(503,19))-INDIRECT(ADDRESS(506,19)),INDIRECT(ADDRESS(507,18))-INDIRECT(ADDRESS(502,19))+INDIRECT(ADDRESS(505,19))-INDIRECT(ADDRESS(506,19)))</f>
        <v>0</v>
      </c>
      <c r="T507">
        <f>IF(DAY(NOW())&lt;M3,INDIRECT(ADDRESS(507,19))-INDIRECT(ADDRESS(502,20))+INDIRECT(ADDRESS(503,20))-INDIRECT(ADDRESS(506,20)),INDIRECT(ADDRESS(507,19))-INDIRECT(ADDRESS(502,20))+INDIRECT(ADDRESS(505,20))-INDIRECT(ADDRESS(506,20)))</f>
        <v>0</v>
      </c>
      <c r="U507">
        <f>IF(DAY(NOW())&lt;M3,INDIRECT(ADDRESS(507,20))-INDIRECT(ADDRESS(502,21))+INDIRECT(ADDRESS(503,21))-INDIRECT(ADDRESS(506,21)),INDIRECT(ADDRESS(507,20))-INDIRECT(ADDRESS(502,21))+INDIRECT(ADDRESS(505,21))-INDIRECT(ADDRESS(506,21)))</f>
        <v>0</v>
      </c>
      <c r="V507">
        <f>IF(DAY(NOW())&lt;M3,INDIRECT(ADDRESS(507,21))-INDIRECT(ADDRESS(502,22))+INDIRECT(ADDRESS(503,22))-INDIRECT(ADDRESS(506,22)),INDIRECT(ADDRESS(507,21))-INDIRECT(ADDRESS(502,22))+INDIRECT(ADDRESS(505,22))-INDIRECT(ADDRESS(506,22)))</f>
        <v>0</v>
      </c>
      <c r="W507">
        <f>IF(DAY(NOW())&lt;M3,INDIRECT(ADDRESS(507,22))-INDIRECT(ADDRESS(502,23))+INDIRECT(ADDRESS(503,23))-INDIRECT(ADDRESS(506,23)),INDIRECT(ADDRESS(507,22))-INDIRECT(ADDRESS(502,23))+INDIRECT(ADDRESS(505,23))-INDIRECT(ADDRESS(506,23)))</f>
        <v>0</v>
      </c>
      <c r="X507">
        <f>IF(DAY(NOW())&lt;M3,INDIRECT(ADDRESS(507,23))-INDIRECT(ADDRESS(502,24))+INDIRECT(ADDRESS(503,24))-INDIRECT(ADDRESS(506,24)),INDIRECT(ADDRESS(507,23))-INDIRECT(ADDRESS(502,24))+INDIRECT(ADDRESS(505,24))-INDIRECT(ADDRESS(506,24)))</f>
        <v>0</v>
      </c>
      <c r="Y507">
        <f>IF(DAY(NOW())&lt;M3,INDIRECT(ADDRESS(507,24))-INDIRECT(ADDRESS(502,25))+INDIRECT(ADDRESS(503,25))-INDIRECT(ADDRESS(506,25)),INDIRECT(ADDRESS(507,24))-INDIRECT(ADDRESS(502,25))+INDIRECT(ADDRESS(505,25))-INDIRECT(ADDRESS(506,25)))</f>
        <v>0</v>
      </c>
      <c r="Z507">
        <f>IF(DAY(NOW())&lt;M3,INDIRECT(ADDRESS(507,25))-INDIRECT(ADDRESS(502,26))+INDIRECT(ADDRESS(503,26))-INDIRECT(ADDRESS(506,26)),INDIRECT(ADDRESS(507,25))-INDIRECT(ADDRESS(502,26))+INDIRECT(ADDRESS(505,26))-INDIRECT(ADDRESS(506,26)))</f>
        <v>0</v>
      </c>
      <c r="AA507">
        <f>IF(DAY(NOW())&lt;M3,INDIRECT(ADDRESS(507,26))-INDIRECT(ADDRESS(502,27))+INDIRECT(ADDRESS(503,27))-INDIRECT(ADDRESS(506,27)),INDIRECT(ADDRESS(507,26))-INDIRECT(ADDRESS(502,27))+INDIRECT(ADDRESS(505,27))-INDIRECT(ADDRESS(506,27)))</f>
        <v>0</v>
      </c>
      <c r="AB507">
        <f>IF(DAY(NOW())&lt;M3,INDIRECT(ADDRESS(507,27))-INDIRECT(ADDRESS(502,28))+INDIRECT(ADDRESS(503,28))-INDIRECT(ADDRESS(506,28)),INDIRECT(ADDRESS(507,27))-INDIRECT(ADDRESS(502,28))+INDIRECT(ADDRESS(505,28))-INDIRECT(ADDRESS(506,28)))</f>
        <v>0</v>
      </c>
      <c r="AC507">
        <f>IF(DAY(NOW())&lt;M3,INDIRECT(ADDRESS(507,28))-INDIRECT(ADDRESS(502,29))+INDIRECT(ADDRESS(503,29))-INDIRECT(ADDRESS(506,29)),INDIRECT(ADDRESS(507,28))-INDIRECT(ADDRESS(502,29))+INDIRECT(ADDRESS(505,29))-INDIRECT(ADDRESS(506,29)))</f>
        <v>0</v>
      </c>
      <c r="AD507">
        <f>IF(DAY(NOW())&lt;M3,INDIRECT(ADDRESS(507,29))-INDIRECT(ADDRESS(502,30))+INDIRECT(ADDRESS(503,30))-INDIRECT(ADDRESS(506,30)),INDIRECT(ADDRESS(507,29))-INDIRECT(ADDRESS(502,30))+INDIRECT(ADDRESS(505,30))-INDIRECT(ADDRESS(506,30)))</f>
        <v>0</v>
      </c>
      <c r="AE507">
        <f>IF(DAY(NOW())&lt;M3,INDIRECT(ADDRESS(507,30))-INDIRECT(ADDRESS(502,31))+INDIRECT(ADDRESS(503,31))-INDIRECT(ADDRESS(506,31)),INDIRECT(ADDRESS(507,30))-INDIRECT(ADDRESS(502,31))+INDIRECT(ADDRESS(505,31))-INDIRECT(ADDRESS(506,31)))</f>
        <v>0</v>
      </c>
      <c r="AF507">
        <f>IF(DAY(NOW())&lt;M3,INDIRECT(ADDRESS(507,31))-INDIRECT(ADDRESS(502,32))+INDIRECT(ADDRESS(503,32))-INDIRECT(ADDRESS(506,32)),INDIRECT(ADDRESS(507,31))-INDIRECT(ADDRESS(502,32))+INDIRECT(ADDRESS(505,32))-INDIRECT(ADDRESS(506,32)))</f>
        <v>0</v>
      </c>
      <c r="AG507">
        <f>IF(DAY(NOW())&lt;M3,INDIRECT(ADDRESS(507,32))-INDIRECT(ADDRESS(502,33))+INDIRECT(ADDRESS(503,33))-INDIRECT(ADDRESS(506,33)),INDIRECT(ADDRESS(507,32))-INDIRECT(ADDRESS(502,33))+INDIRECT(ADDRESS(505,33))-INDIRECT(ADDRESS(506,33)))</f>
        <v>0</v>
      </c>
      <c r="AH507">
        <f>IF(DAY(NOW())&lt;M3,INDIRECT(ADDRESS(507,33))-INDIRECT(ADDRESS(502,34))+INDIRECT(ADDRESS(503,34))-INDIRECT(ADDRESS(506,34)),INDIRECT(ADDRESS(507,33))-INDIRECT(ADDRESS(502,34))+INDIRECT(ADDRESS(505,34))-INDIRECT(ADDRESS(506,34)))</f>
        <v>0</v>
      </c>
      <c r="AI507">
        <f>IF(DAY(NOW())&lt;M3,INDIRECT(ADDRESS(507,34))-INDIRECT(ADDRESS(502,35))+INDIRECT(ADDRESS(503,35))-INDIRECT(ADDRESS(506,35)),INDIRECT(ADDRESS(507,34))-INDIRECT(ADDRESS(502,35))+INDIRECT(ADDRESS(505,35))-INDIRECT(ADDRESS(506,35)))</f>
        <v>0</v>
      </c>
      <c r="AJ507">
        <f>IF(DAY(NOW())&lt;M3,INDIRECT(ADDRESS(507,35))-INDIRECT(ADDRESS(502,36))+INDIRECT(ADDRESS(503,36))-INDIRECT(ADDRESS(506,36)),INDIRECT(ADDRESS(507,35))-INDIRECT(ADDRESS(502,36))+INDIRECT(ADDRESS(505,36))-INDIRECT(ADDRESS(506,36)))</f>
        <v>0</v>
      </c>
      <c r="AK507">
        <f>IF(DAY(NOW())&lt;M3,INDIRECT(ADDRESS(507,36))-INDIRECT(ADDRESS(502,37))+INDIRECT(ADDRESS(503,37))-INDIRECT(ADDRESS(506,37)),INDIRECT(ADDRESS(507,36))-INDIRECT(ADDRESS(502,37))+INDIRECT(ADDRESS(505,37))-INDIRECT(ADDRESS(506,37)))</f>
        <v>0</v>
      </c>
      <c r="AL507">
        <f>IF(DAY(NOW())&lt;M3,INDIRECT(ADDRESS(507,37))-INDIRECT(ADDRESS(502,38))+INDIRECT(ADDRESS(503,38))-INDIRECT(ADDRESS(506,38)),INDIRECT(ADDRESS(507,37))-INDIRECT(ADDRESS(502,38))+INDIRECT(ADDRESS(505,38))-INDIRECT(ADDRESS(506,38)))</f>
        <v>0</v>
      </c>
      <c r="AM507">
        <f>IF(DAY(NOW())&lt;M3,INDIRECT(ADDRESS(507,38))-INDIRECT(ADDRESS(502,39))+INDIRECT(ADDRESS(503,39))-INDIRECT(ADDRESS(506,39)),INDIRECT(ADDRESS(507,38))-INDIRECT(ADDRESS(502,39))+INDIRECT(ADDRESS(505,39))-INDIRECT(ADDRESS(506,39)))</f>
        <v>0</v>
      </c>
      <c r="AN507">
        <f>IF(DAY(NOW())&lt;M3,INDIRECT(ADDRESS(507,39))-INDIRECT(ADDRESS(502,40))+INDIRECT(ADDRESS(503,40))-INDIRECT(ADDRESS(506,40)),INDIRECT(ADDRESS(507,39))-INDIRECT(ADDRESS(502,40))+INDIRECT(ADDRESS(505,40))-INDIRECT(ADDRESS(506,40)))</f>
        <v>0</v>
      </c>
      <c r="AO507">
        <f>IF(DAY(NOW())&lt;M3,INDIRECT(ADDRESS(507,40))-INDIRECT(ADDRESS(502,41))+INDIRECT(ADDRESS(503,41))-INDIRECT(ADDRESS(506,41)),INDIRECT(ADDRESS(507,40))-INDIRECT(ADDRESS(502,41))+INDIRECT(ADDRESS(505,41))-INDIRECT(ADDRESS(506,41)))</f>
        <v>0</v>
      </c>
      <c r="AP507">
        <f>IF(DAY(NOW())&lt;M3,INDIRECT(ADDRESS(507,41))-INDIRECT(ADDRESS(502,42))+INDIRECT(ADDRESS(503,42))-INDIRECT(ADDRESS(506,42)),INDIRECT(ADDRESS(507,41))-INDIRECT(ADDRESS(502,42))+INDIRECT(ADDRESS(505,42))-INDIRECT(ADDRESS(506,42)))</f>
        <v>0</v>
      </c>
      <c r="AQ507">
        <f>IF(DAY(NOW())&lt;M3,INDIRECT(ADDRESS(507,42))-INDIRECT(ADDRESS(502,43))+INDIRECT(ADDRESS(503,43))-INDIRECT(ADDRESS(506,43)),INDIRECT(ADDRESS(507,42))-INDIRECT(ADDRESS(502,43))+INDIRECT(ADDRESS(505,43))-INDIRECT(ADDRESS(506,43)))</f>
        <v>0</v>
      </c>
      <c r="AR507">
        <f>IF(DAY(NOW())&lt;M3,INDIRECT(ADDRESS(507,43))-INDIRECT(ADDRESS(502,44))+INDIRECT(ADDRESS(503,44))-INDIRECT(ADDRESS(506,44)),INDIRECT(ADDRESS(507,43))-INDIRECT(ADDRESS(502,44))+INDIRECT(ADDRESS(505,44))-INDIRECT(ADDRESS(506,44)))</f>
        <v>0</v>
      </c>
    </row>
    <row r="508" spans="1:76">
      <c r="A508" t="s">
        <v>31</v>
      </c>
      <c r="B508" t="s">
        <v>306</v>
      </c>
      <c r="C508" t="s">
        <v>307</v>
      </c>
      <c r="D508" t="s">
        <v>17</v>
      </c>
      <c r="E508">
        <v>1</v>
      </c>
      <c r="F508">
        <v>9110001223</v>
      </c>
      <c r="K508" t="s">
        <v>308</v>
      </c>
      <c r="L508" t="s">
        <v>21</v>
      </c>
      <c r="M508">
        <f>sumifs(BOM!m:m,BOM!A:A,".1",BOM!B:B,"222-227000-000")</f>
        <v>0</v>
      </c>
      <c r="N508">
        <f>sumifs(BOM!n:n,BOM!A:A,".1",BOM!B:B,"222-227000-000")</f>
        <v>0</v>
      </c>
      <c r="O508">
        <f>sumifs(BOM!o:o,BOM!A:A,".1",BOM!B:B,"222-227000-000")</f>
        <v>0</v>
      </c>
      <c r="P508">
        <f>sumifs(BOM!p:p,BOM!A:A,".1",BOM!B:B,"222-227000-000")</f>
        <v>0</v>
      </c>
      <c r="Q508">
        <f>sumifs(BOM!q:q,BOM!A:A,".1",BOM!B:B,"222-227000-000")</f>
        <v>0</v>
      </c>
      <c r="R508">
        <f>sumifs(BOM!r:r,BOM!A:A,".1",BOM!B:B,"222-227000-000")</f>
        <v>0</v>
      </c>
      <c r="S508">
        <f>sumifs(BOM!s:s,BOM!A:A,".1",BOM!B:B,"222-227000-000")</f>
        <v>0</v>
      </c>
      <c r="T508">
        <f>sumifs(BOM!t:t,BOM!A:A,".1",BOM!B:B,"222-227000-000")</f>
        <v>0</v>
      </c>
      <c r="U508">
        <f>sumifs(BOM!u:u,BOM!A:A,".1",BOM!B:B,"222-227000-000")</f>
        <v>0</v>
      </c>
      <c r="V508">
        <f>sumifs(BOM!v:v,BOM!A:A,".1",BOM!B:B,"222-227000-000")</f>
        <v>0</v>
      </c>
      <c r="W508">
        <f>sumifs(BOM!w:w,BOM!A:A,".1",BOM!B:B,"222-227000-000")</f>
        <v>0</v>
      </c>
      <c r="X508">
        <f>sumifs(BOM!x:x,BOM!A:A,".1",BOM!B:B,"222-227000-000")</f>
        <v>0</v>
      </c>
      <c r="Y508">
        <f>sumifs(BOM!y:y,BOM!A:A,".1",BOM!B:B,"222-227000-000")</f>
        <v>0</v>
      </c>
      <c r="Z508">
        <f>sumifs(BOM!z:z,BOM!A:A,".1",BOM!B:B,"222-227000-000")</f>
        <v>0</v>
      </c>
      <c r="AA508">
        <f>sumifs(BOM!aa:aa,BOM!A:A,".1",BOM!B:B,"222-227000-000")</f>
        <v>0</v>
      </c>
      <c r="AB508">
        <f>sumifs(BOM!ab:ab,BOM!A:A,".1",BOM!B:B,"222-227000-000")</f>
        <v>0</v>
      </c>
      <c r="AC508">
        <f>sumifs(BOM!ac:ac,BOM!A:A,".1",BOM!B:B,"222-227000-000")</f>
        <v>0</v>
      </c>
      <c r="AD508">
        <f>sumifs(BOM!ad:ad,BOM!A:A,".1",BOM!B:B,"222-227000-000")</f>
        <v>0</v>
      </c>
      <c r="AE508">
        <f>sumifs(BOM!ae:ae,BOM!A:A,".1",BOM!B:B,"222-227000-000")</f>
        <v>0</v>
      </c>
      <c r="AF508">
        <f>sumifs(BOM!af:af,BOM!A:A,".1",BOM!B:B,"222-227000-000")</f>
        <v>0</v>
      </c>
      <c r="AG508">
        <f>sumifs(BOM!ag:ag,BOM!A:A,".1",BOM!B:B,"222-227000-000")</f>
        <v>0</v>
      </c>
      <c r="AH508">
        <f>sumifs(BOM!ah:ah,BOM!A:A,".1",BOM!B:B,"222-227000-000")</f>
        <v>0</v>
      </c>
      <c r="AI508">
        <f>sumifs(BOM!ai:ai,BOM!A:A,".1",BOM!B:B,"222-227000-000")</f>
        <v>0</v>
      </c>
      <c r="AJ508">
        <f>sumifs(BOM!aj:aj,BOM!A:A,".1",BOM!B:B,"222-227000-000")</f>
        <v>0</v>
      </c>
      <c r="AK508">
        <f>sumifs(BOM!ak:ak,BOM!A:A,".1",BOM!B:B,"222-227000-000")</f>
        <v>0</v>
      </c>
      <c r="AL508">
        <f>sumifs(BOM!al:al,BOM!A:A,".1",BOM!B:B,"222-227000-000")</f>
        <v>0</v>
      </c>
      <c r="AM508">
        <f>sumifs(BOM!am:am,BOM!A:A,".1",BOM!B:B,"222-227000-000")</f>
        <v>0</v>
      </c>
      <c r="AN508">
        <f>sumifs(BOM!an:an,BOM!A:A,".1",BOM!B:B,"222-227000-000")</f>
        <v>0</v>
      </c>
      <c r="AO508">
        <f>sumifs(BOM!ao:ao,BOM!A:A,".1",BOM!B:B,"222-227000-000")</f>
        <v>0</v>
      </c>
      <c r="AP508">
        <f>sumifs(BOM!ap:ap,BOM!A:A,".1",BOM!B:B,"222-227000-000")</f>
        <v>0</v>
      </c>
      <c r="AQ508">
        <f>sumifs(BOM!aq:aq,BOM!A:A,".1",BOM!B:B,"222-227000-000")</f>
        <v>0</v>
      </c>
      <c r="AR508">
        <f>sumifs(BOM!ar:ar,BOM!A:A,".1",BOM!B:B,"222-227000-000")</f>
        <v>0</v>
      </c>
      <c r="BX508">
        <f>sum(j508:an508)</f>
        <v>0</v>
      </c>
    </row>
    <row r="509" spans="1:76">
      <c r="A509" t="s">
        <v>31</v>
      </c>
      <c r="B509" t="s">
        <v>306</v>
      </c>
      <c r="C509" t="s">
        <v>307</v>
      </c>
      <c r="D509" t="s">
        <v>17</v>
      </c>
      <c r="E509">
        <v>1</v>
      </c>
      <c r="F509">
        <v>9110001223</v>
      </c>
      <c r="K509" t="s">
        <v>308</v>
      </c>
      <c r="L509" t="s">
        <v>37</v>
      </c>
    </row>
    <row r="510" spans="1:76">
      <c r="L510" t="s">
        <v>662</v>
      </c>
    </row>
    <row r="511" spans="1:76">
      <c r="L511" t="s">
        <v>663</v>
      </c>
    </row>
    <row r="512" spans="1:76">
      <c r="L512" t="s">
        <v>664</v>
      </c>
    </row>
    <row r="513" spans="1:76">
      <c r="L513" t="s">
        <v>665</v>
      </c>
      <c r="M513">
        <f>IF(DAY(NOW())&lt;M3,INDIRECT(ADDRESS(513,7))-INDIRECT(ADDRESS(508,13))+INDIRECT(ADDRESS(509,13))-INDIRECT(ADDRESS(512,13)),INDIRECT(ADDRESS(513,7))-INDIRECT(ADDRESS(508,13))+INDIRECT(ADDRESS(511,13))-INDIRECT(ADDRESS(512,13)))</f>
        <v>0</v>
      </c>
      <c r="N513">
        <f>IF(DAY(NOW())&lt;M3,INDIRECT(ADDRESS(513,13))-INDIRECT(ADDRESS(508,14))+INDIRECT(ADDRESS(509,14))-INDIRECT(ADDRESS(512,14)),INDIRECT(ADDRESS(513,13))-INDIRECT(ADDRESS(508,14))+INDIRECT(ADDRESS(511,14))-INDIRECT(ADDRESS(512,14)))</f>
        <v>0</v>
      </c>
      <c r="O513">
        <f>IF(DAY(NOW())&lt;M3,INDIRECT(ADDRESS(513,14))-INDIRECT(ADDRESS(508,15))+INDIRECT(ADDRESS(509,15))-INDIRECT(ADDRESS(512,15)),INDIRECT(ADDRESS(513,14))-INDIRECT(ADDRESS(508,15))+INDIRECT(ADDRESS(511,15))-INDIRECT(ADDRESS(512,15)))</f>
        <v>0</v>
      </c>
      <c r="P513">
        <f>IF(DAY(NOW())&lt;M3,INDIRECT(ADDRESS(513,15))-INDIRECT(ADDRESS(508,16))+INDIRECT(ADDRESS(509,16))-INDIRECT(ADDRESS(512,16)),INDIRECT(ADDRESS(513,15))-INDIRECT(ADDRESS(508,16))+INDIRECT(ADDRESS(511,16))-INDIRECT(ADDRESS(512,16)))</f>
        <v>0</v>
      </c>
      <c r="Q513">
        <f>IF(DAY(NOW())&lt;M3,INDIRECT(ADDRESS(513,16))-INDIRECT(ADDRESS(508,17))+INDIRECT(ADDRESS(509,17))-INDIRECT(ADDRESS(512,17)),INDIRECT(ADDRESS(513,16))-INDIRECT(ADDRESS(508,17))+INDIRECT(ADDRESS(511,17))-INDIRECT(ADDRESS(512,17)))</f>
        <v>0</v>
      </c>
      <c r="R513">
        <f>IF(DAY(NOW())&lt;M3,INDIRECT(ADDRESS(513,17))-INDIRECT(ADDRESS(508,18))+INDIRECT(ADDRESS(509,18))-INDIRECT(ADDRESS(512,18)),INDIRECT(ADDRESS(513,17))-INDIRECT(ADDRESS(508,18))+INDIRECT(ADDRESS(511,18))-INDIRECT(ADDRESS(512,18)))</f>
        <v>0</v>
      </c>
      <c r="S513">
        <f>IF(DAY(NOW())&lt;M3,INDIRECT(ADDRESS(513,18))-INDIRECT(ADDRESS(508,19))+INDIRECT(ADDRESS(509,19))-INDIRECT(ADDRESS(512,19)),INDIRECT(ADDRESS(513,18))-INDIRECT(ADDRESS(508,19))+INDIRECT(ADDRESS(511,19))-INDIRECT(ADDRESS(512,19)))</f>
        <v>0</v>
      </c>
      <c r="T513">
        <f>IF(DAY(NOW())&lt;M3,INDIRECT(ADDRESS(513,19))-INDIRECT(ADDRESS(508,20))+INDIRECT(ADDRESS(509,20))-INDIRECT(ADDRESS(512,20)),INDIRECT(ADDRESS(513,19))-INDIRECT(ADDRESS(508,20))+INDIRECT(ADDRESS(511,20))-INDIRECT(ADDRESS(512,20)))</f>
        <v>0</v>
      </c>
      <c r="U513">
        <f>IF(DAY(NOW())&lt;M3,INDIRECT(ADDRESS(513,20))-INDIRECT(ADDRESS(508,21))+INDIRECT(ADDRESS(509,21))-INDIRECT(ADDRESS(512,21)),INDIRECT(ADDRESS(513,20))-INDIRECT(ADDRESS(508,21))+INDIRECT(ADDRESS(511,21))-INDIRECT(ADDRESS(512,21)))</f>
        <v>0</v>
      </c>
      <c r="V513">
        <f>IF(DAY(NOW())&lt;M3,INDIRECT(ADDRESS(513,21))-INDIRECT(ADDRESS(508,22))+INDIRECT(ADDRESS(509,22))-INDIRECT(ADDRESS(512,22)),INDIRECT(ADDRESS(513,21))-INDIRECT(ADDRESS(508,22))+INDIRECT(ADDRESS(511,22))-INDIRECT(ADDRESS(512,22)))</f>
        <v>0</v>
      </c>
      <c r="W513">
        <f>IF(DAY(NOW())&lt;M3,INDIRECT(ADDRESS(513,22))-INDIRECT(ADDRESS(508,23))+INDIRECT(ADDRESS(509,23))-INDIRECT(ADDRESS(512,23)),INDIRECT(ADDRESS(513,22))-INDIRECT(ADDRESS(508,23))+INDIRECT(ADDRESS(511,23))-INDIRECT(ADDRESS(512,23)))</f>
        <v>0</v>
      </c>
      <c r="X513">
        <f>IF(DAY(NOW())&lt;M3,INDIRECT(ADDRESS(513,23))-INDIRECT(ADDRESS(508,24))+INDIRECT(ADDRESS(509,24))-INDIRECT(ADDRESS(512,24)),INDIRECT(ADDRESS(513,23))-INDIRECT(ADDRESS(508,24))+INDIRECT(ADDRESS(511,24))-INDIRECT(ADDRESS(512,24)))</f>
        <v>0</v>
      </c>
      <c r="Y513">
        <f>IF(DAY(NOW())&lt;M3,INDIRECT(ADDRESS(513,24))-INDIRECT(ADDRESS(508,25))+INDIRECT(ADDRESS(509,25))-INDIRECT(ADDRESS(512,25)),INDIRECT(ADDRESS(513,24))-INDIRECT(ADDRESS(508,25))+INDIRECT(ADDRESS(511,25))-INDIRECT(ADDRESS(512,25)))</f>
        <v>0</v>
      </c>
      <c r="Z513">
        <f>IF(DAY(NOW())&lt;M3,INDIRECT(ADDRESS(513,25))-INDIRECT(ADDRESS(508,26))+INDIRECT(ADDRESS(509,26))-INDIRECT(ADDRESS(512,26)),INDIRECT(ADDRESS(513,25))-INDIRECT(ADDRESS(508,26))+INDIRECT(ADDRESS(511,26))-INDIRECT(ADDRESS(512,26)))</f>
        <v>0</v>
      </c>
      <c r="AA513">
        <f>IF(DAY(NOW())&lt;M3,INDIRECT(ADDRESS(513,26))-INDIRECT(ADDRESS(508,27))+INDIRECT(ADDRESS(509,27))-INDIRECT(ADDRESS(512,27)),INDIRECT(ADDRESS(513,26))-INDIRECT(ADDRESS(508,27))+INDIRECT(ADDRESS(511,27))-INDIRECT(ADDRESS(512,27)))</f>
        <v>0</v>
      </c>
      <c r="AB513">
        <f>IF(DAY(NOW())&lt;M3,INDIRECT(ADDRESS(513,27))-INDIRECT(ADDRESS(508,28))+INDIRECT(ADDRESS(509,28))-INDIRECT(ADDRESS(512,28)),INDIRECT(ADDRESS(513,27))-INDIRECT(ADDRESS(508,28))+INDIRECT(ADDRESS(511,28))-INDIRECT(ADDRESS(512,28)))</f>
        <v>0</v>
      </c>
      <c r="AC513">
        <f>IF(DAY(NOW())&lt;M3,INDIRECT(ADDRESS(513,28))-INDIRECT(ADDRESS(508,29))+INDIRECT(ADDRESS(509,29))-INDIRECT(ADDRESS(512,29)),INDIRECT(ADDRESS(513,28))-INDIRECT(ADDRESS(508,29))+INDIRECT(ADDRESS(511,29))-INDIRECT(ADDRESS(512,29)))</f>
        <v>0</v>
      </c>
      <c r="AD513">
        <f>IF(DAY(NOW())&lt;M3,INDIRECT(ADDRESS(513,29))-INDIRECT(ADDRESS(508,30))+INDIRECT(ADDRESS(509,30))-INDIRECT(ADDRESS(512,30)),INDIRECT(ADDRESS(513,29))-INDIRECT(ADDRESS(508,30))+INDIRECT(ADDRESS(511,30))-INDIRECT(ADDRESS(512,30)))</f>
        <v>0</v>
      </c>
      <c r="AE513">
        <f>IF(DAY(NOW())&lt;M3,INDIRECT(ADDRESS(513,30))-INDIRECT(ADDRESS(508,31))+INDIRECT(ADDRESS(509,31))-INDIRECT(ADDRESS(512,31)),INDIRECT(ADDRESS(513,30))-INDIRECT(ADDRESS(508,31))+INDIRECT(ADDRESS(511,31))-INDIRECT(ADDRESS(512,31)))</f>
        <v>0</v>
      </c>
      <c r="AF513">
        <f>IF(DAY(NOW())&lt;M3,INDIRECT(ADDRESS(513,31))-INDIRECT(ADDRESS(508,32))+INDIRECT(ADDRESS(509,32))-INDIRECT(ADDRESS(512,32)),INDIRECT(ADDRESS(513,31))-INDIRECT(ADDRESS(508,32))+INDIRECT(ADDRESS(511,32))-INDIRECT(ADDRESS(512,32)))</f>
        <v>0</v>
      </c>
      <c r="AG513">
        <f>IF(DAY(NOW())&lt;M3,INDIRECT(ADDRESS(513,32))-INDIRECT(ADDRESS(508,33))+INDIRECT(ADDRESS(509,33))-INDIRECT(ADDRESS(512,33)),INDIRECT(ADDRESS(513,32))-INDIRECT(ADDRESS(508,33))+INDIRECT(ADDRESS(511,33))-INDIRECT(ADDRESS(512,33)))</f>
        <v>0</v>
      </c>
      <c r="AH513">
        <f>IF(DAY(NOW())&lt;M3,INDIRECT(ADDRESS(513,33))-INDIRECT(ADDRESS(508,34))+INDIRECT(ADDRESS(509,34))-INDIRECT(ADDRESS(512,34)),INDIRECT(ADDRESS(513,33))-INDIRECT(ADDRESS(508,34))+INDIRECT(ADDRESS(511,34))-INDIRECT(ADDRESS(512,34)))</f>
        <v>0</v>
      </c>
      <c r="AI513">
        <f>IF(DAY(NOW())&lt;M3,INDIRECT(ADDRESS(513,34))-INDIRECT(ADDRESS(508,35))+INDIRECT(ADDRESS(509,35))-INDIRECT(ADDRESS(512,35)),INDIRECT(ADDRESS(513,34))-INDIRECT(ADDRESS(508,35))+INDIRECT(ADDRESS(511,35))-INDIRECT(ADDRESS(512,35)))</f>
        <v>0</v>
      </c>
      <c r="AJ513">
        <f>IF(DAY(NOW())&lt;M3,INDIRECT(ADDRESS(513,35))-INDIRECT(ADDRESS(508,36))+INDIRECT(ADDRESS(509,36))-INDIRECT(ADDRESS(512,36)),INDIRECT(ADDRESS(513,35))-INDIRECT(ADDRESS(508,36))+INDIRECT(ADDRESS(511,36))-INDIRECT(ADDRESS(512,36)))</f>
        <v>0</v>
      </c>
      <c r="AK513">
        <f>IF(DAY(NOW())&lt;M3,INDIRECT(ADDRESS(513,36))-INDIRECT(ADDRESS(508,37))+INDIRECT(ADDRESS(509,37))-INDIRECT(ADDRESS(512,37)),INDIRECT(ADDRESS(513,36))-INDIRECT(ADDRESS(508,37))+INDIRECT(ADDRESS(511,37))-INDIRECT(ADDRESS(512,37)))</f>
        <v>0</v>
      </c>
      <c r="AL513">
        <f>IF(DAY(NOW())&lt;M3,INDIRECT(ADDRESS(513,37))-INDIRECT(ADDRESS(508,38))+INDIRECT(ADDRESS(509,38))-INDIRECT(ADDRESS(512,38)),INDIRECT(ADDRESS(513,37))-INDIRECT(ADDRESS(508,38))+INDIRECT(ADDRESS(511,38))-INDIRECT(ADDRESS(512,38)))</f>
        <v>0</v>
      </c>
      <c r="AM513">
        <f>IF(DAY(NOW())&lt;M3,INDIRECT(ADDRESS(513,38))-INDIRECT(ADDRESS(508,39))+INDIRECT(ADDRESS(509,39))-INDIRECT(ADDRESS(512,39)),INDIRECT(ADDRESS(513,38))-INDIRECT(ADDRESS(508,39))+INDIRECT(ADDRESS(511,39))-INDIRECT(ADDRESS(512,39)))</f>
        <v>0</v>
      </c>
      <c r="AN513">
        <f>IF(DAY(NOW())&lt;M3,INDIRECT(ADDRESS(513,39))-INDIRECT(ADDRESS(508,40))+INDIRECT(ADDRESS(509,40))-INDIRECT(ADDRESS(512,40)),INDIRECT(ADDRESS(513,39))-INDIRECT(ADDRESS(508,40))+INDIRECT(ADDRESS(511,40))-INDIRECT(ADDRESS(512,40)))</f>
        <v>0</v>
      </c>
      <c r="AO513">
        <f>IF(DAY(NOW())&lt;M3,INDIRECT(ADDRESS(513,40))-INDIRECT(ADDRESS(508,41))+INDIRECT(ADDRESS(509,41))-INDIRECT(ADDRESS(512,41)),INDIRECT(ADDRESS(513,40))-INDIRECT(ADDRESS(508,41))+INDIRECT(ADDRESS(511,41))-INDIRECT(ADDRESS(512,41)))</f>
        <v>0</v>
      </c>
      <c r="AP513">
        <f>IF(DAY(NOW())&lt;M3,INDIRECT(ADDRESS(513,41))-INDIRECT(ADDRESS(508,42))+INDIRECT(ADDRESS(509,42))-INDIRECT(ADDRESS(512,42)),INDIRECT(ADDRESS(513,41))-INDIRECT(ADDRESS(508,42))+INDIRECT(ADDRESS(511,42))-INDIRECT(ADDRESS(512,42)))</f>
        <v>0</v>
      </c>
      <c r="AQ513">
        <f>IF(DAY(NOW())&lt;M3,INDIRECT(ADDRESS(513,42))-INDIRECT(ADDRESS(508,43))+INDIRECT(ADDRESS(509,43))-INDIRECT(ADDRESS(512,43)),INDIRECT(ADDRESS(513,42))-INDIRECT(ADDRESS(508,43))+INDIRECT(ADDRESS(511,43))-INDIRECT(ADDRESS(512,43)))</f>
        <v>0</v>
      </c>
      <c r="AR513">
        <f>IF(DAY(NOW())&lt;M3,INDIRECT(ADDRESS(513,43))-INDIRECT(ADDRESS(508,44))+INDIRECT(ADDRESS(509,44))-INDIRECT(ADDRESS(512,44)),INDIRECT(ADDRESS(513,43))-INDIRECT(ADDRESS(508,44))+INDIRECT(ADDRESS(511,44))-INDIRECT(ADDRESS(512,44)))</f>
        <v>0</v>
      </c>
    </row>
    <row r="514" spans="1:76">
      <c r="A514" t="s">
        <v>14</v>
      </c>
      <c r="B514" t="s">
        <v>41</v>
      </c>
      <c r="C514" t="s">
        <v>42</v>
      </c>
      <c r="D514" t="s">
        <v>304</v>
      </c>
      <c r="E514">
        <v>1</v>
      </c>
      <c r="F514" t="s">
        <v>43</v>
      </c>
      <c r="K514" t="s">
        <v>305</v>
      </c>
      <c r="L514" t="s">
        <v>21</v>
      </c>
      <c r="BX514">
        <f>sum(j514:an514)</f>
        <v>0</v>
      </c>
    </row>
    <row r="515" spans="1:76">
      <c r="A515" t="s">
        <v>14</v>
      </c>
      <c r="B515" t="s">
        <v>41</v>
      </c>
      <c r="C515" t="s">
        <v>42</v>
      </c>
      <c r="D515" t="s">
        <v>304</v>
      </c>
      <c r="E515">
        <v>1</v>
      </c>
      <c r="F515" t="s">
        <v>43</v>
      </c>
      <c r="K515" t="s">
        <v>305</v>
      </c>
      <c r="L515" t="s">
        <v>37</v>
      </c>
    </row>
    <row r="516" spans="1:76">
      <c r="L516" t="s">
        <v>662</v>
      </c>
    </row>
    <row r="517" spans="1:76">
      <c r="L517" t="s">
        <v>663</v>
      </c>
    </row>
    <row r="518" spans="1:76">
      <c r="L518" t="s">
        <v>664</v>
      </c>
    </row>
    <row r="519" spans="1:76">
      <c r="L519" t="s">
        <v>665</v>
      </c>
      <c r="M519">
        <f>IF(DAY(NOW())&lt;M3,INDIRECT(ADDRESS(519,7))-INDIRECT(ADDRESS(514,13))+INDIRECT(ADDRESS(515,13))-INDIRECT(ADDRESS(518,13)),INDIRECT(ADDRESS(519,7))-INDIRECT(ADDRESS(514,13))+INDIRECT(ADDRESS(517,13))-INDIRECT(ADDRESS(518,13)))</f>
        <v>0</v>
      </c>
      <c r="N519">
        <f>IF(DAY(NOW())&lt;M3,INDIRECT(ADDRESS(519,13))-INDIRECT(ADDRESS(514,14))+INDIRECT(ADDRESS(515,14))-INDIRECT(ADDRESS(518,14)),INDIRECT(ADDRESS(519,13))-INDIRECT(ADDRESS(514,14))+INDIRECT(ADDRESS(517,14))-INDIRECT(ADDRESS(518,14)))</f>
        <v>0</v>
      </c>
      <c r="O519">
        <f>IF(DAY(NOW())&lt;M3,INDIRECT(ADDRESS(519,14))-INDIRECT(ADDRESS(514,15))+INDIRECT(ADDRESS(515,15))-INDIRECT(ADDRESS(518,15)),INDIRECT(ADDRESS(519,14))-INDIRECT(ADDRESS(514,15))+INDIRECT(ADDRESS(517,15))-INDIRECT(ADDRESS(518,15)))</f>
        <v>0</v>
      </c>
      <c r="P519">
        <f>IF(DAY(NOW())&lt;M3,INDIRECT(ADDRESS(519,15))-INDIRECT(ADDRESS(514,16))+INDIRECT(ADDRESS(515,16))-INDIRECT(ADDRESS(518,16)),INDIRECT(ADDRESS(519,15))-INDIRECT(ADDRESS(514,16))+INDIRECT(ADDRESS(517,16))-INDIRECT(ADDRESS(518,16)))</f>
        <v>0</v>
      </c>
      <c r="Q519">
        <f>IF(DAY(NOW())&lt;M3,INDIRECT(ADDRESS(519,16))-INDIRECT(ADDRESS(514,17))+INDIRECT(ADDRESS(515,17))-INDIRECT(ADDRESS(518,17)),INDIRECT(ADDRESS(519,16))-INDIRECT(ADDRESS(514,17))+INDIRECT(ADDRESS(517,17))-INDIRECT(ADDRESS(518,17)))</f>
        <v>0</v>
      </c>
      <c r="R519">
        <f>IF(DAY(NOW())&lt;M3,INDIRECT(ADDRESS(519,17))-INDIRECT(ADDRESS(514,18))+INDIRECT(ADDRESS(515,18))-INDIRECT(ADDRESS(518,18)),INDIRECT(ADDRESS(519,17))-INDIRECT(ADDRESS(514,18))+INDIRECT(ADDRESS(517,18))-INDIRECT(ADDRESS(518,18)))</f>
        <v>0</v>
      </c>
      <c r="S519">
        <f>IF(DAY(NOW())&lt;M3,INDIRECT(ADDRESS(519,18))-INDIRECT(ADDRESS(514,19))+INDIRECT(ADDRESS(515,19))-INDIRECT(ADDRESS(518,19)),INDIRECT(ADDRESS(519,18))-INDIRECT(ADDRESS(514,19))+INDIRECT(ADDRESS(517,19))-INDIRECT(ADDRESS(518,19)))</f>
        <v>0</v>
      </c>
      <c r="T519">
        <f>IF(DAY(NOW())&lt;M3,INDIRECT(ADDRESS(519,19))-INDIRECT(ADDRESS(514,20))+INDIRECT(ADDRESS(515,20))-INDIRECT(ADDRESS(518,20)),INDIRECT(ADDRESS(519,19))-INDIRECT(ADDRESS(514,20))+INDIRECT(ADDRESS(517,20))-INDIRECT(ADDRESS(518,20)))</f>
        <v>0</v>
      </c>
      <c r="U519">
        <f>IF(DAY(NOW())&lt;M3,INDIRECT(ADDRESS(519,20))-INDIRECT(ADDRESS(514,21))+INDIRECT(ADDRESS(515,21))-INDIRECT(ADDRESS(518,21)),INDIRECT(ADDRESS(519,20))-INDIRECT(ADDRESS(514,21))+INDIRECT(ADDRESS(517,21))-INDIRECT(ADDRESS(518,21)))</f>
        <v>0</v>
      </c>
      <c r="V519">
        <f>IF(DAY(NOW())&lt;M3,INDIRECT(ADDRESS(519,21))-INDIRECT(ADDRESS(514,22))+INDIRECT(ADDRESS(515,22))-INDIRECT(ADDRESS(518,22)),INDIRECT(ADDRESS(519,21))-INDIRECT(ADDRESS(514,22))+INDIRECT(ADDRESS(517,22))-INDIRECT(ADDRESS(518,22)))</f>
        <v>0</v>
      </c>
      <c r="W519">
        <f>IF(DAY(NOW())&lt;M3,INDIRECT(ADDRESS(519,22))-INDIRECT(ADDRESS(514,23))+INDIRECT(ADDRESS(515,23))-INDIRECT(ADDRESS(518,23)),INDIRECT(ADDRESS(519,22))-INDIRECT(ADDRESS(514,23))+INDIRECT(ADDRESS(517,23))-INDIRECT(ADDRESS(518,23)))</f>
        <v>0</v>
      </c>
      <c r="X519">
        <f>IF(DAY(NOW())&lt;M3,INDIRECT(ADDRESS(519,23))-INDIRECT(ADDRESS(514,24))+INDIRECT(ADDRESS(515,24))-INDIRECT(ADDRESS(518,24)),INDIRECT(ADDRESS(519,23))-INDIRECT(ADDRESS(514,24))+INDIRECT(ADDRESS(517,24))-INDIRECT(ADDRESS(518,24)))</f>
        <v>0</v>
      </c>
      <c r="Y519">
        <f>IF(DAY(NOW())&lt;M3,INDIRECT(ADDRESS(519,24))-INDIRECT(ADDRESS(514,25))+INDIRECT(ADDRESS(515,25))-INDIRECT(ADDRESS(518,25)),INDIRECT(ADDRESS(519,24))-INDIRECT(ADDRESS(514,25))+INDIRECT(ADDRESS(517,25))-INDIRECT(ADDRESS(518,25)))</f>
        <v>0</v>
      </c>
      <c r="Z519">
        <f>IF(DAY(NOW())&lt;M3,INDIRECT(ADDRESS(519,25))-INDIRECT(ADDRESS(514,26))+INDIRECT(ADDRESS(515,26))-INDIRECT(ADDRESS(518,26)),INDIRECT(ADDRESS(519,25))-INDIRECT(ADDRESS(514,26))+INDIRECT(ADDRESS(517,26))-INDIRECT(ADDRESS(518,26)))</f>
        <v>0</v>
      </c>
      <c r="AA519">
        <f>IF(DAY(NOW())&lt;M3,INDIRECT(ADDRESS(519,26))-INDIRECT(ADDRESS(514,27))+INDIRECT(ADDRESS(515,27))-INDIRECT(ADDRESS(518,27)),INDIRECT(ADDRESS(519,26))-INDIRECT(ADDRESS(514,27))+INDIRECT(ADDRESS(517,27))-INDIRECT(ADDRESS(518,27)))</f>
        <v>0</v>
      </c>
      <c r="AB519">
        <f>IF(DAY(NOW())&lt;M3,INDIRECT(ADDRESS(519,27))-INDIRECT(ADDRESS(514,28))+INDIRECT(ADDRESS(515,28))-INDIRECT(ADDRESS(518,28)),INDIRECT(ADDRESS(519,27))-INDIRECT(ADDRESS(514,28))+INDIRECT(ADDRESS(517,28))-INDIRECT(ADDRESS(518,28)))</f>
        <v>0</v>
      </c>
      <c r="AC519">
        <f>IF(DAY(NOW())&lt;M3,INDIRECT(ADDRESS(519,28))-INDIRECT(ADDRESS(514,29))+INDIRECT(ADDRESS(515,29))-INDIRECT(ADDRESS(518,29)),INDIRECT(ADDRESS(519,28))-INDIRECT(ADDRESS(514,29))+INDIRECT(ADDRESS(517,29))-INDIRECT(ADDRESS(518,29)))</f>
        <v>0</v>
      </c>
      <c r="AD519">
        <f>IF(DAY(NOW())&lt;M3,INDIRECT(ADDRESS(519,29))-INDIRECT(ADDRESS(514,30))+INDIRECT(ADDRESS(515,30))-INDIRECT(ADDRESS(518,30)),INDIRECT(ADDRESS(519,29))-INDIRECT(ADDRESS(514,30))+INDIRECT(ADDRESS(517,30))-INDIRECT(ADDRESS(518,30)))</f>
        <v>0</v>
      </c>
      <c r="AE519">
        <f>IF(DAY(NOW())&lt;M3,INDIRECT(ADDRESS(519,30))-INDIRECT(ADDRESS(514,31))+INDIRECT(ADDRESS(515,31))-INDIRECT(ADDRESS(518,31)),INDIRECT(ADDRESS(519,30))-INDIRECT(ADDRESS(514,31))+INDIRECT(ADDRESS(517,31))-INDIRECT(ADDRESS(518,31)))</f>
        <v>0</v>
      </c>
      <c r="AF519">
        <f>IF(DAY(NOW())&lt;M3,INDIRECT(ADDRESS(519,31))-INDIRECT(ADDRESS(514,32))+INDIRECT(ADDRESS(515,32))-INDIRECT(ADDRESS(518,32)),INDIRECT(ADDRESS(519,31))-INDIRECT(ADDRESS(514,32))+INDIRECT(ADDRESS(517,32))-INDIRECT(ADDRESS(518,32)))</f>
        <v>0</v>
      </c>
      <c r="AG519">
        <f>IF(DAY(NOW())&lt;M3,INDIRECT(ADDRESS(519,32))-INDIRECT(ADDRESS(514,33))+INDIRECT(ADDRESS(515,33))-INDIRECT(ADDRESS(518,33)),INDIRECT(ADDRESS(519,32))-INDIRECT(ADDRESS(514,33))+INDIRECT(ADDRESS(517,33))-INDIRECT(ADDRESS(518,33)))</f>
        <v>0</v>
      </c>
      <c r="AH519">
        <f>IF(DAY(NOW())&lt;M3,INDIRECT(ADDRESS(519,33))-INDIRECT(ADDRESS(514,34))+INDIRECT(ADDRESS(515,34))-INDIRECT(ADDRESS(518,34)),INDIRECT(ADDRESS(519,33))-INDIRECT(ADDRESS(514,34))+INDIRECT(ADDRESS(517,34))-INDIRECT(ADDRESS(518,34)))</f>
        <v>0</v>
      </c>
      <c r="AI519">
        <f>IF(DAY(NOW())&lt;M3,INDIRECT(ADDRESS(519,34))-INDIRECT(ADDRESS(514,35))+INDIRECT(ADDRESS(515,35))-INDIRECT(ADDRESS(518,35)),INDIRECT(ADDRESS(519,34))-INDIRECT(ADDRESS(514,35))+INDIRECT(ADDRESS(517,35))-INDIRECT(ADDRESS(518,35)))</f>
        <v>0</v>
      </c>
      <c r="AJ519">
        <f>IF(DAY(NOW())&lt;M3,INDIRECT(ADDRESS(519,35))-INDIRECT(ADDRESS(514,36))+INDIRECT(ADDRESS(515,36))-INDIRECT(ADDRESS(518,36)),INDIRECT(ADDRESS(519,35))-INDIRECT(ADDRESS(514,36))+INDIRECT(ADDRESS(517,36))-INDIRECT(ADDRESS(518,36)))</f>
        <v>0</v>
      </c>
      <c r="AK519">
        <f>IF(DAY(NOW())&lt;M3,INDIRECT(ADDRESS(519,36))-INDIRECT(ADDRESS(514,37))+INDIRECT(ADDRESS(515,37))-INDIRECT(ADDRESS(518,37)),INDIRECT(ADDRESS(519,36))-INDIRECT(ADDRESS(514,37))+INDIRECT(ADDRESS(517,37))-INDIRECT(ADDRESS(518,37)))</f>
        <v>0</v>
      </c>
      <c r="AL519">
        <f>IF(DAY(NOW())&lt;M3,INDIRECT(ADDRESS(519,37))-INDIRECT(ADDRESS(514,38))+INDIRECT(ADDRESS(515,38))-INDIRECT(ADDRESS(518,38)),INDIRECT(ADDRESS(519,37))-INDIRECT(ADDRESS(514,38))+INDIRECT(ADDRESS(517,38))-INDIRECT(ADDRESS(518,38)))</f>
        <v>0</v>
      </c>
      <c r="AM519">
        <f>IF(DAY(NOW())&lt;M3,INDIRECT(ADDRESS(519,38))-INDIRECT(ADDRESS(514,39))+INDIRECT(ADDRESS(515,39))-INDIRECT(ADDRESS(518,39)),INDIRECT(ADDRESS(519,38))-INDIRECT(ADDRESS(514,39))+INDIRECT(ADDRESS(517,39))-INDIRECT(ADDRESS(518,39)))</f>
        <v>0</v>
      </c>
      <c r="AN519">
        <f>IF(DAY(NOW())&lt;M3,INDIRECT(ADDRESS(519,39))-INDIRECT(ADDRESS(514,40))+INDIRECT(ADDRESS(515,40))-INDIRECT(ADDRESS(518,40)),INDIRECT(ADDRESS(519,39))-INDIRECT(ADDRESS(514,40))+INDIRECT(ADDRESS(517,40))-INDIRECT(ADDRESS(518,40)))</f>
        <v>0</v>
      </c>
      <c r="AO519">
        <f>IF(DAY(NOW())&lt;M3,INDIRECT(ADDRESS(519,40))-INDIRECT(ADDRESS(514,41))+INDIRECT(ADDRESS(515,41))-INDIRECT(ADDRESS(518,41)),INDIRECT(ADDRESS(519,40))-INDIRECT(ADDRESS(514,41))+INDIRECT(ADDRESS(517,41))-INDIRECT(ADDRESS(518,41)))</f>
        <v>0</v>
      </c>
      <c r="AP519">
        <f>IF(DAY(NOW())&lt;M3,INDIRECT(ADDRESS(519,41))-INDIRECT(ADDRESS(514,42))+INDIRECT(ADDRESS(515,42))-INDIRECT(ADDRESS(518,42)),INDIRECT(ADDRESS(519,41))-INDIRECT(ADDRESS(514,42))+INDIRECT(ADDRESS(517,42))-INDIRECT(ADDRESS(518,42)))</f>
        <v>0</v>
      </c>
      <c r="AQ519">
        <f>IF(DAY(NOW())&lt;M3,INDIRECT(ADDRESS(519,42))-INDIRECT(ADDRESS(514,43))+INDIRECT(ADDRESS(515,43))-INDIRECT(ADDRESS(518,43)),INDIRECT(ADDRESS(519,42))-INDIRECT(ADDRESS(514,43))+INDIRECT(ADDRESS(517,43))-INDIRECT(ADDRESS(518,43)))</f>
        <v>0</v>
      </c>
      <c r="AR519">
        <f>IF(DAY(NOW())&lt;M3,INDIRECT(ADDRESS(519,43))-INDIRECT(ADDRESS(514,44))+INDIRECT(ADDRESS(515,44))-INDIRECT(ADDRESS(518,44)),INDIRECT(ADDRESS(519,43))-INDIRECT(ADDRESS(514,44))+INDIRECT(ADDRESS(517,44))-INDIRECT(ADDRESS(518,44)))</f>
        <v>0</v>
      </c>
    </row>
    <row r="520" spans="1:76">
      <c r="A520" t="s">
        <v>14</v>
      </c>
      <c r="B520" t="s">
        <v>50</v>
      </c>
      <c r="C520" t="s">
        <v>51</v>
      </c>
      <c r="D520" t="s">
        <v>27</v>
      </c>
      <c r="E520">
        <v>1</v>
      </c>
      <c r="F520" t="s">
        <v>52</v>
      </c>
      <c r="K520" t="s">
        <v>305</v>
      </c>
      <c r="L520" t="s">
        <v>21</v>
      </c>
      <c r="BX520">
        <f>sum(j520:an520)</f>
        <v>0</v>
      </c>
    </row>
    <row r="521" spans="1:76">
      <c r="A521" t="s">
        <v>14</v>
      </c>
      <c r="B521" t="s">
        <v>50</v>
      </c>
      <c r="C521" t="s">
        <v>51</v>
      </c>
      <c r="D521" t="s">
        <v>27</v>
      </c>
      <c r="E521">
        <v>1</v>
      </c>
      <c r="F521" t="s">
        <v>52</v>
      </c>
      <c r="K521" t="s">
        <v>305</v>
      </c>
      <c r="L521" t="s">
        <v>37</v>
      </c>
    </row>
    <row r="522" spans="1:76">
      <c r="L522" t="s">
        <v>662</v>
      </c>
    </row>
    <row r="523" spans="1:76">
      <c r="L523" t="s">
        <v>663</v>
      </c>
    </row>
    <row r="524" spans="1:76">
      <c r="L524" t="s">
        <v>664</v>
      </c>
    </row>
    <row r="525" spans="1:76">
      <c r="L525" t="s">
        <v>665</v>
      </c>
      <c r="M525">
        <f>IF(DAY(NOW())&lt;M3,INDIRECT(ADDRESS(525,7))-INDIRECT(ADDRESS(520,13))+INDIRECT(ADDRESS(521,13))-INDIRECT(ADDRESS(524,13)),INDIRECT(ADDRESS(525,7))-INDIRECT(ADDRESS(520,13))+INDIRECT(ADDRESS(523,13))-INDIRECT(ADDRESS(524,13)))</f>
        <v>0</v>
      </c>
      <c r="N525">
        <f>IF(DAY(NOW())&lt;M3,INDIRECT(ADDRESS(525,13))-INDIRECT(ADDRESS(520,14))+INDIRECT(ADDRESS(521,14))-INDIRECT(ADDRESS(524,14)),INDIRECT(ADDRESS(525,13))-INDIRECT(ADDRESS(520,14))+INDIRECT(ADDRESS(523,14))-INDIRECT(ADDRESS(524,14)))</f>
        <v>0</v>
      </c>
      <c r="O525">
        <f>IF(DAY(NOW())&lt;M3,INDIRECT(ADDRESS(525,14))-INDIRECT(ADDRESS(520,15))+INDIRECT(ADDRESS(521,15))-INDIRECT(ADDRESS(524,15)),INDIRECT(ADDRESS(525,14))-INDIRECT(ADDRESS(520,15))+INDIRECT(ADDRESS(523,15))-INDIRECT(ADDRESS(524,15)))</f>
        <v>0</v>
      </c>
      <c r="P525">
        <f>IF(DAY(NOW())&lt;M3,INDIRECT(ADDRESS(525,15))-INDIRECT(ADDRESS(520,16))+INDIRECT(ADDRESS(521,16))-INDIRECT(ADDRESS(524,16)),INDIRECT(ADDRESS(525,15))-INDIRECT(ADDRESS(520,16))+INDIRECT(ADDRESS(523,16))-INDIRECT(ADDRESS(524,16)))</f>
        <v>0</v>
      </c>
      <c r="Q525">
        <f>IF(DAY(NOW())&lt;M3,INDIRECT(ADDRESS(525,16))-INDIRECT(ADDRESS(520,17))+INDIRECT(ADDRESS(521,17))-INDIRECT(ADDRESS(524,17)),INDIRECT(ADDRESS(525,16))-INDIRECT(ADDRESS(520,17))+INDIRECT(ADDRESS(523,17))-INDIRECT(ADDRESS(524,17)))</f>
        <v>0</v>
      </c>
      <c r="R525">
        <f>IF(DAY(NOW())&lt;M3,INDIRECT(ADDRESS(525,17))-INDIRECT(ADDRESS(520,18))+INDIRECT(ADDRESS(521,18))-INDIRECT(ADDRESS(524,18)),INDIRECT(ADDRESS(525,17))-INDIRECT(ADDRESS(520,18))+INDIRECT(ADDRESS(523,18))-INDIRECT(ADDRESS(524,18)))</f>
        <v>0</v>
      </c>
      <c r="S525">
        <f>IF(DAY(NOW())&lt;M3,INDIRECT(ADDRESS(525,18))-INDIRECT(ADDRESS(520,19))+INDIRECT(ADDRESS(521,19))-INDIRECT(ADDRESS(524,19)),INDIRECT(ADDRESS(525,18))-INDIRECT(ADDRESS(520,19))+INDIRECT(ADDRESS(523,19))-INDIRECT(ADDRESS(524,19)))</f>
        <v>0</v>
      </c>
      <c r="T525">
        <f>IF(DAY(NOW())&lt;M3,INDIRECT(ADDRESS(525,19))-INDIRECT(ADDRESS(520,20))+INDIRECT(ADDRESS(521,20))-INDIRECT(ADDRESS(524,20)),INDIRECT(ADDRESS(525,19))-INDIRECT(ADDRESS(520,20))+INDIRECT(ADDRESS(523,20))-INDIRECT(ADDRESS(524,20)))</f>
        <v>0</v>
      </c>
      <c r="U525">
        <f>IF(DAY(NOW())&lt;M3,INDIRECT(ADDRESS(525,20))-INDIRECT(ADDRESS(520,21))+INDIRECT(ADDRESS(521,21))-INDIRECT(ADDRESS(524,21)),INDIRECT(ADDRESS(525,20))-INDIRECT(ADDRESS(520,21))+INDIRECT(ADDRESS(523,21))-INDIRECT(ADDRESS(524,21)))</f>
        <v>0</v>
      </c>
      <c r="V525">
        <f>IF(DAY(NOW())&lt;M3,INDIRECT(ADDRESS(525,21))-INDIRECT(ADDRESS(520,22))+INDIRECT(ADDRESS(521,22))-INDIRECT(ADDRESS(524,22)),INDIRECT(ADDRESS(525,21))-INDIRECT(ADDRESS(520,22))+INDIRECT(ADDRESS(523,22))-INDIRECT(ADDRESS(524,22)))</f>
        <v>0</v>
      </c>
      <c r="W525">
        <f>IF(DAY(NOW())&lt;M3,INDIRECT(ADDRESS(525,22))-INDIRECT(ADDRESS(520,23))+INDIRECT(ADDRESS(521,23))-INDIRECT(ADDRESS(524,23)),INDIRECT(ADDRESS(525,22))-INDIRECT(ADDRESS(520,23))+INDIRECT(ADDRESS(523,23))-INDIRECT(ADDRESS(524,23)))</f>
        <v>0</v>
      </c>
      <c r="X525">
        <f>IF(DAY(NOW())&lt;M3,INDIRECT(ADDRESS(525,23))-INDIRECT(ADDRESS(520,24))+INDIRECT(ADDRESS(521,24))-INDIRECT(ADDRESS(524,24)),INDIRECT(ADDRESS(525,23))-INDIRECT(ADDRESS(520,24))+INDIRECT(ADDRESS(523,24))-INDIRECT(ADDRESS(524,24)))</f>
        <v>0</v>
      </c>
      <c r="Y525">
        <f>IF(DAY(NOW())&lt;M3,INDIRECT(ADDRESS(525,24))-INDIRECT(ADDRESS(520,25))+INDIRECT(ADDRESS(521,25))-INDIRECT(ADDRESS(524,25)),INDIRECT(ADDRESS(525,24))-INDIRECT(ADDRESS(520,25))+INDIRECT(ADDRESS(523,25))-INDIRECT(ADDRESS(524,25)))</f>
        <v>0</v>
      </c>
      <c r="Z525">
        <f>IF(DAY(NOW())&lt;M3,INDIRECT(ADDRESS(525,25))-INDIRECT(ADDRESS(520,26))+INDIRECT(ADDRESS(521,26))-INDIRECT(ADDRESS(524,26)),INDIRECT(ADDRESS(525,25))-INDIRECT(ADDRESS(520,26))+INDIRECT(ADDRESS(523,26))-INDIRECT(ADDRESS(524,26)))</f>
        <v>0</v>
      </c>
      <c r="AA525">
        <f>IF(DAY(NOW())&lt;M3,INDIRECT(ADDRESS(525,26))-INDIRECT(ADDRESS(520,27))+INDIRECT(ADDRESS(521,27))-INDIRECT(ADDRESS(524,27)),INDIRECT(ADDRESS(525,26))-INDIRECT(ADDRESS(520,27))+INDIRECT(ADDRESS(523,27))-INDIRECT(ADDRESS(524,27)))</f>
        <v>0</v>
      </c>
      <c r="AB525">
        <f>IF(DAY(NOW())&lt;M3,INDIRECT(ADDRESS(525,27))-INDIRECT(ADDRESS(520,28))+INDIRECT(ADDRESS(521,28))-INDIRECT(ADDRESS(524,28)),INDIRECT(ADDRESS(525,27))-INDIRECT(ADDRESS(520,28))+INDIRECT(ADDRESS(523,28))-INDIRECT(ADDRESS(524,28)))</f>
        <v>0</v>
      </c>
      <c r="AC525">
        <f>IF(DAY(NOW())&lt;M3,INDIRECT(ADDRESS(525,28))-INDIRECT(ADDRESS(520,29))+INDIRECT(ADDRESS(521,29))-INDIRECT(ADDRESS(524,29)),INDIRECT(ADDRESS(525,28))-INDIRECT(ADDRESS(520,29))+INDIRECT(ADDRESS(523,29))-INDIRECT(ADDRESS(524,29)))</f>
        <v>0</v>
      </c>
      <c r="AD525">
        <f>IF(DAY(NOW())&lt;M3,INDIRECT(ADDRESS(525,29))-INDIRECT(ADDRESS(520,30))+INDIRECT(ADDRESS(521,30))-INDIRECT(ADDRESS(524,30)),INDIRECT(ADDRESS(525,29))-INDIRECT(ADDRESS(520,30))+INDIRECT(ADDRESS(523,30))-INDIRECT(ADDRESS(524,30)))</f>
        <v>0</v>
      </c>
      <c r="AE525">
        <f>IF(DAY(NOW())&lt;M3,INDIRECT(ADDRESS(525,30))-INDIRECT(ADDRESS(520,31))+INDIRECT(ADDRESS(521,31))-INDIRECT(ADDRESS(524,31)),INDIRECT(ADDRESS(525,30))-INDIRECT(ADDRESS(520,31))+INDIRECT(ADDRESS(523,31))-INDIRECT(ADDRESS(524,31)))</f>
        <v>0</v>
      </c>
      <c r="AF525">
        <f>IF(DAY(NOW())&lt;M3,INDIRECT(ADDRESS(525,31))-INDIRECT(ADDRESS(520,32))+INDIRECT(ADDRESS(521,32))-INDIRECT(ADDRESS(524,32)),INDIRECT(ADDRESS(525,31))-INDIRECT(ADDRESS(520,32))+INDIRECT(ADDRESS(523,32))-INDIRECT(ADDRESS(524,32)))</f>
        <v>0</v>
      </c>
      <c r="AG525">
        <f>IF(DAY(NOW())&lt;M3,INDIRECT(ADDRESS(525,32))-INDIRECT(ADDRESS(520,33))+INDIRECT(ADDRESS(521,33))-INDIRECT(ADDRESS(524,33)),INDIRECT(ADDRESS(525,32))-INDIRECT(ADDRESS(520,33))+INDIRECT(ADDRESS(523,33))-INDIRECT(ADDRESS(524,33)))</f>
        <v>0</v>
      </c>
      <c r="AH525">
        <f>IF(DAY(NOW())&lt;M3,INDIRECT(ADDRESS(525,33))-INDIRECT(ADDRESS(520,34))+INDIRECT(ADDRESS(521,34))-INDIRECT(ADDRESS(524,34)),INDIRECT(ADDRESS(525,33))-INDIRECT(ADDRESS(520,34))+INDIRECT(ADDRESS(523,34))-INDIRECT(ADDRESS(524,34)))</f>
        <v>0</v>
      </c>
      <c r="AI525">
        <f>IF(DAY(NOW())&lt;M3,INDIRECT(ADDRESS(525,34))-INDIRECT(ADDRESS(520,35))+INDIRECT(ADDRESS(521,35))-INDIRECT(ADDRESS(524,35)),INDIRECT(ADDRESS(525,34))-INDIRECT(ADDRESS(520,35))+INDIRECT(ADDRESS(523,35))-INDIRECT(ADDRESS(524,35)))</f>
        <v>0</v>
      </c>
      <c r="AJ525">
        <f>IF(DAY(NOW())&lt;M3,INDIRECT(ADDRESS(525,35))-INDIRECT(ADDRESS(520,36))+INDIRECT(ADDRESS(521,36))-INDIRECT(ADDRESS(524,36)),INDIRECT(ADDRESS(525,35))-INDIRECT(ADDRESS(520,36))+INDIRECT(ADDRESS(523,36))-INDIRECT(ADDRESS(524,36)))</f>
        <v>0</v>
      </c>
      <c r="AK525">
        <f>IF(DAY(NOW())&lt;M3,INDIRECT(ADDRESS(525,36))-INDIRECT(ADDRESS(520,37))+INDIRECT(ADDRESS(521,37))-INDIRECT(ADDRESS(524,37)),INDIRECT(ADDRESS(525,36))-INDIRECT(ADDRESS(520,37))+INDIRECT(ADDRESS(523,37))-INDIRECT(ADDRESS(524,37)))</f>
        <v>0</v>
      </c>
      <c r="AL525">
        <f>IF(DAY(NOW())&lt;M3,INDIRECT(ADDRESS(525,37))-INDIRECT(ADDRESS(520,38))+INDIRECT(ADDRESS(521,38))-INDIRECT(ADDRESS(524,38)),INDIRECT(ADDRESS(525,37))-INDIRECT(ADDRESS(520,38))+INDIRECT(ADDRESS(523,38))-INDIRECT(ADDRESS(524,38)))</f>
        <v>0</v>
      </c>
      <c r="AM525">
        <f>IF(DAY(NOW())&lt;M3,INDIRECT(ADDRESS(525,38))-INDIRECT(ADDRESS(520,39))+INDIRECT(ADDRESS(521,39))-INDIRECT(ADDRESS(524,39)),INDIRECT(ADDRESS(525,38))-INDIRECT(ADDRESS(520,39))+INDIRECT(ADDRESS(523,39))-INDIRECT(ADDRESS(524,39)))</f>
        <v>0</v>
      </c>
      <c r="AN525">
        <f>IF(DAY(NOW())&lt;M3,INDIRECT(ADDRESS(525,39))-INDIRECT(ADDRESS(520,40))+INDIRECT(ADDRESS(521,40))-INDIRECT(ADDRESS(524,40)),INDIRECT(ADDRESS(525,39))-INDIRECT(ADDRESS(520,40))+INDIRECT(ADDRESS(523,40))-INDIRECT(ADDRESS(524,40)))</f>
        <v>0</v>
      </c>
      <c r="AO525">
        <f>IF(DAY(NOW())&lt;M3,INDIRECT(ADDRESS(525,40))-INDIRECT(ADDRESS(520,41))+INDIRECT(ADDRESS(521,41))-INDIRECT(ADDRESS(524,41)),INDIRECT(ADDRESS(525,40))-INDIRECT(ADDRESS(520,41))+INDIRECT(ADDRESS(523,41))-INDIRECT(ADDRESS(524,41)))</f>
        <v>0</v>
      </c>
      <c r="AP525">
        <f>IF(DAY(NOW())&lt;M3,INDIRECT(ADDRESS(525,41))-INDIRECT(ADDRESS(520,42))+INDIRECT(ADDRESS(521,42))-INDIRECT(ADDRESS(524,42)),INDIRECT(ADDRESS(525,41))-INDIRECT(ADDRESS(520,42))+INDIRECT(ADDRESS(523,42))-INDIRECT(ADDRESS(524,42)))</f>
        <v>0</v>
      </c>
      <c r="AQ525">
        <f>IF(DAY(NOW())&lt;M3,INDIRECT(ADDRESS(525,42))-INDIRECT(ADDRESS(520,43))+INDIRECT(ADDRESS(521,43))-INDIRECT(ADDRESS(524,43)),INDIRECT(ADDRESS(525,42))-INDIRECT(ADDRESS(520,43))+INDIRECT(ADDRESS(523,43))-INDIRECT(ADDRESS(524,43)))</f>
        <v>0</v>
      </c>
      <c r="AR525">
        <f>IF(DAY(NOW())&lt;M3,INDIRECT(ADDRESS(525,43))-INDIRECT(ADDRESS(520,44))+INDIRECT(ADDRESS(521,44))-INDIRECT(ADDRESS(524,44)),INDIRECT(ADDRESS(525,43))-INDIRECT(ADDRESS(520,44))+INDIRECT(ADDRESS(523,44))-INDIRECT(ADDRESS(524,44)))</f>
        <v>0</v>
      </c>
    </row>
    <row r="526" spans="1:76">
      <c r="A526" t="s">
        <v>14</v>
      </c>
      <c r="B526" t="s">
        <v>53</v>
      </c>
      <c r="C526" t="s">
        <v>54</v>
      </c>
      <c r="D526" t="s">
        <v>17</v>
      </c>
      <c r="E526">
        <v>1</v>
      </c>
      <c r="F526" t="s">
        <v>55</v>
      </c>
      <c r="K526" t="s">
        <v>305</v>
      </c>
      <c r="L526" t="s">
        <v>21</v>
      </c>
      <c r="BX526">
        <f>sum(j526:an526)</f>
        <v>0</v>
      </c>
    </row>
    <row r="527" spans="1:76">
      <c r="A527" t="s">
        <v>14</v>
      </c>
      <c r="B527" t="s">
        <v>53</v>
      </c>
      <c r="C527" t="s">
        <v>54</v>
      </c>
      <c r="D527" t="s">
        <v>17</v>
      </c>
      <c r="E527">
        <v>1</v>
      </c>
      <c r="F527" t="s">
        <v>55</v>
      </c>
      <c r="K527" t="s">
        <v>305</v>
      </c>
      <c r="L527" t="s">
        <v>37</v>
      </c>
    </row>
    <row r="528" spans="1:76">
      <c r="L528" t="s">
        <v>662</v>
      </c>
    </row>
    <row r="529" spans="1:76">
      <c r="L529" t="s">
        <v>663</v>
      </c>
    </row>
    <row r="530" spans="1:76">
      <c r="L530" t="s">
        <v>664</v>
      </c>
    </row>
    <row r="531" spans="1:76">
      <c r="L531" t="s">
        <v>665</v>
      </c>
      <c r="M531">
        <f>IF(DAY(NOW())&lt;M3,INDIRECT(ADDRESS(531,7))-INDIRECT(ADDRESS(526,13))+INDIRECT(ADDRESS(527,13))-INDIRECT(ADDRESS(530,13)),INDIRECT(ADDRESS(531,7))-INDIRECT(ADDRESS(526,13))+INDIRECT(ADDRESS(529,13))-INDIRECT(ADDRESS(530,13)))</f>
        <v>0</v>
      </c>
      <c r="N531">
        <f>IF(DAY(NOW())&lt;M3,INDIRECT(ADDRESS(531,13))-INDIRECT(ADDRESS(526,14))+INDIRECT(ADDRESS(527,14))-INDIRECT(ADDRESS(530,14)),INDIRECT(ADDRESS(531,13))-INDIRECT(ADDRESS(526,14))+INDIRECT(ADDRESS(529,14))-INDIRECT(ADDRESS(530,14)))</f>
        <v>0</v>
      </c>
      <c r="O531">
        <f>IF(DAY(NOW())&lt;M3,INDIRECT(ADDRESS(531,14))-INDIRECT(ADDRESS(526,15))+INDIRECT(ADDRESS(527,15))-INDIRECT(ADDRESS(530,15)),INDIRECT(ADDRESS(531,14))-INDIRECT(ADDRESS(526,15))+INDIRECT(ADDRESS(529,15))-INDIRECT(ADDRESS(530,15)))</f>
        <v>0</v>
      </c>
      <c r="P531">
        <f>IF(DAY(NOW())&lt;M3,INDIRECT(ADDRESS(531,15))-INDIRECT(ADDRESS(526,16))+INDIRECT(ADDRESS(527,16))-INDIRECT(ADDRESS(530,16)),INDIRECT(ADDRESS(531,15))-INDIRECT(ADDRESS(526,16))+INDIRECT(ADDRESS(529,16))-INDIRECT(ADDRESS(530,16)))</f>
        <v>0</v>
      </c>
      <c r="Q531">
        <f>IF(DAY(NOW())&lt;M3,INDIRECT(ADDRESS(531,16))-INDIRECT(ADDRESS(526,17))+INDIRECT(ADDRESS(527,17))-INDIRECT(ADDRESS(530,17)),INDIRECT(ADDRESS(531,16))-INDIRECT(ADDRESS(526,17))+INDIRECT(ADDRESS(529,17))-INDIRECT(ADDRESS(530,17)))</f>
        <v>0</v>
      </c>
      <c r="R531">
        <f>IF(DAY(NOW())&lt;M3,INDIRECT(ADDRESS(531,17))-INDIRECT(ADDRESS(526,18))+INDIRECT(ADDRESS(527,18))-INDIRECT(ADDRESS(530,18)),INDIRECT(ADDRESS(531,17))-INDIRECT(ADDRESS(526,18))+INDIRECT(ADDRESS(529,18))-INDIRECT(ADDRESS(530,18)))</f>
        <v>0</v>
      </c>
      <c r="S531">
        <f>IF(DAY(NOW())&lt;M3,INDIRECT(ADDRESS(531,18))-INDIRECT(ADDRESS(526,19))+INDIRECT(ADDRESS(527,19))-INDIRECT(ADDRESS(530,19)),INDIRECT(ADDRESS(531,18))-INDIRECT(ADDRESS(526,19))+INDIRECT(ADDRESS(529,19))-INDIRECT(ADDRESS(530,19)))</f>
        <v>0</v>
      </c>
      <c r="T531">
        <f>IF(DAY(NOW())&lt;M3,INDIRECT(ADDRESS(531,19))-INDIRECT(ADDRESS(526,20))+INDIRECT(ADDRESS(527,20))-INDIRECT(ADDRESS(530,20)),INDIRECT(ADDRESS(531,19))-INDIRECT(ADDRESS(526,20))+INDIRECT(ADDRESS(529,20))-INDIRECT(ADDRESS(530,20)))</f>
        <v>0</v>
      </c>
      <c r="U531">
        <f>IF(DAY(NOW())&lt;M3,INDIRECT(ADDRESS(531,20))-INDIRECT(ADDRESS(526,21))+INDIRECT(ADDRESS(527,21))-INDIRECT(ADDRESS(530,21)),INDIRECT(ADDRESS(531,20))-INDIRECT(ADDRESS(526,21))+INDIRECT(ADDRESS(529,21))-INDIRECT(ADDRESS(530,21)))</f>
        <v>0</v>
      </c>
      <c r="V531">
        <f>IF(DAY(NOW())&lt;M3,INDIRECT(ADDRESS(531,21))-INDIRECT(ADDRESS(526,22))+INDIRECT(ADDRESS(527,22))-INDIRECT(ADDRESS(530,22)),INDIRECT(ADDRESS(531,21))-INDIRECT(ADDRESS(526,22))+INDIRECT(ADDRESS(529,22))-INDIRECT(ADDRESS(530,22)))</f>
        <v>0</v>
      </c>
      <c r="W531">
        <f>IF(DAY(NOW())&lt;M3,INDIRECT(ADDRESS(531,22))-INDIRECT(ADDRESS(526,23))+INDIRECT(ADDRESS(527,23))-INDIRECT(ADDRESS(530,23)),INDIRECT(ADDRESS(531,22))-INDIRECT(ADDRESS(526,23))+INDIRECT(ADDRESS(529,23))-INDIRECT(ADDRESS(530,23)))</f>
        <v>0</v>
      </c>
      <c r="X531">
        <f>IF(DAY(NOW())&lt;M3,INDIRECT(ADDRESS(531,23))-INDIRECT(ADDRESS(526,24))+INDIRECT(ADDRESS(527,24))-INDIRECT(ADDRESS(530,24)),INDIRECT(ADDRESS(531,23))-INDIRECT(ADDRESS(526,24))+INDIRECT(ADDRESS(529,24))-INDIRECT(ADDRESS(530,24)))</f>
        <v>0</v>
      </c>
      <c r="Y531">
        <f>IF(DAY(NOW())&lt;M3,INDIRECT(ADDRESS(531,24))-INDIRECT(ADDRESS(526,25))+INDIRECT(ADDRESS(527,25))-INDIRECT(ADDRESS(530,25)),INDIRECT(ADDRESS(531,24))-INDIRECT(ADDRESS(526,25))+INDIRECT(ADDRESS(529,25))-INDIRECT(ADDRESS(530,25)))</f>
        <v>0</v>
      </c>
      <c r="Z531">
        <f>IF(DAY(NOW())&lt;M3,INDIRECT(ADDRESS(531,25))-INDIRECT(ADDRESS(526,26))+INDIRECT(ADDRESS(527,26))-INDIRECT(ADDRESS(530,26)),INDIRECT(ADDRESS(531,25))-INDIRECT(ADDRESS(526,26))+INDIRECT(ADDRESS(529,26))-INDIRECT(ADDRESS(530,26)))</f>
        <v>0</v>
      </c>
      <c r="AA531">
        <f>IF(DAY(NOW())&lt;M3,INDIRECT(ADDRESS(531,26))-INDIRECT(ADDRESS(526,27))+INDIRECT(ADDRESS(527,27))-INDIRECT(ADDRESS(530,27)),INDIRECT(ADDRESS(531,26))-INDIRECT(ADDRESS(526,27))+INDIRECT(ADDRESS(529,27))-INDIRECT(ADDRESS(530,27)))</f>
        <v>0</v>
      </c>
      <c r="AB531">
        <f>IF(DAY(NOW())&lt;M3,INDIRECT(ADDRESS(531,27))-INDIRECT(ADDRESS(526,28))+INDIRECT(ADDRESS(527,28))-INDIRECT(ADDRESS(530,28)),INDIRECT(ADDRESS(531,27))-INDIRECT(ADDRESS(526,28))+INDIRECT(ADDRESS(529,28))-INDIRECT(ADDRESS(530,28)))</f>
        <v>0</v>
      </c>
      <c r="AC531">
        <f>IF(DAY(NOW())&lt;M3,INDIRECT(ADDRESS(531,28))-INDIRECT(ADDRESS(526,29))+INDIRECT(ADDRESS(527,29))-INDIRECT(ADDRESS(530,29)),INDIRECT(ADDRESS(531,28))-INDIRECT(ADDRESS(526,29))+INDIRECT(ADDRESS(529,29))-INDIRECT(ADDRESS(530,29)))</f>
        <v>0</v>
      </c>
      <c r="AD531">
        <f>IF(DAY(NOW())&lt;M3,INDIRECT(ADDRESS(531,29))-INDIRECT(ADDRESS(526,30))+INDIRECT(ADDRESS(527,30))-INDIRECT(ADDRESS(530,30)),INDIRECT(ADDRESS(531,29))-INDIRECT(ADDRESS(526,30))+INDIRECT(ADDRESS(529,30))-INDIRECT(ADDRESS(530,30)))</f>
        <v>0</v>
      </c>
      <c r="AE531">
        <f>IF(DAY(NOW())&lt;M3,INDIRECT(ADDRESS(531,30))-INDIRECT(ADDRESS(526,31))+INDIRECT(ADDRESS(527,31))-INDIRECT(ADDRESS(530,31)),INDIRECT(ADDRESS(531,30))-INDIRECT(ADDRESS(526,31))+INDIRECT(ADDRESS(529,31))-INDIRECT(ADDRESS(530,31)))</f>
        <v>0</v>
      </c>
      <c r="AF531">
        <f>IF(DAY(NOW())&lt;M3,INDIRECT(ADDRESS(531,31))-INDIRECT(ADDRESS(526,32))+INDIRECT(ADDRESS(527,32))-INDIRECT(ADDRESS(530,32)),INDIRECT(ADDRESS(531,31))-INDIRECT(ADDRESS(526,32))+INDIRECT(ADDRESS(529,32))-INDIRECT(ADDRESS(530,32)))</f>
        <v>0</v>
      </c>
      <c r="AG531">
        <f>IF(DAY(NOW())&lt;M3,INDIRECT(ADDRESS(531,32))-INDIRECT(ADDRESS(526,33))+INDIRECT(ADDRESS(527,33))-INDIRECT(ADDRESS(530,33)),INDIRECT(ADDRESS(531,32))-INDIRECT(ADDRESS(526,33))+INDIRECT(ADDRESS(529,33))-INDIRECT(ADDRESS(530,33)))</f>
        <v>0</v>
      </c>
      <c r="AH531">
        <f>IF(DAY(NOW())&lt;M3,INDIRECT(ADDRESS(531,33))-INDIRECT(ADDRESS(526,34))+INDIRECT(ADDRESS(527,34))-INDIRECT(ADDRESS(530,34)),INDIRECT(ADDRESS(531,33))-INDIRECT(ADDRESS(526,34))+INDIRECT(ADDRESS(529,34))-INDIRECT(ADDRESS(530,34)))</f>
        <v>0</v>
      </c>
      <c r="AI531">
        <f>IF(DAY(NOW())&lt;M3,INDIRECT(ADDRESS(531,34))-INDIRECT(ADDRESS(526,35))+INDIRECT(ADDRESS(527,35))-INDIRECT(ADDRESS(530,35)),INDIRECT(ADDRESS(531,34))-INDIRECT(ADDRESS(526,35))+INDIRECT(ADDRESS(529,35))-INDIRECT(ADDRESS(530,35)))</f>
        <v>0</v>
      </c>
      <c r="AJ531">
        <f>IF(DAY(NOW())&lt;M3,INDIRECT(ADDRESS(531,35))-INDIRECT(ADDRESS(526,36))+INDIRECT(ADDRESS(527,36))-INDIRECT(ADDRESS(530,36)),INDIRECT(ADDRESS(531,35))-INDIRECT(ADDRESS(526,36))+INDIRECT(ADDRESS(529,36))-INDIRECT(ADDRESS(530,36)))</f>
        <v>0</v>
      </c>
      <c r="AK531">
        <f>IF(DAY(NOW())&lt;M3,INDIRECT(ADDRESS(531,36))-INDIRECT(ADDRESS(526,37))+INDIRECT(ADDRESS(527,37))-INDIRECT(ADDRESS(530,37)),INDIRECT(ADDRESS(531,36))-INDIRECT(ADDRESS(526,37))+INDIRECT(ADDRESS(529,37))-INDIRECT(ADDRESS(530,37)))</f>
        <v>0</v>
      </c>
      <c r="AL531">
        <f>IF(DAY(NOW())&lt;M3,INDIRECT(ADDRESS(531,37))-INDIRECT(ADDRESS(526,38))+INDIRECT(ADDRESS(527,38))-INDIRECT(ADDRESS(530,38)),INDIRECT(ADDRESS(531,37))-INDIRECT(ADDRESS(526,38))+INDIRECT(ADDRESS(529,38))-INDIRECT(ADDRESS(530,38)))</f>
        <v>0</v>
      </c>
      <c r="AM531">
        <f>IF(DAY(NOW())&lt;M3,INDIRECT(ADDRESS(531,38))-INDIRECT(ADDRESS(526,39))+INDIRECT(ADDRESS(527,39))-INDIRECT(ADDRESS(530,39)),INDIRECT(ADDRESS(531,38))-INDIRECT(ADDRESS(526,39))+INDIRECT(ADDRESS(529,39))-INDIRECT(ADDRESS(530,39)))</f>
        <v>0</v>
      </c>
      <c r="AN531">
        <f>IF(DAY(NOW())&lt;M3,INDIRECT(ADDRESS(531,39))-INDIRECT(ADDRESS(526,40))+INDIRECT(ADDRESS(527,40))-INDIRECT(ADDRESS(530,40)),INDIRECT(ADDRESS(531,39))-INDIRECT(ADDRESS(526,40))+INDIRECT(ADDRESS(529,40))-INDIRECT(ADDRESS(530,40)))</f>
        <v>0</v>
      </c>
      <c r="AO531">
        <f>IF(DAY(NOW())&lt;M3,INDIRECT(ADDRESS(531,40))-INDIRECT(ADDRESS(526,41))+INDIRECT(ADDRESS(527,41))-INDIRECT(ADDRESS(530,41)),INDIRECT(ADDRESS(531,40))-INDIRECT(ADDRESS(526,41))+INDIRECT(ADDRESS(529,41))-INDIRECT(ADDRESS(530,41)))</f>
        <v>0</v>
      </c>
      <c r="AP531">
        <f>IF(DAY(NOW())&lt;M3,INDIRECT(ADDRESS(531,41))-INDIRECT(ADDRESS(526,42))+INDIRECT(ADDRESS(527,42))-INDIRECT(ADDRESS(530,42)),INDIRECT(ADDRESS(531,41))-INDIRECT(ADDRESS(526,42))+INDIRECT(ADDRESS(529,42))-INDIRECT(ADDRESS(530,42)))</f>
        <v>0</v>
      </c>
      <c r="AQ531">
        <f>IF(DAY(NOW())&lt;M3,INDIRECT(ADDRESS(531,42))-INDIRECT(ADDRESS(526,43))+INDIRECT(ADDRESS(527,43))-INDIRECT(ADDRESS(530,43)),INDIRECT(ADDRESS(531,42))-INDIRECT(ADDRESS(526,43))+INDIRECT(ADDRESS(529,43))-INDIRECT(ADDRESS(530,43)))</f>
        <v>0</v>
      </c>
      <c r="AR531">
        <f>IF(DAY(NOW())&lt;M3,INDIRECT(ADDRESS(531,43))-INDIRECT(ADDRESS(526,44))+INDIRECT(ADDRESS(527,44))-INDIRECT(ADDRESS(530,44)),INDIRECT(ADDRESS(531,43))-INDIRECT(ADDRESS(526,44))+INDIRECT(ADDRESS(529,44))-INDIRECT(ADDRESS(530,44)))</f>
        <v>0</v>
      </c>
    </row>
    <row r="532" spans="1:76">
      <c r="A532" t="s">
        <v>14</v>
      </c>
      <c r="B532" t="s">
        <v>56</v>
      </c>
      <c r="C532" t="s">
        <v>57</v>
      </c>
      <c r="D532" t="s">
        <v>304</v>
      </c>
      <c r="E532" t="s">
        <v>36</v>
      </c>
      <c r="F532" t="s">
        <v>58</v>
      </c>
      <c r="K532" t="s">
        <v>305</v>
      </c>
      <c r="L532" t="s">
        <v>21</v>
      </c>
      <c r="BX532">
        <f>sum(j532:an532)</f>
        <v>0</v>
      </c>
    </row>
    <row r="533" spans="1:76">
      <c r="A533" t="s">
        <v>14</v>
      </c>
      <c r="B533" t="s">
        <v>56</v>
      </c>
      <c r="C533" t="s">
        <v>57</v>
      </c>
      <c r="D533" t="s">
        <v>304</v>
      </c>
      <c r="E533" t="s">
        <v>36</v>
      </c>
      <c r="F533" t="s">
        <v>58</v>
      </c>
      <c r="K533" t="s">
        <v>305</v>
      </c>
      <c r="L533" t="s">
        <v>37</v>
      </c>
    </row>
    <row r="534" spans="1:76">
      <c r="L534" t="s">
        <v>662</v>
      </c>
    </row>
    <row r="535" spans="1:76">
      <c r="L535" t="s">
        <v>663</v>
      </c>
    </row>
    <row r="536" spans="1:76">
      <c r="L536" t="s">
        <v>664</v>
      </c>
    </row>
    <row r="537" spans="1:76">
      <c r="L537" t="s">
        <v>665</v>
      </c>
      <c r="M537">
        <f>IF(DAY(NOW())&lt;M3,INDIRECT(ADDRESS(537,7))-INDIRECT(ADDRESS(532,13))+INDIRECT(ADDRESS(533,13))-INDIRECT(ADDRESS(536,13)),INDIRECT(ADDRESS(537,7))-INDIRECT(ADDRESS(532,13))+INDIRECT(ADDRESS(535,13))-INDIRECT(ADDRESS(536,13)))</f>
        <v>0</v>
      </c>
      <c r="N537">
        <f>IF(DAY(NOW())&lt;M3,INDIRECT(ADDRESS(537,13))-INDIRECT(ADDRESS(532,14))+INDIRECT(ADDRESS(533,14))-INDIRECT(ADDRESS(536,14)),INDIRECT(ADDRESS(537,13))-INDIRECT(ADDRESS(532,14))+INDIRECT(ADDRESS(535,14))-INDIRECT(ADDRESS(536,14)))</f>
        <v>0</v>
      </c>
      <c r="O537">
        <f>IF(DAY(NOW())&lt;M3,INDIRECT(ADDRESS(537,14))-INDIRECT(ADDRESS(532,15))+INDIRECT(ADDRESS(533,15))-INDIRECT(ADDRESS(536,15)),INDIRECT(ADDRESS(537,14))-INDIRECT(ADDRESS(532,15))+INDIRECT(ADDRESS(535,15))-INDIRECT(ADDRESS(536,15)))</f>
        <v>0</v>
      </c>
      <c r="P537">
        <f>IF(DAY(NOW())&lt;M3,INDIRECT(ADDRESS(537,15))-INDIRECT(ADDRESS(532,16))+INDIRECT(ADDRESS(533,16))-INDIRECT(ADDRESS(536,16)),INDIRECT(ADDRESS(537,15))-INDIRECT(ADDRESS(532,16))+INDIRECT(ADDRESS(535,16))-INDIRECT(ADDRESS(536,16)))</f>
        <v>0</v>
      </c>
      <c r="Q537">
        <f>IF(DAY(NOW())&lt;M3,INDIRECT(ADDRESS(537,16))-INDIRECT(ADDRESS(532,17))+INDIRECT(ADDRESS(533,17))-INDIRECT(ADDRESS(536,17)),INDIRECT(ADDRESS(537,16))-INDIRECT(ADDRESS(532,17))+INDIRECT(ADDRESS(535,17))-INDIRECT(ADDRESS(536,17)))</f>
        <v>0</v>
      </c>
      <c r="R537">
        <f>IF(DAY(NOW())&lt;M3,INDIRECT(ADDRESS(537,17))-INDIRECT(ADDRESS(532,18))+INDIRECT(ADDRESS(533,18))-INDIRECT(ADDRESS(536,18)),INDIRECT(ADDRESS(537,17))-INDIRECT(ADDRESS(532,18))+INDIRECT(ADDRESS(535,18))-INDIRECT(ADDRESS(536,18)))</f>
        <v>0</v>
      </c>
      <c r="S537">
        <f>IF(DAY(NOW())&lt;M3,INDIRECT(ADDRESS(537,18))-INDIRECT(ADDRESS(532,19))+INDIRECT(ADDRESS(533,19))-INDIRECT(ADDRESS(536,19)),INDIRECT(ADDRESS(537,18))-INDIRECT(ADDRESS(532,19))+INDIRECT(ADDRESS(535,19))-INDIRECT(ADDRESS(536,19)))</f>
        <v>0</v>
      </c>
      <c r="T537">
        <f>IF(DAY(NOW())&lt;M3,INDIRECT(ADDRESS(537,19))-INDIRECT(ADDRESS(532,20))+INDIRECT(ADDRESS(533,20))-INDIRECT(ADDRESS(536,20)),INDIRECT(ADDRESS(537,19))-INDIRECT(ADDRESS(532,20))+INDIRECT(ADDRESS(535,20))-INDIRECT(ADDRESS(536,20)))</f>
        <v>0</v>
      </c>
      <c r="U537">
        <f>IF(DAY(NOW())&lt;M3,INDIRECT(ADDRESS(537,20))-INDIRECT(ADDRESS(532,21))+INDIRECT(ADDRESS(533,21))-INDIRECT(ADDRESS(536,21)),INDIRECT(ADDRESS(537,20))-INDIRECT(ADDRESS(532,21))+INDIRECT(ADDRESS(535,21))-INDIRECT(ADDRESS(536,21)))</f>
        <v>0</v>
      </c>
      <c r="V537">
        <f>IF(DAY(NOW())&lt;M3,INDIRECT(ADDRESS(537,21))-INDIRECT(ADDRESS(532,22))+INDIRECT(ADDRESS(533,22))-INDIRECT(ADDRESS(536,22)),INDIRECT(ADDRESS(537,21))-INDIRECT(ADDRESS(532,22))+INDIRECT(ADDRESS(535,22))-INDIRECT(ADDRESS(536,22)))</f>
        <v>0</v>
      </c>
      <c r="W537">
        <f>IF(DAY(NOW())&lt;M3,INDIRECT(ADDRESS(537,22))-INDIRECT(ADDRESS(532,23))+INDIRECT(ADDRESS(533,23))-INDIRECT(ADDRESS(536,23)),INDIRECT(ADDRESS(537,22))-INDIRECT(ADDRESS(532,23))+INDIRECT(ADDRESS(535,23))-INDIRECT(ADDRESS(536,23)))</f>
        <v>0</v>
      </c>
      <c r="X537">
        <f>IF(DAY(NOW())&lt;M3,INDIRECT(ADDRESS(537,23))-INDIRECT(ADDRESS(532,24))+INDIRECT(ADDRESS(533,24))-INDIRECT(ADDRESS(536,24)),INDIRECT(ADDRESS(537,23))-INDIRECT(ADDRESS(532,24))+INDIRECT(ADDRESS(535,24))-INDIRECT(ADDRESS(536,24)))</f>
        <v>0</v>
      </c>
      <c r="Y537">
        <f>IF(DAY(NOW())&lt;M3,INDIRECT(ADDRESS(537,24))-INDIRECT(ADDRESS(532,25))+INDIRECT(ADDRESS(533,25))-INDIRECT(ADDRESS(536,25)),INDIRECT(ADDRESS(537,24))-INDIRECT(ADDRESS(532,25))+INDIRECT(ADDRESS(535,25))-INDIRECT(ADDRESS(536,25)))</f>
        <v>0</v>
      </c>
      <c r="Z537">
        <f>IF(DAY(NOW())&lt;M3,INDIRECT(ADDRESS(537,25))-INDIRECT(ADDRESS(532,26))+INDIRECT(ADDRESS(533,26))-INDIRECT(ADDRESS(536,26)),INDIRECT(ADDRESS(537,25))-INDIRECT(ADDRESS(532,26))+INDIRECT(ADDRESS(535,26))-INDIRECT(ADDRESS(536,26)))</f>
        <v>0</v>
      </c>
      <c r="AA537">
        <f>IF(DAY(NOW())&lt;M3,INDIRECT(ADDRESS(537,26))-INDIRECT(ADDRESS(532,27))+INDIRECT(ADDRESS(533,27))-INDIRECT(ADDRESS(536,27)),INDIRECT(ADDRESS(537,26))-INDIRECT(ADDRESS(532,27))+INDIRECT(ADDRESS(535,27))-INDIRECT(ADDRESS(536,27)))</f>
        <v>0</v>
      </c>
      <c r="AB537">
        <f>IF(DAY(NOW())&lt;M3,INDIRECT(ADDRESS(537,27))-INDIRECT(ADDRESS(532,28))+INDIRECT(ADDRESS(533,28))-INDIRECT(ADDRESS(536,28)),INDIRECT(ADDRESS(537,27))-INDIRECT(ADDRESS(532,28))+INDIRECT(ADDRESS(535,28))-INDIRECT(ADDRESS(536,28)))</f>
        <v>0</v>
      </c>
      <c r="AC537">
        <f>IF(DAY(NOW())&lt;M3,INDIRECT(ADDRESS(537,28))-INDIRECT(ADDRESS(532,29))+INDIRECT(ADDRESS(533,29))-INDIRECT(ADDRESS(536,29)),INDIRECT(ADDRESS(537,28))-INDIRECT(ADDRESS(532,29))+INDIRECT(ADDRESS(535,29))-INDIRECT(ADDRESS(536,29)))</f>
        <v>0</v>
      </c>
      <c r="AD537">
        <f>IF(DAY(NOW())&lt;M3,INDIRECT(ADDRESS(537,29))-INDIRECT(ADDRESS(532,30))+INDIRECT(ADDRESS(533,30))-INDIRECT(ADDRESS(536,30)),INDIRECT(ADDRESS(537,29))-INDIRECT(ADDRESS(532,30))+INDIRECT(ADDRESS(535,30))-INDIRECT(ADDRESS(536,30)))</f>
        <v>0</v>
      </c>
      <c r="AE537">
        <f>IF(DAY(NOW())&lt;M3,INDIRECT(ADDRESS(537,30))-INDIRECT(ADDRESS(532,31))+INDIRECT(ADDRESS(533,31))-INDIRECT(ADDRESS(536,31)),INDIRECT(ADDRESS(537,30))-INDIRECT(ADDRESS(532,31))+INDIRECT(ADDRESS(535,31))-INDIRECT(ADDRESS(536,31)))</f>
        <v>0</v>
      </c>
      <c r="AF537">
        <f>IF(DAY(NOW())&lt;M3,INDIRECT(ADDRESS(537,31))-INDIRECT(ADDRESS(532,32))+INDIRECT(ADDRESS(533,32))-INDIRECT(ADDRESS(536,32)),INDIRECT(ADDRESS(537,31))-INDIRECT(ADDRESS(532,32))+INDIRECT(ADDRESS(535,32))-INDIRECT(ADDRESS(536,32)))</f>
        <v>0</v>
      </c>
      <c r="AG537">
        <f>IF(DAY(NOW())&lt;M3,INDIRECT(ADDRESS(537,32))-INDIRECT(ADDRESS(532,33))+INDIRECT(ADDRESS(533,33))-INDIRECT(ADDRESS(536,33)),INDIRECT(ADDRESS(537,32))-INDIRECT(ADDRESS(532,33))+INDIRECT(ADDRESS(535,33))-INDIRECT(ADDRESS(536,33)))</f>
        <v>0</v>
      </c>
      <c r="AH537">
        <f>IF(DAY(NOW())&lt;M3,INDIRECT(ADDRESS(537,33))-INDIRECT(ADDRESS(532,34))+INDIRECT(ADDRESS(533,34))-INDIRECT(ADDRESS(536,34)),INDIRECT(ADDRESS(537,33))-INDIRECT(ADDRESS(532,34))+INDIRECT(ADDRESS(535,34))-INDIRECT(ADDRESS(536,34)))</f>
        <v>0</v>
      </c>
      <c r="AI537">
        <f>IF(DAY(NOW())&lt;M3,INDIRECT(ADDRESS(537,34))-INDIRECT(ADDRESS(532,35))+INDIRECT(ADDRESS(533,35))-INDIRECT(ADDRESS(536,35)),INDIRECT(ADDRESS(537,34))-INDIRECT(ADDRESS(532,35))+INDIRECT(ADDRESS(535,35))-INDIRECT(ADDRESS(536,35)))</f>
        <v>0</v>
      </c>
      <c r="AJ537">
        <f>IF(DAY(NOW())&lt;M3,INDIRECT(ADDRESS(537,35))-INDIRECT(ADDRESS(532,36))+INDIRECT(ADDRESS(533,36))-INDIRECT(ADDRESS(536,36)),INDIRECT(ADDRESS(537,35))-INDIRECT(ADDRESS(532,36))+INDIRECT(ADDRESS(535,36))-INDIRECT(ADDRESS(536,36)))</f>
        <v>0</v>
      </c>
      <c r="AK537">
        <f>IF(DAY(NOW())&lt;M3,INDIRECT(ADDRESS(537,36))-INDIRECT(ADDRESS(532,37))+INDIRECT(ADDRESS(533,37))-INDIRECT(ADDRESS(536,37)),INDIRECT(ADDRESS(537,36))-INDIRECT(ADDRESS(532,37))+INDIRECT(ADDRESS(535,37))-INDIRECT(ADDRESS(536,37)))</f>
        <v>0</v>
      </c>
      <c r="AL537">
        <f>IF(DAY(NOW())&lt;M3,INDIRECT(ADDRESS(537,37))-INDIRECT(ADDRESS(532,38))+INDIRECT(ADDRESS(533,38))-INDIRECT(ADDRESS(536,38)),INDIRECT(ADDRESS(537,37))-INDIRECT(ADDRESS(532,38))+INDIRECT(ADDRESS(535,38))-INDIRECT(ADDRESS(536,38)))</f>
        <v>0</v>
      </c>
      <c r="AM537">
        <f>IF(DAY(NOW())&lt;M3,INDIRECT(ADDRESS(537,38))-INDIRECT(ADDRESS(532,39))+INDIRECT(ADDRESS(533,39))-INDIRECT(ADDRESS(536,39)),INDIRECT(ADDRESS(537,38))-INDIRECT(ADDRESS(532,39))+INDIRECT(ADDRESS(535,39))-INDIRECT(ADDRESS(536,39)))</f>
        <v>0</v>
      </c>
      <c r="AN537">
        <f>IF(DAY(NOW())&lt;M3,INDIRECT(ADDRESS(537,39))-INDIRECT(ADDRESS(532,40))+INDIRECT(ADDRESS(533,40))-INDIRECT(ADDRESS(536,40)),INDIRECT(ADDRESS(537,39))-INDIRECT(ADDRESS(532,40))+INDIRECT(ADDRESS(535,40))-INDIRECT(ADDRESS(536,40)))</f>
        <v>0</v>
      </c>
      <c r="AO537">
        <f>IF(DAY(NOW())&lt;M3,INDIRECT(ADDRESS(537,40))-INDIRECT(ADDRESS(532,41))+INDIRECT(ADDRESS(533,41))-INDIRECT(ADDRESS(536,41)),INDIRECT(ADDRESS(537,40))-INDIRECT(ADDRESS(532,41))+INDIRECT(ADDRESS(535,41))-INDIRECT(ADDRESS(536,41)))</f>
        <v>0</v>
      </c>
      <c r="AP537">
        <f>IF(DAY(NOW())&lt;M3,INDIRECT(ADDRESS(537,41))-INDIRECT(ADDRESS(532,42))+INDIRECT(ADDRESS(533,42))-INDIRECT(ADDRESS(536,42)),INDIRECT(ADDRESS(537,41))-INDIRECT(ADDRESS(532,42))+INDIRECT(ADDRESS(535,42))-INDIRECT(ADDRESS(536,42)))</f>
        <v>0</v>
      </c>
      <c r="AQ537">
        <f>IF(DAY(NOW())&lt;M3,INDIRECT(ADDRESS(537,42))-INDIRECT(ADDRESS(532,43))+INDIRECT(ADDRESS(533,43))-INDIRECT(ADDRESS(536,43)),INDIRECT(ADDRESS(537,42))-INDIRECT(ADDRESS(532,43))+INDIRECT(ADDRESS(535,43))-INDIRECT(ADDRESS(536,43)))</f>
        <v>0</v>
      </c>
      <c r="AR537">
        <f>IF(DAY(NOW())&lt;M3,INDIRECT(ADDRESS(537,43))-INDIRECT(ADDRESS(532,44))+INDIRECT(ADDRESS(533,44))-INDIRECT(ADDRESS(536,44)),INDIRECT(ADDRESS(537,43))-INDIRECT(ADDRESS(532,44))+INDIRECT(ADDRESS(535,44))-INDIRECT(ADDRESS(536,44)))</f>
        <v>0</v>
      </c>
    </row>
    <row r="538" spans="1:76">
      <c r="A538" t="s">
        <v>31</v>
      </c>
      <c r="B538" t="s">
        <v>309</v>
      </c>
      <c r="C538" t="s">
        <v>310</v>
      </c>
      <c r="D538" t="s">
        <v>17</v>
      </c>
      <c r="E538">
        <v>2</v>
      </c>
      <c r="F538" t="s">
        <v>311</v>
      </c>
      <c r="K538" t="s">
        <v>308</v>
      </c>
      <c r="L538" t="s">
        <v>21</v>
      </c>
      <c r="M538">
        <f>sumifs(BOM!m:m,BOM!A:A,".1",BOM!B:B,"212-037600-000")</f>
        <v>0</v>
      </c>
      <c r="N538">
        <f>sumifs(BOM!n:n,BOM!A:A,".1",BOM!B:B,"212-037600-000")</f>
        <v>0</v>
      </c>
      <c r="O538">
        <f>sumifs(BOM!o:o,BOM!A:A,".1",BOM!B:B,"212-037600-000")</f>
        <v>0</v>
      </c>
      <c r="P538">
        <f>sumifs(BOM!p:p,BOM!A:A,".1",BOM!B:B,"212-037600-000")</f>
        <v>0</v>
      </c>
      <c r="Q538">
        <f>sumifs(BOM!q:q,BOM!A:A,".1",BOM!B:B,"212-037600-000")</f>
        <v>0</v>
      </c>
      <c r="R538">
        <f>sumifs(BOM!r:r,BOM!A:A,".1",BOM!B:B,"212-037600-000")</f>
        <v>0</v>
      </c>
      <c r="S538">
        <f>sumifs(BOM!s:s,BOM!A:A,".1",BOM!B:B,"212-037600-000")</f>
        <v>0</v>
      </c>
      <c r="T538">
        <f>sumifs(BOM!t:t,BOM!A:A,".1",BOM!B:B,"212-037600-000")</f>
        <v>0</v>
      </c>
      <c r="U538">
        <f>sumifs(BOM!u:u,BOM!A:A,".1",BOM!B:B,"212-037600-000")</f>
        <v>0</v>
      </c>
      <c r="V538">
        <f>sumifs(BOM!v:v,BOM!A:A,".1",BOM!B:B,"212-037600-000")</f>
        <v>0</v>
      </c>
      <c r="W538">
        <f>sumifs(BOM!w:w,BOM!A:A,".1",BOM!B:B,"212-037600-000")</f>
        <v>0</v>
      </c>
      <c r="X538">
        <f>sumifs(BOM!x:x,BOM!A:A,".1",BOM!B:B,"212-037600-000")</f>
        <v>0</v>
      </c>
      <c r="Y538">
        <f>sumifs(BOM!y:y,BOM!A:A,".1",BOM!B:B,"212-037600-000")</f>
        <v>0</v>
      </c>
      <c r="Z538">
        <f>sumifs(BOM!z:z,BOM!A:A,".1",BOM!B:B,"212-037600-000")</f>
        <v>0</v>
      </c>
      <c r="AA538">
        <f>sumifs(BOM!aa:aa,BOM!A:A,".1",BOM!B:B,"212-037600-000")</f>
        <v>0</v>
      </c>
      <c r="AB538">
        <f>sumifs(BOM!ab:ab,BOM!A:A,".1",BOM!B:B,"212-037600-000")</f>
        <v>0</v>
      </c>
      <c r="AC538">
        <f>sumifs(BOM!ac:ac,BOM!A:A,".1",BOM!B:B,"212-037600-000")</f>
        <v>0</v>
      </c>
      <c r="AD538">
        <f>sumifs(BOM!ad:ad,BOM!A:A,".1",BOM!B:B,"212-037600-000")</f>
        <v>0</v>
      </c>
      <c r="AE538">
        <f>sumifs(BOM!ae:ae,BOM!A:A,".1",BOM!B:B,"212-037600-000")</f>
        <v>0</v>
      </c>
      <c r="AF538">
        <f>sumifs(BOM!af:af,BOM!A:A,".1",BOM!B:B,"212-037600-000")</f>
        <v>0</v>
      </c>
      <c r="AG538">
        <f>sumifs(BOM!ag:ag,BOM!A:A,".1",BOM!B:B,"212-037600-000")</f>
        <v>0</v>
      </c>
      <c r="AH538">
        <f>sumifs(BOM!ah:ah,BOM!A:A,".1",BOM!B:B,"212-037600-000")</f>
        <v>0</v>
      </c>
      <c r="AI538">
        <f>sumifs(BOM!ai:ai,BOM!A:A,".1",BOM!B:B,"212-037600-000")</f>
        <v>0</v>
      </c>
      <c r="AJ538">
        <f>sumifs(BOM!aj:aj,BOM!A:A,".1",BOM!B:B,"212-037600-000")</f>
        <v>0</v>
      </c>
      <c r="AK538">
        <f>sumifs(BOM!ak:ak,BOM!A:A,".1",BOM!B:B,"212-037600-000")</f>
        <v>0</v>
      </c>
      <c r="AL538">
        <f>sumifs(BOM!al:al,BOM!A:A,".1",BOM!B:B,"212-037600-000")</f>
        <v>0</v>
      </c>
      <c r="AM538">
        <f>sumifs(BOM!am:am,BOM!A:A,".1",BOM!B:B,"212-037600-000")</f>
        <v>0</v>
      </c>
      <c r="AN538">
        <f>sumifs(BOM!an:an,BOM!A:A,".1",BOM!B:B,"212-037600-000")</f>
        <v>0</v>
      </c>
      <c r="AO538">
        <f>sumifs(BOM!ao:ao,BOM!A:A,".1",BOM!B:B,"212-037600-000")</f>
        <v>0</v>
      </c>
      <c r="AP538">
        <f>sumifs(BOM!ap:ap,BOM!A:A,".1",BOM!B:B,"212-037600-000")</f>
        <v>0</v>
      </c>
      <c r="AQ538">
        <f>sumifs(BOM!aq:aq,BOM!A:A,".1",BOM!B:B,"212-037600-000")</f>
        <v>0</v>
      </c>
      <c r="AR538">
        <f>sumifs(BOM!ar:ar,BOM!A:A,".1",BOM!B:B,"212-037600-000")</f>
        <v>0</v>
      </c>
      <c r="BX538">
        <f>sum(j538:an538)</f>
        <v>0</v>
      </c>
    </row>
    <row r="539" spans="1:76">
      <c r="A539" t="s">
        <v>31</v>
      </c>
      <c r="B539" t="s">
        <v>309</v>
      </c>
      <c r="C539" t="s">
        <v>310</v>
      </c>
      <c r="D539" t="s">
        <v>17</v>
      </c>
      <c r="E539">
        <v>2</v>
      </c>
      <c r="F539" t="s">
        <v>311</v>
      </c>
      <c r="K539" t="s">
        <v>308</v>
      </c>
      <c r="L539" t="s">
        <v>37</v>
      </c>
    </row>
    <row r="540" spans="1:76">
      <c r="L540" t="s">
        <v>662</v>
      </c>
    </row>
    <row r="541" spans="1:76">
      <c r="L541" t="s">
        <v>663</v>
      </c>
    </row>
    <row r="542" spans="1:76">
      <c r="L542" t="s">
        <v>664</v>
      </c>
    </row>
    <row r="543" spans="1:76">
      <c r="L543" t="s">
        <v>665</v>
      </c>
      <c r="M543">
        <f>IF(DAY(NOW())&lt;M3,INDIRECT(ADDRESS(543,7))-INDIRECT(ADDRESS(538,13))+INDIRECT(ADDRESS(539,13))-INDIRECT(ADDRESS(542,13)),INDIRECT(ADDRESS(543,7))-INDIRECT(ADDRESS(538,13))+INDIRECT(ADDRESS(541,13))-INDIRECT(ADDRESS(542,13)))</f>
        <v>0</v>
      </c>
      <c r="N543">
        <f>IF(DAY(NOW())&lt;M3,INDIRECT(ADDRESS(543,13))-INDIRECT(ADDRESS(538,14))+INDIRECT(ADDRESS(539,14))-INDIRECT(ADDRESS(542,14)),INDIRECT(ADDRESS(543,13))-INDIRECT(ADDRESS(538,14))+INDIRECT(ADDRESS(541,14))-INDIRECT(ADDRESS(542,14)))</f>
        <v>0</v>
      </c>
      <c r="O543">
        <f>IF(DAY(NOW())&lt;M3,INDIRECT(ADDRESS(543,14))-INDIRECT(ADDRESS(538,15))+INDIRECT(ADDRESS(539,15))-INDIRECT(ADDRESS(542,15)),INDIRECT(ADDRESS(543,14))-INDIRECT(ADDRESS(538,15))+INDIRECT(ADDRESS(541,15))-INDIRECT(ADDRESS(542,15)))</f>
        <v>0</v>
      </c>
      <c r="P543">
        <f>IF(DAY(NOW())&lt;M3,INDIRECT(ADDRESS(543,15))-INDIRECT(ADDRESS(538,16))+INDIRECT(ADDRESS(539,16))-INDIRECT(ADDRESS(542,16)),INDIRECT(ADDRESS(543,15))-INDIRECT(ADDRESS(538,16))+INDIRECT(ADDRESS(541,16))-INDIRECT(ADDRESS(542,16)))</f>
        <v>0</v>
      </c>
      <c r="Q543">
        <f>IF(DAY(NOW())&lt;M3,INDIRECT(ADDRESS(543,16))-INDIRECT(ADDRESS(538,17))+INDIRECT(ADDRESS(539,17))-INDIRECT(ADDRESS(542,17)),INDIRECT(ADDRESS(543,16))-INDIRECT(ADDRESS(538,17))+INDIRECT(ADDRESS(541,17))-INDIRECT(ADDRESS(542,17)))</f>
        <v>0</v>
      </c>
      <c r="R543">
        <f>IF(DAY(NOW())&lt;M3,INDIRECT(ADDRESS(543,17))-INDIRECT(ADDRESS(538,18))+INDIRECT(ADDRESS(539,18))-INDIRECT(ADDRESS(542,18)),INDIRECT(ADDRESS(543,17))-INDIRECT(ADDRESS(538,18))+INDIRECT(ADDRESS(541,18))-INDIRECT(ADDRESS(542,18)))</f>
        <v>0</v>
      </c>
      <c r="S543">
        <f>IF(DAY(NOW())&lt;M3,INDIRECT(ADDRESS(543,18))-INDIRECT(ADDRESS(538,19))+INDIRECT(ADDRESS(539,19))-INDIRECT(ADDRESS(542,19)),INDIRECT(ADDRESS(543,18))-INDIRECT(ADDRESS(538,19))+INDIRECT(ADDRESS(541,19))-INDIRECT(ADDRESS(542,19)))</f>
        <v>0</v>
      </c>
      <c r="T543">
        <f>IF(DAY(NOW())&lt;M3,INDIRECT(ADDRESS(543,19))-INDIRECT(ADDRESS(538,20))+INDIRECT(ADDRESS(539,20))-INDIRECT(ADDRESS(542,20)),INDIRECT(ADDRESS(543,19))-INDIRECT(ADDRESS(538,20))+INDIRECT(ADDRESS(541,20))-INDIRECT(ADDRESS(542,20)))</f>
        <v>0</v>
      </c>
      <c r="U543">
        <f>IF(DAY(NOW())&lt;M3,INDIRECT(ADDRESS(543,20))-INDIRECT(ADDRESS(538,21))+INDIRECT(ADDRESS(539,21))-INDIRECT(ADDRESS(542,21)),INDIRECT(ADDRESS(543,20))-INDIRECT(ADDRESS(538,21))+INDIRECT(ADDRESS(541,21))-INDIRECT(ADDRESS(542,21)))</f>
        <v>0</v>
      </c>
      <c r="V543">
        <f>IF(DAY(NOW())&lt;M3,INDIRECT(ADDRESS(543,21))-INDIRECT(ADDRESS(538,22))+INDIRECT(ADDRESS(539,22))-INDIRECT(ADDRESS(542,22)),INDIRECT(ADDRESS(543,21))-INDIRECT(ADDRESS(538,22))+INDIRECT(ADDRESS(541,22))-INDIRECT(ADDRESS(542,22)))</f>
        <v>0</v>
      </c>
      <c r="W543">
        <f>IF(DAY(NOW())&lt;M3,INDIRECT(ADDRESS(543,22))-INDIRECT(ADDRESS(538,23))+INDIRECT(ADDRESS(539,23))-INDIRECT(ADDRESS(542,23)),INDIRECT(ADDRESS(543,22))-INDIRECT(ADDRESS(538,23))+INDIRECT(ADDRESS(541,23))-INDIRECT(ADDRESS(542,23)))</f>
        <v>0</v>
      </c>
      <c r="X543">
        <f>IF(DAY(NOW())&lt;M3,INDIRECT(ADDRESS(543,23))-INDIRECT(ADDRESS(538,24))+INDIRECT(ADDRESS(539,24))-INDIRECT(ADDRESS(542,24)),INDIRECT(ADDRESS(543,23))-INDIRECT(ADDRESS(538,24))+INDIRECT(ADDRESS(541,24))-INDIRECT(ADDRESS(542,24)))</f>
        <v>0</v>
      </c>
      <c r="Y543">
        <f>IF(DAY(NOW())&lt;M3,INDIRECT(ADDRESS(543,24))-INDIRECT(ADDRESS(538,25))+INDIRECT(ADDRESS(539,25))-INDIRECT(ADDRESS(542,25)),INDIRECT(ADDRESS(543,24))-INDIRECT(ADDRESS(538,25))+INDIRECT(ADDRESS(541,25))-INDIRECT(ADDRESS(542,25)))</f>
        <v>0</v>
      </c>
      <c r="Z543">
        <f>IF(DAY(NOW())&lt;M3,INDIRECT(ADDRESS(543,25))-INDIRECT(ADDRESS(538,26))+INDIRECT(ADDRESS(539,26))-INDIRECT(ADDRESS(542,26)),INDIRECT(ADDRESS(543,25))-INDIRECT(ADDRESS(538,26))+INDIRECT(ADDRESS(541,26))-INDIRECT(ADDRESS(542,26)))</f>
        <v>0</v>
      </c>
      <c r="AA543">
        <f>IF(DAY(NOW())&lt;M3,INDIRECT(ADDRESS(543,26))-INDIRECT(ADDRESS(538,27))+INDIRECT(ADDRESS(539,27))-INDIRECT(ADDRESS(542,27)),INDIRECT(ADDRESS(543,26))-INDIRECT(ADDRESS(538,27))+INDIRECT(ADDRESS(541,27))-INDIRECT(ADDRESS(542,27)))</f>
        <v>0</v>
      </c>
      <c r="AB543">
        <f>IF(DAY(NOW())&lt;M3,INDIRECT(ADDRESS(543,27))-INDIRECT(ADDRESS(538,28))+INDIRECT(ADDRESS(539,28))-INDIRECT(ADDRESS(542,28)),INDIRECT(ADDRESS(543,27))-INDIRECT(ADDRESS(538,28))+INDIRECT(ADDRESS(541,28))-INDIRECT(ADDRESS(542,28)))</f>
        <v>0</v>
      </c>
      <c r="AC543">
        <f>IF(DAY(NOW())&lt;M3,INDIRECT(ADDRESS(543,28))-INDIRECT(ADDRESS(538,29))+INDIRECT(ADDRESS(539,29))-INDIRECT(ADDRESS(542,29)),INDIRECT(ADDRESS(543,28))-INDIRECT(ADDRESS(538,29))+INDIRECT(ADDRESS(541,29))-INDIRECT(ADDRESS(542,29)))</f>
        <v>0</v>
      </c>
      <c r="AD543">
        <f>IF(DAY(NOW())&lt;M3,INDIRECT(ADDRESS(543,29))-INDIRECT(ADDRESS(538,30))+INDIRECT(ADDRESS(539,30))-INDIRECT(ADDRESS(542,30)),INDIRECT(ADDRESS(543,29))-INDIRECT(ADDRESS(538,30))+INDIRECT(ADDRESS(541,30))-INDIRECT(ADDRESS(542,30)))</f>
        <v>0</v>
      </c>
      <c r="AE543">
        <f>IF(DAY(NOW())&lt;M3,INDIRECT(ADDRESS(543,30))-INDIRECT(ADDRESS(538,31))+INDIRECT(ADDRESS(539,31))-INDIRECT(ADDRESS(542,31)),INDIRECT(ADDRESS(543,30))-INDIRECT(ADDRESS(538,31))+INDIRECT(ADDRESS(541,31))-INDIRECT(ADDRESS(542,31)))</f>
        <v>0</v>
      </c>
      <c r="AF543">
        <f>IF(DAY(NOW())&lt;M3,INDIRECT(ADDRESS(543,31))-INDIRECT(ADDRESS(538,32))+INDIRECT(ADDRESS(539,32))-INDIRECT(ADDRESS(542,32)),INDIRECT(ADDRESS(543,31))-INDIRECT(ADDRESS(538,32))+INDIRECT(ADDRESS(541,32))-INDIRECT(ADDRESS(542,32)))</f>
        <v>0</v>
      </c>
      <c r="AG543">
        <f>IF(DAY(NOW())&lt;M3,INDIRECT(ADDRESS(543,32))-INDIRECT(ADDRESS(538,33))+INDIRECT(ADDRESS(539,33))-INDIRECT(ADDRESS(542,33)),INDIRECT(ADDRESS(543,32))-INDIRECT(ADDRESS(538,33))+INDIRECT(ADDRESS(541,33))-INDIRECT(ADDRESS(542,33)))</f>
        <v>0</v>
      </c>
      <c r="AH543">
        <f>IF(DAY(NOW())&lt;M3,INDIRECT(ADDRESS(543,33))-INDIRECT(ADDRESS(538,34))+INDIRECT(ADDRESS(539,34))-INDIRECT(ADDRESS(542,34)),INDIRECT(ADDRESS(543,33))-INDIRECT(ADDRESS(538,34))+INDIRECT(ADDRESS(541,34))-INDIRECT(ADDRESS(542,34)))</f>
        <v>0</v>
      </c>
      <c r="AI543">
        <f>IF(DAY(NOW())&lt;M3,INDIRECT(ADDRESS(543,34))-INDIRECT(ADDRESS(538,35))+INDIRECT(ADDRESS(539,35))-INDIRECT(ADDRESS(542,35)),INDIRECT(ADDRESS(543,34))-INDIRECT(ADDRESS(538,35))+INDIRECT(ADDRESS(541,35))-INDIRECT(ADDRESS(542,35)))</f>
        <v>0</v>
      </c>
      <c r="AJ543">
        <f>IF(DAY(NOW())&lt;M3,INDIRECT(ADDRESS(543,35))-INDIRECT(ADDRESS(538,36))+INDIRECT(ADDRESS(539,36))-INDIRECT(ADDRESS(542,36)),INDIRECT(ADDRESS(543,35))-INDIRECT(ADDRESS(538,36))+INDIRECT(ADDRESS(541,36))-INDIRECT(ADDRESS(542,36)))</f>
        <v>0</v>
      </c>
      <c r="AK543">
        <f>IF(DAY(NOW())&lt;M3,INDIRECT(ADDRESS(543,36))-INDIRECT(ADDRESS(538,37))+INDIRECT(ADDRESS(539,37))-INDIRECT(ADDRESS(542,37)),INDIRECT(ADDRESS(543,36))-INDIRECT(ADDRESS(538,37))+INDIRECT(ADDRESS(541,37))-INDIRECT(ADDRESS(542,37)))</f>
        <v>0</v>
      </c>
      <c r="AL543">
        <f>IF(DAY(NOW())&lt;M3,INDIRECT(ADDRESS(543,37))-INDIRECT(ADDRESS(538,38))+INDIRECT(ADDRESS(539,38))-INDIRECT(ADDRESS(542,38)),INDIRECT(ADDRESS(543,37))-INDIRECT(ADDRESS(538,38))+INDIRECT(ADDRESS(541,38))-INDIRECT(ADDRESS(542,38)))</f>
        <v>0</v>
      </c>
      <c r="AM543">
        <f>IF(DAY(NOW())&lt;M3,INDIRECT(ADDRESS(543,38))-INDIRECT(ADDRESS(538,39))+INDIRECT(ADDRESS(539,39))-INDIRECT(ADDRESS(542,39)),INDIRECT(ADDRESS(543,38))-INDIRECT(ADDRESS(538,39))+INDIRECT(ADDRESS(541,39))-INDIRECT(ADDRESS(542,39)))</f>
        <v>0</v>
      </c>
      <c r="AN543">
        <f>IF(DAY(NOW())&lt;M3,INDIRECT(ADDRESS(543,39))-INDIRECT(ADDRESS(538,40))+INDIRECT(ADDRESS(539,40))-INDIRECT(ADDRESS(542,40)),INDIRECT(ADDRESS(543,39))-INDIRECT(ADDRESS(538,40))+INDIRECT(ADDRESS(541,40))-INDIRECT(ADDRESS(542,40)))</f>
        <v>0</v>
      </c>
      <c r="AO543">
        <f>IF(DAY(NOW())&lt;M3,INDIRECT(ADDRESS(543,40))-INDIRECT(ADDRESS(538,41))+INDIRECT(ADDRESS(539,41))-INDIRECT(ADDRESS(542,41)),INDIRECT(ADDRESS(543,40))-INDIRECT(ADDRESS(538,41))+INDIRECT(ADDRESS(541,41))-INDIRECT(ADDRESS(542,41)))</f>
        <v>0</v>
      </c>
      <c r="AP543">
        <f>IF(DAY(NOW())&lt;M3,INDIRECT(ADDRESS(543,41))-INDIRECT(ADDRESS(538,42))+INDIRECT(ADDRESS(539,42))-INDIRECT(ADDRESS(542,42)),INDIRECT(ADDRESS(543,41))-INDIRECT(ADDRESS(538,42))+INDIRECT(ADDRESS(541,42))-INDIRECT(ADDRESS(542,42)))</f>
        <v>0</v>
      </c>
      <c r="AQ543">
        <f>IF(DAY(NOW())&lt;M3,INDIRECT(ADDRESS(543,42))-INDIRECT(ADDRESS(538,43))+INDIRECT(ADDRESS(539,43))-INDIRECT(ADDRESS(542,43)),INDIRECT(ADDRESS(543,42))-INDIRECT(ADDRESS(538,43))+INDIRECT(ADDRESS(541,43))-INDIRECT(ADDRESS(542,43)))</f>
        <v>0</v>
      </c>
      <c r="AR543">
        <f>IF(DAY(NOW())&lt;M3,INDIRECT(ADDRESS(543,43))-INDIRECT(ADDRESS(538,44))+INDIRECT(ADDRESS(539,44))-INDIRECT(ADDRESS(542,44)),INDIRECT(ADDRESS(543,43))-INDIRECT(ADDRESS(538,44))+INDIRECT(ADDRESS(541,44))-INDIRECT(ADDRESS(542,44)))</f>
        <v>0</v>
      </c>
    </row>
    <row r="544" spans="1:76">
      <c r="A544" t="s">
        <v>14</v>
      </c>
      <c r="B544" t="s">
        <v>62</v>
      </c>
      <c r="C544" t="s">
        <v>63</v>
      </c>
      <c r="D544" t="s">
        <v>304</v>
      </c>
      <c r="E544">
        <v>1</v>
      </c>
      <c r="F544" t="s">
        <v>64</v>
      </c>
      <c r="K544" t="s">
        <v>305</v>
      </c>
      <c r="L544" t="s">
        <v>21</v>
      </c>
      <c r="BX544">
        <f>sum(j544:an544)</f>
        <v>0</v>
      </c>
    </row>
    <row r="545" spans="1:76">
      <c r="A545" t="s">
        <v>14</v>
      </c>
      <c r="B545" t="s">
        <v>62</v>
      </c>
      <c r="C545" t="s">
        <v>63</v>
      </c>
      <c r="D545" t="s">
        <v>304</v>
      </c>
      <c r="E545">
        <v>1</v>
      </c>
      <c r="F545" t="s">
        <v>64</v>
      </c>
      <c r="K545" t="s">
        <v>305</v>
      </c>
      <c r="L545" t="s">
        <v>37</v>
      </c>
    </row>
    <row r="546" spans="1:76">
      <c r="L546" t="s">
        <v>662</v>
      </c>
    </row>
    <row r="547" spans="1:76">
      <c r="L547" t="s">
        <v>663</v>
      </c>
    </row>
    <row r="548" spans="1:76">
      <c r="L548" t="s">
        <v>664</v>
      </c>
    </row>
    <row r="549" spans="1:76">
      <c r="L549" t="s">
        <v>665</v>
      </c>
      <c r="M549">
        <f>IF(DAY(NOW())&lt;M3,INDIRECT(ADDRESS(549,7))-INDIRECT(ADDRESS(544,13))+INDIRECT(ADDRESS(545,13))-INDIRECT(ADDRESS(548,13)),INDIRECT(ADDRESS(549,7))-INDIRECT(ADDRESS(544,13))+INDIRECT(ADDRESS(547,13))-INDIRECT(ADDRESS(548,13)))</f>
        <v>0</v>
      </c>
      <c r="N549">
        <f>IF(DAY(NOW())&lt;M3,INDIRECT(ADDRESS(549,13))-INDIRECT(ADDRESS(544,14))+INDIRECT(ADDRESS(545,14))-INDIRECT(ADDRESS(548,14)),INDIRECT(ADDRESS(549,13))-INDIRECT(ADDRESS(544,14))+INDIRECT(ADDRESS(547,14))-INDIRECT(ADDRESS(548,14)))</f>
        <v>0</v>
      </c>
      <c r="O549">
        <f>IF(DAY(NOW())&lt;M3,INDIRECT(ADDRESS(549,14))-INDIRECT(ADDRESS(544,15))+INDIRECT(ADDRESS(545,15))-INDIRECT(ADDRESS(548,15)),INDIRECT(ADDRESS(549,14))-INDIRECT(ADDRESS(544,15))+INDIRECT(ADDRESS(547,15))-INDIRECT(ADDRESS(548,15)))</f>
        <v>0</v>
      </c>
      <c r="P549">
        <f>IF(DAY(NOW())&lt;M3,INDIRECT(ADDRESS(549,15))-INDIRECT(ADDRESS(544,16))+INDIRECT(ADDRESS(545,16))-INDIRECT(ADDRESS(548,16)),INDIRECT(ADDRESS(549,15))-INDIRECT(ADDRESS(544,16))+INDIRECT(ADDRESS(547,16))-INDIRECT(ADDRESS(548,16)))</f>
        <v>0</v>
      </c>
      <c r="Q549">
        <f>IF(DAY(NOW())&lt;M3,INDIRECT(ADDRESS(549,16))-INDIRECT(ADDRESS(544,17))+INDIRECT(ADDRESS(545,17))-INDIRECT(ADDRESS(548,17)),INDIRECT(ADDRESS(549,16))-INDIRECT(ADDRESS(544,17))+INDIRECT(ADDRESS(547,17))-INDIRECT(ADDRESS(548,17)))</f>
        <v>0</v>
      </c>
      <c r="R549">
        <f>IF(DAY(NOW())&lt;M3,INDIRECT(ADDRESS(549,17))-INDIRECT(ADDRESS(544,18))+INDIRECT(ADDRESS(545,18))-INDIRECT(ADDRESS(548,18)),INDIRECT(ADDRESS(549,17))-INDIRECT(ADDRESS(544,18))+INDIRECT(ADDRESS(547,18))-INDIRECT(ADDRESS(548,18)))</f>
        <v>0</v>
      </c>
      <c r="S549">
        <f>IF(DAY(NOW())&lt;M3,INDIRECT(ADDRESS(549,18))-INDIRECT(ADDRESS(544,19))+INDIRECT(ADDRESS(545,19))-INDIRECT(ADDRESS(548,19)),INDIRECT(ADDRESS(549,18))-INDIRECT(ADDRESS(544,19))+INDIRECT(ADDRESS(547,19))-INDIRECT(ADDRESS(548,19)))</f>
        <v>0</v>
      </c>
      <c r="T549">
        <f>IF(DAY(NOW())&lt;M3,INDIRECT(ADDRESS(549,19))-INDIRECT(ADDRESS(544,20))+INDIRECT(ADDRESS(545,20))-INDIRECT(ADDRESS(548,20)),INDIRECT(ADDRESS(549,19))-INDIRECT(ADDRESS(544,20))+INDIRECT(ADDRESS(547,20))-INDIRECT(ADDRESS(548,20)))</f>
        <v>0</v>
      </c>
      <c r="U549">
        <f>IF(DAY(NOW())&lt;M3,INDIRECT(ADDRESS(549,20))-INDIRECT(ADDRESS(544,21))+INDIRECT(ADDRESS(545,21))-INDIRECT(ADDRESS(548,21)),INDIRECT(ADDRESS(549,20))-INDIRECT(ADDRESS(544,21))+INDIRECT(ADDRESS(547,21))-INDIRECT(ADDRESS(548,21)))</f>
        <v>0</v>
      </c>
      <c r="V549">
        <f>IF(DAY(NOW())&lt;M3,INDIRECT(ADDRESS(549,21))-INDIRECT(ADDRESS(544,22))+INDIRECT(ADDRESS(545,22))-INDIRECT(ADDRESS(548,22)),INDIRECT(ADDRESS(549,21))-INDIRECT(ADDRESS(544,22))+INDIRECT(ADDRESS(547,22))-INDIRECT(ADDRESS(548,22)))</f>
        <v>0</v>
      </c>
      <c r="W549">
        <f>IF(DAY(NOW())&lt;M3,INDIRECT(ADDRESS(549,22))-INDIRECT(ADDRESS(544,23))+INDIRECT(ADDRESS(545,23))-INDIRECT(ADDRESS(548,23)),INDIRECT(ADDRESS(549,22))-INDIRECT(ADDRESS(544,23))+INDIRECT(ADDRESS(547,23))-INDIRECT(ADDRESS(548,23)))</f>
        <v>0</v>
      </c>
      <c r="X549">
        <f>IF(DAY(NOW())&lt;M3,INDIRECT(ADDRESS(549,23))-INDIRECT(ADDRESS(544,24))+INDIRECT(ADDRESS(545,24))-INDIRECT(ADDRESS(548,24)),INDIRECT(ADDRESS(549,23))-INDIRECT(ADDRESS(544,24))+INDIRECT(ADDRESS(547,24))-INDIRECT(ADDRESS(548,24)))</f>
        <v>0</v>
      </c>
      <c r="Y549">
        <f>IF(DAY(NOW())&lt;M3,INDIRECT(ADDRESS(549,24))-INDIRECT(ADDRESS(544,25))+INDIRECT(ADDRESS(545,25))-INDIRECT(ADDRESS(548,25)),INDIRECT(ADDRESS(549,24))-INDIRECT(ADDRESS(544,25))+INDIRECT(ADDRESS(547,25))-INDIRECT(ADDRESS(548,25)))</f>
        <v>0</v>
      </c>
      <c r="Z549">
        <f>IF(DAY(NOW())&lt;M3,INDIRECT(ADDRESS(549,25))-INDIRECT(ADDRESS(544,26))+INDIRECT(ADDRESS(545,26))-INDIRECT(ADDRESS(548,26)),INDIRECT(ADDRESS(549,25))-INDIRECT(ADDRESS(544,26))+INDIRECT(ADDRESS(547,26))-INDIRECT(ADDRESS(548,26)))</f>
        <v>0</v>
      </c>
      <c r="AA549">
        <f>IF(DAY(NOW())&lt;M3,INDIRECT(ADDRESS(549,26))-INDIRECT(ADDRESS(544,27))+INDIRECT(ADDRESS(545,27))-INDIRECT(ADDRESS(548,27)),INDIRECT(ADDRESS(549,26))-INDIRECT(ADDRESS(544,27))+INDIRECT(ADDRESS(547,27))-INDIRECT(ADDRESS(548,27)))</f>
        <v>0</v>
      </c>
      <c r="AB549">
        <f>IF(DAY(NOW())&lt;M3,INDIRECT(ADDRESS(549,27))-INDIRECT(ADDRESS(544,28))+INDIRECT(ADDRESS(545,28))-INDIRECT(ADDRESS(548,28)),INDIRECT(ADDRESS(549,27))-INDIRECT(ADDRESS(544,28))+INDIRECT(ADDRESS(547,28))-INDIRECT(ADDRESS(548,28)))</f>
        <v>0</v>
      </c>
      <c r="AC549">
        <f>IF(DAY(NOW())&lt;M3,INDIRECT(ADDRESS(549,28))-INDIRECT(ADDRESS(544,29))+INDIRECT(ADDRESS(545,29))-INDIRECT(ADDRESS(548,29)),INDIRECT(ADDRESS(549,28))-INDIRECT(ADDRESS(544,29))+INDIRECT(ADDRESS(547,29))-INDIRECT(ADDRESS(548,29)))</f>
        <v>0</v>
      </c>
      <c r="AD549">
        <f>IF(DAY(NOW())&lt;M3,INDIRECT(ADDRESS(549,29))-INDIRECT(ADDRESS(544,30))+INDIRECT(ADDRESS(545,30))-INDIRECT(ADDRESS(548,30)),INDIRECT(ADDRESS(549,29))-INDIRECT(ADDRESS(544,30))+INDIRECT(ADDRESS(547,30))-INDIRECT(ADDRESS(548,30)))</f>
        <v>0</v>
      </c>
      <c r="AE549">
        <f>IF(DAY(NOW())&lt;M3,INDIRECT(ADDRESS(549,30))-INDIRECT(ADDRESS(544,31))+INDIRECT(ADDRESS(545,31))-INDIRECT(ADDRESS(548,31)),INDIRECT(ADDRESS(549,30))-INDIRECT(ADDRESS(544,31))+INDIRECT(ADDRESS(547,31))-INDIRECT(ADDRESS(548,31)))</f>
        <v>0</v>
      </c>
      <c r="AF549">
        <f>IF(DAY(NOW())&lt;M3,INDIRECT(ADDRESS(549,31))-INDIRECT(ADDRESS(544,32))+INDIRECT(ADDRESS(545,32))-INDIRECT(ADDRESS(548,32)),INDIRECT(ADDRESS(549,31))-INDIRECT(ADDRESS(544,32))+INDIRECT(ADDRESS(547,32))-INDIRECT(ADDRESS(548,32)))</f>
        <v>0</v>
      </c>
      <c r="AG549">
        <f>IF(DAY(NOW())&lt;M3,INDIRECT(ADDRESS(549,32))-INDIRECT(ADDRESS(544,33))+INDIRECT(ADDRESS(545,33))-INDIRECT(ADDRESS(548,33)),INDIRECT(ADDRESS(549,32))-INDIRECT(ADDRESS(544,33))+INDIRECT(ADDRESS(547,33))-INDIRECT(ADDRESS(548,33)))</f>
        <v>0</v>
      </c>
      <c r="AH549">
        <f>IF(DAY(NOW())&lt;M3,INDIRECT(ADDRESS(549,33))-INDIRECT(ADDRESS(544,34))+INDIRECT(ADDRESS(545,34))-INDIRECT(ADDRESS(548,34)),INDIRECT(ADDRESS(549,33))-INDIRECT(ADDRESS(544,34))+INDIRECT(ADDRESS(547,34))-INDIRECT(ADDRESS(548,34)))</f>
        <v>0</v>
      </c>
      <c r="AI549">
        <f>IF(DAY(NOW())&lt;M3,INDIRECT(ADDRESS(549,34))-INDIRECT(ADDRESS(544,35))+INDIRECT(ADDRESS(545,35))-INDIRECT(ADDRESS(548,35)),INDIRECT(ADDRESS(549,34))-INDIRECT(ADDRESS(544,35))+INDIRECT(ADDRESS(547,35))-INDIRECT(ADDRESS(548,35)))</f>
        <v>0</v>
      </c>
      <c r="AJ549">
        <f>IF(DAY(NOW())&lt;M3,INDIRECT(ADDRESS(549,35))-INDIRECT(ADDRESS(544,36))+INDIRECT(ADDRESS(545,36))-INDIRECT(ADDRESS(548,36)),INDIRECT(ADDRESS(549,35))-INDIRECT(ADDRESS(544,36))+INDIRECT(ADDRESS(547,36))-INDIRECT(ADDRESS(548,36)))</f>
        <v>0</v>
      </c>
      <c r="AK549">
        <f>IF(DAY(NOW())&lt;M3,INDIRECT(ADDRESS(549,36))-INDIRECT(ADDRESS(544,37))+INDIRECT(ADDRESS(545,37))-INDIRECT(ADDRESS(548,37)),INDIRECT(ADDRESS(549,36))-INDIRECT(ADDRESS(544,37))+INDIRECT(ADDRESS(547,37))-INDIRECT(ADDRESS(548,37)))</f>
        <v>0</v>
      </c>
      <c r="AL549">
        <f>IF(DAY(NOW())&lt;M3,INDIRECT(ADDRESS(549,37))-INDIRECT(ADDRESS(544,38))+INDIRECT(ADDRESS(545,38))-INDIRECT(ADDRESS(548,38)),INDIRECT(ADDRESS(549,37))-INDIRECT(ADDRESS(544,38))+INDIRECT(ADDRESS(547,38))-INDIRECT(ADDRESS(548,38)))</f>
        <v>0</v>
      </c>
      <c r="AM549">
        <f>IF(DAY(NOW())&lt;M3,INDIRECT(ADDRESS(549,38))-INDIRECT(ADDRESS(544,39))+INDIRECT(ADDRESS(545,39))-INDIRECT(ADDRESS(548,39)),INDIRECT(ADDRESS(549,38))-INDIRECT(ADDRESS(544,39))+INDIRECT(ADDRESS(547,39))-INDIRECT(ADDRESS(548,39)))</f>
        <v>0</v>
      </c>
      <c r="AN549">
        <f>IF(DAY(NOW())&lt;M3,INDIRECT(ADDRESS(549,39))-INDIRECT(ADDRESS(544,40))+INDIRECT(ADDRESS(545,40))-INDIRECT(ADDRESS(548,40)),INDIRECT(ADDRESS(549,39))-INDIRECT(ADDRESS(544,40))+INDIRECT(ADDRESS(547,40))-INDIRECT(ADDRESS(548,40)))</f>
        <v>0</v>
      </c>
      <c r="AO549">
        <f>IF(DAY(NOW())&lt;M3,INDIRECT(ADDRESS(549,40))-INDIRECT(ADDRESS(544,41))+INDIRECT(ADDRESS(545,41))-INDIRECT(ADDRESS(548,41)),INDIRECT(ADDRESS(549,40))-INDIRECT(ADDRESS(544,41))+INDIRECT(ADDRESS(547,41))-INDIRECT(ADDRESS(548,41)))</f>
        <v>0</v>
      </c>
      <c r="AP549">
        <f>IF(DAY(NOW())&lt;M3,INDIRECT(ADDRESS(549,41))-INDIRECT(ADDRESS(544,42))+INDIRECT(ADDRESS(545,42))-INDIRECT(ADDRESS(548,42)),INDIRECT(ADDRESS(549,41))-INDIRECT(ADDRESS(544,42))+INDIRECT(ADDRESS(547,42))-INDIRECT(ADDRESS(548,42)))</f>
        <v>0</v>
      </c>
      <c r="AQ549">
        <f>IF(DAY(NOW())&lt;M3,INDIRECT(ADDRESS(549,42))-INDIRECT(ADDRESS(544,43))+INDIRECT(ADDRESS(545,43))-INDIRECT(ADDRESS(548,43)),INDIRECT(ADDRESS(549,42))-INDIRECT(ADDRESS(544,43))+INDIRECT(ADDRESS(547,43))-INDIRECT(ADDRESS(548,43)))</f>
        <v>0</v>
      </c>
      <c r="AR549">
        <f>IF(DAY(NOW())&lt;M3,INDIRECT(ADDRESS(549,43))-INDIRECT(ADDRESS(544,44))+INDIRECT(ADDRESS(545,44))-INDIRECT(ADDRESS(548,44)),INDIRECT(ADDRESS(549,43))-INDIRECT(ADDRESS(544,44))+INDIRECT(ADDRESS(547,44))-INDIRECT(ADDRESS(548,44)))</f>
        <v>0</v>
      </c>
    </row>
    <row r="550" spans="1:76">
      <c r="A550" t="s">
        <v>31</v>
      </c>
      <c r="B550" t="s">
        <v>312</v>
      </c>
      <c r="C550" t="s">
        <v>313</v>
      </c>
      <c r="D550" t="s">
        <v>304</v>
      </c>
      <c r="E550">
        <v>1</v>
      </c>
      <c r="F550" t="s">
        <v>314</v>
      </c>
      <c r="K550" t="s">
        <v>308</v>
      </c>
      <c r="L550" t="s">
        <v>21</v>
      </c>
      <c r="M550">
        <f>sumifs(BOM!m:m,BOM!A:A,".1",BOM!B:B,"232-012600-000")</f>
        <v>0</v>
      </c>
      <c r="N550">
        <f>sumifs(BOM!n:n,BOM!A:A,".1",BOM!B:B,"232-012600-000")</f>
        <v>0</v>
      </c>
      <c r="O550">
        <f>sumifs(BOM!o:o,BOM!A:A,".1",BOM!B:B,"232-012600-000")</f>
        <v>0</v>
      </c>
      <c r="P550">
        <f>sumifs(BOM!p:p,BOM!A:A,".1",BOM!B:B,"232-012600-000")</f>
        <v>0</v>
      </c>
      <c r="Q550">
        <f>sumifs(BOM!q:q,BOM!A:A,".1",BOM!B:B,"232-012600-000")</f>
        <v>0</v>
      </c>
      <c r="R550">
        <f>sumifs(BOM!r:r,BOM!A:A,".1",BOM!B:B,"232-012600-000")</f>
        <v>0</v>
      </c>
      <c r="S550">
        <f>sumifs(BOM!s:s,BOM!A:A,".1",BOM!B:B,"232-012600-000")</f>
        <v>0</v>
      </c>
      <c r="T550">
        <f>sumifs(BOM!t:t,BOM!A:A,".1",BOM!B:B,"232-012600-000")</f>
        <v>0</v>
      </c>
      <c r="U550">
        <f>sumifs(BOM!u:u,BOM!A:A,".1",BOM!B:B,"232-012600-000")</f>
        <v>0</v>
      </c>
      <c r="V550">
        <f>sumifs(BOM!v:v,BOM!A:A,".1",BOM!B:B,"232-012600-000")</f>
        <v>0</v>
      </c>
      <c r="W550">
        <f>sumifs(BOM!w:w,BOM!A:A,".1",BOM!B:B,"232-012600-000")</f>
        <v>0</v>
      </c>
      <c r="X550">
        <f>sumifs(BOM!x:x,BOM!A:A,".1",BOM!B:B,"232-012600-000")</f>
        <v>0</v>
      </c>
      <c r="Y550">
        <f>sumifs(BOM!y:y,BOM!A:A,".1",BOM!B:B,"232-012600-000")</f>
        <v>0</v>
      </c>
      <c r="Z550">
        <f>sumifs(BOM!z:z,BOM!A:A,".1",BOM!B:B,"232-012600-000")</f>
        <v>0</v>
      </c>
      <c r="AA550">
        <f>sumifs(BOM!aa:aa,BOM!A:A,".1",BOM!B:B,"232-012600-000")</f>
        <v>0</v>
      </c>
      <c r="AB550">
        <f>sumifs(BOM!ab:ab,BOM!A:A,".1",BOM!B:B,"232-012600-000")</f>
        <v>0</v>
      </c>
      <c r="AC550">
        <f>sumifs(BOM!ac:ac,BOM!A:A,".1",BOM!B:B,"232-012600-000")</f>
        <v>0</v>
      </c>
      <c r="AD550">
        <f>sumifs(BOM!ad:ad,BOM!A:A,".1",BOM!B:B,"232-012600-000")</f>
        <v>0</v>
      </c>
      <c r="AE550">
        <f>sumifs(BOM!ae:ae,BOM!A:A,".1",BOM!B:B,"232-012600-000")</f>
        <v>0</v>
      </c>
      <c r="AF550">
        <f>sumifs(BOM!af:af,BOM!A:A,".1",BOM!B:B,"232-012600-000")</f>
        <v>0</v>
      </c>
      <c r="AG550">
        <f>sumifs(BOM!ag:ag,BOM!A:A,".1",BOM!B:B,"232-012600-000")</f>
        <v>0</v>
      </c>
      <c r="AH550">
        <f>sumifs(BOM!ah:ah,BOM!A:A,".1",BOM!B:B,"232-012600-000")</f>
        <v>0</v>
      </c>
      <c r="AI550">
        <f>sumifs(BOM!ai:ai,BOM!A:A,".1",BOM!B:B,"232-012600-000")</f>
        <v>0</v>
      </c>
      <c r="AJ550">
        <f>sumifs(BOM!aj:aj,BOM!A:A,".1",BOM!B:B,"232-012600-000")</f>
        <v>0</v>
      </c>
      <c r="AK550">
        <f>sumifs(BOM!ak:ak,BOM!A:A,".1",BOM!B:B,"232-012600-000")</f>
        <v>0</v>
      </c>
      <c r="AL550">
        <f>sumifs(BOM!al:al,BOM!A:A,".1",BOM!B:B,"232-012600-000")</f>
        <v>0</v>
      </c>
      <c r="AM550">
        <f>sumifs(BOM!am:am,BOM!A:A,".1",BOM!B:B,"232-012600-000")</f>
        <v>0</v>
      </c>
      <c r="AN550">
        <f>sumifs(BOM!an:an,BOM!A:A,".1",BOM!B:B,"232-012600-000")</f>
        <v>0</v>
      </c>
      <c r="AO550">
        <f>sumifs(BOM!ao:ao,BOM!A:A,".1",BOM!B:B,"232-012600-000")</f>
        <v>0</v>
      </c>
      <c r="AP550">
        <f>sumifs(BOM!ap:ap,BOM!A:A,".1",BOM!B:B,"232-012600-000")</f>
        <v>0</v>
      </c>
      <c r="AQ550">
        <f>sumifs(BOM!aq:aq,BOM!A:A,".1",BOM!B:B,"232-012600-000")</f>
        <v>0</v>
      </c>
      <c r="AR550">
        <f>sumifs(BOM!ar:ar,BOM!A:A,".1",BOM!B:B,"232-012600-000")</f>
        <v>0</v>
      </c>
      <c r="BX550">
        <f>sum(j550:an550)</f>
        <v>0</v>
      </c>
    </row>
    <row r="551" spans="1:76">
      <c r="A551" t="s">
        <v>31</v>
      </c>
      <c r="B551" t="s">
        <v>312</v>
      </c>
      <c r="C551" t="s">
        <v>313</v>
      </c>
      <c r="D551" t="s">
        <v>304</v>
      </c>
      <c r="E551">
        <v>1</v>
      </c>
      <c r="F551" t="s">
        <v>314</v>
      </c>
      <c r="K551" t="s">
        <v>308</v>
      </c>
      <c r="L551" t="s">
        <v>37</v>
      </c>
    </row>
    <row r="552" spans="1:76">
      <c r="L552" t="s">
        <v>662</v>
      </c>
    </row>
    <row r="553" spans="1:76">
      <c r="L553" t="s">
        <v>663</v>
      </c>
    </row>
    <row r="554" spans="1:76">
      <c r="L554" t="s">
        <v>664</v>
      </c>
    </row>
    <row r="555" spans="1:76">
      <c r="L555" t="s">
        <v>665</v>
      </c>
      <c r="M555">
        <f>IF(DAY(NOW())&lt;M3,INDIRECT(ADDRESS(555,7))-INDIRECT(ADDRESS(550,13))+INDIRECT(ADDRESS(551,13))-INDIRECT(ADDRESS(554,13)),INDIRECT(ADDRESS(555,7))-INDIRECT(ADDRESS(550,13))+INDIRECT(ADDRESS(553,13))-INDIRECT(ADDRESS(554,13)))</f>
        <v>0</v>
      </c>
      <c r="N555">
        <f>IF(DAY(NOW())&lt;M3,INDIRECT(ADDRESS(555,13))-INDIRECT(ADDRESS(550,14))+INDIRECT(ADDRESS(551,14))-INDIRECT(ADDRESS(554,14)),INDIRECT(ADDRESS(555,13))-INDIRECT(ADDRESS(550,14))+INDIRECT(ADDRESS(553,14))-INDIRECT(ADDRESS(554,14)))</f>
        <v>0</v>
      </c>
      <c r="O555">
        <f>IF(DAY(NOW())&lt;M3,INDIRECT(ADDRESS(555,14))-INDIRECT(ADDRESS(550,15))+INDIRECT(ADDRESS(551,15))-INDIRECT(ADDRESS(554,15)),INDIRECT(ADDRESS(555,14))-INDIRECT(ADDRESS(550,15))+INDIRECT(ADDRESS(553,15))-INDIRECT(ADDRESS(554,15)))</f>
        <v>0</v>
      </c>
      <c r="P555">
        <f>IF(DAY(NOW())&lt;M3,INDIRECT(ADDRESS(555,15))-INDIRECT(ADDRESS(550,16))+INDIRECT(ADDRESS(551,16))-INDIRECT(ADDRESS(554,16)),INDIRECT(ADDRESS(555,15))-INDIRECT(ADDRESS(550,16))+INDIRECT(ADDRESS(553,16))-INDIRECT(ADDRESS(554,16)))</f>
        <v>0</v>
      </c>
      <c r="Q555">
        <f>IF(DAY(NOW())&lt;M3,INDIRECT(ADDRESS(555,16))-INDIRECT(ADDRESS(550,17))+INDIRECT(ADDRESS(551,17))-INDIRECT(ADDRESS(554,17)),INDIRECT(ADDRESS(555,16))-INDIRECT(ADDRESS(550,17))+INDIRECT(ADDRESS(553,17))-INDIRECT(ADDRESS(554,17)))</f>
        <v>0</v>
      </c>
      <c r="R555">
        <f>IF(DAY(NOW())&lt;M3,INDIRECT(ADDRESS(555,17))-INDIRECT(ADDRESS(550,18))+INDIRECT(ADDRESS(551,18))-INDIRECT(ADDRESS(554,18)),INDIRECT(ADDRESS(555,17))-INDIRECT(ADDRESS(550,18))+INDIRECT(ADDRESS(553,18))-INDIRECT(ADDRESS(554,18)))</f>
        <v>0</v>
      </c>
      <c r="S555">
        <f>IF(DAY(NOW())&lt;M3,INDIRECT(ADDRESS(555,18))-INDIRECT(ADDRESS(550,19))+INDIRECT(ADDRESS(551,19))-INDIRECT(ADDRESS(554,19)),INDIRECT(ADDRESS(555,18))-INDIRECT(ADDRESS(550,19))+INDIRECT(ADDRESS(553,19))-INDIRECT(ADDRESS(554,19)))</f>
        <v>0</v>
      </c>
      <c r="T555">
        <f>IF(DAY(NOW())&lt;M3,INDIRECT(ADDRESS(555,19))-INDIRECT(ADDRESS(550,20))+INDIRECT(ADDRESS(551,20))-INDIRECT(ADDRESS(554,20)),INDIRECT(ADDRESS(555,19))-INDIRECT(ADDRESS(550,20))+INDIRECT(ADDRESS(553,20))-INDIRECT(ADDRESS(554,20)))</f>
        <v>0</v>
      </c>
      <c r="U555">
        <f>IF(DAY(NOW())&lt;M3,INDIRECT(ADDRESS(555,20))-INDIRECT(ADDRESS(550,21))+INDIRECT(ADDRESS(551,21))-INDIRECT(ADDRESS(554,21)),INDIRECT(ADDRESS(555,20))-INDIRECT(ADDRESS(550,21))+INDIRECT(ADDRESS(553,21))-INDIRECT(ADDRESS(554,21)))</f>
        <v>0</v>
      </c>
      <c r="V555">
        <f>IF(DAY(NOW())&lt;M3,INDIRECT(ADDRESS(555,21))-INDIRECT(ADDRESS(550,22))+INDIRECT(ADDRESS(551,22))-INDIRECT(ADDRESS(554,22)),INDIRECT(ADDRESS(555,21))-INDIRECT(ADDRESS(550,22))+INDIRECT(ADDRESS(553,22))-INDIRECT(ADDRESS(554,22)))</f>
        <v>0</v>
      </c>
      <c r="W555">
        <f>IF(DAY(NOW())&lt;M3,INDIRECT(ADDRESS(555,22))-INDIRECT(ADDRESS(550,23))+INDIRECT(ADDRESS(551,23))-INDIRECT(ADDRESS(554,23)),INDIRECT(ADDRESS(555,22))-INDIRECT(ADDRESS(550,23))+INDIRECT(ADDRESS(553,23))-INDIRECT(ADDRESS(554,23)))</f>
        <v>0</v>
      </c>
      <c r="X555">
        <f>IF(DAY(NOW())&lt;M3,INDIRECT(ADDRESS(555,23))-INDIRECT(ADDRESS(550,24))+INDIRECT(ADDRESS(551,24))-INDIRECT(ADDRESS(554,24)),INDIRECT(ADDRESS(555,23))-INDIRECT(ADDRESS(550,24))+INDIRECT(ADDRESS(553,24))-INDIRECT(ADDRESS(554,24)))</f>
        <v>0</v>
      </c>
      <c r="Y555">
        <f>IF(DAY(NOW())&lt;M3,INDIRECT(ADDRESS(555,24))-INDIRECT(ADDRESS(550,25))+INDIRECT(ADDRESS(551,25))-INDIRECT(ADDRESS(554,25)),INDIRECT(ADDRESS(555,24))-INDIRECT(ADDRESS(550,25))+INDIRECT(ADDRESS(553,25))-INDIRECT(ADDRESS(554,25)))</f>
        <v>0</v>
      </c>
      <c r="Z555">
        <f>IF(DAY(NOW())&lt;M3,INDIRECT(ADDRESS(555,25))-INDIRECT(ADDRESS(550,26))+INDIRECT(ADDRESS(551,26))-INDIRECT(ADDRESS(554,26)),INDIRECT(ADDRESS(555,25))-INDIRECT(ADDRESS(550,26))+INDIRECT(ADDRESS(553,26))-INDIRECT(ADDRESS(554,26)))</f>
        <v>0</v>
      </c>
      <c r="AA555">
        <f>IF(DAY(NOW())&lt;M3,INDIRECT(ADDRESS(555,26))-INDIRECT(ADDRESS(550,27))+INDIRECT(ADDRESS(551,27))-INDIRECT(ADDRESS(554,27)),INDIRECT(ADDRESS(555,26))-INDIRECT(ADDRESS(550,27))+INDIRECT(ADDRESS(553,27))-INDIRECT(ADDRESS(554,27)))</f>
        <v>0</v>
      </c>
      <c r="AB555">
        <f>IF(DAY(NOW())&lt;M3,INDIRECT(ADDRESS(555,27))-INDIRECT(ADDRESS(550,28))+INDIRECT(ADDRESS(551,28))-INDIRECT(ADDRESS(554,28)),INDIRECT(ADDRESS(555,27))-INDIRECT(ADDRESS(550,28))+INDIRECT(ADDRESS(553,28))-INDIRECT(ADDRESS(554,28)))</f>
        <v>0</v>
      </c>
      <c r="AC555">
        <f>IF(DAY(NOW())&lt;M3,INDIRECT(ADDRESS(555,28))-INDIRECT(ADDRESS(550,29))+INDIRECT(ADDRESS(551,29))-INDIRECT(ADDRESS(554,29)),INDIRECT(ADDRESS(555,28))-INDIRECT(ADDRESS(550,29))+INDIRECT(ADDRESS(553,29))-INDIRECT(ADDRESS(554,29)))</f>
        <v>0</v>
      </c>
      <c r="AD555">
        <f>IF(DAY(NOW())&lt;M3,INDIRECT(ADDRESS(555,29))-INDIRECT(ADDRESS(550,30))+INDIRECT(ADDRESS(551,30))-INDIRECT(ADDRESS(554,30)),INDIRECT(ADDRESS(555,29))-INDIRECT(ADDRESS(550,30))+INDIRECT(ADDRESS(553,30))-INDIRECT(ADDRESS(554,30)))</f>
        <v>0</v>
      </c>
      <c r="AE555">
        <f>IF(DAY(NOW())&lt;M3,INDIRECT(ADDRESS(555,30))-INDIRECT(ADDRESS(550,31))+INDIRECT(ADDRESS(551,31))-INDIRECT(ADDRESS(554,31)),INDIRECT(ADDRESS(555,30))-INDIRECT(ADDRESS(550,31))+INDIRECT(ADDRESS(553,31))-INDIRECT(ADDRESS(554,31)))</f>
        <v>0</v>
      </c>
      <c r="AF555">
        <f>IF(DAY(NOW())&lt;M3,INDIRECT(ADDRESS(555,31))-INDIRECT(ADDRESS(550,32))+INDIRECT(ADDRESS(551,32))-INDIRECT(ADDRESS(554,32)),INDIRECT(ADDRESS(555,31))-INDIRECT(ADDRESS(550,32))+INDIRECT(ADDRESS(553,32))-INDIRECT(ADDRESS(554,32)))</f>
        <v>0</v>
      </c>
      <c r="AG555">
        <f>IF(DAY(NOW())&lt;M3,INDIRECT(ADDRESS(555,32))-INDIRECT(ADDRESS(550,33))+INDIRECT(ADDRESS(551,33))-INDIRECT(ADDRESS(554,33)),INDIRECT(ADDRESS(555,32))-INDIRECT(ADDRESS(550,33))+INDIRECT(ADDRESS(553,33))-INDIRECT(ADDRESS(554,33)))</f>
        <v>0</v>
      </c>
      <c r="AH555">
        <f>IF(DAY(NOW())&lt;M3,INDIRECT(ADDRESS(555,33))-INDIRECT(ADDRESS(550,34))+INDIRECT(ADDRESS(551,34))-INDIRECT(ADDRESS(554,34)),INDIRECT(ADDRESS(555,33))-INDIRECT(ADDRESS(550,34))+INDIRECT(ADDRESS(553,34))-INDIRECT(ADDRESS(554,34)))</f>
        <v>0</v>
      </c>
      <c r="AI555">
        <f>IF(DAY(NOW())&lt;M3,INDIRECT(ADDRESS(555,34))-INDIRECT(ADDRESS(550,35))+INDIRECT(ADDRESS(551,35))-INDIRECT(ADDRESS(554,35)),INDIRECT(ADDRESS(555,34))-INDIRECT(ADDRESS(550,35))+INDIRECT(ADDRESS(553,35))-INDIRECT(ADDRESS(554,35)))</f>
        <v>0</v>
      </c>
      <c r="AJ555">
        <f>IF(DAY(NOW())&lt;M3,INDIRECT(ADDRESS(555,35))-INDIRECT(ADDRESS(550,36))+INDIRECT(ADDRESS(551,36))-INDIRECT(ADDRESS(554,36)),INDIRECT(ADDRESS(555,35))-INDIRECT(ADDRESS(550,36))+INDIRECT(ADDRESS(553,36))-INDIRECT(ADDRESS(554,36)))</f>
        <v>0</v>
      </c>
      <c r="AK555">
        <f>IF(DAY(NOW())&lt;M3,INDIRECT(ADDRESS(555,36))-INDIRECT(ADDRESS(550,37))+INDIRECT(ADDRESS(551,37))-INDIRECT(ADDRESS(554,37)),INDIRECT(ADDRESS(555,36))-INDIRECT(ADDRESS(550,37))+INDIRECT(ADDRESS(553,37))-INDIRECT(ADDRESS(554,37)))</f>
        <v>0</v>
      </c>
      <c r="AL555">
        <f>IF(DAY(NOW())&lt;M3,INDIRECT(ADDRESS(555,37))-INDIRECT(ADDRESS(550,38))+INDIRECT(ADDRESS(551,38))-INDIRECT(ADDRESS(554,38)),INDIRECT(ADDRESS(555,37))-INDIRECT(ADDRESS(550,38))+INDIRECT(ADDRESS(553,38))-INDIRECT(ADDRESS(554,38)))</f>
        <v>0</v>
      </c>
      <c r="AM555">
        <f>IF(DAY(NOW())&lt;M3,INDIRECT(ADDRESS(555,38))-INDIRECT(ADDRESS(550,39))+INDIRECT(ADDRESS(551,39))-INDIRECT(ADDRESS(554,39)),INDIRECT(ADDRESS(555,38))-INDIRECT(ADDRESS(550,39))+INDIRECT(ADDRESS(553,39))-INDIRECT(ADDRESS(554,39)))</f>
        <v>0</v>
      </c>
      <c r="AN555">
        <f>IF(DAY(NOW())&lt;M3,INDIRECT(ADDRESS(555,39))-INDIRECT(ADDRESS(550,40))+INDIRECT(ADDRESS(551,40))-INDIRECT(ADDRESS(554,40)),INDIRECT(ADDRESS(555,39))-INDIRECT(ADDRESS(550,40))+INDIRECT(ADDRESS(553,40))-INDIRECT(ADDRESS(554,40)))</f>
        <v>0</v>
      </c>
      <c r="AO555">
        <f>IF(DAY(NOW())&lt;M3,INDIRECT(ADDRESS(555,40))-INDIRECT(ADDRESS(550,41))+INDIRECT(ADDRESS(551,41))-INDIRECT(ADDRESS(554,41)),INDIRECT(ADDRESS(555,40))-INDIRECT(ADDRESS(550,41))+INDIRECT(ADDRESS(553,41))-INDIRECT(ADDRESS(554,41)))</f>
        <v>0</v>
      </c>
      <c r="AP555">
        <f>IF(DAY(NOW())&lt;M3,INDIRECT(ADDRESS(555,41))-INDIRECT(ADDRESS(550,42))+INDIRECT(ADDRESS(551,42))-INDIRECT(ADDRESS(554,42)),INDIRECT(ADDRESS(555,41))-INDIRECT(ADDRESS(550,42))+INDIRECT(ADDRESS(553,42))-INDIRECT(ADDRESS(554,42)))</f>
        <v>0</v>
      </c>
      <c r="AQ555">
        <f>IF(DAY(NOW())&lt;M3,INDIRECT(ADDRESS(555,42))-INDIRECT(ADDRESS(550,43))+INDIRECT(ADDRESS(551,43))-INDIRECT(ADDRESS(554,43)),INDIRECT(ADDRESS(555,42))-INDIRECT(ADDRESS(550,43))+INDIRECT(ADDRESS(553,43))-INDIRECT(ADDRESS(554,43)))</f>
        <v>0</v>
      </c>
      <c r="AR555">
        <f>IF(DAY(NOW())&lt;M3,INDIRECT(ADDRESS(555,43))-INDIRECT(ADDRESS(550,44))+INDIRECT(ADDRESS(551,44))-INDIRECT(ADDRESS(554,44)),INDIRECT(ADDRESS(555,43))-INDIRECT(ADDRESS(550,44))+INDIRECT(ADDRESS(553,44))-INDIRECT(ADDRESS(554,44)))</f>
        <v>0</v>
      </c>
    </row>
    <row r="556" spans="1:76">
      <c r="A556" t="s">
        <v>31</v>
      </c>
      <c r="B556" t="s">
        <v>315</v>
      </c>
      <c r="C556" t="s">
        <v>316</v>
      </c>
      <c r="D556" t="s">
        <v>67</v>
      </c>
      <c r="E556">
        <v>1</v>
      </c>
      <c r="F556" t="s">
        <v>317</v>
      </c>
      <c r="K556" t="s">
        <v>308</v>
      </c>
      <c r="L556" t="s">
        <v>21</v>
      </c>
      <c r="M556">
        <f>sumifs(BOM!m:m,BOM!A:A,".1",BOM!B:B,"232-012700-000")</f>
        <v>0</v>
      </c>
      <c r="N556">
        <f>sumifs(BOM!n:n,BOM!A:A,".1",BOM!B:B,"232-012700-000")</f>
        <v>0</v>
      </c>
      <c r="O556">
        <f>sumifs(BOM!o:o,BOM!A:A,".1",BOM!B:B,"232-012700-000")</f>
        <v>0</v>
      </c>
      <c r="P556">
        <f>sumifs(BOM!p:p,BOM!A:A,".1",BOM!B:B,"232-012700-000")</f>
        <v>0</v>
      </c>
      <c r="Q556">
        <f>sumifs(BOM!q:q,BOM!A:A,".1",BOM!B:B,"232-012700-000")</f>
        <v>0</v>
      </c>
      <c r="R556">
        <f>sumifs(BOM!r:r,BOM!A:A,".1",BOM!B:B,"232-012700-000")</f>
        <v>0</v>
      </c>
      <c r="S556">
        <f>sumifs(BOM!s:s,BOM!A:A,".1",BOM!B:B,"232-012700-000")</f>
        <v>0</v>
      </c>
      <c r="T556">
        <f>sumifs(BOM!t:t,BOM!A:A,".1",BOM!B:B,"232-012700-000")</f>
        <v>0</v>
      </c>
      <c r="U556">
        <f>sumifs(BOM!u:u,BOM!A:A,".1",BOM!B:B,"232-012700-000")</f>
        <v>0</v>
      </c>
      <c r="V556">
        <f>sumifs(BOM!v:v,BOM!A:A,".1",BOM!B:B,"232-012700-000")</f>
        <v>0</v>
      </c>
      <c r="W556">
        <f>sumifs(BOM!w:w,BOM!A:A,".1",BOM!B:B,"232-012700-000")</f>
        <v>0</v>
      </c>
      <c r="X556">
        <f>sumifs(BOM!x:x,BOM!A:A,".1",BOM!B:B,"232-012700-000")</f>
        <v>0</v>
      </c>
      <c r="Y556">
        <f>sumifs(BOM!y:y,BOM!A:A,".1",BOM!B:B,"232-012700-000")</f>
        <v>0</v>
      </c>
      <c r="Z556">
        <f>sumifs(BOM!z:z,BOM!A:A,".1",BOM!B:B,"232-012700-000")</f>
        <v>0</v>
      </c>
      <c r="AA556">
        <f>sumifs(BOM!aa:aa,BOM!A:A,".1",BOM!B:B,"232-012700-000")</f>
        <v>0</v>
      </c>
      <c r="AB556">
        <f>sumifs(BOM!ab:ab,BOM!A:A,".1",BOM!B:B,"232-012700-000")</f>
        <v>0</v>
      </c>
      <c r="AC556">
        <f>sumifs(BOM!ac:ac,BOM!A:A,".1",BOM!B:B,"232-012700-000")</f>
        <v>0</v>
      </c>
      <c r="AD556">
        <f>sumifs(BOM!ad:ad,BOM!A:A,".1",BOM!B:B,"232-012700-000")</f>
        <v>0</v>
      </c>
      <c r="AE556">
        <f>sumifs(BOM!ae:ae,BOM!A:A,".1",BOM!B:B,"232-012700-000")</f>
        <v>0</v>
      </c>
      <c r="AF556">
        <f>sumifs(BOM!af:af,BOM!A:A,".1",BOM!B:B,"232-012700-000")</f>
        <v>0</v>
      </c>
      <c r="AG556">
        <f>sumifs(BOM!ag:ag,BOM!A:A,".1",BOM!B:B,"232-012700-000")</f>
        <v>0</v>
      </c>
      <c r="AH556">
        <f>sumifs(BOM!ah:ah,BOM!A:A,".1",BOM!B:B,"232-012700-000")</f>
        <v>0</v>
      </c>
      <c r="AI556">
        <f>sumifs(BOM!ai:ai,BOM!A:A,".1",BOM!B:B,"232-012700-000")</f>
        <v>0</v>
      </c>
      <c r="AJ556">
        <f>sumifs(BOM!aj:aj,BOM!A:A,".1",BOM!B:B,"232-012700-000")</f>
        <v>0</v>
      </c>
      <c r="AK556">
        <f>sumifs(BOM!ak:ak,BOM!A:A,".1",BOM!B:B,"232-012700-000")</f>
        <v>0</v>
      </c>
      <c r="AL556">
        <f>sumifs(BOM!al:al,BOM!A:A,".1",BOM!B:B,"232-012700-000")</f>
        <v>0</v>
      </c>
      <c r="AM556">
        <f>sumifs(BOM!am:am,BOM!A:A,".1",BOM!B:B,"232-012700-000")</f>
        <v>0</v>
      </c>
      <c r="AN556">
        <f>sumifs(BOM!an:an,BOM!A:A,".1",BOM!B:B,"232-012700-000")</f>
        <v>0</v>
      </c>
      <c r="AO556">
        <f>sumifs(BOM!ao:ao,BOM!A:A,".1",BOM!B:B,"232-012700-000")</f>
        <v>0</v>
      </c>
      <c r="AP556">
        <f>sumifs(BOM!ap:ap,BOM!A:A,".1",BOM!B:B,"232-012700-000")</f>
        <v>0</v>
      </c>
      <c r="AQ556">
        <f>sumifs(BOM!aq:aq,BOM!A:A,".1",BOM!B:B,"232-012700-000")</f>
        <v>0</v>
      </c>
      <c r="AR556">
        <f>sumifs(BOM!ar:ar,BOM!A:A,".1",BOM!B:B,"232-012700-000")</f>
        <v>0</v>
      </c>
      <c r="BX556">
        <f>sum(j556:an556)</f>
        <v>0</v>
      </c>
    </row>
    <row r="557" spans="1:76">
      <c r="A557" t="s">
        <v>31</v>
      </c>
      <c r="B557" t="s">
        <v>315</v>
      </c>
      <c r="C557" t="s">
        <v>316</v>
      </c>
      <c r="D557" t="s">
        <v>67</v>
      </c>
      <c r="E557">
        <v>1</v>
      </c>
      <c r="F557" t="s">
        <v>317</v>
      </c>
      <c r="K557" t="s">
        <v>308</v>
      </c>
      <c r="L557" t="s">
        <v>37</v>
      </c>
    </row>
    <row r="558" spans="1:76">
      <c r="L558" t="s">
        <v>662</v>
      </c>
    </row>
    <row r="559" spans="1:76">
      <c r="L559" t="s">
        <v>663</v>
      </c>
    </row>
    <row r="560" spans="1:76">
      <c r="L560" t="s">
        <v>664</v>
      </c>
    </row>
    <row r="561" spans="1:76">
      <c r="L561" t="s">
        <v>665</v>
      </c>
      <c r="M561">
        <f>IF(DAY(NOW())&lt;M3,INDIRECT(ADDRESS(561,7))-INDIRECT(ADDRESS(556,13))+INDIRECT(ADDRESS(557,13))-INDIRECT(ADDRESS(560,13)),INDIRECT(ADDRESS(561,7))-INDIRECT(ADDRESS(556,13))+INDIRECT(ADDRESS(559,13))-INDIRECT(ADDRESS(560,13)))</f>
        <v>0</v>
      </c>
      <c r="N561">
        <f>IF(DAY(NOW())&lt;M3,INDIRECT(ADDRESS(561,13))-INDIRECT(ADDRESS(556,14))+INDIRECT(ADDRESS(557,14))-INDIRECT(ADDRESS(560,14)),INDIRECT(ADDRESS(561,13))-INDIRECT(ADDRESS(556,14))+INDIRECT(ADDRESS(559,14))-INDIRECT(ADDRESS(560,14)))</f>
        <v>0</v>
      </c>
      <c r="O561">
        <f>IF(DAY(NOW())&lt;M3,INDIRECT(ADDRESS(561,14))-INDIRECT(ADDRESS(556,15))+INDIRECT(ADDRESS(557,15))-INDIRECT(ADDRESS(560,15)),INDIRECT(ADDRESS(561,14))-INDIRECT(ADDRESS(556,15))+INDIRECT(ADDRESS(559,15))-INDIRECT(ADDRESS(560,15)))</f>
        <v>0</v>
      </c>
      <c r="P561">
        <f>IF(DAY(NOW())&lt;M3,INDIRECT(ADDRESS(561,15))-INDIRECT(ADDRESS(556,16))+INDIRECT(ADDRESS(557,16))-INDIRECT(ADDRESS(560,16)),INDIRECT(ADDRESS(561,15))-INDIRECT(ADDRESS(556,16))+INDIRECT(ADDRESS(559,16))-INDIRECT(ADDRESS(560,16)))</f>
        <v>0</v>
      </c>
      <c r="Q561">
        <f>IF(DAY(NOW())&lt;M3,INDIRECT(ADDRESS(561,16))-INDIRECT(ADDRESS(556,17))+INDIRECT(ADDRESS(557,17))-INDIRECT(ADDRESS(560,17)),INDIRECT(ADDRESS(561,16))-INDIRECT(ADDRESS(556,17))+INDIRECT(ADDRESS(559,17))-INDIRECT(ADDRESS(560,17)))</f>
        <v>0</v>
      </c>
      <c r="R561">
        <f>IF(DAY(NOW())&lt;M3,INDIRECT(ADDRESS(561,17))-INDIRECT(ADDRESS(556,18))+INDIRECT(ADDRESS(557,18))-INDIRECT(ADDRESS(560,18)),INDIRECT(ADDRESS(561,17))-INDIRECT(ADDRESS(556,18))+INDIRECT(ADDRESS(559,18))-INDIRECT(ADDRESS(560,18)))</f>
        <v>0</v>
      </c>
      <c r="S561">
        <f>IF(DAY(NOW())&lt;M3,INDIRECT(ADDRESS(561,18))-INDIRECT(ADDRESS(556,19))+INDIRECT(ADDRESS(557,19))-INDIRECT(ADDRESS(560,19)),INDIRECT(ADDRESS(561,18))-INDIRECT(ADDRESS(556,19))+INDIRECT(ADDRESS(559,19))-INDIRECT(ADDRESS(560,19)))</f>
        <v>0</v>
      </c>
      <c r="T561">
        <f>IF(DAY(NOW())&lt;M3,INDIRECT(ADDRESS(561,19))-INDIRECT(ADDRESS(556,20))+INDIRECT(ADDRESS(557,20))-INDIRECT(ADDRESS(560,20)),INDIRECT(ADDRESS(561,19))-INDIRECT(ADDRESS(556,20))+INDIRECT(ADDRESS(559,20))-INDIRECT(ADDRESS(560,20)))</f>
        <v>0</v>
      </c>
      <c r="U561">
        <f>IF(DAY(NOW())&lt;M3,INDIRECT(ADDRESS(561,20))-INDIRECT(ADDRESS(556,21))+INDIRECT(ADDRESS(557,21))-INDIRECT(ADDRESS(560,21)),INDIRECT(ADDRESS(561,20))-INDIRECT(ADDRESS(556,21))+INDIRECT(ADDRESS(559,21))-INDIRECT(ADDRESS(560,21)))</f>
        <v>0</v>
      </c>
      <c r="V561">
        <f>IF(DAY(NOW())&lt;M3,INDIRECT(ADDRESS(561,21))-INDIRECT(ADDRESS(556,22))+INDIRECT(ADDRESS(557,22))-INDIRECT(ADDRESS(560,22)),INDIRECT(ADDRESS(561,21))-INDIRECT(ADDRESS(556,22))+INDIRECT(ADDRESS(559,22))-INDIRECT(ADDRESS(560,22)))</f>
        <v>0</v>
      </c>
      <c r="W561">
        <f>IF(DAY(NOW())&lt;M3,INDIRECT(ADDRESS(561,22))-INDIRECT(ADDRESS(556,23))+INDIRECT(ADDRESS(557,23))-INDIRECT(ADDRESS(560,23)),INDIRECT(ADDRESS(561,22))-INDIRECT(ADDRESS(556,23))+INDIRECT(ADDRESS(559,23))-INDIRECT(ADDRESS(560,23)))</f>
        <v>0</v>
      </c>
      <c r="X561">
        <f>IF(DAY(NOW())&lt;M3,INDIRECT(ADDRESS(561,23))-INDIRECT(ADDRESS(556,24))+INDIRECT(ADDRESS(557,24))-INDIRECT(ADDRESS(560,24)),INDIRECT(ADDRESS(561,23))-INDIRECT(ADDRESS(556,24))+INDIRECT(ADDRESS(559,24))-INDIRECT(ADDRESS(560,24)))</f>
        <v>0</v>
      </c>
      <c r="Y561">
        <f>IF(DAY(NOW())&lt;M3,INDIRECT(ADDRESS(561,24))-INDIRECT(ADDRESS(556,25))+INDIRECT(ADDRESS(557,25))-INDIRECT(ADDRESS(560,25)),INDIRECT(ADDRESS(561,24))-INDIRECT(ADDRESS(556,25))+INDIRECT(ADDRESS(559,25))-INDIRECT(ADDRESS(560,25)))</f>
        <v>0</v>
      </c>
      <c r="Z561">
        <f>IF(DAY(NOW())&lt;M3,INDIRECT(ADDRESS(561,25))-INDIRECT(ADDRESS(556,26))+INDIRECT(ADDRESS(557,26))-INDIRECT(ADDRESS(560,26)),INDIRECT(ADDRESS(561,25))-INDIRECT(ADDRESS(556,26))+INDIRECT(ADDRESS(559,26))-INDIRECT(ADDRESS(560,26)))</f>
        <v>0</v>
      </c>
      <c r="AA561">
        <f>IF(DAY(NOW())&lt;M3,INDIRECT(ADDRESS(561,26))-INDIRECT(ADDRESS(556,27))+INDIRECT(ADDRESS(557,27))-INDIRECT(ADDRESS(560,27)),INDIRECT(ADDRESS(561,26))-INDIRECT(ADDRESS(556,27))+INDIRECT(ADDRESS(559,27))-INDIRECT(ADDRESS(560,27)))</f>
        <v>0</v>
      </c>
      <c r="AB561">
        <f>IF(DAY(NOW())&lt;M3,INDIRECT(ADDRESS(561,27))-INDIRECT(ADDRESS(556,28))+INDIRECT(ADDRESS(557,28))-INDIRECT(ADDRESS(560,28)),INDIRECT(ADDRESS(561,27))-INDIRECT(ADDRESS(556,28))+INDIRECT(ADDRESS(559,28))-INDIRECT(ADDRESS(560,28)))</f>
        <v>0</v>
      </c>
      <c r="AC561">
        <f>IF(DAY(NOW())&lt;M3,INDIRECT(ADDRESS(561,28))-INDIRECT(ADDRESS(556,29))+INDIRECT(ADDRESS(557,29))-INDIRECT(ADDRESS(560,29)),INDIRECT(ADDRESS(561,28))-INDIRECT(ADDRESS(556,29))+INDIRECT(ADDRESS(559,29))-INDIRECT(ADDRESS(560,29)))</f>
        <v>0</v>
      </c>
      <c r="AD561">
        <f>IF(DAY(NOW())&lt;M3,INDIRECT(ADDRESS(561,29))-INDIRECT(ADDRESS(556,30))+INDIRECT(ADDRESS(557,30))-INDIRECT(ADDRESS(560,30)),INDIRECT(ADDRESS(561,29))-INDIRECT(ADDRESS(556,30))+INDIRECT(ADDRESS(559,30))-INDIRECT(ADDRESS(560,30)))</f>
        <v>0</v>
      </c>
      <c r="AE561">
        <f>IF(DAY(NOW())&lt;M3,INDIRECT(ADDRESS(561,30))-INDIRECT(ADDRESS(556,31))+INDIRECT(ADDRESS(557,31))-INDIRECT(ADDRESS(560,31)),INDIRECT(ADDRESS(561,30))-INDIRECT(ADDRESS(556,31))+INDIRECT(ADDRESS(559,31))-INDIRECT(ADDRESS(560,31)))</f>
        <v>0</v>
      </c>
      <c r="AF561">
        <f>IF(DAY(NOW())&lt;M3,INDIRECT(ADDRESS(561,31))-INDIRECT(ADDRESS(556,32))+INDIRECT(ADDRESS(557,32))-INDIRECT(ADDRESS(560,32)),INDIRECT(ADDRESS(561,31))-INDIRECT(ADDRESS(556,32))+INDIRECT(ADDRESS(559,32))-INDIRECT(ADDRESS(560,32)))</f>
        <v>0</v>
      </c>
      <c r="AG561">
        <f>IF(DAY(NOW())&lt;M3,INDIRECT(ADDRESS(561,32))-INDIRECT(ADDRESS(556,33))+INDIRECT(ADDRESS(557,33))-INDIRECT(ADDRESS(560,33)),INDIRECT(ADDRESS(561,32))-INDIRECT(ADDRESS(556,33))+INDIRECT(ADDRESS(559,33))-INDIRECT(ADDRESS(560,33)))</f>
        <v>0</v>
      </c>
      <c r="AH561">
        <f>IF(DAY(NOW())&lt;M3,INDIRECT(ADDRESS(561,33))-INDIRECT(ADDRESS(556,34))+INDIRECT(ADDRESS(557,34))-INDIRECT(ADDRESS(560,34)),INDIRECT(ADDRESS(561,33))-INDIRECT(ADDRESS(556,34))+INDIRECT(ADDRESS(559,34))-INDIRECT(ADDRESS(560,34)))</f>
        <v>0</v>
      </c>
      <c r="AI561">
        <f>IF(DAY(NOW())&lt;M3,INDIRECT(ADDRESS(561,34))-INDIRECT(ADDRESS(556,35))+INDIRECT(ADDRESS(557,35))-INDIRECT(ADDRESS(560,35)),INDIRECT(ADDRESS(561,34))-INDIRECT(ADDRESS(556,35))+INDIRECT(ADDRESS(559,35))-INDIRECT(ADDRESS(560,35)))</f>
        <v>0</v>
      </c>
      <c r="AJ561">
        <f>IF(DAY(NOW())&lt;M3,INDIRECT(ADDRESS(561,35))-INDIRECT(ADDRESS(556,36))+INDIRECT(ADDRESS(557,36))-INDIRECT(ADDRESS(560,36)),INDIRECT(ADDRESS(561,35))-INDIRECT(ADDRESS(556,36))+INDIRECT(ADDRESS(559,36))-INDIRECT(ADDRESS(560,36)))</f>
        <v>0</v>
      </c>
      <c r="AK561">
        <f>IF(DAY(NOW())&lt;M3,INDIRECT(ADDRESS(561,36))-INDIRECT(ADDRESS(556,37))+INDIRECT(ADDRESS(557,37))-INDIRECT(ADDRESS(560,37)),INDIRECT(ADDRESS(561,36))-INDIRECT(ADDRESS(556,37))+INDIRECT(ADDRESS(559,37))-INDIRECT(ADDRESS(560,37)))</f>
        <v>0</v>
      </c>
      <c r="AL561">
        <f>IF(DAY(NOW())&lt;M3,INDIRECT(ADDRESS(561,37))-INDIRECT(ADDRESS(556,38))+INDIRECT(ADDRESS(557,38))-INDIRECT(ADDRESS(560,38)),INDIRECT(ADDRESS(561,37))-INDIRECT(ADDRESS(556,38))+INDIRECT(ADDRESS(559,38))-INDIRECT(ADDRESS(560,38)))</f>
        <v>0</v>
      </c>
      <c r="AM561">
        <f>IF(DAY(NOW())&lt;M3,INDIRECT(ADDRESS(561,38))-INDIRECT(ADDRESS(556,39))+INDIRECT(ADDRESS(557,39))-INDIRECT(ADDRESS(560,39)),INDIRECT(ADDRESS(561,38))-INDIRECT(ADDRESS(556,39))+INDIRECT(ADDRESS(559,39))-INDIRECT(ADDRESS(560,39)))</f>
        <v>0</v>
      </c>
      <c r="AN561">
        <f>IF(DAY(NOW())&lt;M3,INDIRECT(ADDRESS(561,39))-INDIRECT(ADDRESS(556,40))+INDIRECT(ADDRESS(557,40))-INDIRECT(ADDRESS(560,40)),INDIRECT(ADDRESS(561,39))-INDIRECT(ADDRESS(556,40))+INDIRECT(ADDRESS(559,40))-INDIRECT(ADDRESS(560,40)))</f>
        <v>0</v>
      </c>
      <c r="AO561">
        <f>IF(DAY(NOW())&lt;M3,INDIRECT(ADDRESS(561,40))-INDIRECT(ADDRESS(556,41))+INDIRECT(ADDRESS(557,41))-INDIRECT(ADDRESS(560,41)),INDIRECT(ADDRESS(561,40))-INDIRECT(ADDRESS(556,41))+INDIRECT(ADDRESS(559,41))-INDIRECT(ADDRESS(560,41)))</f>
        <v>0</v>
      </c>
      <c r="AP561">
        <f>IF(DAY(NOW())&lt;M3,INDIRECT(ADDRESS(561,41))-INDIRECT(ADDRESS(556,42))+INDIRECT(ADDRESS(557,42))-INDIRECT(ADDRESS(560,42)),INDIRECT(ADDRESS(561,41))-INDIRECT(ADDRESS(556,42))+INDIRECT(ADDRESS(559,42))-INDIRECT(ADDRESS(560,42)))</f>
        <v>0</v>
      </c>
      <c r="AQ561">
        <f>IF(DAY(NOW())&lt;M3,INDIRECT(ADDRESS(561,42))-INDIRECT(ADDRESS(556,43))+INDIRECT(ADDRESS(557,43))-INDIRECT(ADDRESS(560,43)),INDIRECT(ADDRESS(561,42))-INDIRECT(ADDRESS(556,43))+INDIRECT(ADDRESS(559,43))-INDIRECT(ADDRESS(560,43)))</f>
        <v>0</v>
      </c>
      <c r="AR561">
        <f>IF(DAY(NOW())&lt;M3,INDIRECT(ADDRESS(561,43))-INDIRECT(ADDRESS(556,44))+INDIRECT(ADDRESS(557,44))-INDIRECT(ADDRESS(560,44)),INDIRECT(ADDRESS(561,43))-INDIRECT(ADDRESS(556,44))+INDIRECT(ADDRESS(559,44))-INDIRECT(ADDRESS(560,44)))</f>
        <v>0</v>
      </c>
    </row>
    <row r="562" spans="1:76">
      <c r="A562" t="s">
        <v>14</v>
      </c>
      <c r="B562" t="s">
        <v>65</v>
      </c>
      <c r="C562" t="s">
        <v>66</v>
      </c>
      <c r="D562" t="s">
        <v>256</v>
      </c>
      <c r="E562">
        <v>1</v>
      </c>
      <c r="F562" t="s">
        <v>68</v>
      </c>
      <c r="K562" t="s">
        <v>305</v>
      </c>
      <c r="L562" t="s">
        <v>21</v>
      </c>
      <c r="BX562">
        <f>sum(j562:an562)</f>
        <v>0</v>
      </c>
    </row>
    <row r="563" spans="1:76">
      <c r="A563" t="s">
        <v>14</v>
      </c>
      <c r="B563" t="s">
        <v>65</v>
      </c>
      <c r="C563" t="s">
        <v>66</v>
      </c>
      <c r="D563" t="s">
        <v>256</v>
      </c>
      <c r="E563">
        <v>1</v>
      </c>
      <c r="F563" t="s">
        <v>68</v>
      </c>
      <c r="K563" t="s">
        <v>305</v>
      </c>
      <c r="L563" t="s">
        <v>37</v>
      </c>
    </row>
    <row r="564" spans="1:76">
      <c r="L564" t="s">
        <v>662</v>
      </c>
    </row>
    <row r="565" spans="1:76">
      <c r="L565" t="s">
        <v>663</v>
      </c>
    </row>
    <row r="566" spans="1:76">
      <c r="L566" t="s">
        <v>664</v>
      </c>
    </row>
    <row r="567" spans="1:76">
      <c r="L567" t="s">
        <v>665</v>
      </c>
      <c r="M567">
        <f>IF(DAY(NOW())&lt;M3,INDIRECT(ADDRESS(567,7))-INDIRECT(ADDRESS(562,13))+INDIRECT(ADDRESS(563,13))-INDIRECT(ADDRESS(566,13)),INDIRECT(ADDRESS(567,7))-INDIRECT(ADDRESS(562,13))+INDIRECT(ADDRESS(565,13))-INDIRECT(ADDRESS(566,13)))</f>
        <v>0</v>
      </c>
      <c r="N567">
        <f>IF(DAY(NOW())&lt;M3,INDIRECT(ADDRESS(567,13))-INDIRECT(ADDRESS(562,14))+INDIRECT(ADDRESS(563,14))-INDIRECT(ADDRESS(566,14)),INDIRECT(ADDRESS(567,13))-INDIRECT(ADDRESS(562,14))+INDIRECT(ADDRESS(565,14))-INDIRECT(ADDRESS(566,14)))</f>
        <v>0</v>
      </c>
      <c r="O567">
        <f>IF(DAY(NOW())&lt;M3,INDIRECT(ADDRESS(567,14))-INDIRECT(ADDRESS(562,15))+INDIRECT(ADDRESS(563,15))-INDIRECT(ADDRESS(566,15)),INDIRECT(ADDRESS(567,14))-INDIRECT(ADDRESS(562,15))+INDIRECT(ADDRESS(565,15))-INDIRECT(ADDRESS(566,15)))</f>
        <v>0</v>
      </c>
      <c r="P567">
        <f>IF(DAY(NOW())&lt;M3,INDIRECT(ADDRESS(567,15))-INDIRECT(ADDRESS(562,16))+INDIRECT(ADDRESS(563,16))-INDIRECT(ADDRESS(566,16)),INDIRECT(ADDRESS(567,15))-INDIRECT(ADDRESS(562,16))+INDIRECT(ADDRESS(565,16))-INDIRECT(ADDRESS(566,16)))</f>
        <v>0</v>
      </c>
      <c r="Q567">
        <f>IF(DAY(NOW())&lt;M3,INDIRECT(ADDRESS(567,16))-INDIRECT(ADDRESS(562,17))+INDIRECT(ADDRESS(563,17))-INDIRECT(ADDRESS(566,17)),INDIRECT(ADDRESS(567,16))-INDIRECT(ADDRESS(562,17))+INDIRECT(ADDRESS(565,17))-INDIRECT(ADDRESS(566,17)))</f>
        <v>0</v>
      </c>
      <c r="R567">
        <f>IF(DAY(NOW())&lt;M3,INDIRECT(ADDRESS(567,17))-INDIRECT(ADDRESS(562,18))+INDIRECT(ADDRESS(563,18))-INDIRECT(ADDRESS(566,18)),INDIRECT(ADDRESS(567,17))-INDIRECT(ADDRESS(562,18))+INDIRECT(ADDRESS(565,18))-INDIRECT(ADDRESS(566,18)))</f>
        <v>0</v>
      </c>
      <c r="S567">
        <f>IF(DAY(NOW())&lt;M3,INDIRECT(ADDRESS(567,18))-INDIRECT(ADDRESS(562,19))+INDIRECT(ADDRESS(563,19))-INDIRECT(ADDRESS(566,19)),INDIRECT(ADDRESS(567,18))-INDIRECT(ADDRESS(562,19))+INDIRECT(ADDRESS(565,19))-INDIRECT(ADDRESS(566,19)))</f>
        <v>0</v>
      </c>
      <c r="T567">
        <f>IF(DAY(NOW())&lt;M3,INDIRECT(ADDRESS(567,19))-INDIRECT(ADDRESS(562,20))+INDIRECT(ADDRESS(563,20))-INDIRECT(ADDRESS(566,20)),INDIRECT(ADDRESS(567,19))-INDIRECT(ADDRESS(562,20))+INDIRECT(ADDRESS(565,20))-INDIRECT(ADDRESS(566,20)))</f>
        <v>0</v>
      </c>
      <c r="U567">
        <f>IF(DAY(NOW())&lt;M3,INDIRECT(ADDRESS(567,20))-INDIRECT(ADDRESS(562,21))+INDIRECT(ADDRESS(563,21))-INDIRECT(ADDRESS(566,21)),INDIRECT(ADDRESS(567,20))-INDIRECT(ADDRESS(562,21))+INDIRECT(ADDRESS(565,21))-INDIRECT(ADDRESS(566,21)))</f>
        <v>0</v>
      </c>
      <c r="V567">
        <f>IF(DAY(NOW())&lt;M3,INDIRECT(ADDRESS(567,21))-INDIRECT(ADDRESS(562,22))+INDIRECT(ADDRESS(563,22))-INDIRECT(ADDRESS(566,22)),INDIRECT(ADDRESS(567,21))-INDIRECT(ADDRESS(562,22))+INDIRECT(ADDRESS(565,22))-INDIRECT(ADDRESS(566,22)))</f>
        <v>0</v>
      </c>
      <c r="W567">
        <f>IF(DAY(NOW())&lt;M3,INDIRECT(ADDRESS(567,22))-INDIRECT(ADDRESS(562,23))+INDIRECT(ADDRESS(563,23))-INDIRECT(ADDRESS(566,23)),INDIRECT(ADDRESS(567,22))-INDIRECT(ADDRESS(562,23))+INDIRECT(ADDRESS(565,23))-INDIRECT(ADDRESS(566,23)))</f>
        <v>0</v>
      </c>
      <c r="X567">
        <f>IF(DAY(NOW())&lt;M3,INDIRECT(ADDRESS(567,23))-INDIRECT(ADDRESS(562,24))+INDIRECT(ADDRESS(563,24))-INDIRECT(ADDRESS(566,24)),INDIRECT(ADDRESS(567,23))-INDIRECT(ADDRESS(562,24))+INDIRECT(ADDRESS(565,24))-INDIRECT(ADDRESS(566,24)))</f>
        <v>0</v>
      </c>
      <c r="Y567">
        <f>IF(DAY(NOW())&lt;M3,INDIRECT(ADDRESS(567,24))-INDIRECT(ADDRESS(562,25))+INDIRECT(ADDRESS(563,25))-INDIRECT(ADDRESS(566,25)),INDIRECT(ADDRESS(567,24))-INDIRECT(ADDRESS(562,25))+INDIRECT(ADDRESS(565,25))-INDIRECT(ADDRESS(566,25)))</f>
        <v>0</v>
      </c>
      <c r="Z567">
        <f>IF(DAY(NOW())&lt;M3,INDIRECT(ADDRESS(567,25))-INDIRECT(ADDRESS(562,26))+INDIRECT(ADDRESS(563,26))-INDIRECT(ADDRESS(566,26)),INDIRECT(ADDRESS(567,25))-INDIRECT(ADDRESS(562,26))+INDIRECT(ADDRESS(565,26))-INDIRECT(ADDRESS(566,26)))</f>
        <v>0</v>
      </c>
      <c r="AA567">
        <f>IF(DAY(NOW())&lt;M3,INDIRECT(ADDRESS(567,26))-INDIRECT(ADDRESS(562,27))+INDIRECT(ADDRESS(563,27))-INDIRECT(ADDRESS(566,27)),INDIRECT(ADDRESS(567,26))-INDIRECT(ADDRESS(562,27))+INDIRECT(ADDRESS(565,27))-INDIRECT(ADDRESS(566,27)))</f>
        <v>0</v>
      </c>
      <c r="AB567">
        <f>IF(DAY(NOW())&lt;M3,INDIRECT(ADDRESS(567,27))-INDIRECT(ADDRESS(562,28))+INDIRECT(ADDRESS(563,28))-INDIRECT(ADDRESS(566,28)),INDIRECT(ADDRESS(567,27))-INDIRECT(ADDRESS(562,28))+INDIRECT(ADDRESS(565,28))-INDIRECT(ADDRESS(566,28)))</f>
        <v>0</v>
      </c>
      <c r="AC567">
        <f>IF(DAY(NOW())&lt;M3,INDIRECT(ADDRESS(567,28))-INDIRECT(ADDRESS(562,29))+INDIRECT(ADDRESS(563,29))-INDIRECT(ADDRESS(566,29)),INDIRECT(ADDRESS(567,28))-INDIRECT(ADDRESS(562,29))+INDIRECT(ADDRESS(565,29))-INDIRECT(ADDRESS(566,29)))</f>
        <v>0</v>
      </c>
      <c r="AD567">
        <f>IF(DAY(NOW())&lt;M3,INDIRECT(ADDRESS(567,29))-INDIRECT(ADDRESS(562,30))+INDIRECT(ADDRESS(563,30))-INDIRECT(ADDRESS(566,30)),INDIRECT(ADDRESS(567,29))-INDIRECT(ADDRESS(562,30))+INDIRECT(ADDRESS(565,30))-INDIRECT(ADDRESS(566,30)))</f>
        <v>0</v>
      </c>
      <c r="AE567">
        <f>IF(DAY(NOW())&lt;M3,INDIRECT(ADDRESS(567,30))-INDIRECT(ADDRESS(562,31))+INDIRECT(ADDRESS(563,31))-INDIRECT(ADDRESS(566,31)),INDIRECT(ADDRESS(567,30))-INDIRECT(ADDRESS(562,31))+INDIRECT(ADDRESS(565,31))-INDIRECT(ADDRESS(566,31)))</f>
        <v>0</v>
      </c>
      <c r="AF567">
        <f>IF(DAY(NOW())&lt;M3,INDIRECT(ADDRESS(567,31))-INDIRECT(ADDRESS(562,32))+INDIRECT(ADDRESS(563,32))-INDIRECT(ADDRESS(566,32)),INDIRECT(ADDRESS(567,31))-INDIRECT(ADDRESS(562,32))+INDIRECT(ADDRESS(565,32))-INDIRECT(ADDRESS(566,32)))</f>
        <v>0</v>
      </c>
      <c r="AG567">
        <f>IF(DAY(NOW())&lt;M3,INDIRECT(ADDRESS(567,32))-INDIRECT(ADDRESS(562,33))+INDIRECT(ADDRESS(563,33))-INDIRECT(ADDRESS(566,33)),INDIRECT(ADDRESS(567,32))-INDIRECT(ADDRESS(562,33))+INDIRECT(ADDRESS(565,33))-INDIRECT(ADDRESS(566,33)))</f>
        <v>0</v>
      </c>
      <c r="AH567">
        <f>IF(DAY(NOW())&lt;M3,INDIRECT(ADDRESS(567,33))-INDIRECT(ADDRESS(562,34))+INDIRECT(ADDRESS(563,34))-INDIRECT(ADDRESS(566,34)),INDIRECT(ADDRESS(567,33))-INDIRECT(ADDRESS(562,34))+INDIRECT(ADDRESS(565,34))-INDIRECT(ADDRESS(566,34)))</f>
        <v>0</v>
      </c>
      <c r="AI567">
        <f>IF(DAY(NOW())&lt;M3,INDIRECT(ADDRESS(567,34))-INDIRECT(ADDRESS(562,35))+INDIRECT(ADDRESS(563,35))-INDIRECT(ADDRESS(566,35)),INDIRECT(ADDRESS(567,34))-INDIRECT(ADDRESS(562,35))+INDIRECT(ADDRESS(565,35))-INDIRECT(ADDRESS(566,35)))</f>
        <v>0</v>
      </c>
      <c r="AJ567">
        <f>IF(DAY(NOW())&lt;M3,INDIRECT(ADDRESS(567,35))-INDIRECT(ADDRESS(562,36))+INDIRECT(ADDRESS(563,36))-INDIRECT(ADDRESS(566,36)),INDIRECT(ADDRESS(567,35))-INDIRECT(ADDRESS(562,36))+INDIRECT(ADDRESS(565,36))-INDIRECT(ADDRESS(566,36)))</f>
        <v>0</v>
      </c>
      <c r="AK567">
        <f>IF(DAY(NOW())&lt;M3,INDIRECT(ADDRESS(567,36))-INDIRECT(ADDRESS(562,37))+INDIRECT(ADDRESS(563,37))-INDIRECT(ADDRESS(566,37)),INDIRECT(ADDRESS(567,36))-INDIRECT(ADDRESS(562,37))+INDIRECT(ADDRESS(565,37))-INDIRECT(ADDRESS(566,37)))</f>
        <v>0</v>
      </c>
      <c r="AL567">
        <f>IF(DAY(NOW())&lt;M3,INDIRECT(ADDRESS(567,37))-INDIRECT(ADDRESS(562,38))+INDIRECT(ADDRESS(563,38))-INDIRECT(ADDRESS(566,38)),INDIRECT(ADDRESS(567,37))-INDIRECT(ADDRESS(562,38))+INDIRECT(ADDRESS(565,38))-INDIRECT(ADDRESS(566,38)))</f>
        <v>0</v>
      </c>
      <c r="AM567">
        <f>IF(DAY(NOW())&lt;M3,INDIRECT(ADDRESS(567,38))-INDIRECT(ADDRESS(562,39))+INDIRECT(ADDRESS(563,39))-INDIRECT(ADDRESS(566,39)),INDIRECT(ADDRESS(567,38))-INDIRECT(ADDRESS(562,39))+INDIRECT(ADDRESS(565,39))-INDIRECT(ADDRESS(566,39)))</f>
        <v>0</v>
      </c>
      <c r="AN567">
        <f>IF(DAY(NOW())&lt;M3,INDIRECT(ADDRESS(567,39))-INDIRECT(ADDRESS(562,40))+INDIRECT(ADDRESS(563,40))-INDIRECT(ADDRESS(566,40)),INDIRECT(ADDRESS(567,39))-INDIRECT(ADDRESS(562,40))+INDIRECT(ADDRESS(565,40))-INDIRECT(ADDRESS(566,40)))</f>
        <v>0</v>
      </c>
      <c r="AO567">
        <f>IF(DAY(NOW())&lt;M3,INDIRECT(ADDRESS(567,40))-INDIRECT(ADDRESS(562,41))+INDIRECT(ADDRESS(563,41))-INDIRECT(ADDRESS(566,41)),INDIRECT(ADDRESS(567,40))-INDIRECT(ADDRESS(562,41))+INDIRECT(ADDRESS(565,41))-INDIRECT(ADDRESS(566,41)))</f>
        <v>0</v>
      </c>
      <c r="AP567">
        <f>IF(DAY(NOW())&lt;M3,INDIRECT(ADDRESS(567,41))-INDIRECT(ADDRESS(562,42))+INDIRECT(ADDRESS(563,42))-INDIRECT(ADDRESS(566,42)),INDIRECT(ADDRESS(567,41))-INDIRECT(ADDRESS(562,42))+INDIRECT(ADDRESS(565,42))-INDIRECT(ADDRESS(566,42)))</f>
        <v>0</v>
      </c>
      <c r="AQ567">
        <f>IF(DAY(NOW())&lt;M3,INDIRECT(ADDRESS(567,42))-INDIRECT(ADDRESS(562,43))+INDIRECT(ADDRESS(563,43))-INDIRECT(ADDRESS(566,43)),INDIRECT(ADDRESS(567,42))-INDIRECT(ADDRESS(562,43))+INDIRECT(ADDRESS(565,43))-INDIRECT(ADDRESS(566,43)))</f>
        <v>0</v>
      </c>
      <c r="AR567">
        <f>IF(DAY(NOW())&lt;M3,INDIRECT(ADDRESS(567,43))-INDIRECT(ADDRESS(562,44))+INDIRECT(ADDRESS(563,44))-INDIRECT(ADDRESS(566,44)),INDIRECT(ADDRESS(567,43))-INDIRECT(ADDRESS(562,44))+INDIRECT(ADDRESS(565,44))-INDIRECT(ADDRESS(566,44)))</f>
        <v>0</v>
      </c>
    </row>
    <row r="568" spans="1:76">
      <c r="A568" t="s">
        <v>31</v>
      </c>
      <c r="B568" t="s">
        <v>309</v>
      </c>
      <c r="C568" t="s">
        <v>310</v>
      </c>
      <c r="D568" t="s">
        <v>304</v>
      </c>
      <c r="E568">
        <v>15</v>
      </c>
      <c r="F568" t="s">
        <v>311</v>
      </c>
      <c r="K568" t="s">
        <v>308</v>
      </c>
      <c r="L568" t="s">
        <v>21</v>
      </c>
      <c r="M568">
        <f>sumifs(BOM!m:m,BOM!A:A,".1",BOM!B:B,"212-037600-000")</f>
        <v>0</v>
      </c>
      <c r="N568">
        <f>sumifs(BOM!n:n,BOM!A:A,".1",BOM!B:B,"212-037600-000")</f>
        <v>0</v>
      </c>
      <c r="O568">
        <f>sumifs(BOM!o:o,BOM!A:A,".1",BOM!B:B,"212-037600-000")</f>
        <v>0</v>
      </c>
      <c r="P568">
        <f>sumifs(BOM!p:p,BOM!A:A,".1",BOM!B:B,"212-037600-000")</f>
        <v>0</v>
      </c>
      <c r="Q568">
        <f>sumifs(BOM!q:q,BOM!A:A,".1",BOM!B:B,"212-037600-000")</f>
        <v>0</v>
      </c>
      <c r="R568">
        <f>sumifs(BOM!r:r,BOM!A:A,".1",BOM!B:B,"212-037600-000")</f>
        <v>0</v>
      </c>
      <c r="S568">
        <f>sumifs(BOM!s:s,BOM!A:A,".1",BOM!B:B,"212-037600-000")</f>
        <v>0</v>
      </c>
      <c r="T568">
        <f>sumifs(BOM!t:t,BOM!A:A,".1",BOM!B:B,"212-037600-000")</f>
        <v>0</v>
      </c>
      <c r="U568">
        <f>sumifs(BOM!u:u,BOM!A:A,".1",BOM!B:B,"212-037600-000")</f>
        <v>0</v>
      </c>
      <c r="V568">
        <f>sumifs(BOM!v:v,BOM!A:A,".1",BOM!B:B,"212-037600-000")</f>
        <v>0</v>
      </c>
      <c r="W568">
        <f>sumifs(BOM!w:w,BOM!A:A,".1",BOM!B:B,"212-037600-000")</f>
        <v>0</v>
      </c>
      <c r="X568">
        <f>sumifs(BOM!x:x,BOM!A:A,".1",BOM!B:B,"212-037600-000")</f>
        <v>0</v>
      </c>
      <c r="Y568">
        <f>sumifs(BOM!y:y,BOM!A:A,".1",BOM!B:B,"212-037600-000")</f>
        <v>0</v>
      </c>
      <c r="Z568">
        <f>sumifs(BOM!z:z,BOM!A:A,".1",BOM!B:B,"212-037600-000")</f>
        <v>0</v>
      </c>
      <c r="AA568">
        <f>sumifs(BOM!aa:aa,BOM!A:A,".1",BOM!B:B,"212-037600-000")</f>
        <v>0</v>
      </c>
      <c r="AB568">
        <f>sumifs(BOM!ab:ab,BOM!A:A,".1",BOM!B:B,"212-037600-000")</f>
        <v>0</v>
      </c>
      <c r="AC568">
        <f>sumifs(BOM!ac:ac,BOM!A:A,".1",BOM!B:B,"212-037600-000")</f>
        <v>0</v>
      </c>
      <c r="AD568">
        <f>sumifs(BOM!ad:ad,BOM!A:A,".1",BOM!B:B,"212-037600-000")</f>
        <v>0</v>
      </c>
      <c r="AE568">
        <f>sumifs(BOM!ae:ae,BOM!A:A,".1",BOM!B:B,"212-037600-000")</f>
        <v>0</v>
      </c>
      <c r="AF568">
        <f>sumifs(BOM!af:af,BOM!A:A,".1",BOM!B:B,"212-037600-000")</f>
        <v>0</v>
      </c>
      <c r="AG568">
        <f>sumifs(BOM!ag:ag,BOM!A:A,".1",BOM!B:B,"212-037600-000")</f>
        <v>0</v>
      </c>
      <c r="AH568">
        <f>sumifs(BOM!ah:ah,BOM!A:A,".1",BOM!B:B,"212-037600-000")</f>
        <v>0</v>
      </c>
      <c r="AI568">
        <f>sumifs(BOM!ai:ai,BOM!A:A,".1",BOM!B:B,"212-037600-000")</f>
        <v>0</v>
      </c>
      <c r="AJ568">
        <f>sumifs(BOM!aj:aj,BOM!A:A,".1",BOM!B:B,"212-037600-000")</f>
        <v>0</v>
      </c>
      <c r="AK568">
        <f>sumifs(BOM!ak:ak,BOM!A:A,".1",BOM!B:B,"212-037600-000")</f>
        <v>0</v>
      </c>
      <c r="AL568">
        <f>sumifs(BOM!al:al,BOM!A:A,".1",BOM!B:B,"212-037600-000")</f>
        <v>0</v>
      </c>
      <c r="AM568">
        <f>sumifs(BOM!am:am,BOM!A:A,".1",BOM!B:B,"212-037600-000")</f>
        <v>0</v>
      </c>
      <c r="AN568">
        <f>sumifs(BOM!an:an,BOM!A:A,".1",BOM!B:B,"212-037600-000")</f>
        <v>0</v>
      </c>
      <c r="AO568">
        <f>sumifs(BOM!ao:ao,BOM!A:A,".1",BOM!B:B,"212-037600-000")</f>
        <v>0</v>
      </c>
      <c r="AP568">
        <f>sumifs(BOM!ap:ap,BOM!A:A,".1",BOM!B:B,"212-037600-000")</f>
        <v>0</v>
      </c>
      <c r="AQ568">
        <f>sumifs(BOM!aq:aq,BOM!A:A,".1",BOM!B:B,"212-037600-000")</f>
        <v>0</v>
      </c>
      <c r="AR568">
        <f>sumifs(BOM!ar:ar,BOM!A:A,".1",BOM!B:B,"212-037600-000")</f>
        <v>0</v>
      </c>
      <c r="BX568">
        <f>sum(j568:an568)</f>
        <v>0</v>
      </c>
    </row>
    <row r="569" spans="1:76">
      <c r="A569" t="s">
        <v>31</v>
      </c>
      <c r="B569" t="s">
        <v>309</v>
      </c>
      <c r="C569" t="s">
        <v>310</v>
      </c>
      <c r="D569" t="s">
        <v>304</v>
      </c>
      <c r="E569">
        <v>15</v>
      </c>
      <c r="F569" t="s">
        <v>311</v>
      </c>
      <c r="K569" t="s">
        <v>308</v>
      </c>
      <c r="L569" t="s">
        <v>37</v>
      </c>
    </row>
    <row r="570" spans="1:76">
      <c r="L570" t="s">
        <v>662</v>
      </c>
    </row>
    <row r="571" spans="1:76">
      <c r="L571" t="s">
        <v>663</v>
      </c>
    </row>
    <row r="572" spans="1:76">
      <c r="L572" t="s">
        <v>664</v>
      </c>
    </row>
    <row r="573" spans="1:76">
      <c r="L573" t="s">
        <v>665</v>
      </c>
      <c r="M573">
        <f>IF(DAY(NOW())&lt;M3,INDIRECT(ADDRESS(573,7))-INDIRECT(ADDRESS(568,13))+INDIRECT(ADDRESS(569,13))-INDIRECT(ADDRESS(572,13)),INDIRECT(ADDRESS(573,7))-INDIRECT(ADDRESS(568,13))+INDIRECT(ADDRESS(571,13))-INDIRECT(ADDRESS(572,13)))</f>
        <v>0</v>
      </c>
      <c r="N573">
        <f>IF(DAY(NOW())&lt;M3,INDIRECT(ADDRESS(573,13))-INDIRECT(ADDRESS(568,14))+INDIRECT(ADDRESS(569,14))-INDIRECT(ADDRESS(572,14)),INDIRECT(ADDRESS(573,13))-INDIRECT(ADDRESS(568,14))+INDIRECT(ADDRESS(571,14))-INDIRECT(ADDRESS(572,14)))</f>
        <v>0</v>
      </c>
      <c r="O573">
        <f>IF(DAY(NOW())&lt;M3,INDIRECT(ADDRESS(573,14))-INDIRECT(ADDRESS(568,15))+INDIRECT(ADDRESS(569,15))-INDIRECT(ADDRESS(572,15)),INDIRECT(ADDRESS(573,14))-INDIRECT(ADDRESS(568,15))+INDIRECT(ADDRESS(571,15))-INDIRECT(ADDRESS(572,15)))</f>
        <v>0</v>
      </c>
      <c r="P573">
        <f>IF(DAY(NOW())&lt;M3,INDIRECT(ADDRESS(573,15))-INDIRECT(ADDRESS(568,16))+INDIRECT(ADDRESS(569,16))-INDIRECT(ADDRESS(572,16)),INDIRECT(ADDRESS(573,15))-INDIRECT(ADDRESS(568,16))+INDIRECT(ADDRESS(571,16))-INDIRECT(ADDRESS(572,16)))</f>
        <v>0</v>
      </c>
      <c r="Q573">
        <f>IF(DAY(NOW())&lt;M3,INDIRECT(ADDRESS(573,16))-INDIRECT(ADDRESS(568,17))+INDIRECT(ADDRESS(569,17))-INDIRECT(ADDRESS(572,17)),INDIRECT(ADDRESS(573,16))-INDIRECT(ADDRESS(568,17))+INDIRECT(ADDRESS(571,17))-INDIRECT(ADDRESS(572,17)))</f>
        <v>0</v>
      </c>
      <c r="R573">
        <f>IF(DAY(NOW())&lt;M3,INDIRECT(ADDRESS(573,17))-INDIRECT(ADDRESS(568,18))+INDIRECT(ADDRESS(569,18))-INDIRECT(ADDRESS(572,18)),INDIRECT(ADDRESS(573,17))-INDIRECT(ADDRESS(568,18))+INDIRECT(ADDRESS(571,18))-INDIRECT(ADDRESS(572,18)))</f>
        <v>0</v>
      </c>
      <c r="S573">
        <f>IF(DAY(NOW())&lt;M3,INDIRECT(ADDRESS(573,18))-INDIRECT(ADDRESS(568,19))+INDIRECT(ADDRESS(569,19))-INDIRECT(ADDRESS(572,19)),INDIRECT(ADDRESS(573,18))-INDIRECT(ADDRESS(568,19))+INDIRECT(ADDRESS(571,19))-INDIRECT(ADDRESS(572,19)))</f>
        <v>0</v>
      </c>
      <c r="T573">
        <f>IF(DAY(NOW())&lt;M3,INDIRECT(ADDRESS(573,19))-INDIRECT(ADDRESS(568,20))+INDIRECT(ADDRESS(569,20))-INDIRECT(ADDRESS(572,20)),INDIRECT(ADDRESS(573,19))-INDIRECT(ADDRESS(568,20))+INDIRECT(ADDRESS(571,20))-INDIRECT(ADDRESS(572,20)))</f>
        <v>0</v>
      </c>
      <c r="U573">
        <f>IF(DAY(NOW())&lt;M3,INDIRECT(ADDRESS(573,20))-INDIRECT(ADDRESS(568,21))+INDIRECT(ADDRESS(569,21))-INDIRECT(ADDRESS(572,21)),INDIRECT(ADDRESS(573,20))-INDIRECT(ADDRESS(568,21))+INDIRECT(ADDRESS(571,21))-INDIRECT(ADDRESS(572,21)))</f>
        <v>0</v>
      </c>
      <c r="V573">
        <f>IF(DAY(NOW())&lt;M3,INDIRECT(ADDRESS(573,21))-INDIRECT(ADDRESS(568,22))+INDIRECT(ADDRESS(569,22))-INDIRECT(ADDRESS(572,22)),INDIRECT(ADDRESS(573,21))-INDIRECT(ADDRESS(568,22))+INDIRECT(ADDRESS(571,22))-INDIRECT(ADDRESS(572,22)))</f>
        <v>0</v>
      </c>
      <c r="W573">
        <f>IF(DAY(NOW())&lt;M3,INDIRECT(ADDRESS(573,22))-INDIRECT(ADDRESS(568,23))+INDIRECT(ADDRESS(569,23))-INDIRECT(ADDRESS(572,23)),INDIRECT(ADDRESS(573,22))-INDIRECT(ADDRESS(568,23))+INDIRECT(ADDRESS(571,23))-INDIRECT(ADDRESS(572,23)))</f>
        <v>0</v>
      </c>
      <c r="X573">
        <f>IF(DAY(NOW())&lt;M3,INDIRECT(ADDRESS(573,23))-INDIRECT(ADDRESS(568,24))+INDIRECT(ADDRESS(569,24))-INDIRECT(ADDRESS(572,24)),INDIRECT(ADDRESS(573,23))-INDIRECT(ADDRESS(568,24))+INDIRECT(ADDRESS(571,24))-INDIRECT(ADDRESS(572,24)))</f>
        <v>0</v>
      </c>
      <c r="Y573">
        <f>IF(DAY(NOW())&lt;M3,INDIRECT(ADDRESS(573,24))-INDIRECT(ADDRESS(568,25))+INDIRECT(ADDRESS(569,25))-INDIRECT(ADDRESS(572,25)),INDIRECT(ADDRESS(573,24))-INDIRECT(ADDRESS(568,25))+INDIRECT(ADDRESS(571,25))-INDIRECT(ADDRESS(572,25)))</f>
        <v>0</v>
      </c>
      <c r="Z573">
        <f>IF(DAY(NOW())&lt;M3,INDIRECT(ADDRESS(573,25))-INDIRECT(ADDRESS(568,26))+INDIRECT(ADDRESS(569,26))-INDIRECT(ADDRESS(572,26)),INDIRECT(ADDRESS(573,25))-INDIRECT(ADDRESS(568,26))+INDIRECT(ADDRESS(571,26))-INDIRECT(ADDRESS(572,26)))</f>
        <v>0</v>
      </c>
      <c r="AA573">
        <f>IF(DAY(NOW())&lt;M3,INDIRECT(ADDRESS(573,26))-INDIRECT(ADDRESS(568,27))+INDIRECT(ADDRESS(569,27))-INDIRECT(ADDRESS(572,27)),INDIRECT(ADDRESS(573,26))-INDIRECT(ADDRESS(568,27))+INDIRECT(ADDRESS(571,27))-INDIRECT(ADDRESS(572,27)))</f>
        <v>0</v>
      </c>
      <c r="AB573">
        <f>IF(DAY(NOW())&lt;M3,INDIRECT(ADDRESS(573,27))-INDIRECT(ADDRESS(568,28))+INDIRECT(ADDRESS(569,28))-INDIRECT(ADDRESS(572,28)),INDIRECT(ADDRESS(573,27))-INDIRECT(ADDRESS(568,28))+INDIRECT(ADDRESS(571,28))-INDIRECT(ADDRESS(572,28)))</f>
        <v>0</v>
      </c>
      <c r="AC573">
        <f>IF(DAY(NOW())&lt;M3,INDIRECT(ADDRESS(573,28))-INDIRECT(ADDRESS(568,29))+INDIRECT(ADDRESS(569,29))-INDIRECT(ADDRESS(572,29)),INDIRECT(ADDRESS(573,28))-INDIRECT(ADDRESS(568,29))+INDIRECT(ADDRESS(571,29))-INDIRECT(ADDRESS(572,29)))</f>
        <v>0</v>
      </c>
      <c r="AD573">
        <f>IF(DAY(NOW())&lt;M3,INDIRECT(ADDRESS(573,29))-INDIRECT(ADDRESS(568,30))+INDIRECT(ADDRESS(569,30))-INDIRECT(ADDRESS(572,30)),INDIRECT(ADDRESS(573,29))-INDIRECT(ADDRESS(568,30))+INDIRECT(ADDRESS(571,30))-INDIRECT(ADDRESS(572,30)))</f>
        <v>0</v>
      </c>
      <c r="AE573">
        <f>IF(DAY(NOW())&lt;M3,INDIRECT(ADDRESS(573,30))-INDIRECT(ADDRESS(568,31))+INDIRECT(ADDRESS(569,31))-INDIRECT(ADDRESS(572,31)),INDIRECT(ADDRESS(573,30))-INDIRECT(ADDRESS(568,31))+INDIRECT(ADDRESS(571,31))-INDIRECT(ADDRESS(572,31)))</f>
        <v>0</v>
      </c>
      <c r="AF573">
        <f>IF(DAY(NOW())&lt;M3,INDIRECT(ADDRESS(573,31))-INDIRECT(ADDRESS(568,32))+INDIRECT(ADDRESS(569,32))-INDIRECT(ADDRESS(572,32)),INDIRECT(ADDRESS(573,31))-INDIRECT(ADDRESS(568,32))+INDIRECT(ADDRESS(571,32))-INDIRECT(ADDRESS(572,32)))</f>
        <v>0</v>
      </c>
      <c r="AG573">
        <f>IF(DAY(NOW())&lt;M3,INDIRECT(ADDRESS(573,32))-INDIRECT(ADDRESS(568,33))+INDIRECT(ADDRESS(569,33))-INDIRECT(ADDRESS(572,33)),INDIRECT(ADDRESS(573,32))-INDIRECT(ADDRESS(568,33))+INDIRECT(ADDRESS(571,33))-INDIRECT(ADDRESS(572,33)))</f>
        <v>0</v>
      </c>
      <c r="AH573">
        <f>IF(DAY(NOW())&lt;M3,INDIRECT(ADDRESS(573,33))-INDIRECT(ADDRESS(568,34))+INDIRECT(ADDRESS(569,34))-INDIRECT(ADDRESS(572,34)),INDIRECT(ADDRESS(573,33))-INDIRECT(ADDRESS(568,34))+INDIRECT(ADDRESS(571,34))-INDIRECT(ADDRESS(572,34)))</f>
        <v>0</v>
      </c>
      <c r="AI573">
        <f>IF(DAY(NOW())&lt;M3,INDIRECT(ADDRESS(573,34))-INDIRECT(ADDRESS(568,35))+INDIRECT(ADDRESS(569,35))-INDIRECT(ADDRESS(572,35)),INDIRECT(ADDRESS(573,34))-INDIRECT(ADDRESS(568,35))+INDIRECT(ADDRESS(571,35))-INDIRECT(ADDRESS(572,35)))</f>
        <v>0</v>
      </c>
      <c r="AJ573">
        <f>IF(DAY(NOW())&lt;M3,INDIRECT(ADDRESS(573,35))-INDIRECT(ADDRESS(568,36))+INDIRECT(ADDRESS(569,36))-INDIRECT(ADDRESS(572,36)),INDIRECT(ADDRESS(573,35))-INDIRECT(ADDRESS(568,36))+INDIRECT(ADDRESS(571,36))-INDIRECT(ADDRESS(572,36)))</f>
        <v>0</v>
      </c>
      <c r="AK573">
        <f>IF(DAY(NOW())&lt;M3,INDIRECT(ADDRESS(573,36))-INDIRECT(ADDRESS(568,37))+INDIRECT(ADDRESS(569,37))-INDIRECT(ADDRESS(572,37)),INDIRECT(ADDRESS(573,36))-INDIRECT(ADDRESS(568,37))+INDIRECT(ADDRESS(571,37))-INDIRECT(ADDRESS(572,37)))</f>
        <v>0</v>
      </c>
      <c r="AL573">
        <f>IF(DAY(NOW())&lt;M3,INDIRECT(ADDRESS(573,37))-INDIRECT(ADDRESS(568,38))+INDIRECT(ADDRESS(569,38))-INDIRECT(ADDRESS(572,38)),INDIRECT(ADDRESS(573,37))-INDIRECT(ADDRESS(568,38))+INDIRECT(ADDRESS(571,38))-INDIRECT(ADDRESS(572,38)))</f>
        <v>0</v>
      </c>
      <c r="AM573">
        <f>IF(DAY(NOW())&lt;M3,INDIRECT(ADDRESS(573,38))-INDIRECT(ADDRESS(568,39))+INDIRECT(ADDRESS(569,39))-INDIRECT(ADDRESS(572,39)),INDIRECT(ADDRESS(573,38))-INDIRECT(ADDRESS(568,39))+INDIRECT(ADDRESS(571,39))-INDIRECT(ADDRESS(572,39)))</f>
        <v>0</v>
      </c>
      <c r="AN573">
        <f>IF(DAY(NOW())&lt;M3,INDIRECT(ADDRESS(573,39))-INDIRECT(ADDRESS(568,40))+INDIRECT(ADDRESS(569,40))-INDIRECT(ADDRESS(572,40)),INDIRECT(ADDRESS(573,39))-INDIRECT(ADDRESS(568,40))+INDIRECT(ADDRESS(571,40))-INDIRECT(ADDRESS(572,40)))</f>
        <v>0</v>
      </c>
      <c r="AO573">
        <f>IF(DAY(NOW())&lt;M3,INDIRECT(ADDRESS(573,40))-INDIRECT(ADDRESS(568,41))+INDIRECT(ADDRESS(569,41))-INDIRECT(ADDRESS(572,41)),INDIRECT(ADDRESS(573,40))-INDIRECT(ADDRESS(568,41))+INDIRECT(ADDRESS(571,41))-INDIRECT(ADDRESS(572,41)))</f>
        <v>0</v>
      </c>
      <c r="AP573">
        <f>IF(DAY(NOW())&lt;M3,INDIRECT(ADDRESS(573,41))-INDIRECT(ADDRESS(568,42))+INDIRECT(ADDRESS(569,42))-INDIRECT(ADDRESS(572,42)),INDIRECT(ADDRESS(573,41))-INDIRECT(ADDRESS(568,42))+INDIRECT(ADDRESS(571,42))-INDIRECT(ADDRESS(572,42)))</f>
        <v>0</v>
      </c>
      <c r="AQ573">
        <f>IF(DAY(NOW())&lt;M3,INDIRECT(ADDRESS(573,42))-INDIRECT(ADDRESS(568,43))+INDIRECT(ADDRESS(569,43))-INDIRECT(ADDRESS(572,43)),INDIRECT(ADDRESS(573,42))-INDIRECT(ADDRESS(568,43))+INDIRECT(ADDRESS(571,43))-INDIRECT(ADDRESS(572,43)))</f>
        <v>0</v>
      </c>
      <c r="AR573">
        <f>IF(DAY(NOW())&lt;M3,INDIRECT(ADDRESS(573,43))-INDIRECT(ADDRESS(568,44))+INDIRECT(ADDRESS(569,44))-INDIRECT(ADDRESS(572,44)),INDIRECT(ADDRESS(573,43))-INDIRECT(ADDRESS(568,44))+INDIRECT(ADDRESS(571,44))-INDIRECT(ADDRESS(572,44)))</f>
        <v>0</v>
      </c>
    </row>
    <row r="574" spans="1:76">
      <c r="A574" t="s">
        <v>31</v>
      </c>
      <c r="B574" t="s">
        <v>318</v>
      </c>
      <c r="C574" t="s">
        <v>319</v>
      </c>
      <c r="D574" t="s">
        <v>304</v>
      </c>
      <c r="E574">
        <v>2</v>
      </c>
      <c r="F574" t="s">
        <v>320</v>
      </c>
      <c r="K574" t="s">
        <v>308</v>
      </c>
      <c r="L574" t="s">
        <v>21</v>
      </c>
      <c r="M574">
        <f>sumifs(BOM!m:m,BOM!A:A,".1",BOM!B:B,"212-037700-000")</f>
        <v>0</v>
      </c>
      <c r="N574">
        <f>sumifs(BOM!n:n,BOM!A:A,".1",BOM!B:B,"212-037700-000")</f>
        <v>0</v>
      </c>
      <c r="O574">
        <f>sumifs(BOM!o:o,BOM!A:A,".1",BOM!B:B,"212-037700-000")</f>
        <v>0</v>
      </c>
      <c r="P574">
        <f>sumifs(BOM!p:p,BOM!A:A,".1",BOM!B:B,"212-037700-000")</f>
        <v>0</v>
      </c>
      <c r="Q574">
        <f>sumifs(BOM!q:q,BOM!A:A,".1",BOM!B:B,"212-037700-000")</f>
        <v>0</v>
      </c>
      <c r="R574">
        <f>sumifs(BOM!r:r,BOM!A:A,".1",BOM!B:B,"212-037700-000")</f>
        <v>0</v>
      </c>
      <c r="S574">
        <f>sumifs(BOM!s:s,BOM!A:A,".1",BOM!B:B,"212-037700-000")</f>
        <v>0</v>
      </c>
      <c r="T574">
        <f>sumifs(BOM!t:t,BOM!A:A,".1",BOM!B:B,"212-037700-000")</f>
        <v>0</v>
      </c>
      <c r="U574">
        <f>sumifs(BOM!u:u,BOM!A:A,".1",BOM!B:B,"212-037700-000")</f>
        <v>0</v>
      </c>
      <c r="V574">
        <f>sumifs(BOM!v:v,BOM!A:A,".1",BOM!B:B,"212-037700-000")</f>
        <v>0</v>
      </c>
      <c r="W574">
        <f>sumifs(BOM!w:w,BOM!A:A,".1",BOM!B:B,"212-037700-000")</f>
        <v>0</v>
      </c>
      <c r="X574">
        <f>sumifs(BOM!x:x,BOM!A:A,".1",BOM!B:B,"212-037700-000")</f>
        <v>0</v>
      </c>
      <c r="Y574">
        <f>sumifs(BOM!y:y,BOM!A:A,".1",BOM!B:B,"212-037700-000")</f>
        <v>0</v>
      </c>
      <c r="Z574">
        <f>sumifs(BOM!z:z,BOM!A:A,".1",BOM!B:B,"212-037700-000")</f>
        <v>0</v>
      </c>
      <c r="AA574">
        <f>sumifs(BOM!aa:aa,BOM!A:A,".1",BOM!B:B,"212-037700-000")</f>
        <v>0</v>
      </c>
      <c r="AB574">
        <f>sumifs(BOM!ab:ab,BOM!A:A,".1",BOM!B:B,"212-037700-000")</f>
        <v>0</v>
      </c>
      <c r="AC574">
        <f>sumifs(BOM!ac:ac,BOM!A:A,".1",BOM!B:B,"212-037700-000")</f>
        <v>0</v>
      </c>
      <c r="AD574">
        <f>sumifs(BOM!ad:ad,BOM!A:A,".1",BOM!B:B,"212-037700-000")</f>
        <v>0</v>
      </c>
      <c r="AE574">
        <f>sumifs(BOM!ae:ae,BOM!A:A,".1",BOM!B:B,"212-037700-000")</f>
        <v>0</v>
      </c>
      <c r="AF574">
        <f>sumifs(BOM!af:af,BOM!A:A,".1",BOM!B:B,"212-037700-000")</f>
        <v>0</v>
      </c>
      <c r="AG574">
        <f>sumifs(BOM!ag:ag,BOM!A:A,".1",BOM!B:B,"212-037700-000")</f>
        <v>0</v>
      </c>
      <c r="AH574">
        <f>sumifs(BOM!ah:ah,BOM!A:A,".1",BOM!B:B,"212-037700-000")</f>
        <v>0</v>
      </c>
      <c r="AI574">
        <f>sumifs(BOM!ai:ai,BOM!A:A,".1",BOM!B:B,"212-037700-000")</f>
        <v>0</v>
      </c>
      <c r="AJ574">
        <f>sumifs(BOM!aj:aj,BOM!A:A,".1",BOM!B:B,"212-037700-000")</f>
        <v>0</v>
      </c>
      <c r="AK574">
        <f>sumifs(BOM!ak:ak,BOM!A:A,".1",BOM!B:B,"212-037700-000")</f>
        <v>0</v>
      </c>
      <c r="AL574">
        <f>sumifs(BOM!al:al,BOM!A:A,".1",BOM!B:B,"212-037700-000")</f>
        <v>0</v>
      </c>
      <c r="AM574">
        <f>sumifs(BOM!am:am,BOM!A:A,".1",BOM!B:B,"212-037700-000")</f>
        <v>0</v>
      </c>
      <c r="AN574">
        <f>sumifs(BOM!an:an,BOM!A:A,".1",BOM!B:B,"212-037700-000")</f>
        <v>0</v>
      </c>
      <c r="AO574">
        <f>sumifs(BOM!ao:ao,BOM!A:A,".1",BOM!B:B,"212-037700-000")</f>
        <v>0</v>
      </c>
      <c r="AP574">
        <f>sumifs(BOM!ap:ap,BOM!A:A,".1",BOM!B:B,"212-037700-000")</f>
        <v>0</v>
      </c>
      <c r="AQ574">
        <f>sumifs(BOM!aq:aq,BOM!A:A,".1",BOM!B:B,"212-037700-000")</f>
        <v>0</v>
      </c>
      <c r="AR574">
        <f>sumifs(BOM!ar:ar,BOM!A:A,".1",BOM!B:B,"212-037700-000")</f>
        <v>0</v>
      </c>
      <c r="BX574">
        <f>sum(j574:an574)</f>
        <v>0</v>
      </c>
    </row>
    <row r="575" spans="1:76">
      <c r="A575" t="s">
        <v>31</v>
      </c>
      <c r="B575" t="s">
        <v>318</v>
      </c>
      <c r="C575" t="s">
        <v>319</v>
      </c>
      <c r="D575" t="s">
        <v>304</v>
      </c>
      <c r="E575">
        <v>2</v>
      </c>
      <c r="F575" t="s">
        <v>320</v>
      </c>
      <c r="K575" t="s">
        <v>308</v>
      </c>
      <c r="L575" t="s">
        <v>37</v>
      </c>
    </row>
    <row r="576" spans="1:76">
      <c r="L576" t="s">
        <v>662</v>
      </c>
    </row>
    <row r="577" spans="1:76">
      <c r="L577" t="s">
        <v>663</v>
      </c>
    </row>
    <row r="578" spans="1:76">
      <c r="L578" t="s">
        <v>664</v>
      </c>
    </row>
    <row r="579" spans="1:76">
      <c r="L579" t="s">
        <v>665</v>
      </c>
      <c r="M579">
        <f>IF(DAY(NOW())&lt;M3,INDIRECT(ADDRESS(579,7))-INDIRECT(ADDRESS(574,13))+INDIRECT(ADDRESS(575,13))-INDIRECT(ADDRESS(578,13)),INDIRECT(ADDRESS(579,7))-INDIRECT(ADDRESS(574,13))+INDIRECT(ADDRESS(577,13))-INDIRECT(ADDRESS(578,13)))</f>
        <v>0</v>
      </c>
      <c r="N579">
        <f>IF(DAY(NOW())&lt;M3,INDIRECT(ADDRESS(579,13))-INDIRECT(ADDRESS(574,14))+INDIRECT(ADDRESS(575,14))-INDIRECT(ADDRESS(578,14)),INDIRECT(ADDRESS(579,13))-INDIRECT(ADDRESS(574,14))+INDIRECT(ADDRESS(577,14))-INDIRECT(ADDRESS(578,14)))</f>
        <v>0</v>
      </c>
      <c r="O579">
        <f>IF(DAY(NOW())&lt;M3,INDIRECT(ADDRESS(579,14))-INDIRECT(ADDRESS(574,15))+INDIRECT(ADDRESS(575,15))-INDIRECT(ADDRESS(578,15)),INDIRECT(ADDRESS(579,14))-INDIRECT(ADDRESS(574,15))+INDIRECT(ADDRESS(577,15))-INDIRECT(ADDRESS(578,15)))</f>
        <v>0</v>
      </c>
      <c r="P579">
        <f>IF(DAY(NOW())&lt;M3,INDIRECT(ADDRESS(579,15))-INDIRECT(ADDRESS(574,16))+INDIRECT(ADDRESS(575,16))-INDIRECT(ADDRESS(578,16)),INDIRECT(ADDRESS(579,15))-INDIRECT(ADDRESS(574,16))+INDIRECT(ADDRESS(577,16))-INDIRECT(ADDRESS(578,16)))</f>
        <v>0</v>
      </c>
      <c r="Q579">
        <f>IF(DAY(NOW())&lt;M3,INDIRECT(ADDRESS(579,16))-INDIRECT(ADDRESS(574,17))+INDIRECT(ADDRESS(575,17))-INDIRECT(ADDRESS(578,17)),INDIRECT(ADDRESS(579,16))-INDIRECT(ADDRESS(574,17))+INDIRECT(ADDRESS(577,17))-INDIRECT(ADDRESS(578,17)))</f>
        <v>0</v>
      </c>
      <c r="R579">
        <f>IF(DAY(NOW())&lt;M3,INDIRECT(ADDRESS(579,17))-INDIRECT(ADDRESS(574,18))+INDIRECT(ADDRESS(575,18))-INDIRECT(ADDRESS(578,18)),INDIRECT(ADDRESS(579,17))-INDIRECT(ADDRESS(574,18))+INDIRECT(ADDRESS(577,18))-INDIRECT(ADDRESS(578,18)))</f>
        <v>0</v>
      </c>
      <c r="S579">
        <f>IF(DAY(NOW())&lt;M3,INDIRECT(ADDRESS(579,18))-INDIRECT(ADDRESS(574,19))+INDIRECT(ADDRESS(575,19))-INDIRECT(ADDRESS(578,19)),INDIRECT(ADDRESS(579,18))-INDIRECT(ADDRESS(574,19))+INDIRECT(ADDRESS(577,19))-INDIRECT(ADDRESS(578,19)))</f>
        <v>0</v>
      </c>
      <c r="T579">
        <f>IF(DAY(NOW())&lt;M3,INDIRECT(ADDRESS(579,19))-INDIRECT(ADDRESS(574,20))+INDIRECT(ADDRESS(575,20))-INDIRECT(ADDRESS(578,20)),INDIRECT(ADDRESS(579,19))-INDIRECT(ADDRESS(574,20))+INDIRECT(ADDRESS(577,20))-INDIRECT(ADDRESS(578,20)))</f>
        <v>0</v>
      </c>
      <c r="U579">
        <f>IF(DAY(NOW())&lt;M3,INDIRECT(ADDRESS(579,20))-INDIRECT(ADDRESS(574,21))+INDIRECT(ADDRESS(575,21))-INDIRECT(ADDRESS(578,21)),INDIRECT(ADDRESS(579,20))-INDIRECT(ADDRESS(574,21))+INDIRECT(ADDRESS(577,21))-INDIRECT(ADDRESS(578,21)))</f>
        <v>0</v>
      </c>
      <c r="V579">
        <f>IF(DAY(NOW())&lt;M3,INDIRECT(ADDRESS(579,21))-INDIRECT(ADDRESS(574,22))+INDIRECT(ADDRESS(575,22))-INDIRECT(ADDRESS(578,22)),INDIRECT(ADDRESS(579,21))-INDIRECT(ADDRESS(574,22))+INDIRECT(ADDRESS(577,22))-INDIRECT(ADDRESS(578,22)))</f>
        <v>0</v>
      </c>
      <c r="W579">
        <f>IF(DAY(NOW())&lt;M3,INDIRECT(ADDRESS(579,22))-INDIRECT(ADDRESS(574,23))+INDIRECT(ADDRESS(575,23))-INDIRECT(ADDRESS(578,23)),INDIRECT(ADDRESS(579,22))-INDIRECT(ADDRESS(574,23))+INDIRECT(ADDRESS(577,23))-INDIRECT(ADDRESS(578,23)))</f>
        <v>0</v>
      </c>
      <c r="X579">
        <f>IF(DAY(NOW())&lt;M3,INDIRECT(ADDRESS(579,23))-INDIRECT(ADDRESS(574,24))+INDIRECT(ADDRESS(575,24))-INDIRECT(ADDRESS(578,24)),INDIRECT(ADDRESS(579,23))-INDIRECT(ADDRESS(574,24))+INDIRECT(ADDRESS(577,24))-INDIRECT(ADDRESS(578,24)))</f>
        <v>0</v>
      </c>
      <c r="Y579">
        <f>IF(DAY(NOW())&lt;M3,INDIRECT(ADDRESS(579,24))-INDIRECT(ADDRESS(574,25))+INDIRECT(ADDRESS(575,25))-INDIRECT(ADDRESS(578,25)),INDIRECT(ADDRESS(579,24))-INDIRECT(ADDRESS(574,25))+INDIRECT(ADDRESS(577,25))-INDIRECT(ADDRESS(578,25)))</f>
        <v>0</v>
      </c>
      <c r="Z579">
        <f>IF(DAY(NOW())&lt;M3,INDIRECT(ADDRESS(579,25))-INDIRECT(ADDRESS(574,26))+INDIRECT(ADDRESS(575,26))-INDIRECT(ADDRESS(578,26)),INDIRECT(ADDRESS(579,25))-INDIRECT(ADDRESS(574,26))+INDIRECT(ADDRESS(577,26))-INDIRECT(ADDRESS(578,26)))</f>
        <v>0</v>
      </c>
      <c r="AA579">
        <f>IF(DAY(NOW())&lt;M3,INDIRECT(ADDRESS(579,26))-INDIRECT(ADDRESS(574,27))+INDIRECT(ADDRESS(575,27))-INDIRECT(ADDRESS(578,27)),INDIRECT(ADDRESS(579,26))-INDIRECT(ADDRESS(574,27))+INDIRECT(ADDRESS(577,27))-INDIRECT(ADDRESS(578,27)))</f>
        <v>0</v>
      </c>
      <c r="AB579">
        <f>IF(DAY(NOW())&lt;M3,INDIRECT(ADDRESS(579,27))-INDIRECT(ADDRESS(574,28))+INDIRECT(ADDRESS(575,28))-INDIRECT(ADDRESS(578,28)),INDIRECT(ADDRESS(579,27))-INDIRECT(ADDRESS(574,28))+INDIRECT(ADDRESS(577,28))-INDIRECT(ADDRESS(578,28)))</f>
        <v>0</v>
      </c>
      <c r="AC579">
        <f>IF(DAY(NOW())&lt;M3,INDIRECT(ADDRESS(579,28))-INDIRECT(ADDRESS(574,29))+INDIRECT(ADDRESS(575,29))-INDIRECT(ADDRESS(578,29)),INDIRECT(ADDRESS(579,28))-INDIRECT(ADDRESS(574,29))+INDIRECT(ADDRESS(577,29))-INDIRECT(ADDRESS(578,29)))</f>
        <v>0</v>
      </c>
      <c r="AD579">
        <f>IF(DAY(NOW())&lt;M3,INDIRECT(ADDRESS(579,29))-INDIRECT(ADDRESS(574,30))+INDIRECT(ADDRESS(575,30))-INDIRECT(ADDRESS(578,30)),INDIRECT(ADDRESS(579,29))-INDIRECT(ADDRESS(574,30))+INDIRECT(ADDRESS(577,30))-INDIRECT(ADDRESS(578,30)))</f>
        <v>0</v>
      </c>
      <c r="AE579">
        <f>IF(DAY(NOW())&lt;M3,INDIRECT(ADDRESS(579,30))-INDIRECT(ADDRESS(574,31))+INDIRECT(ADDRESS(575,31))-INDIRECT(ADDRESS(578,31)),INDIRECT(ADDRESS(579,30))-INDIRECT(ADDRESS(574,31))+INDIRECT(ADDRESS(577,31))-INDIRECT(ADDRESS(578,31)))</f>
        <v>0</v>
      </c>
      <c r="AF579">
        <f>IF(DAY(NOW())&lt;M3,INDIRECT(ADDRESS(579,31))-INDIRECT(ADDRESS(574,32))+INDIRECT(ADDRESS(575,32))-INDIRECT(ADDRESS(578,32)),INDIRECT(ADDRESS(579,31))-INDIRECT(ADDRESS(574,32))+INDIRECT(ADDRESS(577,32))-INDIRECT(ADDRESS(578,32)))</f>
        <v>0</v>
      </c>
      <c r="AG579">
        <f>IF(DAY(NOW())&lt;M3,INDIRECT(ADDRESS(579,32))-INDIRECT(ADDRESS(574,33))+INDIRECT(ADDRESS(575,33))-INDIRECT(ADDRESS(578,33)),INDIRECT(ADDRESS(579,32))-INDIRECT(ADDRESS(574,33))+INDIRECT(ADDRESS(577,33))-INDIRECT(ADDRESS(578,33)))</f>
        <v>0</v>
      </c>
      <c r="AH579">
        <f>IF(DAY(NOW())&lt;M3,INDIRECT(ADDRESS(579,33))-INDIRECT(ADDRESS(574,34))+INDIRECT(ADDRESS(575,34))-INDIRECT(ADDRESS(578,34)),INDIRECT(ADDRESS(579,33))-INDIRECT(ADDRESS(574,34))+INDIRECT(ADDRESS(577,34))-INDIRECT(ADDRESS(578,34)))</f>
        <v>0</v>
      </c>
      <c r="AI579">
        <f>IF(DAY(NOW())&lt;M3,INDIRECT(ADDRESS(579,34))-INDIRECT(ADDRESS(574,35))+INDIRECT(ADDRESS(575,35))-INDIRECT(ADDRESS(578,35)),INDIRECT(ADDRESS(579,34))-INDIRECT(ADDRESS(574,35))+INDIRECT(ADDRESS(577,35))-INDIRECT(ADDRESS(578,35)))</f>
        <v>0</v>
      </c>
      <c r="AJ579">
        <f>IF(DAY(NOW())&lt;M3,INDIRECT(ADDRESS(579,35))-INDIRECT(ADDRESS(574,36))+INDIRECT(ADDRESS(575,36))-INDIRECT(ADDRESS(578,36)),INDIRECT(ADDRESS(579,35))-INDIRECT(ADDRESS(574,36))+INDIRECT(ADDRESS(577,36))-INDIRECT(ADDRESS(578,36)))</f>
        <v>0</v>
      </c>
      <c r="AK579">
        <f>IF(DAY(NOW())&lt;M3,INDIRECT(ADDRESS(579,36))-INDIRECT(ADDRESS(574,37))+INDIRECT(ADDRESS(575,37))-INDIRECT(ADDRESS(578,37)),INDIRECT(ADDRESS(579,36))-INDIRECT(ADDRESS(574,37))+INDIRECT(ADDRESS(577,37))-INDIRECT(ADDRESS(578,37)))</f>
        <v>0</v>
      </c>
      <c r="AL579">
        <f>IF(DAY(NOW())&lt;M3,INDIRECT(ADDRESS(579,37))-INDIRECT(ADDRESS(574,38))+INDIRECT(ADDRESS(575,38))-INDIRECT(ADDRESS(578,38)),INDIRECT(ADDRESS(579,37))-INDIRECT(ADDRESS(574,38))+INDIRECT(ADDRESS(577,38))-INDIRECT(ADDRESS(578,38)))</f>
        <v>0</v>
      </c>
      <c r="AM579">
        <f>IF(DAY(NOW())&lt;M3,INDIRECT(ADDRESS(579,38))-INDIRECT(ADDRESS(574,39))+INDIRECT(ADDRESS(575,39))-INDIRECT(ADDRESS(578,39)),INDIRECT(ADDRESS(579,38))-INDIRECT(ADDRESS(574,39))+INDIRECT(ADDRESS(577,39))-INDIRECT(ADDRESS(578,39)))</f>
        <v>0</v>
      </c>
      <c r="AN579">
        <f>IF(DAY(NOW())&lt;M3,INDIRECT(ADDRESS(579,39))-INDIRECT(ADDRESS(574,40))+INDIRECT(ADDRESS(575,40))-INDIRECT(ADDRESS(578,40)),INDIRECT(ADDRESS(579,39))-INDIRECT(ADDRESS(574,40))+INDIRECT(ADDRESS(577,40))-INDIRECT(ADDRESS(578,40)))</f>
        <v>0</v>
      </c>
      <c r="AO579">
        <f>IF(DAY(NOW())&lt;M3,INDIRECT(ADDRESS(579,40))-INDIRECT(ADDRESS(574,41))+INDIRECT(ADDRESS(575,41))-INDIRECT(ADDRESS(578,41)),INDIRECT(ADDRESS(579,40))-INDIRECT(ADDRESS(574,41))+INDIRECT(ADDRESS(577,41))-INDIRECT(ADDRESS(578,41)))</f>
        <v>0</v>
      </c>
      <c r="AP579">
        <f>IF(DAY(NOW())&lt;M3,INDIRECT(ADDRESS(579,41))-INDIRECT(ADDRESS(574,42))+INDIRECT(ADDRESS(575,42))-INDIRECT(ADDRESS(578,42)),INDIRECT(ADDRESS(579,41))-INDIRECT(ADDRESS(574,42))+INDIRECT(ADDRESS(577,42))-INDIRECT(ADDRESS(578,42)))</f>
        <v>0</v>
      </c>
      <c r="AQ579">
        <f>IF(DAY(NOW())&lt;M3,INDIRECT(ADDRESS(579,42))-INDIRECT(ADDRESS(574,43))+INDIRECT(ADDRESS(575,43))-INDIRECT(ADDRESS(578,43)),INDIRECT(ADDRESS(579,42))-INDIRECT(ADDRESS(574,43))+INDIRECT(ADDRESS(577,43))-INDIRECT(ADDRESS(578,43)))</f>
        <v>0</v>
      </c>
      <c r="AR579">
        <f>IF(DAY(NOW())&lt;M3,INDIRECT(ADDRESS(579,43))-INDIRECT(ADDRESS(574,44))+INDIRECT(ADDRESS(575,44))-INDIRECT(ADDRESS(578,44)),INDIRECT(ADDRESS(579,43))-INDIRECT(ADDRESS(574,44))+INDIRECT(ADDRESS(577,44))-INDIRECT(ADDRESS(578,44)))</f>
        <v>0</v>
      </c>
    </row>
    <row r="580" spans="1:76">
      <c r="A580" t="s">
        <v>31</v>
      </c>
      <c r="B580" t="s">
        <v>321</v>
      </c>
      <c r="C580" t="s">
        <v>322</v>
      </c>
      <c r="D580" t="s">
        <v>17</v>
      </c>
      <c r="E580">
        <v>4</v>
      </c>
      <c r="F580" t="s">
        <v>323</v>
      </c>
      <c r="K580" t="s">
        <v>308</v>
      </c>
      <c r="L580" t="s">
        <v>21</v>
      </c>
      <c r="M580">
        <f>sumifs(BOM!m:m,BOM!A:A,".1",BOM!B:B,"222-014500-000")</f>
        <v>0</v>
      </c>
      <c r="N580">
        <f>sumifs(BOM!n:n,BOM!A:A,".1",BOM!B:B,"222-014500-000")</f>
        <v>0</v>
      </c>
      <c r="O580">
        <f>sumifs(BOM!o:o,BOM!A:A,".1",BOM!B:B,"222-014500-000")</f>
        <v>0</v>
      </c>
      <c r="P580">
        <f>sumifs(BOM!p:p,BOM!A:A,".1",BOM!B:B,"222-014500-000")</f>
        <v>0</v>
      </c>
      <c r="Q580">
        <f>sumifs(BOM!q:q,BOM!A:A,".1",BOM!B:B,"222-014500-000")</f>
        <v>0</v>
      </c>
      <c r="R580">
        <f>sumifs(BOM!r:r,BOM!A:A,".1",BOM!B:B,"222-014500-000")</f>
        <v>0</v>
      </c>
      <c r="S580">
        <f>sumifs(BOM!s:s,BOM!A:A,".1",BOM!B:B,"222-014500-000")</f>
        <v>0</v>
      </c>
      <c r="T580">
        <f>sumifs(BOM!t:t,BOM!A:A,".1",BOM!B:B,"222-014500-000")</f>
        <v>0</v>
      </c>
      <c r="U580">
        <f>sumifs(BOM!u:u,BOM!A:A,".1",BOM!B:B,"222-014500-000")</f>
        <v>0</v>
      </c>
      <c r="V580">
        <f>sumifs(BOM!v:v,BOM!A:A,".1",BOM!B:B,"222-014500-000")</f>
        <v>0</v>
      </c>
      <c r="W580">
        <f>sumifs(BOM!w:w,BOM!A:A,".1",BOM!B:B,"222-014500-000")</f>
        <v>0</v>
      </c>
      <c r="X580">
        <f>sumifs(BOM!x:x,BOM!A:A,".1",BOM!B:B,"222-014500-000")</f>
        <v>0</v>
      </c>
      <c r="Y580">
        <f>sumifs(BOM!y:y,BOM!A:A,".1",BOM!B:B,"222-014500-000")</f>
        <v>0</v>
      </c>
      <c r="Z580">
        <f>sumifs(BOM!z:z,BOM!A:A,".1",BOM!B:B,"222-014500-000")</f>
        <v>0</v>
      </c>
      <c r="AA580">
        <f>sumifs(BOM!aa:aa,BOM!A:A,".1",BOM!B:B,"222-014500-000")</f>
        <v>0</v>
      </c>
      <c r="AB580">
        <f>sumifs(BOM!ab:ab,BOM!A:A,".1",BOM!B:B,"222-014500-000")</f>
        <v>0</v>
      </c>
      <c r="AC580">
        <f>sumifs(BOM!ac:ac,BOM!A:A,".1",BOM!B:B,"222-014500-000")</f>
        <v>0</v>
      </c>
      <c r="AD580">
        <f>sumifs(BOM!ad:ad,BOM!A:A,".1",BOM!B:B,"222-014500-000")</f>
        <v>0</v>
      </c>
      <c r="AE580">
        <f>sumifs(BOM!ae:ae,BOM!A:A,".1",BOM!B:B,"222-014500-000")</f>
        <v>0</v>
      </c>
      <c r="AF580">
        <f>sumifs(BOM!af:af,BOM!A:A,".1",BOM!B:B,"222-014500-000")</f>
        <v>0</v>
      </c>
      <c r="AG580">
        <f>sumifs(BOM!ag:ag,BOM!A:A,".1",BOM!B:B,"222-014500-000")</f>
        <v>0</v>
      </c>
      <c r="AH580">
        <f>sumifs(BOM!ah:ah,BOM!A:A,".1",BOM!B:B,"222-014500-000")</f>
        <v>0</v>
      </c>
      <c r="AI580">
        <f>sumifs(BOM!ai:ai,BOM!A:A,".1",BOM!B:B,"222-014500-000")</f>
        <v>0</v>
      </c>
      <c r="AJ580">
        <f>sumifs(BOM!aj:aj,BOM!A:A,".1",BOM!B:B,"222-014500-000")</f>
        <v>0</v>
      </c>
      <c r="AK580">
        <f>sumifs(BOM!ak:ak,BOM!A:A,".1",BOM!B:B,"222-014500-000")</f>
        <v>0</v>
      </c>
      <c r="AL580">
        <f>sumifs(BOM!al:al,BOM!A:A,".1",BOM!B:B,"222-014500-000")</f>
        <v>0</v>
      </c>
      <c r="AM580">
        <f>sumifs(BOM!am:am,BOM!A:A,".1",BOM!B:B,"222-014500-000")</f>
        <v>0</v>
      </c>
      <c r="AN580">
        <f>sumifs(BOM!an:an,BOM!A:A,".1",BOM!B:B,"222-014500-000")</f>
        <v>0</v>
      </c>
      <c r="AO580">
        <f>sumifs(BOM!ao:ao,BOM!A:A,".1",BOM!B:B,"222-014500-000")</f>
        <v>0</v>
      </c>
      <c r="AP580">
        <f>sumifs(BOM!ap:ap,BOM!A:A,".1",BOM!B:B,"222-014500-000")</f>
        <v>0</v>
      </c>
      <c r="AQ580">
        <f>sumifs(BOM!aq:aq,BOM!A:A,".1",BOM!B:B,"222-014500-000")</f>
        <v>0</v>
      </c>
      <c r="AR580">
        <f>sumifs(BOM!ar:ar,BOM!A:A,".1",BOM!B:B,"222-014500-000")</f>
        <v>0</v>
      </c>
      <c r="BX580">
        <f>sum(j580:an580)</f>
        <v>0</v>
      </c>
    </row>
    <row r="581" spans="1:76">
      <c r="A581" t="s">
        <v>31</v>
      </c>
      <c r="B581" t="s">
        <v>321</v>
      </c>
      <c r="C581" t="s">
        <v>322</v>
      </c>
      <c r="D581" t="s">
        <v>17</v>
      </c>
      <c r="E581">
        <v>4</v>
      </c>
      <c r="F581" t="s">
        <v>323</v>
      </c>
      <c r="K581" t="s">
        <v>308</v>
      </c>
      <c r="L581" t="s">
        <v>37</v>
      </c>
    </row>
    <row r="582" spans="1:76">
      <c r="L582" t="s">
        <v>662</v>
      </c>
    </row>
    <row r="583" spans="1:76">
      <c r="L583" t="s">
        <v>663</v>
      </c>
    </row>
    <row r="584" spans="1:76">
      <c r="L584" t="s">
        <v>664</v>
      </c>
    </row>
    <row r="585" spans="1:76">
      <c r="L585" t="s">
        <v>665</v>
      </c>
      <c r="M585">
        <f>IF(DAY(NOW())&lt;M3,INDIRECT(ADDRESS(585,7))-INDIRECT(ADDRESS(580,13))+INDIRECT(ADDRESS(581,13))-INDIRECT(ADDRESS(584,13)),INDIRECT(ADDRESS(585,7))-INDIRECT(ADDRESS(580,13))+INDIRECT(ADDRESS(583,13))-INDIRECT(ADDRESS(584,13)))</f>
        <v>0</v>
      </c>
      <c r="N585">
        <f>IF(DAY(NOW())&lt;M3,INDIRECT(ADDRESS(585,13))-INDIRECT(ADDRESS(580,14))+INDIRECT(ADDRESS(581,14))-INDIRECT(ADDRESS(584,14)),INDIRECT(ADDRESS(585,13))-INDIRECT(ADDRESS(580,14))+INDIRECT(ADDRESS(583,14))-INDIRECT(ADDRESS(584,14)))</f>
        <v>0</v>
      </c>
      <c r="O585">
        <f>IF(DAY(NOW())&lt;M3,INDIRECT(ADDRESS(585,14))-INDIRECT(ADDRESS(580,15))+INDIRECT(ADDRESS(581,15))-INDIRECT(ADDRESS(584,15)),INDIRECT(ADDRESS(585,14))-INDIRECT(ADDRESS(580,15))+INDIRECT(ADDRESS(583,15))-INDIRECT(ADDRESS(584,15)))</f>
        <v>0</v>
      </c>
      <c r="P585">
        <f>IF(DAY(NOW())&lt;M3,INDIRECT(ADDRESS(585,15))-INDIRECT(ADDRESS(580,16))+INDIRECT(ADDRESS(581,16))-INDIRECT(ADDRESS(584,16)),INDIRECT(ADDRESS(585,15))-INDIRECT(ADDRESS(580,16))+INDIRECT(ADDRESS(583,16))-INDIRECT(ADDRESS(584,16)))</f>
        <v>0</v>
      </c>
      <c r="Q585">
        <f>IF(DAY(NOW())&lt;M3,INDIRECT(ADDRESS(585,16))-INDIRECT(ADDRESS(580,17))+INDIRECT(ADDRESS(581,17))-INDIRECT(ADDRESS(584,17)),INDIRECT(ADDRESS(585,16))-INDIRECT(ADDRESS(580,17))+INDIRECT(ADDRESS(583,17))-INDIRECT(ADDRESS(584,17)))</f>
        <v>0</v>
      </c>
      <c r="R585">
        <f>IF(DAY(NOW())&lt;M3,INDIRECT(ADDRESS(585,17))-INDIRECT(ADDRESS(580,18))+INDIRECT(ADDRESS(581,18))-INDIRECT(ADDRESS(584,18)),INDIRECT(ADDRESS(585,17))-INDIRECT(ADDRESS(580,18))+INDIRECT(ADDRESS(583,18))-INDIRECT(ADDRESS(584,18)))</f>
        <v>0</v>
      </c>
      <c r="S585">
        <f>IF(DAY(NOW())&lt;M3,INDIRECT(ADDRESS(585,18))-INDIRECT(ADDRESS(580,19))+INDIRECT(ADDRESS(581,19))-INDIRECT(ADDRESS(584,19)),INDIRECT(ADDRESS(585,18))-INDIRECT(ADDRESS(580,19))+INDIRECT(ADDRESS(583,19))-INDIRECT(ADDRESS(584,19)))</f>
        <v>0</v>
      </c>
      <c r="T585">
        <f>IF(DAY(NOW())&lt;M3,INDIRECT(ADDRESS(585,19))-INDIRECT(ADDRESS(580,20))+INDIRECT(ADDRESS(581,20))-INDIRECT(ADDRESS(584,20)),INDIRECT(ADDRESS(585,19))-INDIRECT(ADDRESS(580,20))+INDIRECT(ADDRESS(583,20))-INDIRECT(ADDRESS(584,20)))</f>
        <v>0</v>
      </c>
      <c r="U585">
        <f>IF(DAY(NOW())&lt;M3,INDIRECT(ADDRESS(585,20))-INDIRECT(ADDRESS(580,21))+INDIRECT(ADDRESS(581,21))-INDIRECT(ADDRESS(584,21)),INDIRECT(ADDRESS(585,20))-INDIRECT(ADDRESS(580,21))+INDIRECT(ADDRESS(583,21))-INDIRECT(ADDRESS(584,21)))</f>
        <v>0</v>
      </c>
      <c r="V585">
        <f>IF(DAY(NOW())&lt;M3,INDIRECT(ADDRESS(585,21))-INDIRECT(ADDRESS(580,22))+INDIRECT(ADDRESS(581,22))-INDIRECT(ADDRESS(584,22)),INDIRECT(ADDRESS(585,21))-INDIRECT(ADDRESS(580,22))+INDIRECT(ADDRESS(583,22))-INDIRECT(ADDRESS(584,22)))</f>
        <v>0</v>
      </c>
      <c r="W585">
        <f>IF(DAY(NOW())&lt;M3,INDIRECT(ADDRESS(585,22))-INDIRECT(ADDRESS(580,23))+INDIRECT(ADDRESS(581,23))-INDIRECT(ADDRESS(584,23)),INDIRECT(ADDRESS(585,22))-INDIRECT(ADDRESS(580,23))+INDIRECT(ADDRESS(583,23))-INDIRECT(ADDRESS(584,23)))</f>
        <v>0</v>
      </c>
      <c r="X585">
        <f>IF(DAY(NOW())&lt;M3,INDIRECT(ADDRESS(585,23))-INDIRECT(ADDRESS(580,24))+INDIRECT(ADDRESS(581,24))-INDIRECT(ADDRESS(584,24)),INDIRECT(ADDRESS(585,23))-INDIRECT(ADDRESS(580,24))+INDIRECT(ADDRESS(583,24))-INDIRECT(ADDRESS(584,24)))</f>
        <v>0</v>
      </c>
      <c r="Y585">
        <f>IF(DAY(NOW())&lt;M3,INDIRECT(ADDRESS(585,24))-INDIRECT(ADDRESS(580,25))+INDIRECT(ADDRESS(581,25))-INDIRECT(ADDRESS(584,25)),INDIRECT(ADDRESS(585,24))-INDIRECT(ADDRESS(580,25))+INDIRECT(ADDRESS(583,25))-INDIRECT(ADDRESS(584,25)))</f>
        <v>0</v>
      </c>
      <c r="Z585">
        <f>IF(DAY(NOW())&lt;M3,INDIRECT(ADDRESS(585,25))-INDIRECT(ADDRESS(580,26))+INDIRECT(ADDRESS(581,26))-INDIRECT(ADDRESS(584,26)),INDIRECT(ADDRESS(585,25))-INDIRECT(ADDRESS(580,26))+INDIRECT(ADDRESS(583,26))-INDIRECT(ADDRESS(584,26)))</f>
        <v>0</v>
      </c>
      <c r="AA585">
        <f>IF(DAY(NOW())&lt;M3,INDIRECT(ADDRESS(585,26))-INDIRECT(ADDRESS(580,27))+INDIRECT(ADDRESS(581,27))-INDIRECT(ADDRESS(584,27)),INDIRECT(ADDRESS(585,26))-INDIRECT(ADDRESS(580,27))+INDIRECT(ADDRESS(583,27))-INDIRECT(ADDRESS(584,27)))</f>
        <v>0</v>
      </c>
      <c r="AB585">
        <f>IF(DAY(NOW())&lt;M3,INDIRECT(ADDRESS(585,27))-INDIRECT(ADDRESS(580,28))+INDIRECT(ADDRESS(581,28))-INDIRECT(ADDRESS(584,28)),INDIRECT(ADDRESS(585,27))-INDIRECT(ADDRESS(580,28))+INDIRECT(ADDRESS(583,28))-INDIRECT(ADDRESS(584,28)))</f>
        <v>0</v>
      </c>
      <c r="AC585">
        <f>IF(DAY(NOW())&lt;M3,INDIRECT(ADDRESS(585,28))-INDIRECT(ADDRESS(580,29))+INDIRECT(ADDRESS(581,29))-INDIRECT(ADDRESS(584,29)),INDIRECT(ADDRESS(585,28))-INDIRECT(ADDRESS(580,29))+INDIRECT(ADDRESS(583,29))-INDIRECT(ADDRESS(584,29)))</f>
        <v>0</v>
      </c>
      <c r="AD585">
        <f>IF(DAY(NOW())&lt;M3,INDIRECT(ADDRESS(585,29))-INDIRECT(ADDRESS(580,30))+INDIRECT(ADDRESS(581,30))-INDIRECT(ADDRESS(584,30)),INDIRECT(ADDRESS(585,29))-INDIRECT(ADDRESS(580,30))+INDIRECT(ADDRESS(583,30))-INDIRECT(ADDRESS(584,30)))</f>
        <v>0</v>
      </c>
      <c r="AE585">
        <f>IF(DAY(NOW())&lt;M3,INDIRECT(ADDRESS(585,30))-INDIRECT(ADDRESS(580,31))+INDIRECT(ADDRESS(581,31))-INDIRECT(ADDRESS(584,31)),INDIRECT(ADDRESS(585,30))-INDIRECT(ADDRESS(580,31))+INDIRECT(ADDRESS(583,31))-INDIRECT(ADDRESS(584,31)))</f>
        <v>0</v>
      </c>
      <c r="AF585">
        <f>IF(DAY(NOW())&lt;M3,INDIRECT(ADDRESS(585,31))-INDIRECT(ADDRESS(580,32))+INDIRECT(ADDRESS(581,32))-INDIRECT(ADDRESS(584,32)),INDIRECT(ADDRESS(585,31))-INDIRECT(ADDRESS(580,32))+INDIRECT(ADDRESS(583,32))-INDIRECT(ADDRESS(584,32)))</f>
        <v>0</v>
      </c>
      <c r="AG585">
        <f>IF(DAY(NOW())&lt;M3,INDIRECT(ADDRESS(585,32))-INDIRECT(ADDRESS(580,33))+INDIRECT(ADDRESS(581,33))-INDIRECT(ADDRESS(584,33)),INDIRECT(ADDRESS(585,32))-INDIRECT(ADDRESS(580,33))+INDIRECT(ADDRESS(583,33))-INDIRECT(ADDRESS(584,33)))</f>
        <v>0</v>
      </c>
      <c r="AH585">
        <f>IF(DAY(NOW())&lt;M3,INDIRECT(ADDRESS(585,33))-INDIRECT(ADDRESS(580,34))+INDIRECT(ADDRESS(581,34))-INDIRECT(ADDRESS(584,34)),INDIRECT(ADDRESS(585,33))-INDIRECT(ADDRESS(580,34))+INDIRECT(ADDRESS(583,34))-INDIRECT(ADDRESS(584,34)))</f>
        <v>0</v>
      </c>
      <c r="AI585">
        <f>IF(DAY(NOW())&lt;M3,INDIRECT(ADDRESS(585,34))-INDIRECT(ADDRESS(580,35))+INDIRECT(ADDRESS(581,35))-INDIRECT(ADDRESS(584,35)),INDIRECT(ADDRESS(585,34))-INDIRECT(ADDRESS(580,35))+INDIRECT(ADDRESS(583,35))-INDIRECT(ADDRESS(584,35)))</f>
        <v>0</v>
      </c>
      <c r="AJ585">
        <f>IF(DAY(NOW())&lt;M3,INDIRECT(ADDRESS(585,35))-INDIRECT(ADDRESS(580,36))+INDIRECT(ADDRESS(581,36))-INDIRECT(ADDRESS(584,36)),INDIRECT(ADDRESS(585,35))-INDIRECT(ADDRESS(580,36))+INDIRECT(ADDRESS(583,36))-INDIRECT(ADDRESS(584,36)))</f>
        <v>0</v>
      </c>
      <c r="AK585">
        <f>IF(DAY(NOW())&lt;M3,INDIRECT(ADDRESS(585,36))-INDIRECT(ADDRESS(580,37))+INDIRECT(ADDRESS(581,37))-INDIRECT(ADDRESS(584,37)),INDIRECT(ADDRESS(585,36))-INDIRECT(ADDRESS(580,37))+INDIRECT(ADDRESS(583,37))-INDIRECT(ADDRESS(584,37)))</f>
        <v>0</v>
      </c>
      <c r="AL585">
        <f>IF(DAY(NOW())&lt;M3,INDIRECT(ADDRESS(585,37))-INDIRECT(ADDRESS(580,38))+INDIRECT(ADDRESS(581,38))-INDIRECT(ADDRESS(584,38)),INDIRECT(ADDRESS(585,37))-INDIRECT(ADDRESS(580,38))+INDIRECT(ADDRESS(583,38))-INDIRECT(ADDRESS(584,38)))</f>
        <v>0</v>
      </c>
      <c r="AM585">
        <f>IF(DAY(NOW())&lt;M3,INDIRECT(ADDRESS(585,38))-INDIRECT(ADDRESS(580,39))+INDIRECT(ADDRESS(581,39))-INDIRECT(ADDRESS(584,39)),INDIRECT(ADDRESS(585,38))-INDIRECT(ADDRESS(580,39))+INDIRECT(ADDRESS(583,39))-INDIRECT(ADDRESS(584,39)))</f>
        <v>0</v>
      </c>
      <c r="AN585">
        <f>IF(DAY(NOW())&lt;M3,INDIRECT(ADDRESS(585,39))-INDIRECT(ADDRESS(580,40))+INDIRECT(ADDRESS(581,40))-INDIRECT(ADDRESS(584,40)),INDIRECT(ADDRESS(585,39))-INDIRECT(ADDRESS(580,40))+INDIRECT(ADDRESS(583,40))-INDIRECT(ADDRESS(584,40)))</f>
        <v>0</v>
      </c>
      <c r="AO585">
        <f>IF(DAY(NOW())&lt;M3,INDIRECT(ADDRESS(585,40))-INDIRECT(ADDRESS(580,41))+INDIRECT(ADDRESS(581,41))-INDIRECT(ADDRESS(584,41)),INDIRECT(ADDRESS(585,40))-INDIRECT(ADDRESS(580,41))+INDIRECT(ADDRESS(583,41))-INDIRECT(ADDRESS(584,41)))</f>
        <v>0</v>
      </c>
      <c r="AP585">
        <f>IF(DAY(NOW())&lt;M3,INDIRECT(ADDRESS(585,41))-INDIRECT(ADDRESS(580,42))+INDIRECT(ADDRESS(581,42))-INDIRECT(ADDRESS(584,42)),INDIRECT(ADDRESS(585,41))-INDIRECT(ADDRESS(580,42))+INDIRECT(ADDRESS(583,42))-INDIRECT(ADDRESS(584,42)))</f>
        <v>0</v>
      </c>
      <c r="AQ585">
        <f>IF(DAY(NOW())&lt;M3,INDIRECT(ADDRESS(585,42))-INDIRECT(ADDRESS(580,43))+INDIRECT(ADDRESS(581,43))-INDIRECT(ADDRESS(584,43)),INDIRECT(ADDRESS(585,42))-INDIRECT(ADDRESS(580,43))+INDIRECT(ADDRESS(583,43))-INDIRECT(ADDRESS(584,43)))</f>
        <v>0</v>
      </c>
      <c r="AR585">
        <f>IF(DAY(NOW())&lt;M3,INDIRECT(ADDRESS(585,43))-INDIRECT(ADDRESS(580,44))+INDIRECT(ADDRESS(581,44))-INDIRECT(ADDRESS(584,44)),INDIRECT(ADDRESS(585,43))-INDIRECT(ADDRESS(580,44))+INDIRECT(ADDRESS(583,44))-INDIRECT(ADDRESS(584,44)))</f>
        <v>0</v>
      </c>
    </row>
    <row r="586" spans="1:76">
      <c r="A586" t="s">
        <v>14</v>
      </c>
      <c r="B586" t="s">
        <v>73</v>
      </c>
      <c r="C586" t="s">
        <v>74</v>
      </c>
      <c r="D586" t="s">
        <v>17</v>
      </c>
      <c r="E586">
        <v>1</v>
      </c>
      <c r="F586" t="s">
        <v>75</v>
      </c>
      <c r="K586" t="s">
        <v>305</v>
      </c>
      <c r="L586" t="s">
        <v>21</v>
      </c>
      <c r="BX586">
        <f>sum(j586:an586)</f>
        <v>0</v>
      </c>
    </row>
    <row r="587" spans="1:76">
      <c r="A587" t="s">
        <v>14</v>
      </c>
      <c r="B587" t="s">
        <v>73</v>
      </c>
      <c r="C587" t="s">
        <v>74</v>
      </c>
      <c r="D587" t="s">
        <v>17</v>
      </c>
      <c r="E587">
        <v>1</v>
      </c>
      <c r="F587" t="s">
        <v>75</v>
      </c>
      <c r="K587" t="s">
        <v>305</v>
      </c>
      <c r="L587" t="s">
        <v>37</v>
      </c>
    </row>
    <row r="588" spans="1:76">
      <c r="L588" t="s">
        <v>662</v>
      </c>
    </row>
    <row r="589" spans="1:76">
      <c r="L589" t="s">
        <v>663</v>
      </c>
    </row>
    <row r="590" spans="1:76">
      <c r="L590" t="s">
        <v>664</v>
      </c>
    </row>
    <row r="591" spans="1:76">
      <c r="L591" t="s">
        <v>665</v>
      </c>
      <c r="M591">
        <f>IF(DAY(NOW())&lt;M3,INDIRECT(ADDRESS(591,7))-INDIRECT(ADDRESS(586,13))+INDIRECT(ADDRESS(587,13))-INDIRECT(ADDRESS(590,13)),INDIRECT(ADDRESS(591,7))-INDIRECT(ADDRESS(586,13))+INDIRECT(ADDRESS(589,13))-INDIRECT(ADDRESS(590,13)))</f>
        <v>0</v>
      </c>
      <c r="N591">
        <f>IF(DAY(NOW())&lt;M3,INDIRECT(ADDRESS(591,13))-INDIRECT(ADDRESS(586,14))+INDIRECT(ADDRESS(587,14))-INDIRECT(ADDRESS(590,14)),INDIRECT(ADDRESS(591,13))-INDIRECT(ADDRESS(586,14))+INDIRECT(ADDRESS(589,14))-INDIRECT(ADDRESS(590,14)))</f>
        <v>0</v>
      </c>
      <c r="O591">
        <f>IF(DAY(NOW())&lt;M3,INDIRECT(ADDRESS(591,14))-INDIRECT(ADDRESS(586,15))+INDIRECT(ADDRESS(587,15))-INDIRECT(ADDRESS(590,15)),INDIRECT(ADDRESS(591,14))-INDIRECT(ADDRESS(586,15))+INDIRECT(ADDRESS(589,15))-INDIRECT(ADDRESS(590,15)))</f>
        <v>0</v>
      </c>
      <c r="P591">
        <f>IF(DAY(NOW())&lt;M3,INDIRECT(ADDRESS(591,15))-INDIRECT(ADDRESS(586,16))+INDIRECT(ADDRESS(587,16))-INDIRECT(ADDRESS(590,16)),INDIRECT(ADDRESS(591,15))-INDIRECT(ADDRESS(586,16))+INDIRECT(ADDRESS(589,16))-INDIRECT(ADDRESS(590,16)))</f>
        <v>0</v>
      </c>
      <c r="Q591">
        <f>IF(DAY(NOW())&lt;M3,INDIRECT(ADDRESS(591,16))-INDIRECT(ADDRESS(586,17))+INDIRECT(ADDRESS(587,17))-INDIRECT(ADDRESS(590,17)),INDIRECT(ADDRESS(591,16))-INDIRECT(ADDRESS(586,17))+INDIRECT(ADDRESS(589,17))-INDIRECT(ADDRESS(590,17)))</f>
        <v>0</v>
      </c>
      <c r="R591">
        <f>IF(DAY(NOW())&lt;M3,INDIRECT(ADDRESS(591,17))-INDIRECT(ADDRESS(586,18))+INDIRECT(ADDRESS(587,18))-INDIRECT(ADDRESS(590,18)),INDIRECT(ADDRESS(591,17))-INDIRECT(ADDRESS(586,18))+INDIRECT(ADDRESS(589,18))-INDIRECT(ADDRESS(590,18)))</f>
        <v>0</v>
      </c>
      <c r="S591">
        <f>IF(DAY(NOW())&lt;M3,INDIRECT(ADDRESS(591,18))-INDIRECT(ADDRESS(586,19))+INDIRECT(ADDRESS(587,19))-INDIRECT(ADDRESS(590,19)),INDIRECT(ADDRESS(591,18))-INDIRECT(ADDRESS(586,19))+INDIRECT(ADDRESS(589,19))-INDIRECT(ADDRESS(590,19)))</f>
        <v>0</v>
      </c>
      <c r="T591">
        <f>IF(DAY(NOW())&lt;M3,INDIRECT(ADDRESS(591,19))-INDIRECT(ADDRESS(586,20))+INDIRECT(ADDRESS(587,20))-INDIRECT(ADDRESS(590,20)),INDIRECT(ADDRESS(591,19))-INDIRECT(ADDRESS(586,20))+INDIRECT(ADDRESS(589,20))-INDIRECT(ADDRESS(590,20)))</f>
        <v>0</v>
      </c>
      <c r="U591">
        <f>IF(DAY(NOW())&lt;M3,INDIRECT(ADDRESS(591,20))-INDIRECT(ADDRESS(586,21))+INDIRECT(ADDRESS(587,21))-INDIRECT(ADDRESS(590,21)),INDIRECT(ADDRESS(591,20))-INDIRECT(ADDRESS(586,21))+INDIRECT(ADDRESS(589,21))-INDIRECT(ADDRESS(590,21)))</f>
        <v>0</v>
      </c>
      <c r="V591">
        <f>IF(DAY(NOW())&lt;M3,INDIRECT(ADDRESS(591,21))-INDIRECT(ADDRESS(586,22))+INDIRECT(ADDRESS(587,22))-INDIRECT(ADDRESS(590,22)),INDIRECT(ADDRESS(591,21))-INDIRECT(ADDRESS(586,22))+INDIRECT(ADDRESS(589,22))-INDIRECT(ADDRESS(590,22)))</f>
        <v>0</v>
      </c>
      <c r="W591">
        <f>IF(DAY(NOW())&lt;M3,INDIRECT(ADDRESS(591,22))-INDIRECT(ADDRESS(586,23))+INDIRECT(ADDRESS(587,23))-INDIRECT(ADDRESS(590,23)),INDIRECT(ADDRESS(591,22))-INDIRECT(ADDRESS(586,23))+INDIRECT(ADDRESS(589,23))-INDIRECT(ADDRESS(590,23)))</f>
        <v>0</v>
      </c>
      <c r="X591">
        <f>IF(DAY(NOW())&lt;M3,INDIRECT(ADDRESS(591,23))-INDIRECT(ADDRESS(586,24))+INDIRECT(ADDRESS(587,24))-INDIRECT(ADDRESS(590,24)),INDIRECT(ADDRESS(591,23))-INDIRECT(ADDRESS(586,24))+INDIRECT(ADDRESS(589,24))-INDIRECT(ADDRESS(590,24)))</f>
        <v>0</v>
      </c>
      <c r="Y591">
        <f>IF(DAY(NOW())&lt;M3,INDIRECT(ADDRESS(591,24))-INDIRECT(ADDRESS(586,25))+INDIRECT(ADDRESS(587,25))-INDIRECT(ADDRESS(590,25)),INDIRECT(ADDRESS(591,24))-INDIRECT(ADDRESS(586,25))+INDIRECT(ADDRESS(589,25))-INDIRECT(ADDRESS(590,25)))</f>
        <v>0</v>
      </c>
      <c r="Z591">
        <f>IF(DAY(NOW())&lt;M3,INDIRECT(ADDRESS(591,25))-INDIRECT(ADDRESS(586,26))+INDIRECT(ADDRESS(587,26))-INDIRECT(ADDRESS(590,26)),INDIRECT(ADDRESS(591,25))-INDIRECT(ADDRESS(586,26))+INDIRECT(ADDRESS(589,26))-INDIRECT(ADDRESS(590,26)))</f>
        <v>0</v>
      </c>
      <c r="AA591">
        <f>IF(DAY(NOW())&lt;M3,INDIRECT(ADDRESS(591,26))-INDIRECT(ADDRESS(586,27))+INDIRECT(ADDRESS(587,27))-INDIRECT(ADDRESS(590,27)),INDIRECT(ADDRESS(591,26))-INDIRECT(ADDRESS(586,27))+INDIRECT(ADDRESS(589,27))-INDIRECT(ADDRESS(590,27)))</f>
        <v>0</v>
      </c>
      <c r="AB591">
        <f>IF(DAY(NOW())&lt;M3,INDIRECT(ADDRESS(591,27))-INDIRECT(ADDRESS(586,28))+INDIRECT(ADDRESS(587,28))-INDIRECT(ADDRESS(590,28)),INDIRECT(ADDRESS(591,27))-INDIRECT(ADDRESS(586,28))+INDIRECT(ADDRESS(589,28))-INDIRECT(ADDRESS(590,28)))</f>
        <v>0</v>
      </c>
      <c r="AC591">
        <f>IF(DAY(NOW())&lt;M3,INDIRECT(ADDRESS(591,28))-INDIRECT(ADDRESS(586,29))+INDIRECT(ADDRESS(587,29))-INDIRECT(ADDRESS(590,29)),INDIRECT(ADDRESS(591,28))-INDIRECT(ADDRESS(586,29))+INDIRECT(ADDRESS(589,29))-INDIRECT(ADDRESS(590,29)))</f>
        <v>0</v>
      </c>
      <c r="AD591">
        <f>IF(DAY(NOW())&lt;M3,INDIRECT(ADDRESS(591,29))-INDIRECT(ADDRESS(586,30))+INDIRECT(ADDRESS(587,30))-INDIRECT(ADDRESS(590,30)),INDIRECT(ADDRESS(591,29))-INDIRECT(ADDRESS(586,30))+INDIRECT(ADDRESS(589,30))-INDIRECT(ADDRESS(590,30)))</f>
        <v>0</v>
      </c>
      <c r="AE591">
        <f>IF(DAY(NOW())&lt;M3,INDIRECT(ADDRESS(591,30))-INDIRECT(ADDRESS(586,31))+INDIRECT(ADDRESS(587,31))-INDIRECT(ADDRESS(590,31)),INDIRECT(ADDRESS(591,30))-INDIRECT(ADDRESS(586,31))+INDIRECT(ADDRESS(589,31))-INDIRECT(ADDRESS(590,31)))</f>
        <v>0</v>
      </c>
      <c r="AF591">
        <f>IF(DAY(NOW())&lt;M3,INDIRECT(ADDRESS(591,31))-INDIRECT(ADDRESS(586,32))+INDIRECT(ADDRESS(587,32))-INDIRECT(ADDRESS(590,32)),INDIRECT(ADDRESS(591,31))-INDIRECT(ADDRESS(586,32))+INDIRECT(ADDRESS(589,32))-INDIRECT(ADDRESS(590,32)))</f>
        <v>0</v>
      </c>
      <c r="AG591">
        <f>IF(DAY(NOW())&lt;M3,INDIRECT(ADDRESS(591,32))-INDIRECT(ADDRESS(586,33))+INDIRECT(ADDRESS(587,33))-INDIRECT(ADDRESS(590,33)),INDIRECT(ADDRESS(591,32))-INDIRECT(ADDRESS(586,33))+INDIRECT(ADDRESS(589,33))-INDIRECT(ADDRESS(590,33)))</f>
        <v>0</v>
      </c>
      <c r="AH591">
        <f>IF(DAY(NOW())&lt;M3,INDIRECT(ADDRESS(591,33))-INDIRECT(ADDRESS(586,34))+INDIRECT(ADDRESS(587,34))-INDIRECT(ADDRESS(590,34)),INDIRECT(ADDRESS(591,33))-INDIRECT(ADDRESS(586,34))+INDIRECT(ADDRESS(589,34))-INDIRECT(ADDRESS(590,34)))</f>
        <v>0</v>
      </c>
      <c r="AI591">
        <f>IF(DAY(NOW())&lt;M3,INDIRECT(ADDRESS(591,34))-INDIRECT(ADDRESS(586,35))+INDIRECT(ADDRESS(587,35))-INDIRECT(ADDRESS(590,35)),INDIRECT(ADDRESS(591,34))-INDIRECT(ADDRESS(586,35))+INDIRECT(ADDRESS(589,35))-INDIRECT(ADDRESS(590,35)))</f>
        <v>0</v>
      </c>
      <c r="AJ591">
        <f>IF(DAY(NOW())&lt;M3,INDIRECT(ADDRESS(591,35))-INDIRECT(ADDRESS(586,36))+INDIRECT(ADDRESS(587,36))-INDIRECT(ADDRESS(590,36)),INDIRECT(ADDRESS(591,35))-INDIRECT(ADDRESS(586,36))+INDIRECT(ADDRESS(589,36))-INDIRECT(ADDRESS(590,36)))</f>
        <v>0</v>
      </c>
      <c r="AK591">
        <f>IF(DAY(NOW())&lt;M3,INDIRECT(ADDRESS(591,36))-INDIRECT(ADDRESS(586,37))+INDIRECT(ADDRESS(587,37))-INDIRECT(ADDRESS(590,37)),INDIRECT(ADDRESS(591,36))-INDIRECT(ADDRESS(586,37))+INDIRECT(ADDRESS(589,37))-INDIRECT(ADDRESS(590,37)))</f>
        <v>0</v>
      </c>
      <c r="AL591">
        <f>IF(DAY(NOW())&lt;M3,INDIRECT(ADDRESS(591,37))-INDIRECT(ADDRESS(586,38))+INDIRECT(ADDRESS(587,38))-INDIRECT(ADDRESS(590,38)),INDIRECT(ADDRESS(591,37))-INDIRECT(ADDRESS(586,38))+INDIRECT(ADDRESS(589,38))-INDIRECT(ADDRESS(590,38)))</f>
        <v>0</v>
      </c>
      <c r="AM591">
        <f>IF(DAY(NOW())&lt;M3,INDIRECT(ADDRESS(591,38))-INDIRECT(ADDRESS(586,39))+INDIRECT(ADDRESS(587,39))-INDIRECT(ADDRESS(590,39)),INDIRECT(ADDRESS(591,38))-INDIRECT(ADDRESS(586,39))+INDIRECT(ADDRESS(589,39))-INDIRECT(ADDRESS(590,39)))</f>
        <v>0</v>
      </c>
      <c r="AN591">
        <f>IF(DAY(NOW())&lt;M3,INDIRECT(ADDRESS(591,39))-INDIRECT(ADDRESS(586,40))+INDIRECT(ADDRESS(587,40))-INDIRECT(ADDRESS(590,40)),INDIRECT(ADDRESS(591,39))-INDIRECT(ADDRESS(586,40))+INDIRECT(ADDRESS(589,40))-INDIRECT(ADDRESS(590,40)))</f>
        <v>0</v>
      </c>
      <c r="AO591">
        <f>IF(DAY(NOW())&lt;M3,INDIRECT(ADDRESS(591,40))-INDIRECT(ADDRESS(586,41))+INDIRECT(ADDRESS(587,41))-INDIRECT(ADDRESS(590,41)),INDIRECT(ADDRESS(591,40))-INDIRECT(ADDRESS(586,41))+INDIRECT(ADDRESS(589,41))-INDIRECT(ADDRESS(590,41)))</f>
        <v>0</v>
      </c>
      <c r="AP591">
        <f>IF(DAY(NOW())&lt;M3,INDIRECT(ADDRESS(591,41))-INDIRECT(ADDRESS(586,42))+INDIRECT(ADDRESS(587,42))-INDIRECT(ADDRESS(590,42)),INDIRECT(ADDRESS(591,41))-INDIRECT(ADDRESS(586,42))+INDIRECT(ADDRESS(589,42))-INDIRECT(ADDRESS(590,42)))</f>
        <v>0</v>
      </c>
      <c r="AQ591">
        <f>IF(DAY(NOW())&lt;M3,INDIRECT(ADDRESS(591,42))-INDIRECT(ADDRESS(586,43))+INDIRECT(ADDRESS(587,43))-INDIRECT(ADDRESS(590,43)),INDIRECT(ADDRESS(591,42))-INDIRECT(ADDRESS(586,43))+INDIRECT(ADDRESS(589,43))-INDIRECT(ADDRESS(590,43)))</f>
        <v>0</v>
      </c>
      <c r="AR591">
        <f>IF(DAY(NOW())&lt;M3,INDIRECT(ADDRESS(591,43))-INDIRECT(ADDRESS(586,44))+INDIRECT(ADDRESS(587,44))-INDIRECT(ADDRESS(590,44)),INDIRECT(ADDRESS(591,43))-INDIRECT(ADDRESS(586,44))+INDIRECT(ADDRESS(589,44))-INDIRECT(ADDRESS(590,44)))</f>
        <v>0</v>
      </c>
    </row>
    <row r="592" spans="1:76">
      <c r="A592" t="s">
        <v>14</v>
      </c>
      <c r="B592" t="s">
        <v>76</v>
      </c>
      <c r="C592" t="s">
        <v>77</v>
      </c>
      <c r="D592" t="s">
        <v>256</v>
      </c>
      <c r="E592">
        <v>1</v>
      </c>
      <c r="F592" t="s">
        <v>78</v>
      </c>
      <c r="K592" t="s">
        <v>305</v>
      </c>
      <c r="L592" t="s">
        <v>21</v>
      </c>
      <c r="BX592">
        <f>sum(j592:an592)</f>
        <v>0</v>
      </c>
    </row>
    <row r="593" spans="1:76">
      <c r="A593" t="s">
        <v>14</v>
      </c>
      <c r="B593" t="s">
        <v>76</v>
      </c>
      <c r="C593" t="s">
        <v>77</v>
      </c>
      <c r="D593" t="s">
        <v>256</v>
      </c>
      <c r="E593">
        <v>1</v>
      </c>
      <c r="F593" t="s">
        <v>78</v>
      </c>
      <c r="K593" t="s">
        <v>305</v>
      </c>
      <c r="L593" t="s">
        <v>37</v>
      </c>
    </row>
    <row r="594" spans="1:76">
      <c r="L594" t="s">
        <v>662</v>
      </c>
    </row>
    <row r="595" spans="1:76">
      <c r="L595" t="s">
        <v>663</v>
      </c>
    </row>
    <row r="596" spans="1:76">
      <c r="L596" t="s">
        <v>664</v>
      </c>
    </row>
    <row r="597" spans="1:76">
      <c r="L597" t="s">
        <v>665</v>
      </c>
      <c r="M597">
        <f>IF(DAY(NOW())&lt;M3,INDIRECT(ADDRESS(597,7))-INDIRECT(ADDRESS(592,13))+INDIRECT(ADDRESS(593,13))-INDIRECT(ADDRESS(596,13)),INDIRECT(ADDRESS(597,7))-INDIRECT(ADDRESS(592,13))+INDIRECT(ADDRESS(595,13))-INDIRECT(ADDRESS(596,13)))</f>
        <v>0</v>
      </c>
      <c r="N597">
        <f>IF(DAY(NOW())&lt;M3,INDIRECT(ADDRESS(597,13))-INDIRECT(ADDRESS(592,14))+INDIRECT(ADDRESS(593,14))-INDIRECT(ADDRESS(596,14)),INDIRECT(ADDRESS(597,13))-INDIRECT(ADDRESS(592,14))+INDIRECT(ADDRESS(595,14))-INDIRECT(ADDRESS(596,14)))</f>
        <v>0</v>
      </c>
      <c r="O597">
        <f>IF(DAY(NOW())&lt;M3,INDIRECT(ADDRESS(597,14))-INDIRECT(ADDRESS(592,15))+INDIRECT(ADDRESS(593,15))-INDIRECT(ADDRESS(596,15)),INDIRECT(ADDRESS(597,14))-INDIRECT(ADDRESS(592,15))+INDIRECT(ADDRESS(595,15))-INDIRECT(ADDRESS(596,15)))</f>
        <v>0</v>
      </c>
      <c r="P597">
        <f>IF(DAY(NOW())&lt;M3,INDIRECT(ADDRESS(597,15))-INDIRECT(ADDRESS(592,16))+INDIRECT(ADDRESS(593,16))-INDIRECT(ADDRESS(596,16)),INDIRECT(ADDRESS(597,15))-INDIRECT(ADDRESS(592,16))+INDIRECT(ADDRESS(595,16))-INDIRECT(ADDRESS(596,16)))</f>
        <v>0</v>
      </c>
      <c r="Q597">
        <f>IF(DAY(NOW())&lt;M3,INDIRECT(ADDRESS(597,16))-INDIRECT(ADDRESS(592,17))+INDIRECT(ADDRESS(593,17))-INDIRECT(ADDRESS(596,17)),INDIRECT(ADDRESS(597,16))-INDIRECT(ADDRESS(592,17))+INDIRECT(ADDRESS(595,17))-INDIRECT(ADDRESS(596,17)))</f>
        <v>0</v>
      </c>
      <c r="R597">
        <f>IF(DAY(NOW())&lt;M3,INDIRECT(ADDRESS(597,17))-INDIRECT(ADDRESS(592,18))+INDIRECT(ADDRESS(593,18))-INDIRECT(ADDRESS(596,18)),INDIRECT(ADDRESS(597,17))-INDIRECT(ADDRESS(592,18))+INDIRECT(ADDRESS(595,18))-INDIRECT(ADDRESS(596,18)))</f>
        <v>0</v>
      </c>
      <c r="S597">
        <f>IF(DAY(NOW())&lt;M3,INDIRECT(ADDRESS(597,18))-INDIRECT(ADDRESS(592,19))+INDIRECT(ADDRESS(593,19))-INDIRECT(ADDRESS(596,19)),INDIRECT(ADDRESS(597,18))-INDIRECT(ADDRESS(592,19))+INDIRECT(ADDRESS(595,19))-INDIRECT(ADDRESS(596,19)))</f>
        <v>0</v>
      </c>
      <c r="T597">
        <f>IF(DAY(NOW())&lt;M3,INDIRECT(ADDRESS(597,19))-INDIRECT(ADDRESS(592,20))+INDIRECT(ADDRESS(593,20))-INDIRECT(ADDRESS(596,20)),INDIRECT(ADDRESS(597,19))-INDIRECT(ADDRESS(592,20))+INDIRECT(ADDRESS(595,20))-INDIRECT(ADDRESS(596,20)))</f>
        <v>0</v>
      </c>
      <c r="U597">
        <f>IF(DAY(NOW())&lt;M3,INDIRECT(ADDRESS(597,20))-INDIRECT(ADDRESS(592,21))+INDIRECT(ADDRESS(593,21))-INDIRECT(ADDRESS(596,21)),INDIRECT(ADDRESS(597,20))-INDIRECT(ADDRESS(592,21))+INDIRECT(ADDRESS(595,21))-INDIRECT(ADDRESS(596,21)))</f>
        <v>0</v>
      </c>
      <c r="V597">
        <f>IF(DAY(NOW())&lt;M3,INDIRECT(ADDRESS(597,21))-INDIRECT(ADDRESS(592,22))+INDIRECT(ADDRESS(593,22))-INDIRECT(ADDRESS(596,22)),INDIRECT(ADDRESS(597,21))-INDIRECT(ADDRESS(592,22))+INDIRECT(ADDRESS(595,22))-INDIRECT(ADDRESS(596,22)))</f>
        <v>0</v>
      </c>
      <c r="W597">
        <f>IF(DAY(NOW())&lt;M3,INDIRECT(ADDRESS(597,22))-INDIRECT(ADDRESS(592,23))+INDIRECT(ADDRESS(593,23))-INDIRECT(ADDRESS(596,23)),INDIRECT(ADDRESS(597,22))-INDIRECT(ADDRESS(592,23))+INDIRECT(ADDRESS(595,23))-INDIRECT(ADDRESS(596,23)))</f>
        <v>0</v>
      </c>
      <c r="X597">
        <f>IF(DAY(NOW())&lt;M3,INDIRECT(ADDRESS(597,23))-INDIRECT(ADDRESS(592,24))+INDIRECT(ADDRESS(593,24))-INDIRECT(ADDRESS(596,24)),INDIRECT(ADDRESS(597,23))-INDIRECT(ADDRESS(592,24))+INDIRECT(ADDRESS(595,24))-INDIRECT(ADDRESS(596,24)))</f>
        <v>0</v>
      </c>
      <c r="Y597">
        <f>IF(DAY(NOW())&lt;M3,INDIRECT(ADDRESS(597,24))-INDIRECT(ADDRESS(592,25))+INDIRECT(ADDRESS(593,25))-INDIRECT(ADDRESS(596,25)),INDIRECT(ADDRESS(597,24))-INDIRECT(ADDRESS(592,25))+INDIRECT(ADDRESS(595,25))-INDIRECT(ADDRESS(596,25)))</f>
        <v>0</v>
      </c>
      <c r="Z597">
        <f>IF(DAY(NOW())&lt;M3,INDIRECT(ADDRESS(597,25))-INDIRECT(ADDRESS(592,26))+INDIRECT(ADDRESS(593,26))-INDIRECT(ADDRESS(596,26)),INDIRECT(ADDRESS(597,25))-INDIRECT(ADDRESS(592,26))+INDIRECT(ADDRESS(595,26))-INDIRECT(ADDRESS(596,26)))</f>
        <v>0</v>
      </c>
      <c r="AA597">
        <f>IF(DAY(NOW())&lt;M3,INDIRECT(ADDRESS(597,26))-INDIRECT(ADDRESS(592,27))+INDIRECT(ADDRESS(593,27))-INDIRECT(ADDRESS(596,27)),INDIRECT(ADDRESS(597,26))-INDIRECT(ADDRESS(592,27))+INDIRECT(ADDRESS(595,27))-INDIRECT(ADDRESS(596,27)))</f>
        <v>0</v>
      </c>
      <c r="AB597">
        <f>IF(DAY(NOW())&lt;M3,INDIRECT(ADDRESS(597,27))-INDIRECT(ADDRESS(592,28))+INDIRECT(ADDRESS(593,28))-INDIRECT(ADDRESS(596,28)),INDIRECT(ADDRESS(597,27))-INDIRECT(ADDRESS(592,28))+INDIRECT(ADDRESS(595,28))-INDIRECT(ADDRESS(596,28)))</f>
        <v>0</v>
      </c>
      <c r="AC597">
        <f>IF(DAY(NOW())&lt;M3,INDIRECT(ADDRESS(597,28))-INDIRECT(ADDRESS(592,29))+INDIRECT(ADDRESS(593,29))-INDIRECT(ADDRESS(596,29)),INDIRECT(ADDRESS(597,28))-INDIRECT(ADDRESS(592,29))+INDIRECT(ADDRESS(595,29))-INDIRECT(ADDRESS(596,29)))</f>
        <v>0</v>
      </c>
      <c r="AD597">
        <f>IF(DAY(NOW())&lt;M3,INDIRECT(ADDRESS(597,29))-INDIRECT(ADDRESS(592,30))+INDIRECT(ADDRESS(593,30))-INDIRECT(ADDRESS(596,30)),INDIRECT(ADDRESS(597,29))-INDIRECT(ADDRESS(592,30))+INDIRECT(ADDRESS(595,30))-INDIRECT(ADDRESS(596,30)))</f>
        <v>0</v>
      </c>
      <c r="AE597">
        <f>IF(DAY(NOW())&lt;M3,INDIRECT(ADDRESS(597,30))-INDIRECT(ADDRESS(592,31))+INDIRECT(ADDRESS(593,31))-INDIRECT(ADDRESS(596,31)),INDIRECT(ADDRESS(597,30))-INDIRECT(ADDRESS(592,31))+INDIRECT(ADDRESS(595,31))-INDIRECT(ADDRESS(596,31)))</f>
        <v>0</v>
      </c>
      <c r="AF597">
        <f>IF(DAY(NOW())&lt;M3,INDIRECT(ADDRESS(597,31))-INDIRECT(ADDRESS(592,32))+INDIRECT(ADDRESS(593,32))-INDIRECT(ADDRESS(596,32)),INDIRECT(ADDRESS(597,31))-INDIRECT(ADDRESS(592,32))+INDIRECT(ADDRESS(595,32))-INDIRECT(ADDRESS(596,32)))</f>
        <v>0</v>
      </c>
      <c r="AG597">
        <f>IF(DAY(NOW())&lt;M3,INDIRECT(ADDRESS(597,32))-INDIRECT(ADDRESS(592,33))+INDIRECT(ADDRESS(593,33))-INDIRECT(ADDRESS(596,33)),INDIRECT(ADDRESS(597,32))-INDIRECT(ADDRESS(592,33))+INDIRECT(ADDRESS(595,33))-INDIRECT(ADDRESS(596,33)))</f>
        <v>0</v>
      </c>
      <c r="AH597">
        <f>IF(DAY(NOW())&lt;M3,INDIRECT(ADDRESS(597,33))-INDIRECT(ADDRESS(592,34))+INDIRECT(ADDRESS(593,34))-INDIRECT(ADDRESS(596,34)),INDIRECT(ADDRESS(597,33))-INDIRECT(ADDRESS(592,34))+INDIRECT(ADDRESS(595,34))-INDIRECT(ADDRESS(596,34)))</f>
        <v>0</v>
      </c>
      <c r="AI597">
        <f>IF(DAY(NOW())&lt;M3,INDIRECT(ADDRESS(597,34))-INDIRECT(ADDRESS(592,35))+INDIRECT(ADDRESS(593,35))-INDIRECT(ADDRESS(596,35)),INDIRECT(ADDRESS(597,34))-INDIRECT(ADDRESS(592,35))+INDIRECT(ADDRESS(595,35))-INDIRECT(ADDRESS(596,35)))</f>
        <v>0</v>
      </c>
      <c r="AJ597">
        <f>IF(DAY(NOW())&lt;M3,INDIRECT(ADDRESS(597,35))-INDIRECT(ADDRESS(592,36))+INDIRECT(ADDRESS(593,36))-INDIRECT(ADDRESS(596,36)),INDIRECT(ADDRESS(597,35))-INDIRECT(ADDRESS(592,36))+INDIRECT(ADDRESS(595,36))-INDIRECT(ADDRESS(596,36)))</f>
        <v>0</v>
      </c>
      <c r="AK597">
        <f>IF(DAY(NOW())&lt;M3,INDIRECT(ADDRESS(597,36))-INDIRECT(ADDRESS(592,37))+INDIRECT(ADDRESS(593,37))-INDIRECT(ADDRESS(596,37)),INDIRECT(ADDRESS(597,36))-INDIRECT(ADDRESS(592,37))+INDIRECT(ADDRESS(595,37))-INDIRECT(ADDRESS(596,37)))</f>
        <v>0</v>
      </c>
      <c r="AL597">
        <f>IF(DAY(NOW())&lt;M3,INDIRECT(ADDRESS(597,37))-INDIRECT(ADDRESS(592,38))+INDIRECT(ADDRESS(593,38))-INDIRECT(ADDRESS(596,38)),INDIRECT(ADDRESS(597,37))-INDIRECT(ADDRESS(592,38))+INDIRECT(ADDRESS(595,38))-INDIRECT(ADDRESS(596,38)))</f>
        <v>0</v>
      </c>
      <c r="AM597">
        <f>IF(DAY(NOW())&lt;M3,INDIRECT(ADDRESS(597,38))-INDIRECT(ADDRESS(592,39))+INDIRECT(ADDRESS(593,39))-INDIRECT(ADDRESS(596,39)),INDIRECT(ADDRESS(597,38))-INDIRECT(ADDRESS(592,39))+INDIRECT(ADDRESS(595,39))-INDIRECT(ADDRESS(596,39)))</f>
        <v>0</v>
      </c>
      <c r="AN597">
        <f>IF(DAY(NOW())&lt;M3,INDIRECT(ADDRESS(597,39))-INDIRECT(ADDRESS(592,40))+INDIRECT(ADDRESS(593,40))-INDIRECT(ADDRESS(596,40)),INDIRECT(ADDRESS(597,39))-INDIRECT(ADDRESS(592,40))+INDIRECT(ADDRESS(595,40))-INDIRECT(ADDRESS(596,40)))</f>
        <v>0</v>
      </c>
      <c r="AO597">
        <f>IF(DAY(NOW())&lt;M3,INDIRECT(ADDRESS(597,40))-INDIRECT(ADDRESS(592,41))+INDIRECT(ADDRESS(593,41))-INDIRECT(ADDRESS(596,41)),INDIRECT(ADDRESS(597,40))-INDIRECT(ADDRESS(592,41))+INDIRECT(ADDRESS(595,41))-INDIRECT(ADDRESS(596,41)))</f>
        <v>0</v>
      </c>
      <c r="AP597">
        <f>IF(DAY(NOW())&lt;M3,INDIRECT(ADDRESS(597,41))-INDIRECT(ADDRESS(592,42))+INDIRECT(ADDRESS(593,42))-INDIRECT(ADDRESS(596,42)),INDIRECT(ADDRESS(597,41))-INDIRECT(ADDRESS(592,42))+INDIRECT(ADDRESS(595,42))-INDIRECT(ADDRESS(596,42)))</f>
        <v>0</v>
      </c>
      <c r="AQ597">
        <f>IF(DAY(NOW())&lt;M3,INDIRECT(ADDRESS(597,42))-INDIRECT(ADDRESS(592,43))+INDIRECT(ADDRESS(593,43))-INDIRECT(ADDRESS(596,43)),INDIRECT(ADDRESS(597,42))-INDIRECT(ADDRESS(592,43))+INDIRECT(ADDRESS(595,43))-INDIRECT(ADDRESS(596,43)))</f>
        <v>0</v>
      </c>
      <c r="AR597">
        <f>IF(DAY(NOW())&lt;M3,INDIRECT(ADDRESS(597,43))-INDIRECT(ADDRESS(592,44))+INDIRECT(ADDRESS(593,44))-INDIRECT(ADDRESS(596,44)),INDIRECT(ADDRESS(597,43))-INDIRECT(ADDRESS(592,44))+INDIRECT(ADDRESS(595,44))-INDIRECT(ADDRESS(596,44)))</f>
        <v>0</v>
      </c>
    </row>
    <row r="598" spans="1:76">
      <c r="A598" t="s">
        <v>31</v>
      </c>
      <c r="B598" t="s">
        <v>324</v>
      </c>
      <c r="C598" t="s">
        <v>325</v>
      </c>
      <c r="D598" t="s">
        <v>256</v>
      </c>
      <c r="E598">
        <v>8</v>
      </c>
      <c r="F598" t="s">
        <v>326</v>
      </c>
      <c r="K598" t="s">
        <v>308</v>
      </c>
      <c r="L598" t="s">
        <v>21</v>
      </c>
      <c r="M598">
        <f>sumifs(BOM!m:m,BOM!A:A,".1",BOM!B:B,"232-005100-000")</f>
        <v>0</v>
      </c>
      <c r="N598">
        <f>sumifs(BOM!n:n,BOM!A:A,".1",BOM!B:B,"232-005100-000")</f>
        <v>0</v>
      </c>
      <c r="O598">
        <f>sumifs(BOM!o:o,BOM!A:A,".1",BOM!B:B,"232-005100-000")</f>
        <v>0</v>
      </c>
      <c r="P598">
        <f>sumifs(BOM!p:p,BOM!A:A,".1",BOM!B:B,"232-005100-000")</f>
        <v>0</v>
      </c>
      <c r="Q598">
        <f>sumifs(BOM!q:q,BOM!A:A,".1",BOM!B:B,"232-005100-000")</f>
        <v>0</v>
      </c>
      <c r="R598">
        <f>sumifs(BOM!r:r,BOM!A:A,".1",BOM!B:B,"232-005100-000")</f>
        <v>0</v>
      </c>
      <c r="S598">
        <f>sumifs(BOM!s:s,BOM!A:A,".1",BOM!B:B,"232-005100-000")</f>
        <v>0</v>
      </c>
      <c r="T598">
        <f>sumifs(BOM!t:t,BOM!A:A,".1",BOM!B:B,"232-005100-000")</f>
        <v>0</v>
      </c>
      <c r="U598">
        <f>sumifs(BOM!u:u,BOM!A:A,".1",BOM!B:B,"232-005100-000")</f>
        <v>0</v>
      </c>
      <c r="V598">
        <f>sumifs(BOM!v:v,BOM!A:A,".1",BOM!B:B,"232-005100-000")</f>
        <v>0</v>
      </c>
      <c r="W598">
        <f>sumifs(BOM!w:w,BOM!A:A,".1",BOM!B:B,"232-005100-000")</f>
        <v>0</v>
      </c>
      <c r="X598">
        <f>sumifs(BOM!x:x,BOM!A:A,".1",BOM!B:B,"232-005100-000")</f>
        <v>0</v>
      </c>
      <c r="Y598">
        <f>sumifs(BOM!y:y,BOM!A:A,".1",BOM!B:B,"232-005100-000")</f>
        <v>0</v>
      </c>
      <c r="Z598">
        <f>sumifs(BOM!z:z,BOM!A:A,".1",BOM!B:B,"232-005100-000")</f>
        <v>0</v>
      </c>
      <c r="AA598">
        <f>sumifs(BOM!aa:aa,BOM!A:A,".1",BOM!B:B,"232-005100-000")</f>
        <v>0</v>
      </c>
      <c r="AB598">
        <f>sumifs(BOM!ab:ab,BOM!A:A,".1",BOM!B:B,"232-005100-000")</f>
        <v>0</v>
      </c>
      <c r="AC598">
        <f>sumifs(BOM!ac:ac,BOM!A:A,".1",BOM!B:B,"232-005100-000")</f>
        <v>0</v>
      </c>
      <c r="AD598">
        <f>sumifs(BOM!ad:ad,BOM!A:A,".1",BOM!B:B,"232-005100-000")</f>
        <v>0</v>
      </c>
      <c r="AE598">
        <f>sumifs(BOM!ae:ae,BOM!A:A,".1",BOM!B:B,"232-005100-000")</f>
        <v>0</v>
      </c>
      <c r="AF598">
        <f>sumifs(BOM!af:af,BOM!A:A,".1",BOM!B:B,"232-005100-000")</f>
        <v>0</v>
      </c>
      <c r="AG598">
        <f>sumifs(BOM!ag:ag,BOM!A:A,".1",BOM!B:B,"232-005100-000")</f>
        <v>0</v>
      </c>
      <c r="AH598">
        <f>sumifs(BOM!ah:ah,BOM!A:A,".1",BOM!B:B,"232-005100-000")</f>
        <v>0</v>
      </c>
      <c r="AI598">
        <f>sumifs(BOM!ai:ai,BOM!A:A,".1",BOM!B:B,"232-005100-000")</f>
        <v>0</v>
      </c>
      <c r="AJ598">
        <f>sumifs(BOM!aj:aj,BOM!A:A,".1",BOM!B:B,"232-005100-000")</f>
        <v>0</v>
      </c>
      <c r="AK598">
        <f>sumifs(BOM!ak:ak,BOM!A:A,".1",BOM!B:B,"232-005100-000")</f>
        <v>0</v>
      </c>
      <c r="AL598">
        <f>sumifs(BOM!al:al,BOM!A:A,".1",BOM!B:B,"232-005100-000")</f>
        <v>0</v>
      </c>
      <c r="AM598">
        <f>sumifs(BOM!am:am,BOM!A:A,".1",BOM!B:B,"232-005100-000")</f>
        <v>0</v>
      </c>
      <c r="AN598">
        <f>sumifs(BOM!an:an,BOM!A:A,".1",BOM!B:B,"232-005100-000")</f>
        <v>0</v>
      </c>
      <c r="AO598">
        <f>sumifs(BOM!ao:ao,BOM!A:A,".1",BOM!B:B,"232-005100-000")</f>
        <v>0</v>
      </c>
      <c r="AP598">
        <f>sumifs(BOM!ap:ap,BOM!A:A,".1",BOM!B:B,"232-005100-000")</f>
        <v>0</v>
      </c>
      <c r="AQ598">
        <f>sumifs(BOM!aq:aq,BOM!A:A,".1",BOM!B:B,"232-005100-000")</f>
        <v>0</v>
      </c>
      <c r="AR598">
        <f>sumifs(BOM!ar:ar,BOM!A:A,".1",BOM!B:B,"232-005100-000")</f>
        <v>0</v>
      </c>
      <c r="BX598">
        <f>sum(j598:an598)</f>
        <v>0</v>
      </c>
    </row>
    <row r="599" spans="1:76">
      <c r="A599" t="s">
        <v>31</v>
      </c>
      <c r="B599" t="s">
        <v>324</v>
      </c>
      <c r="C599" t="s">
        <v>325</v>
      </c>
      <c r="D599" t="s">
        <v>256</v>
      </c>
      <c r="E599">
        <v>8</v>
      </c>
      <c r="F599" t="s">
        <v>326</v>
      </c>
      <c r="K599" t="s">
        <v>308</v>
      </c>
      <c r="L599" t="s">
        <v>37</v>
      </c>
    </row>
    <row r="600" spans="1:76">
      <c r="L600" t="s">
        <v>662</v>
      </c>
    </row>
    <row r="601" spans="1:76">
      <c r="L601" t="s">
        <v>663</v>
      </c>
    </row>
    <row r="602" spans="1:76">
      <c r="L602" t="s">
        <v>664</v>
      </c>
    </row>
    <row r="603" spans="1:76">
      <c r="L603" t="s">
        <v>665</v>
      </c>
      <c r="M603">
        <f>IF(DAY(NOW())&lt;M3,INDIRECT(ADDRESS(603,7))-INDIRECT(ADDRESS(598,13))+INDIRECT(ADDRESS(599,13))-INDIRECT(ADDRESS(602,13)),INDIRECT(ADDRESS(603,7))-INDIRECT(ADDRESS(598,13))+INDIRECT(ADDRESS(601,13))-INDIRECT(ADDRESS(602,13)))</f>
        <v>0</v>
      </c>
      <c r="N603">
        <f>IF(DAY(NOW())&lt;M3,INDIRECT(ADDRESS(603,13))-INDIRECT(ADDRESS(598,14))+INDIRECT(ADDRESS(599,14))-INDIRECT(ADDRESS(602,14)),INDIRECT(ADDRESS(603,13))-INDIRECT(ADDRESS(598,14))+INDIRECT(ADDRESS(601,14))-INDIRECT(ADDRESS(602,14)))</f>
        <v>0</v>
      </c>
      <c r="O603">
        <f>IF(DAY(NOW())&lt;M3,INDIRECT(ADDRESS(603,14))-INDIRECT(ADDRESS(598,15))+INDIRECT(ADDRESS(599,15))-INDIRECT(ADDRESS(602,15)),INDIRECT(ADDRESS(603,14))-INDIRECT(ADDRESS(598,15))+INDIRECT(ADDRESS(601,15))-INDIRECT(ADDRESS(602,15)))</f>
        <v>0</v>
      </c>
      <c r="P603">
        <f>IF(DAY(NOW())&lt;M3,INDIRECT(ADDRESS(603,15))-INDIRECT(ADDRESS(598,16))+INDIRECT(ADDRESS(599,16))-INDIRECT(ADDRESS(602,16)),INDIRECT(ADDRESS(603,15))-INDIRECT(ADDRESS(598,16))+INDIRECT(ADDRESS(601,16))-INDIRECT(ADDRESS(602,16)))</f>
        <v>0</v>
      </c>
      <c r="Q603">
        <f>IF(DAY(NOW())&lt;M3,INDIRECT(ADDRESS(603,16))-INDIRECT(ADDRESS(598,17))+INDIRECT(ADDRESS(599,17))-INDIRECT(ADDRESS(602,17)),INDIRECT(ADDRESS(603,16))-INDIRECT(ADDRESS(598,17))+INDIRECT(ADDRESS(601,17))-INDIRECT(ADDRESS(602,17)))</f>
        <v>0</v>
      </c>
      <c r="R603">
        <f>IF(DAY(NOW())&lt;M3,INDIRECT(ADDRESS(603,17))-INDIRECT(ADDRESS(598,18))+INDIRECT(ADDRESS(599,18))-INDIRECT(ADDRESS(602,18)),INDIRECT(ADDRESS(603,17))-INDIRECT(ADDRESS(598,18))+INDIRECT(ADDRESS(601,18))-INDIRECT(ADDRESS(602,18)))</f>
        <v>0</v>
      </c>
      <c r="S603">
        <f>IF(DAY(NOW())&lt;M3,INDIRECT(ADDRESS(603,18))-INDIRECT(ADDRESS(598,19))+INDIRECT(ADDRESS(599,19))-INDIRECT(ADDRESS(602,19)),INDIRECT(ADDRESS(603,18))-INDIRECT(ADDRESS(598,19))+INDIRECT(ADDRESS(601,19))-INDIRECT(ADDRESS(602,19)))</f>
        <v>0</v>
      </c>
      <c r="T603">
        <f>IF(DAY(NOW())&lt;M3,INDIRECT(ADDRESS(603,19))-INDIRECT(ADDRESS(598,20))+INDIRECT(ADDRESS(599,20))-INDIRECT(ADDRESS(602,20)),INDIRECT(ADDRESS(603,19))-INDIRECT(ADDRESS(598,20))+INDIRECT(ADDRESS(601,20))-INDIRECT(ADDRESS(602,20)))</f>
        <v>0</v>
      </c>
      <c r="U603">
        <f>IF(DAY(NOW())&lt;M3,INDIRECT(ADDRESS(603,20))-INDIRECT(ADDRESS(598,21))+INDIRECT(ADDRESS(599,21))-INDIRECT(ADDRESS(602,21)),INDIRECT(ADDRESS(603,20))-INDIRECT(ADDRESS(598,21))+INDIRECT(ADDRESS(601,21))-INDIRECT(ADDRESS(602,21)))</f>
        <v>0</v>
      </c>
      <c r="V603">
        <f>IF(DAY(NOW())&lt;M3,INDIRECT(ADDRESS(603,21))-INDIRECT(ADDRESS(598,22))+INDIRECT(ADDRESS(599,22))-INDIRECT(ADDRESS(602,22)),INDIRECT(ADDRESS(603,21))-INDIRECT(ADDRESS(598,22))+INDIRECT(ADDRESS(601,22))-INDIRECT(ADDRESS(602,22)))</f>
        <v>0</v>
      </c>
      <c r="W603">
        <f>IF(DAY(NOW())&lt;M3,INDIRECT(ADDRESS(603,22))-INDIRECT(ADDRESS(598,23))+INDIRECT(ADDRESS(599,23))-INDIRECT(ADDRESS(602,23)),INDIRECT(ADDRESS(603,22))-INDIRECT(ADDRESS(598,23))+INDIRECT(ADDRESS(601,23))-INDIRECT(ADDRESS(602,23)))</f>
        <v>0</v>
      </c>
      <c r="X603">
        <f>IF(DAY(NOW())&lt;M3,INDIRECT(ADDRESS(603,23))-INDIRECT(ADDRESS(598,24))+INDIRECT(ADDRESS(599,24))-INDIRECT(ADDRESS(602,24)),INDIRECT(ADDRESS(603,23))-INDIRECT(ADDRESS(598,24))+INDIRECT(ADDRESS(601,24))-INDIRECT(ADDRESS(602,24)))</f>
        <v>0</v>
      </c>
      <c r="Y603">
        <f>IF(DAY(NOW())&lt;M3,INDIRECT(ADDRESS(603,24))-INDIRECT(ADDRESS(598,25))+INDIRECT(ADDRESS(599,25))-INDIRECT(ADDRESS(602,25)),INDIRECT(ADDRESS(603,24))-INDIRECT(ADDRESS(598,25))+INDIRECT(ADDRESS(601,25))-INDIRECT(ADDRESS(602,25)))</f>
        <v>0</v>
      </c>
      <c r="Z603">
        <f>IF(DAY(NOW())&lt;M3,INDIRECT(ADDRESS(603,25))-INDIRECT(ADDRESS(598,26))+INDIRECT(ADDRESS(599,26))-INDIRECT(ADDRESS(602,26)),INDIRECT(ADDRESS(603,25))-INDIRECT(ADDRESS(598,26))+INDIRECT(ADDRESS(601,26))-INDIRECT(ADDRESS(602,26)))</f>
        <v>0</v>
      </c>
      <c r="AA603">
        <f>IF(DAY(NOW())&lt;M3,INDIRECT(ADDRESS(603,26))-INDIRECT(ADDRESS(598,27))+INDIRECT(ADDRESS(599,27))-INDIRECT(ADDRESS(602,27)),INDIRECT(ADDRESS(603,26))-INDIRECT(ADDRESS(598,27))+INDIRECT(ADDRESS(601,27))-INDIRECT(ADDRESS(602,27)))</f>
        <v>0</v>
      </c>
      <c r="AB603">
        <f>IF(DAY(NOW())&lt;M3,INDIRECT(ADDRESS(603,27))-INDIRECT(ADDRESS(598,28))+INDIRECT(ADDRESS(599,28))-INDIRECT(ADDRESS(602,28)),INDIRECT(ADDRESS(603,27))-INDIRECT(ADDRESS(598,28))+INDIRECT(ADDRESS(601,28))-INDIRECT(ADDRESS(602,28)))</f>
        <v>0</v>
      </c>
      <c r="AC603">
        <f>IF(DAY(NOW())&lt;M3,INDIRECT(ADDRESS(603,28))-INDIRECT(ADDRESS(598,29))+INDIRECT(ADDRESS(599,29))-INDIRECT(ADDRESS(602,29)),INDIRECT(ADDRESS(603,28))-INDIRECT(ADDRESS(598,29))+INDIRECT(ADDRESS(601,29))-INDIRECT(ADDRESS(602,29)))</f>
        <v>0</v>
      </c>
      <c r="AD603">
        <f>IF(DAY(NOW())&lt;M3,INDIRECT(ADDRESS(603,29))-INDIRECT(ADDRESS(598,30))+INDIRECT(ADDRESS(599,30))-INDIRECT(ADDRESS(602,30)),INDIRECT(ADDRESS(603,29))-INDIRECT(ADDRESS(598,30))+INDIRECT(ADDRESS(601,30))-INDIRECT(ADDRESS(602,30)))</f>
        <v>0</v>
      </c>
      <c r="AE603">
        <f>IF(DAY(NOW())&lt;M3,INDIRECT(ADDRESS(603,30))-INDIRECT(ADDRESS(598,31))+INDIRECT(ADDRESS(599,31))-INDIRECT(ADDRESS(602,31)),INDIRECT(ADDRESS(603,30))-INDIRECT(ADDRESS(598,31))+INDIRECT(ADDRESS(601,31))-INDIRECT(ADDRESS(602,31)))</f>
        <v>0</v>
      </c>
      <c r="AF603">
        <f>IF(DAY(NOW())&lt;M3,INDIRECT(ADDRESS(603,31))-INDIRECT(ADDRESS(598,32))+INDIRECT(ADDRESS(599,32))-INDIRECT(ADDRESS(602,32)),INDIRECT(ADDRESS(603,31))-INDIRECT(ADDRESS(598,32))+INDIRECT(ADDRESS(601,32))-INDIRECT(ADDRESS(602,32)))</f>
        <v>0</v>
      </c>
      <c r="AG603">
        <f>IF(DAY(NOW())&lt;M3,INDIRECT(ADDRESS(603,32))-INDIRECT(ADDRESS(598,33))+INDIRECT(ADDRESS(599,33))-INDIRECT(ADDRESS(602,33)),INDIRECT(ADDRESS(603,32))-INDIRECT(ADDRESS(598,33))+INDIRECT(ADDRESS(601,33))-INDIRECT(ADDRESS(602,33)))</f>
        <v>0</v>
      </c>
      <c r="AH603">
        <f>IF(DAY(NOW())&lt;M3,INDIRECT(ADDRESS(603,33))-INDIRECT(ADDRESS(598,34))+INDIRECT(ADDRESS(599,34))-INDIRECT(ADDRESS(602,34)),INDIRECT(ADDRESS(603,33))-INDIRECT(ADDRESS(598,34))+INDIRECT(ADDRESS(601,34))-INDIRECT(ADDRESS(602,34)))</f>
        <v>0</v>
      </c>
      <c r="AI603">
        <f>IF(DAY(NOW())&lt;M3,INDIRECT(ADDRESS(603,34))-INDIRECT(ADDRESS(598,35))+INDIRECT(ADDRESS(599,35))-INDIRECT(ADDRESS(602,35)),INDIRECT(ADDRESS(603,34))-INDIRECT(ADDRESS(598,35))+INDIRECT(ADDRESS(601,35))-INDIRECT(ADDRESS(602,35)))</f>
        <v>0</v>
      </c>
      <c r="AJ603">
        <f>IF(DAY(NOW())&lt;M3,INDIRECT(ADDRESS(603,35))-INDIRECT(ADDRESS(598,36))+INDIRECT(ADDRESS(599,36))-INDIRECT(ADDRESS(602,36)),INDIRECT(ADDRESS(603,35))-INDIRECT(ADDRESS(598,36))+INDIRECT(ADDRESS(601,36))-INDIRECT(ADDRESS(602,36)))</f>
        <v>0</v>
      </c>
      <c r="AK603">
        <f>IF(DAY(NOW())&lt;M3,INDIRECT(ADDRESS(603,36))-INDIRECT(ADDRESS(598,37))+INDIRECT(ADDRESS(599,37))-INDIRECT(ADDRESS(602,37)),INDIRECT(ADDRESS(603,36))-INDIRECT(ADDRESS(598,37))+INDIRECT(ADDRESS(601,37))-INDIRECT(ADDRESS(602,37)))</f>
        <v>0</v>
      </c>
      <c r="AL603">
        <f>IF(DAY(NOW())&lt;M3,INDIRECT(ADDRESS(603,37))-INDIRECT(ADDRESS(598,38))+INDIRECT(ADDRESS(599,38))-INDIRECT(ADDRESS(602,38)),INDIRECT(ADDRESS(603,37))-INDIRECT(ADDRESS(598,38))+INDIRECT(ADDRESS(601,38))-INDIRECT(ADDRESS(602,38)))</f>
        <v>0</v>
      </c>
      <c r="AM603">
        <f>IF(DAY(NOW())&lt;M3,INDIRECT(ADDRESS(603,38))-INDIRECT(ADDRESS(598,39))+INDIRECT(ADDRESS(599,39))-INDIRECT(ADDRESS(602,39)),INDIRECT(ADDRESS(603,38))-INDIRECT(ADDRESS(598,39))+INDIRECT(ADDRESS(601,39))-INDIRECT(ADDRESS(602,39)))</f>
        <v>0</v>
      </c>
      <c r="AN603">
        <f>IF(DAY(NOW())&lt;M3,INDIRECT(ADDRESS(603,39))-INDIRECT(ADDRESS(598,40))+INDIRECT(ADDRESS(599,40))-INDIRECT(ADDRESS(602,40)),INDIRECT(ADDRESS(603,39))-INDIRECT(ADDRESS(598,40))+INDIRECT(ADDRESS(601,40))-INDIRECT(ADDRESS(602,40)))</f>
        <v>0</v>
      </c>
      <c r="AO603">
        <f>IF(DAY(NOW())&lt;M3,INDIRECT(ADDRESS(603,40))-INDIRECT(ADDRESS(598,41))+INDIRECT(ADDRESS(599,41))-INDIRECT(ADDRESS(602,41)),INDIRECT(ADDRESS(603,40))-INDIRECT(ADDRESS(598,41))+INDIRECT(ADDRESS(601,41))-INDIRECT(ADDRESS(602,41)))</f>
        <v>0</v>
      </c>
      <c r="AP603">
        <f>IF(DAY(NOW())&lt;M3,INDIRECT(ADDRESS(603,41))-INDIRECT(ADDRESS(598,42))+INDIRECT(ADDRESS(599,42))-INDIRECT(ADDRESS(602,42)),INDIRECT(ADDRESS(603,41))-INDIRECT(ADDRESS(598,42))+INDIRECT(ADDRESS(601,42))-INDIRECT(ADDRESS(602,42)))</f>
        <v>0</v>
      </c>
      <c r="AQ603">
        <f>IF(DAY(NOW())&lt;M3,INDIRECT(ADDRESS(603,42))-INDIRECT(ADDRESS(598,43))+INDIRECT(ADDRESS(599,43))-INDIRECT(ADDRESS(602,43)),INDIRECT(ADDRESS(603,42))-INDIRECT(ADDRESS(598,43))+INDIRECT(ADDRESS(601,43))-INDIRECT(ADDRESS(602,43)))</f>
        <v>0</v>
      </c>
      <c r="AR603">
        <f>IF(DAY(NOW())&lt;M3,INDIRECT(ADDRESS(603,43))-INDIRECT(ADDRESS(598,44))+INDIRECT(ADDRESS(599,44))-INDIRECT(ADDRESS(602,44)),INDIRECT(ADDRESS(603,43))-INDIRECT(ADDRESS(598,44))+INDIRECT(ADDRESS(601,44))-INDIRECT(ADDRESS(602,44)))</f>
        <v>0</v>
      </c>
    </row>
    <row r="604" spans="1:76">
      <c r="A604" t="s">
        <v>31</v>
      </c>
      <c r="B604" t="s">
        <v>327</v>
      </c>
      <c r="C604" t="s">
        <v>328</v>
      </c>
      <c r="D604" t="s">
        <v>329</v>
      </c>
      <c r="E604">
        <v>1</v>
      </c>
      <c r="F604" t="s">
        <v>330</v>
      </c>
      <c r="K604" t="s">
        <v>308</v>
      </c>
      <c r="L604" t="s">
        <v>21</v>
      </c>
      <c r="M604">
        <f>sumifs(BOM!m:m,BOM!A:A,".1",BOM!B:B,"232-006600-000")</f>
        <v>0</v>
      </c>
      <c r="N604">
        <f>sumifs(BOM!n:n,BOM!A:A,".1",BOM!B:B,"232-006600-000")</f>
        <v>0</v>
      </c>
      <c r="O604">
        <f>sumifs(BOM!o:o,BOM!A:A,".1",BOM!B:B,"232-006600-000")</f>
        <v>0</v>
      </c>
      <c r="P604">
        <f>sumifs(BOM!p:p,BOM!A:A,".1",BOM!B:B,"232-006600-000")</f>
        <v>0</v>
      </c>
      <c r="Q604">
        <f>sumifs(BOM!q:q,BOM!A:A,".1",BOM!B:B,"232-006600-000")</f>
        <v>0</v>
      </c>
      <c r="R604">
        <f>sumifs(BOM!r:r,BOM!A:A,".1",BOM!B:B,"232-006600-000")</f>
        <v>0</v>
      </c>
      <c r="S604">
        <f>sumifs(BOM!s:s,BOM!A:A,".1",BOM!B:B,"232-006600-000")</f>
        <v>0</v>
      </c>
      <c r="T604">
        <f>sumifs(BOM!t:t,BOM!A:A,".1",BOM!B:B,"232-006600-000")</f>
        <v>0</v>
      </c>
      <c r="U604">
        <f>sumifs(BOM!u:u,BOM!A:A,".1",BOM!B:B,"232-006600-000")</f>
        <v>0</v>
      </c>
      <c r="V604">
        <f>sumifs(BOM!v:v,BOM!A:A,".1",BOM!B:B,"232-006600-000")</f>
        <v>0</v>
      </c>
      <c r="W604">
        <f>sumifs(BOM!w:w,BOM!A:A,".1",BOM!B:B,"232-006600-000")</f>
        <v>0</v>
      </c>
      <c r="X604">
        <f>sumifs(BOM!x:x,BOM!A:A,".1",BOM!B:B,"232-006600-000")</f>
        <v>0</v>
      </c>
      <c r="Y604">
        <f>sumifs(BOM!y:y,BOM!A:A,".1",BOM!B:B,"232-006600-000")</f>
        <v>0</v>
      </c>
      <c r="Z604">
        <f>sumifs(BOM!z:z,BOM!A:A,".1",BOM!B:B,"232-006600-000")</f>
        <v>0</v>
      </c>
      <c r="AA604">
        <f>sumifs(BOM!aa:aa,BOM!A:A,".1",BOM!B:B,"232-006600-000")</f>
        <v>0</v>
      </c>
      <c r="AB604">
        <f>sumifs(BOM!ab:ab,BOM!A:A,".1",BOM!B:B,"232-006600-000")</f>
        <v>0</v>
      </c>
      <c r="AC604">
        <f>sumifs(BOM!ac:ac,BOM!A:A,".1",BOM!B:B,"232-006600-000")</f>
        <v>0</v>
      </c>
      <c r="AD604">
        <f>sumifs(BOM!ad:ad,BOM!A:A,".1",BOM!B:B,"232-006600-000")</f>
        <v>0</v>
      </c>
      <c r="AE604">
        <f>sumifs(BOM!ae:ae,BOM!A:A,".1",BOM!B:B,"232-006600-000")</f>
        <v>0</v>
      </c>
      <c r="AF604">
        <f>sumifs(BOM!af:af,BOM!A:A,".1",BOM!B:B,"232-006600-000")</f>
        <v>0</v>
      </c>
      <c r="AG604">
        <f>sumifs(BOM!ag:ag,BOM!A:A,".1",BOM!B:B,"232-006600-000")</f>
        <v>0</v>
      </c>
      <c r="AH604">
        <f>sumifs(BOM!ah:ah,BOM!A:A,".1",BOM!B:B,"232-006600-000")</f>
        <v>0</v>
      </c>
      <c r="AI604">
        <f>sumifs(BOM!ai:ai,BOM!A:A,".1",BOM!B:B,"232-006600-000")</f>
        <v>0</v>
      </c>
      <c r="AJ604">
        <f>sumifs(BOM!aj:aj,BOM!A:A,".1",BOM!B:B,"232-006600-000")</f>
        <v>0</v>
      </c>
      <c r="AK604">
        <f>sumifs(BOM!ak:ak,BOM!A:A,".1",BOM!B:B,"232-006600-000")</f>
        <v>0</v>
      </c>
      <c r="AL604">
        <f>sumifs(BOM!al:al,BOM!A:A,".1",BOM!B:B,"232-006600-000")</f>
        <v>0</v>
      </c>
      <c r="AM604">
        <f>sumifs(BOM!am:am,BOM!A:A,".1",BOM!B:B,"232-006600-000")</f>
        <v>0</v>
      </c>
      <c r="AN604">
        <f>sumifs(BOM!an:an,BOM!A:A,".1",BOM!B:B,"232-006600-000")</f>
        <v>0</v>
      </c>
      <c r="AO604">
        <f>sumifs(BOM!ao:ao,BOM!A:A,".1",BOM!B:B,"232-006600-000")</f>
        <v>0</v>
      </c>
      <c r="AP604">
        <f>sumifs(BOM!ap:ap,BOM!A:A,".1",BOM!B:B,"232-006600-000")</f>
        <v>0</v>
      </c>
      <c r="AQ604">
        <f>sumifs(BOM!aq:aq,BOM!A:A,".1",BOM!B:B,"232-006600-000")</f>
        <v>0</v>
      </c>
      <c r="AR604">
        <f>sumifs(BOM!ar:ar,BOM!A:A,".1",BOM!B:B,"232-006600-000")</f>
        <v>0</v>
      </c>
      <c r="BX604">
        <f>sum(j604:an604)</f>
        <v>0</v>
      </c>
    </row>
    <row r="605" spans="1:76">
      <c r="A605" t="s">
        <v>31</v>
      </c>
      <c r="B605" t="s">
        <v>327</v>
      </c>
      <c r="C605" t="s">
        <v>328</v>
      </c>
      <c r="D605" t="s">
        <v>329</v>
      </c>
      <c r="E605">
        <v>1</v>
      </c>
      <c r="F605" t="s">
        <v>330</v>
      </c>
      <c r="K605" t="s">
        <v>308</v>
      </c>
      <c r="L605" t="s">
        <v>37</v>
      </c>
    </row>
    <row r="606" spans="1:76">
      <c r="L606" t="s">
        <v>662</v>
      </c>
    </row>
    <row r="607" spans="1:76">
      <c r="L607" t="s">
        <v>663</v>
      </c>
    </row>
    <row r="608" spans="1:76">
      <c r="L608" t="s">
        <v>664</v>
      </c>
    </row>
    <row r="609" spans="1:76">
      <c r="L609" t="s">
        <v>665</v>
      </c>
      <c r="M609">
        <f>IF(DAY(NOW())&lt;M3,INDIRECT(ADDRESS(609,7))-INDIRECT(ADDRESS(604,13))+INDIRECT(ADDRESS(605,13))-INDIRECT(ADDRESS(608,13)),INDIRECT(ADDRESS(609,7))-INDIRECT(ADDRESS(604,13))+INDIRECT(ADDRESS(607,13))-INDIRECT(ADDRESS(608,13)))</f>
        <v>0</v>
      </c>
      <c r="N609">
        <f>IF(DAY(NOW())&lt;M3,INDIRECT(ADDRESS(609,13))-INDIRECT(ADDRESS(604,14))+INDIRECT(ADDRESS(605,14))-INDIRECT(ADDRESS(608,14)),INDIRECT(ADDRESS(609,13))-INDIRECT(ADDRESS(604,14))+INDIRECT(ADDRESS(607,14))-INDIRECT(ADDRESS(608,14)))</f>
        <v>0</v>
      </c>
      <c r="O609">
        <f>IF(DAY(NOW())&lt;M3,INDIRECT(ADDRESS(609,14))-INDIRECT(ADDRESS(604,15))+INDIRECT(ADDRESS(605,15))-INDIRECT(ADDRESS(608,15)),INDIRECT(ADDRESS(609,14))-INDIRECT(ADDRESS(604,15))+INDIRECT(ADDRESS(607,15))-INDIRECT(ADDRESS(608,15)))</f>
        <v>0</v>
      </c>
      <c r="P609">
        <f>IF(DAY(NOW())&lt;M3,INDIRECT(ADDRESS(609,15))-INDIRECT(ADDRESS(604,16))+INDIRECT(ADDRESS(605,16))-INDIRECT(ADDRESS(608,16)),INDIRECT(ADDRESS(609,15))-INDIRECT(ADDRESS(604,16))+INDIRECT(ADDRESS(607,16))-INDIRECT(ADDRESS(608,16)))</f>
        <v>0</v>
      </c>
      <c r="Q609">
        <f>IF(DAY(NOW())&lt;M3,INDIRECT(ADDRESS(609,16))-INDIRECT(ADDRESS(604,17))+INDIRECT(ADDRESS(605,17))-INDIRECT(ADDRESS(608,17)),INDIRECT(ADDRESS(609,16))-INDIRECT(ADDRESS(604,17))+INDIRECT(ADDRESS(607,17))-INDIRECT(ADDRESS(608,17)))</f>
        <v>0</v>
      </c>
      <c r="R609">
        <f>IF(DAY(NOW())&lt;M3,INDIRECT(ADDRESS(609,17))-INDIRECT(ADDRESS(604,18))+INDIRECT(ADDRESS(605,18))-INDIRECT(ADDRESS(608,18)),INDIRECT(ADDRESS(609,17))-INDIRECT(ADDRESS(604,18))+INDIRECT(ADDRESS(607,18))-INDIRECT(ADDRESS(608,18)))</f>
        <v>0</v>
      </c>
      <c r="S609">
        <f>IF(DAY(NOW())&lt;M3,INDIRECT(ADDRESS(609,18))-INDIRECT(ADDRESS(604,19))+INDIRECT(ADDRESS(605,19))-INDIRECT(ADDRESS(608,19)),INDIRECT(ADDRESS(609,18))-INDIRECT(ADDRESS(604,19))+INDIRECT(ADDRESS(607,19))-INDIRECT(ADDRESS(608,19)))</f>
        <v>0</v>
      </c>
      <c r="T609">
        <f>IF(DAY(NOW())&lt;M3,INDIRECT(ADDRESS(609,19))-INDIRECT(ADDRESS(604,20))+INDIRECT(ADDRESS(605,20))-INDIRECT(ADDRESS(608,20)),INDIRECT(ADDRESS(609,19))-INDIRECT(ADDRESS(604,20))+INDIRECT(ADDRESS(607,20))-INDIRECT(ADDRESS(608,20)))</f>
        <v>0</v>
      </c>
      <c r="U609">
        <f>IF(DAY(NOW())&lt;M3,INDIRECT(ADDRESS(609,20))-INDIRECT(ADDRESS(604,21))+INDIRECT(ADDRESS(605,21))-INDIRECT(ADDRESS(608,21)),INDIRECT(ADDRESS(609,20))-INDIRECT(ADDRESS(604,21))+INDIRECT(ADDRESS(607,21))-INDIRECT(ADDRESS(608,21)))</f>
        <v>0</v>
      </c>
      <c r="V609">
        <f>IF(DAY(NOW())&lt;M3,INDIRECT(ADDRESS(609,21))-INDIRECT(ADDRESS(604,22))+INDIRECT(ADDRESS(605,22))-INDIRECT(ADDRESS(608,22)),INDIRECT(ADDRESS(609,21))-INDIRECT(ADDRESS(604,22))+INDIRECT(ADDRESS(607,22))-INDIRECT(ADDRESS(608,22)))</f>
        <v>0</v>
      </c>
      <c r="W609">
        <f>IF(DAY(NOW())&lt;M3,INDIRECT(ADDRESS(609,22))-INDIRECT(ADDRESS(604,23))+INDIRECT(ADDRESS(605,23))-INDIRECT(ADDRESS(608,23)),INDIRECT(ADDRESS(609,22))-INDIRECT(ADDRESS(604,23))+INDIRECT(ADDRESS(607,23))-INDIRECT(ADDRESS(608,23)))</f>
        <v>0</v>
      </c>
      <c r="X609">
        <f>IF(DAY(NOW())&lt;M3,INDIRECT(ADDRESS(609,23))-INDIRECT(ADDRESS(604,24))+INDIRECT(ADDRESS(605,24))-INDIRECT(ADDRESS(608,24)),INDIRECT(ADDRESS(609,23))-INDIRECT(ADDRESS(604,24))+INDIRECT(ADDRESS(607,24))-INDIRECT(ADDRESS(608,24)))</f>
        <v>0</v>
      </c>
      <c r="Y609">
        <f>IF(DAY(NOW())&lt;M3,INDIRECT(ADDRESS(609,24))-INDIRECT(ADDRESS(604,25))+INDIRECT(ADDRESS(605,25))-INDIRECT(ADDRESS(608,25)),INDIRECT(ADDRESS(609,24))-INDIRECT(ADDRESS(604,25))+INDIRECT(ADDRESS(607,25))-INDIRECT(ADDRESS(608,25)))</f>
        <v>0</v>
      </c>
      <c r="Z609">
        <f>IF(DAY(NOW())&lt;M3,INDIRECT(ADDRESS(609,25))-INDIRECT(ADDRESS(604,26))+INDIRECT(ADDRESS(605,26))-INDIRECT(ADDRESS(608,26)),INDIRECT(ADDRESS(609,25))-INDIRECT(ADDRESS(604,26))+INDIRECT(ADDRESS(607,26))-INDIRECT(ADDRESS(608,26)))</f>
        <v>0</v>
      </c>
      <c r="AA609">
        <f>IF(DAY(NOW())&lt;M3,INDIRECT(ADDRESS(609,26))-INDIRECT(ADDRESS(604,27))+INDIRECT(ADDRESS(605,27))-INDIRECT(ADDRESS(608,27)),INDIRECT(ADDRESS(609,26))-INDIRECT(ADDRESS(604,27))+INDIRECT(ADDRESS(607,27))-INDIRECT(ADDRESS(608,27)))</f>
        <v>0</v>
      </c>
      <c r="AB609">
        <f>IF(DAY(NOW())&lt;M3,INDIRECT(ADDRESS(609,27))-INDIRECT(ADDRESS(604,28))+INDIRECT(ADDRESS(605,28))-INDIRECT(ADDRESS(608,28)),INDIRECT(ADDRESS(609,27))-INDIRECT(ADDRESS(604,28))+INDIRECT(ADDRESS(607,28))-INDIRECT(ADDRESS(608,28)))</f>
        <v>0</v>
      </c>
      <c r="AC609">
        <f>IF(DAY(NOW())&lt;M3,INDIRECT(ADDRESS(609,28))-INDIRECT(ADDRESS(604,29))+INDIRECT(ADDRESS(605,29))-INDIRECT(ADDRESS(608,29)),INDIRECT(ADDRESS(609,28))-INDIRECT(ADDRESS(604,29))+INDIRECT(ADDRESS(607,29))-INDIRECT(ADDRESS(608,29)))</f>
        <v>0</v>
      </c>
      <c r="AD609">
        <f>IF(DAY(NOW())&lt;M3,INDIRECT(ADDRESS(609,29))-INDIRECT(ADDRESS(604,30))+INDIRECT(ADDRESS(605,30))-INDIRECT(ADDRESS(608,30)),INDIRECT(ADDRESS(609,29))-INDIRECT(ADDRESS(604,30))+INDIRECT(ADDRESS(607,30))-INDIRECT(ADDRESS(608,30)))</f>
        <v>0</v>
      </c>
      <c r="AE609">
        <f>IF(DAY(NOW())&lt;M3,INDIRECT(ADDRESS(609,30))-INDIRECT(ADDRESS(604,31))+INDIRECT(ADDRESS(605,31))-INDIRECT(ADDRESS(608,31)),INDIRECT(ADDRESS(609,30))-INDIRECT(ADDRESS(604,31))+INDIRECT(ADDRESS(607,31))-INDIRECT(ADDRESS(608,31)))</f>
        <v>0</v>
      </c>
      <c r="AF609">
        <f>IF(DAY(NOW())&lt;M3,INDIRECT(ADDRESS(609,31))-INDIRECT(ADDRESS(604,32))+INDIRECT(ADDRESS(605,32))-INDIRECT(ADDRESS(608,32)),INDIRECT(ADDRESS(609,31))-INDIRECT(ADDRESS(604,32))+INDIRECT(ADDRESS(607,32))-INDIRECT(ADDRESS(608,32)))</f>
        <v>0</v>
      </c>
      <c r="AG609">
        <f>IF(DAY(NOW())&lt;M3,INDIRECT(ADDRESS(609,32))-INDIRECT(ADDRESS(604,33))+INDIRECT(ADDRESS(605,33))-INDIRECT(ADDRESS(608,33)),INDIRECT(ADDRESS(609,32))-INDIRECT(ADDRESS(604,33))+INDIRECT(ADDRESS(607,33))-INDIRECT(ADDRESS(608,33)))</f>
        <v>0</v>
      </c>
      <c r="AH609">
        <f>IF(DAY(NOW())&lt;M3,INDIRECT(ADDRESS(609,33))-INDIRECT(ADDRESS(604,34))+INDIRECT(ADDRESS(605,34))-INDIRECT(ADDRESS(608,34)),INDIRECT(ADDRESS(609,33))-INDIRECT(ADDRESS(604,34))+INDIRECT(ADDRESS(607,34))-INDIRECT(ADDRESS(608,34)))</f>
        <v>0</v>
      </c>
      <c r="AI609">
        <f>IF(DAY(NOW())&lt;M3,INDIRECT(ADDRESS(609,34))-INDIRECT(ADDRESS(604,35))+INDIRECT(ADDRESS(605,35))-INDIRECT(ADDRESS(608,35)),INDIRECT(ADDRESS(609,34))-INDIRECT(ADDRESS(604,35))+INDIRECT(ADDRESS(607,35))-INDIRECT(ADDRESS(608,35)))</f>
        <v>0</v>
      </c>
      <c r="AJ609">
        <f>IF(DAY(NOW())&lt;M3,INDIRECT(ADDRESS(609,35))-INDIRECT(ADDRESS(604,36))+INDIRECT(ADDRESS(605,36))-INDIRECT(ADDRESS(608,36)),INDIRECT(ADDRESS(609,35))-INDIRECT(ADDRESS(604,36))+INDIRECT(ADDRESS(607,36))-INDIRECT(ADDRESS(608,36)))</f>
        <v>0</v>
      </c>
      <c r="AK609">
        <f>IF(DAY(NOW())&lt;M3,INDIRECT(ADDRESS(609,36))-INDIRECT(ADDRESS(604,37))+INDIRECT(ADDRESS(605,37))-INDIRECT(ADDRESS(608,37)),INDIRECT(ADDRESS(609,36))-INDIRECT(ADDRESS(604,37))+INDIRECT(ADDRESS(607,37))-INDIRECT(ADDRESS(608,37)))</f>
        <v>0</v>
      </c>
      <c r="AL609">
        <f>IF(DAY(NOW())&lt;M3,INDIRECT(ADDRESS(609,37))-INDIRECT(ADDRESS(604,38))+INDIRECT(ADDRESS(605,38))-INDIRECT(ADDRESS(608,38)),INDIRECT(ADDRESS(609,37))-INDIRECT(ADDRESS(604,38))+INDIRECT(ADDRESS(607,38))-INDIRECT(ADDRESS(608,38)))</f>
        <v>0</v>
      </c>
      <c r="AM609">
        <f>IF(DAY(NOW())&lt;M3,INDIRECT(ADDRESS(609,38))-INDIRECT(ADDRESS(604,39))+INDIRECT(ADDRESS(605,39))-INDIRECT(ADDRESS(608,39)),INDIRECT(ADDRESS(609,38))-INDIRECT(ADDRESS(604,39))+INDIRECT(ADDRESS(607,39))-INDIRECT(ADDRESS(608,39)))</f>
        <v>0</v>
      </c>
      <c r="AN609">
        <f>IF(DAY(NOW())&lt;M3,INDIRECT(ADDRESS(609,39))-INDIRECT(ADDRESS(604,40))+INDIRECT(ADDRESS(605,40))-INDIRECT(ADDRESS(608,40)),INDIRECT(ADDRESS(609,39))-INDIRECT(ADDRESS(604,40))+INDIRECT(ADDRESS(607,40))-INDIRECT(ADDRESS(608,40)))</f>
        <v>0</v>
      </c>
      <c r="AO609">
        <f>IF(DAY(NOW())&lt;M3,INDIRECT(ADDRESS(609,40))-INDIRECT(ADDRESS(604,41))+INDIRECT(ADDRESS(605,41))-INDIRECT(ADDRESS(608,41)),INDIRECT(ADDRESS(609,40))-INDIRECT(ADDRESS(604,41))+INDIRECT(ADDRESS(607,41))-INDIRECT(ADDRESS(608,41)))</f>
        <v>0</v>
      </c>
      <c r="AP609">
        <f>IF(DAY(NOW())&lt;M3,INDIRECT(ADDRESS(609,41))-INDIRECT(ADDRESS(604,42))+INDIRECT(ADDRESS(605,42))-INDIRECT(ADDRESS(608,42)),INDIRECT(ADDRESS(609,41))-INDIRECT(ADDRESS(604,42))+INDIRECT(ADDRESS(607,42))-INDIRECT(ADDRESS(608,42)))</f>
        <v>0</v>
      </c>
      <c r="AQ609">
        <f>IF(DAY(NOW())&lt;M3,INDIRECT(ADDRESS(609,42))-INDIRECT(ADDRESS(604,43))+INDIRECT(ADDRESS(605,43))-INDIRECT(ADDRESS(608,43)),INDIRECT(ADDRESS(609,42))-INDIRECT(ADDRESS(604,43))+INDIRECT(ADDRESS(607,43))-INDIRECT(ADDRESS(608,43)))</f>
        <v>0</v>
      </c>
      <c r="AR609">
        <f>IF(DAY(NOW())&lt;M3,INDIRECT(ADDRESS(609,43))-INDIRECT(ADDRESS(604,44))+INDIRECT(ADDRESS(605,44))-INDIRECT(ADDRESS(608,44)),INDIRECT(ADDRESS(609,43))-INDIRECT(ADDRESS(604,44))+INDIRECT(ADDRESS(607,44))-INDIRECT(ADDRESS(608,44)))</f>
        <v>0</v>
      </c>
    </row>
    <row r="610" spans="1:76">
      <c r="A610" t="s">
        <v>31</v>
      </c>
      <c r="B610" t="s">
        <v>331</v>
      </c>
      <c r="C610" t="s">
        <v>332</v>
      </c>
      <c r="D610" t="s">
        <v>329</v>
      </c>
      <c r="E610">
        <v>1</v>
      </c>
      <c r="F610" t="s">
        <v>333</v>
      </c>
      <c r="K610" t="s">
        <v>308</v>
      </c>
      <c r="L610" t="s">
        <v>21</v>
      </c>
      <c r="M610">
        <f>sumifs(BOM!m:m,BOM!A:A,".1",BOM!B:B,"211-180000-000")</f>
        <v>0</v>
      </c>
      <c r="N610">
        <f>sumifs(BOM!n:n,BOM!A:A,".1",BOM!B:B,"211-180000-000")</f>
        <v>0</v>
      </c>
      <c r="O610">
        <f>sumifs(BOM!o:o,BOM!A:A,".1",BOM!B:B,"211-180000-000")</f>
        <v>0</v>
      </c>
      <c r="P610">
        <f>sumifs(BOM!p:p,BOM!A:A,".1",BOM!B:B,"211-180000-000")</f>
        <v>0</v>
      </c>
      <c r="Q610">
        <f>sumifs(BOM!q:q,BOM!A:A,".1",BOM!B:B,"211-180000-000")</f>
        <v>0</v>
      </c>
      <c r="R610">
        <f>sumifs(BOM!r:r,BOM!A:A,".1",BOM!B:B,"211-180000-000")</f>
        <v>0</v>
      </c>
      <c r="S610">
        <f>sumifs(BOM!s:s,BOM!A:A,".1",BOM!B:B,"211-180000-000")</f>
        <v>0</v>
      </c>
      <c r="T610">
        <f>sumifs(BOM!t:t,BOM!A:A,".1",BOM!B:B,"211-180000-000")</f>
        <v>0</v>
      </c>
      <c r="U610">
        <f>sumifs(BOM!u:u,BOM!A:A,".1",BOM!B:B,"211-180000-000")</f>
        <v>0</v>
      </c>
      <c r="V610">
        <f>sumifs(BOM!v:v,BOM!A:A,".1",BOM!B:B,"211-180000-000")</f>
        <v>0</v>
      </c>
      <c r="W610">
        <f>sumifs(BOM!w:w,BOM!A:A,".1",BOM!B:B,"211-180000-000")</f>
        <v>0</v>
      </c>
      <c r="X610">
        <f>sumifs(BOM!x:x,BOM!A:A,".1",BOM!B:B,"211-180000-000")</f>
        <v>0</v>
      </c>
      <c r="Y610">
        <f>sumifs(BOM!y:y,BOM!A:A,".1",BOM!B:B,"211-180000-000")</f>
        <v>0</v>
      </c>
      <c r="Z610">
        <f>sumifs(BOM!z:z,BOM!A:A,".1",BOM!B:B,"211-180000-000")</f>
        <v>0</v>
      </c>
      <c r="AA610">
        <f>sumifs(BOM!aa:aa,BOM!A:A,".1",BOM!B:B,"211-180000-000")</f>
        <v>0</v>
      </c>
      <c r="AB610">
        <f>sumifs(BOM!ab:ab,BOM!A:A,".1",BOM!B:B,"211-180000-000")</f>
        <v>0</v>
      </c>
      <c r="AC610">
        <f>sumifs(BOM!ac:ac,BOM!A:A,".1",BOM!B:B,"211-180000-000")</f>
        <v>0</v>
      </c>
      <c r="AD610">
        <f>sumifs(BOM!ad:ad,BOM!A:A,".1",BOM!B:B,"211-180000-000")</f>
        <v>0</v>
      </c>
      <c r="AE610">
        <f>sumifs(BOM!ae:ae,BOM!A:A,".1",BOM!B:B,"211-180000-000")</f>
        <v>0</v>
      </c>
      <c r="AF610">
        <f>sumifs(BOM!af:af,BOM!A:A,".1",BOM!B:B,"211-180000-000")</f>
        <v>0</v>
      </c>
      <c r="AG610">
        <f>sumifs(BOM!ag:ag,BOM!A:A,".1",BOM!B:B,"211-180000-000")</f>
        <v>0</v>
      </c>
      <c r="AH610">
        <f>sumifs(BOM!ah:ah,BOM!A:A,".1",BOM!B:B,"211-180000-000")</f>
        <v>0</v>
      </c>
      <c r="AI610">
        <f>sumifs(BOM!ai:ai,BOM!A:A,".1",BOM!B:B,"211-180000-000")</f>
        <v>0</v>
      </c>
      <c r="AJ610">
        <f>sumifs(BOM!aj:aj,BOM!A:A,".1",BOM!B:B,"211-180000-000")</f>
        <v>0</v>
      </c>
      <c r="AK610">
        <f>sumifs(BOM!ak:ak,BOM!A:A,".1",BOM!B:B,"211-180000-000")</f>
        <v>0</v>
      </c>
      <c r="AL610">
        <f>sumifs(BOM!al:al,BOM!A:A,".1",BOM!B:B,"211-180000-000")</f>
        <v>0</v>
      </c>
      <c r="AM610">
        <f>sumifs(BOM!am:am,BOM!A:A,".1",BOM!B:B,"211-180000-000")</f>
        <v>0</v>
      </c>
      <c r="AN610">
        <f>sumifs(BOM!an:an,BOM!A:A,".1",BOM!B:B,"211-180000-000")</f>
        <v>0</v>
      </c>
      <c r="AO610">
        <f>sumifs(BOM!ao:ao,BOM!A:A,".1",BOM!B:B,"211-180000-000")</f>
        <v>0</v>
      </c>
      <c r="AP610">
        <f>sumifs(BOM!ap:ap,BOM!A:A,".1",BOM!B:B,"211-180000-000")</f>
        <v>0</v>
      </c>
      <c r="AQ610">
        <f>sumifs(BOM!aq:aq,BOM!A:A,".1",BOM!B:B,"211-180000-000")</f>
        <v>0</v>
      </c>
      <c r="AR610">
        <f>sumifs(BOM!ar:ar,BOM!A:A,".1",BOM!B:B,"211-180000-000")</f>
        <v>0</v>
      </c>
      <c r="BX610">
        <f>sum(j610:an610)</f>
        <v>0</v>
      </c>
    </row>
    <row r="611" spans="1:76">
      <c r="A611" t="s">
        <v>31</v>
      </c>
      <c r="B611" t="s">
        <v>331</v>
      </c>
      <c r="C611" t="s">
        <v>332</v>
      </c>
      <c r="D611" t="s">
        <v>329</v>
      </c>
      <c r="E611">
        <v>1</v>
      </c>
      <c r="F611" t="s">
        <v>333</v>
      </c>
      <c r="K611" t="s">
        <v>308</v>
      </c>
      <c r="L611" t="s">
        <v>37</v>
      </c>
    </row>
    <row r="612" spans="1:76">
      <c r="L612" t="s">
        <v>662</v>
      </c>
    </row>
    <row r="613" spans="1:76">
      <c r="L613" t="s">
        <v>663</v>
      </c>
    </row>
    <row r="614" spans="1:76">
      <c r="L614" t="s">
        <v>664</v>
      </c>
    </row>
    <row r="615" spans="1:76">
      <c r="L615" t="s">
        <v>665</v>
      </c>
      <c r="M615">
        <f>IF(DAY(NOW())&lt;M3,INDIRECT(ADDRESS(615,7))-INDIRECT(ADDRESS(610,13))+INDIRECT(ADDRESS(611,13))-INDIRECT(ADDRESS(614,13)),INDIRECT(ADDRESS(615,7))-INDIRECT(ADDRESS(610,13))+INDIRECT(ADDRESS(613,13))-INDIRECT(ADDRESS(614,13)))</f>
        <v>0</v>
      </c>
      <c r="N615">
        <f>IF(DAY(NOW())&lt;M3,INDIRECT(ADDRESS(615,13))-INDIRECT(ADDRESS(610,14))+INDIRECT(ADDRESS(611,14))-INDIRECT(ADDRESS(614,14)),INDIRECT(ADDRESS(615,13))-INDIRECT(ADDRESS(610,14))+INDIRECT(ADDRESS(613,14))-INDIRECT(ADDRESS(614,14)))</f>
        <v>0</v>
      </c>
      <c r="O615">
        <f>IF(DAY(NOW())&lt;M3,INDIRECT(ADDRESS(615,14))-INDIRECT(ADDRESS(610,15))+INDIRECT(ADDRESS(611,15))-INDIRECT(ADDRESS(614,15)),INDIRECT(ADDRESS(615,14))-INDIRECT(ADDRESS(610,15))+INDIRECT(ADDRESS(613,15))-INDIRECT(ADDRESS(614,15)))</f>
        <v>0</v>
      </c>
      <c r="P615">
        <f>IF(DAY(NOW())&lt;M3,INDIRECT(ADDRESS(615,15))-INDIRECT(ADDRESS(610,16))+INDIRECT(ADDRESS(611,16))-INDIRECT(ADDRESS(614,16)),INDIRECT(ADDRESS(615,15))-INDIRECT(ADDRESS(610,16))+INDIRECT(ADDRESS(613,16))-INDIRECT(ADDRESS(614,16)))</f>
        <v>0</v>
      </c>
      <c r="Q615">
        <f>IF(DAY(NOW())&lt;M3,INDIRECT(ADDRESS(615,16))-INDIRECT(ADDRESS(610,17))+INDIRECT(ADDRESS(611,17))-INDIRECT(ADDRESS(614,17)),INDIRECT(ADDRESS(615,16))-INDIRECT(ADDRESS(610,17))+INDIRECT(ADDRESS(613,17))-INDIRECT(ADDRESS(614,17)))</f>
        <v>0</v>
      </c>
      <c r="R615">
        <f>IF(DAY(NOW())&lt;M3,INDIRECT(ADDRESS(615,17))-INDIRECT(ADDRESS(610,18))+INDIRECT(ADDRESS(611,18))-INDIRECT(ADDRESS(614,18)),INDIRECT(ADDRESS(615,17))-INDIRECT(ADDRESS(610,18))+INDIRECT(ADDRESS(613,18))-INDIRECT(ADDRESS(614,18)))</f>
        <v>0</v>
      </c>
      <c r="S615">
        <f>IF(DAY(NOW())&lt;M3,INDIRECT(ADDRESS(615,18))-INDIRECT(ADDRESS(610,19))+INDIRECT(ADDRESS(611,19))-INDIRECT(ADDRESS(614,19)),INDIRECT(ADDRESS(615,18))-INDIRECT(ADDRESS(610,19))+INDIRECT(ADDRESS(613,19))-INDIRECT(ADDRESS(614,19)))</f>
        <v>0</v>
      </c>
      <c r="T615">
        <f>IF(DAY(NOW())&lt;M3,INDIRECT(ADDRESS(615,19))-INDIRECT(ADDRESS(610,20))+INDIRECT(ADDRESS(611,20))-INDIRECT(ADDRESS(614,20)),INDIRECT(ADDRESS(615,19))-INDIRECT(ADDRESS(610,20))+INDIRECT(ADDRESS(613,20))-INDIRECT(ADDRESS(614,20)))</f>
        <v>0</v>
      </c>
      <c r="U615">
        <f>IF(DAY(NOW())&lt;M3,INDIRECT(ADDRESS(615,20))-INDIRECT(ADDRESS(610,21))+INDIRECT(ADDRESS(611,21))-INDIRECT(ADDRESS(614,21)),INDIRECT(ADDRESS(615,20))-INDIRECT(ADDRESS(610,21))+INDIRECT(ADDRESS(613,21))-INDIRECT(ADDRESS(614,21)))</f>
        <v>0</v>
      </c>
      <c r="V615">
        <f>IF(DAY(NOW())&lt;M3,INDIRECT(ADDRESS(615,21))-INDIRECT(ADDRESS(610,22))+INDIRECT(ADDRESS(611,22))-INDIRECT(ADDRESS(614,22)),INDIRECT(ADDRESS(615,21))-INDIRECT(ADDRESS(610,22))+INDIRECT(ADDRESS(613,22))-INDIRECT(ADDRESS(614,22)))</f>
        <v>0</v>
      </c>
      <c r="W615">
        <f>IF(DAY(NOW())&lt;M3,INDIRECT(ADDRESS(615,22))-INDIRECT(ADDRESS(610,23))+INDIRECT(ADDRESS(611,23))-INDIRECT(ADDRESS(614,23)),INDIRECT(ADDRESS(615,22))-INDIRECT(ADDRESS(610,23))+INDIRECT(ADDRESS(613,23))-INDIRECT(ADDRESS(614,23)))</f>
        <v>0</v>
      </c>
      <c r="X615">
        <f>IF(DAY(NOW())&lt;M3,INDIRECT(ADDRESS(615,23))-INDIRECT(ADDRESS(610,24))+INDIRECT(ADDRESS(611,24))-INDIRECT(ADDRESS(614,24)),INDIRECT(ADDRESS(615,23))-INDIRECT(ADDRESS(610,24))+INDIRECT(ADDRESS(613,24))-INDIRECT(ADDRESS(614,24)))</f>
        <v>0</v>
      </c>
      <c r="Y615">
        <f>IF(DAY(NOW())&lt;M3,INDIRECT(ADDRESS(615,24))-INDIRECT(ADDRESS(610,25))+INDIRECT(ADDRESS(611,25))-INDIRECT(ADDRESS(614,25)),INDIRECT(ADDRESS(615,24))-INDIRECT(ADDRESS(610,25))+INDIRECT(ADDRESS(613,25))-INDIRECT(ADDRESS(614,25)))</f>
        <v>0</v>
      </c>
      <c r="Z615">
        <f>IF(DAY(NOW())&lt;M3,INDIRECT(ADDRESS(615,25))-INDIRECT(ADDRESS(610,26))+INDIRECT(ADDRESS(611,26))-INDIRECT(ADDRESS(614,26)),INDIRECT(ADDRESS(615,25))-INDIRECT(ADDRESS(610,26))+INDIRECT(ADDRESS(613,26))-INDIRECT(ADDRESS(614,26)))</f>
        <v>0</v>
      </c>
      <c r="AA615">
        <f>IF(DAY(NOW())&lt;M3,INDIRECT(ADDRESS(615,26))-INDIRECT(ADDRESS(610,27))+INDIRECT(ADDRESS(611,27))-INDIRECT(ADDRESS(614,27)),INDIRECT(ADDRESS(615,26))-INDIRECT(ADDRESS(610,27))+INDIRECT(ADDRESS(613,27))-INDIRECT(ADDRESS(614,27)))</f>
        <v>0</v>
      </c>
      <c r="AB615">
        <f>IF(DAY(NOW())&lt;M3,INDIRECT(ADDRESS(615,27))-INDIRECT(ADDRESS(610,28))+INDIRECT(ADDRESS(611,28))-INDIRECT(ADDRESS(614,28)),INDIRECT(ADDRESS(615,27))-INDIRECT(ADDRESS(610,28))+INDIRECT(ADDRESS(613,28))-INDIRECT(ADDRESS(614,28)))</f>
        <v>0</v>
      </c>
      <c r="AC615">
        <f>IF(DAY(NOW())&lt;M3,INDIRECT(ADDRESS(615,28))-INDIRECT(ADDRESS(610,29))+INDIRECT(ADDRESS(611,29))-INDIRECT(ADDRESS(614,29)),INDIRECT(ADDRESS(615,28))-INDIRECT(ADDRESS(610,29))+INDIRECT(ADDRESS(613,29))-INDIRECT(ADDRESS(614,29)))</f>
        <v>0</v>
      </c>
      <c r="AD615">
        <f>IF(DAY(NOW())&lt;M3,INDIRECT(ADDRESS(615,29))-INDIRECT(ADDRESS(610,30))+INDIRECT(ADDRESS(611,30))-INDIRECT(ADDRESS(614,30)),INDIRECT(ADDRESS(615,29))-INDIRECT(ADDRESS(610,30))+INDIRECT(ADDRESS(613,30))-INDIRECT(ADDRESS(614,30)))</f>
        <v>0</v>
      </c>
      <c r="AE615">
        <f>IF(DAY(NOW())&lt;M3,INDIRECT(ADDRESS(615,30))-INDIRECT(ADDRESS(610,31))+INDIRECT(ADDRESS(611,31))-INDIRECT(ADDRESS(614,31)),INDIRECT(ADDRESS(615,30))-INDIRECT(ADDRESS(610,31))+INDIRECT(ADDRESS(613,31))-INDIRECT(ADDRESS(614,31)))</f>
        <v>0</v>
      </c>
      <c r="AF615">
        <f>IF(DAY(NOW())&lt;M3,INDIRECT(ADDRESS(615,31))-INDIRECT(ADDRESS(610,32))+INDIRECT(ADDRESS(611,32))-INDIRECT(ADDRESS(614,32)),INDIRECT(ADDRESS(615,31))-INDIRECT(ADDRESS(610,32))+INDIRECT(ADDRESS(613,32))-INDIRECT(ADDRESS(614,32)))</f>
        <v>0</v>
      </c>
      <c r="AG615">
        <f>IF(DAY(NOW())&lt;M3,INDIRECT(ADDRESS(615,32))-INDIRECT(ADDRESS(610,33))+INDIRECT(ADDRESS(611,33))-INDIRECT(ADDRESS(614,33)),INDIRECT(ADDRESS(615,32))-INDIRECT(ADDRESS(610,33))+INDIRECT(ADDRESS(613,33))-INDIRECT(ADDRESS(614,33)))</f>
        <v>0</v>
      </c>
      <c r="AH615">
        <f>IF(DAY(NOW())&lt;M3,INDIRECT(ADDRESS(615,33))-INDIRECT(ADDRESS(610,34))+INDIRECT(ADDRESS(611,34))-INDIRECT(ADDRESS(614,34)),INDIRECT(ADDRESS(615,33))-INDIRECT(ADDRESS(610,34))+INDIRECT(ADDRESS(613,34))-INDIRECT(ADDRESS(614,34)))</f>
        <v>0</v>
      </c>
      <c r="AI615">
        <f>IF(DAY(NOW())&lt;M3,INDIRECT(ADDRESS(615,34))-INDIRECT(ADDRESS(610,35))+INDIRECT(ADDRESS(611,35))-INDIRECT(ADDRESS(614,35)),INDIRECT(ADDRESS(615,34))-INDIRECT(ADDRESS(610,35))+INDIRECT(ADDRESS(613,35))-INDIRECT(ADDRESS(614,35)))</f>
        <v>0</v>
      </c>
      <c r="AJ615">
        <f>IF(DAY(NOW())&lt;M3,INDIRECT(ADDRESS(615,35))-INDIRECT(ADDRESS(610,36))+INDIRECT(ADDRESS(611,36))-INDIRECT(ADDRESS(614,36)),INDIRECT(ADDRESS(615,35))-INDIRECT(ADDRESS(610,36))+INDIRECT(ADDRESS(613,36))-INDIRECT(ADDRESS(614,36)))</f>
        <v>0</v>
      </c>
      <c r="AK615">
        <f>IF(DAY(NOW())&lt;M3,INDIRECT(ADDRESS(615,36))-INDIRECT(ADDRESS(610,37))+INDIRECT(ADDRESS(611,37))-INDIRECT(ADDRESS(614,37)),INDIRECT(ADDRESS(615,36))-INDIRECT(ADDRESS(610,37))+INDIRECT(ADDRESS(613,37))-INDIRECT(ADDRESS(614,37)))</f>
        <v>0</v>
      </c>
      <c r="AL615">
        <f>IF(DAY(NOW())&lt;M3,INDIRECT(ADDRESS(615,37))-INDIRECT(ADDRESS(610,38))+INDIRECT(ADDRESS(611,38))-INDIRECT(ADDRESS(614,38)),INDIRECT(ADDRESS(615,37))-INDIRECT(ADDRESS(610,38))+INDIRECT(ADDRESS(613,38))-INDIRECT(ADDRESS(614,38)))</f>
        <v>0</v>
      </c>
      <c r="AM615">
        <f>IF(DAY(NOW())&lt;M3,INDIRECT(ADDRESS(615,38))-INDIRECT(ADDRESS(610,39))+INDIRECT(ADDRESS(611,39))-INDIRECT(ADDRESS(614,39)),INDIRECT(ADDRESS(615,38))-INDIRECT(ADDRESS(610,39))+INDIRECT(ADDRESS(613,39))-INDIRECT(ADDRESS(614,39)))</f>
        <v>0</v>
      </c>
      <c r="AN615">
        <f>IF(DAY(NOW())&lt;M3,INDIRECT(ADDRESS(615,39))-INDIRECT(ADDRESS(610,40))+INDIRECT(ADDRESS(611,40))-INDIRECT(ADDRESS(614,40)),INDIRECT(ADDRESS(615,39))-INDIRECT(ADDRESS(610,40))+INDIRECT(ADDRESS(613,40))-INDIRECT(ADDRESS(614,40)))</f>
        <v>0</v>
      </c>
      <c r="AO615">
        <f>IF(DAY(NOW())&lt;M3,INDIRECT(ADDRESS(615,40))-INDIRECT(ADDRESS(610,41))+INDIRECT(ADDRESS(611,41))-INDIRECT(ADDRESS(614,41)),INDIRECT(ADDRESS(615,40))-INDIRECT(ADDRESS(610,41))+INDIRECT(ADDRESS(613,41))-INDIRECT(ADDRESS(614,41)))</f>
        <v>0</v>
      </c>
      <c r="AP615">
        <f>IF(DAY(NOW())&lt;M3,INDIRECT(ADDRESS(615,41))-INDIRECT(ADDRESS(610,42))+INDIRECT(ADDRESS(611,42))-INDIRECT(ADDRESS(614,42)),INDIRECT(ADDRESS(615,41))-INDIRECT(ADDRESS(610,42))+INDIRECT(ADDRESS(613,42))-INDIRECT(ADDRESS(614,42)))</f>
        <v>0</v>
      </c>
      <c r="AQ615">
        <f>IF(DAY(NOW())&lt;M3,INDIRECT(ADDRESS(615,42))-INDIRECT(ADDRESS(610,43))+INDIRECT(ADDRESS(611,43))-INDIRECT(ADDRESS(614,43)),INDIRECT(ADDRESS(615,42))-INDIRECT(ADDRESS(610,43))+INDIRECT(ADDRESS(613,43))-INDIRECT(ADDRESS(614,43)))</f>
        <v>0</v>
      </c>
      <c r="AR615">
        <f>IF(DAY(NOW())&lt;M3,INDIRECT(ADDRESS(615,43))-INDIRECT(ADDRESS(610,44))+INDIRECT(ADDRESS(611,44))-INDIRECT(ADDRESS(614,44)),INDIRECT(ADDRESS(615,43))-INDIRECT(ADDRESS(610,44))+INDIRECT(ADDRESS(613,44))-INDIRECT(ADDRESS(614,44)))</f>
        <v>0</v>
      </c>
    </row>
    <row r="616" spans="1:76">
      <c r="A616" t="s">
        <v>31</v>
      </c>
      <c r="B616" t="s">
        <v>334</v>
      </c>
      <c r="C616" t="s">
        <v>335</v>
      </c>
      <c r="D616" t="s">
        <v>17</v>
      </c>
      <c r="E616">
        <v>1</v>
      </c>
      <c r="F616" t="s">
        <v>336</v>
      </c>
      <c r="K616" t="s">
        <v>308</v>
      </c>
      <c r="L616" t="s">
        <v>21</v>
      </c>
      <c r="M616">
        <f>sumifs(BOM!m:m,BOM!A:A,".1",BOM!B:B,"211-181000-000")</f>
        <v>0</v>
      </c>
      <c r="N616">
        <f>sumifs(BOM!n:n,BOM!A:A,".1",BOM!B:B,"211-181000-000")</f>
        <v>0</v>
      </c>
      <c r="O616">
        <f>sumifs(BOM!o:o,BOM!A:A,".1",BOM!B:B,"211-181000-000")</f>
        <v>0</v>
      </c>
      <c r="P616">
        <f>sumifs(BOM!p:p,BOM!A:A,".1",BOM!B:B,"211-181000-000")</f>
        <v>0</v>
      </c>
      <c r="Q616">
        <f>sumifs(BOM!q:q,BOM!A:A,".1",BOM!B:B,"211-181000-000")</f>
        <v>0</v>
      </c>
      <c r="R616">
        <f>sumifs(BOM!r:r,BOM!A:A,".1",BOM!B:B,"211-181000-000")</f>
        <v>0</v>
      </c>
      <c r="S616">
        <f>sumifs(BOM!s:s,BOM!A:A,".1",BOM!B:B,"211-181000-000")</f>
        <v>0</v>
      </c>
      <c r="T616">
        <f>sumifs(BOM!t:t,BOM!A:A,".1",BOM!B:B,"211-181000-000")</f>
        <v>0</v>
      </c>
      <c r="U616">
        <f>sumifs(BOM!u:u,BOM!A:A,".1",BOM!B:B,"211-181000-000")</f>
        <v>0</v>
      </c>
      <c r="V616">
        <f>sumifs(BOM!v:v,BOM!A:A,".1",BOM!B:B,"211-181000-000")</f>
        <v>0</v>
      </c>
      <c r="W616">
        <f>sumifs(BOM!w:w,BOM!A:A,".1",BOM!B:B,"211-181000-000")</f>
        <v>0</v>
      </c>
      <c r="X616">
        <f>sumifs(BOM!x:x,BOM!A:A,".1",BOM!B:B,"211-181000-000")</f>
        <v>0</v>
      </c>
      <c r="Y616">
        <f>sumifs(BOM!y:y,BOM!A:A,".1",BOM!B:B,"211-181000-000")</f>
        <v>0</v>
      </c>
      <c r="Z616">
        <f>sumifs(BOM!z:z,BOM!A:A,".1",BOM!B:B,"211-181000-000")</f>
        <v>0</v>
      </c>
      <c r="AA616">
        <f>sumifs(BOM!aa:aa,BOM!A:A,".1",BOM!B:B,"211-181000-000")</f>
        <v>0</v>
      </c>
      <c r="AB616">
        <f>sumifs(BOM!ab:ab,BOM!A:A,".1",BOM!B:B,"211-181000-000")</f>
        <v>0</v>
      </c>
      <c r="AC616">
        <f>sumifs(BOM!ac:ac,BOM!A:A,".1",BOM!B:B,"211-181000-000")</f>
        <v>0</v>
      </c>
      <c r="AD616">
        <f>sumifs(BOM!ad:ad,BOM!A:A,".1",BOM!B:B,"211-181000-000")</f>
        <v>0</v>
      </c>
      <c r="AE616">
        <f>sumifs(BOM!ae:ae,BOM!A:A,".1",BOM!B:B,"211-181000-000")</f>
        <v>0</v>
      </c>
      <c r="AF616">
        <f>sumifs(BOM!af:af,BOM!A:A,".1",BOM!B:B,"211-181000-000")</f>
        <v>0</v>
      </c>
      <c r="AG616">
        <f>sumifs(BOM!ag:ag,BOM!A:A,".1",BOM!B:B,"211-181000-000")</f>
        <v>0</v>
      </c>
      <c r="AH616">
        <f>sumifs(BOM!ah:ah,BOM!A:A,".1",BOM!B:B,"211-181000-000")</f>
        <v>0</v>
      </c>
      <c r="AI616">
        <f>sumifs(BOM!ai:ai,BOM!A:A,".1",BOM!B:B,"211-181000-000")</f>
        <v>0</v>
      </c>
      <c r="AJ616">
        <f>sumifs(BOM!aj:aj,BOM!A:A,".1",BOM!B:B,"211-181000-000")</f>
        <v>0</v>
      </c>
      <c r="AK616">
        <f>sumifs(BOM!ak:ak,BOM!A:A,".1",BOM!B:B,"211-181000-000")</f>
        <v>0</v>
      </c>
      <c r="AL616">
        <f>sumifs(BOM!al:al,BOM!A:A,".1",BOM!B:B,"211-181000-000")</f>
        <v>0</v>
      </c>
      <c r="AM616">
        <f>sumifs(BOM!am:am,BOM!A:A,".1",BOM!B:B,"211-181000-000")</f>
        <v>0</v>
      </c>
      <c r="AN616">
        <f>sumifs(BOM!an:an,BOM!A:A,".1",BOM!B:B,"211-181000-000")</f>
        <v>0</v>
      </c>
      <c r="AO616">
        <f>sumifs(BOM!ao:ao,BOM!A:A,".1",BOM!B:B,"211-181000-000")</f>
        <v>0</v>
      </c>
      <c r="AP616">
        <f>sumifs(BOM!ap:ap,BOM!A:A,".1",BOM!B:B,"211-181000-000")</f>
        <v>0</v>
      </c>
      <c r="AQ616">
        <f>sumifs(BOM!aq:aq,BOM!A:A,".1",BOM!B:B,"211-181000-000")</f>
        <v>0</v>
      </c>
      <c r="AR616">
        <f>sumifs(BOM!ar:ar,BOM!A:A,".1",BOM!B:B,"211-181000-000")</f>
        <v>0</v>
      </c>
      <c r="BX616">
        <f>sum(j616:an616)</f>
        <v>0</v>
      </c>
    </row>
    <row r="617" spans="1:76">
      <c r="A617" t="s">
        <v>31</v>
      </c>
      <c r="B617" t="s">
        <v>334</v>
      </c>
      <c r="C617" t="s">
        <v>335</v>
      </c>
      <c r="D617" t="s">
        <v>17</v>
      </c>
      <c r="E617">
        <v>1</v>
      </c>
      <c r="F617" t="s">
        <v>336</v>
      </c>
      <c r="K617" t="s">
        <v>308</v>
      </c>
      <c r="L617" t="s">
        <v>37</v>
      </c>
    </row>
    <row r="618" spans="1:76">
      <c r="L618" t="s">
        <v>662</v>
      </c>
    </row>
    <row r="619" spans="1:76">
      <c r="L619" t="s">
        <v>663</v>
      </c>
    </row>
    <row r="620" spans="1:76">
      <c r="L620" t="s">
        <v>664</v>
      </c>
    </row>
    <row r="621" spans="1:76">
      <c r="L621" t="s">
        <v>665</v>
      </c>
      <c r="M621">
        <f>IF(DAY(NOW())&lt;M3,INDIRECT(ADDRESS(621,7))-INDIRECT(ADDRESS(616,13))+INDIRECT(ADDRESS(617,13))-INDIRECT(ADDRESS(620,13)),INDIRECT(ADDRESS(621,7))-INDIRECT(ADDRESS(616,13))+INDIRECT(ADDRESS(619,13))-INDIRECT(ADDRESS(620,13)))</f>
        <v>0</v>
      </c>
      <c r="N621">
        <f>IF(DAY(NOW())&lt;M3,INDIRECT(ADDRESS(621,13))-INDIRECT(ADDRESS(616,14))+INDIRECT(ADDRESS(617,14))-INDIRECT(ADDRESS(620,14)),INDIRECT(ADDRESS(621,13))-INDIRECT(ADDRESS(616,14))+INDIRECT(ADDRESS(619,14))-INDIRECT(ADDRESS(620,14)))</f>
        <v>0</v>
      </c>
      <c r="O621">
        <f>IF(DAY(NOW())&lt;M3,INDIRECT(ADDRESS(621,14))-INDIRECT(ADDRESS(616,15))+INDIRECT(ADDRESS(617,15))-INDIRECT(ADDRESS(620,15)),INDIRECT(ADDRESS(621,14))-INDIRECT(ADDRESS(616,15))+INDIRECT(ADDRESS(619,15))-INDIRECT(ADDRESS(620,15)))</f>
        <v>0</v>
      </c>
      <c r="P621">
        <f>IF(DAY(NOW())&lt;M3,INDIRECT(ADDRESS(621,15))-INDIRECT(ADDRESS(616,16))+INDIRECT(ADDRESS(617,16))-INDIRECT(ADDRESS(620,16)),INDIRECT(ADDRESS(621,15))-INDIRECT(ADDRESS(616,16))+INDIRECT(ADDRESS(619,16))-INDIRECT(ADDRESS(620,16)))</f>
        <v>0</v>
      </c>
      <c r="Q621">
        <f>IF(DAY(NOW())&lt;M3,INDIRECT(ADDRESS(621,16))-INDIRECT(ADDRESS(616,17))+INDIRECT(ADDRESS(617,17))-INDIRECT(ADDRESS(620,17)),INDIRECT(ADDRESS(621,16))-INDIRECT(ADDRESS(616,17))+INDIRECT(ADDRESS(619,17))-INDIRECT(ADDRESS(620,17)))</f>
        <v>0</v>
      </c>
      <c r="R621">
        <f>IF(DAY(NOW())&lt;M3,INDIRECT(ADDRESS(621,17))-INDIRECT(ADDRESS(616,18))+INDIRECT(ADDRESS(617,18))-INDIRECT(ADDRESS(620,18)),INDIRECT(ADDRESS(621,17))-INDIRECT(ADDRESS(616,18))+INDIRECT(ADDRESS(619,18))-INDIRECT(ADDRESS(620,18)))</f>
        <v>0</v>
      </c>
      <c r="S621">
        <f>IF(DAY(NOW())&lt;M3,INDIRECT(ADDRESS(621,18))-INDIRECT(ADDRESS(616,19))+INDIRECT(ADDRESS(617,19))-INDIRECT(ADDRESS(620,19)),INDIRECT(ADDRESS(621,18))-INDIRECT(ADDRESS(616,19))+INDIRECT(ADDRESS(619,19))-INDIRECT(ADDRESS(620,19)))</f>
        <v>0</v>
      </c>
      <c r="T621">
        <f>IF(DAY(NOW())&lt;M3,INDIRECT(ADDRESS(621,19))-INDIRECT(ADDRESS(616,20))+INDIRECT(ADDRESS(617,20))-INDIRECT(ADDRESS(620,20)),INDIRECT(ADDRESS(621,19))-INDIRECT(ADDRESS(616,20))+INDIRECT(ADDRESS(619,20))-INDIRECT(ADDRESS(620,20)))</f>
        <v>0</v>
      </c>
      <c r="U621">
        <f>IF(DAY(NOW())&lt;M3,INDIRECT(ADDRESS(621,20))-INDIRECT(ADDRESS(616,21))+INDIRECT(ADDRESS(617,21))-INDIRECT(ADDRESS(620,21)),INDIRECT(ADDRESS(621,20))-INDIRECT(ADDRESS(616,21))+INDIRECT(ADDRESS(619,21))-INDIRECT(ADDRESS(620,21)))</f>
        <v>0</v>
      </c>
      <c r="V621">
        <f>IF(DAY(NOW())&lt;M3,INDIRECT(ADDRESS(621,21))-INDIRECT(ADDRESS(616,22))+INDIRECT(ADDRESS(617,22))-INDIRECT(ADDRESS(620,22)),INDIRECT(ADDRESS(621,21))-INDIRECT(ADDRESS(616,22))+INDIRECT(ADDRESS(619,22))-INDIRECT(ADDRESS(620,22)))</f>
        <v>0</v>
      </c>
      <c r="W621">
        <f>IF(DAY(NOW())&lt;M3,INDIRECT(ADDRESS(621,22))-INDIRECT(ADDRESS(616,23))+INDIRECT(ADDRESS(617,23))-INDIRECT(ADDRESS(620,23)),INDIRECT(ADDRESS(621,22))-INDIRECT(ADDRESS(616,23))+INDIRECT(ADDRESS(619,23))-INDIRECT(ADDRESS(620,23)))</f>
        <v>0</v>
      </c>
      <c r="X621">
        <f>IF(DAY(NOW())&lt;M3,INDIRECT(ADDRESS(621,23))-INDIRECT(ADDRESS(616,24))+INDIRECT(ADDRESS(617,24))-INDIRECT(ADDRESS(620,24)),INDIRECT(ADDRESS(621,23))-INDIRECT(ADDRESS(616,24))+INDIRECT(ADDRESS(619,24))-INDIRECT(ADDRESS(620,24)))</f>
        <v>0</v>
      </c>
      <c r="Y621">
        <f>IF(DAY(NOW())&lt;M3,INDIRECT(ADDRESS(621,24))-INDIRECT(ADDRESS(616,25))+INDIRECT(ADDRESS(617,25))-INDIRECT(ADDRESS(620,25)),INDIRECT(ADDRESS(621,24))-INDIRECT(ADDRESS(616,25))+INDIRECT(ADDRESS(619,25))-INDIRECT(ADDRESS(620,25)))</f>
        <v>0</v>
      </c>
      <c r="Z621">
        <f>IF(DAY(NOW())&lt;M3,INDIRECT(ADDRESS(621,25))-INDIRECT(ADDRESS(616,26))+INDIRECT(ADDRESS(617,26))-INDIRECT(ADDRESS(620,26)),INDIRECT(ADDRESS(621,25))-INDIRECT(ADDRESS(616,26))+INDIRECT(ADDRESS(619,26))-INDIRECT(ADDRESS(620,26)))</f>
        <v>0</v>
      </c>
      <c r="AA621">
        <f>IF(DAY(NOW())&lt;M3,INDIRECT(ADDRESS(621,26))-INDIRECT(ADDRESS(616,27))+INDIRECT(ADDRESS(617,27))-INDIRECT(ADDRESS(620,27)),INDIRECT(ADDRESS(621,26))-INDIRECT(ADDRESS(616,27))+INDIRECT(ADDRESS(619,27))-INDIRECT(ADDRESS(620,27)))</f>
        <v>0</v>
      </c>
      <c r="AB621">
        <f>IF(DAY(NOW())&lt;M3,INDIRECT(ADDRESS(621,27))-INDIRECT(ADDRESS(616,28))+INDIRECT(ADDRESS(617,28))-INDIRECT(ADDRESS(620,28)),INDIRECT(ADDRESS(621,27))-INDIRECT(ADDRESS(616,28))+INDIRECT(ADDRESS(619,28))-INDIRECT(ADDRESS(620,28)))</f>
        <v>0</v>
      </c>
      <c r="AC621">
        <f>IF(DAY(NOW())&lt;M3,INDIRECT(ADDRESS(621,28))-INDIRECT(ADDRESS(616,29))+INDIRECT(ADDRESS(617,29))-INDIRECT(ADDRESS(620,29)),INDIRECT(ADDRESS(621,28))-INDIRECT(ADDRESS(616,29))+INDIRECT(ADDRESS(619,29))-INDIRECT(ADDRESS(620,29)))</f>
        <v>0</v>
      </c>
      <c r="AD621">
        <f>IF(DAY(NOW())&lt;M3,INDIRECT(ADDRESS(621,29))-INDIRECT(ADDRESS(616,30))+INDIRECT(ADDRESS(617,30))-INDIRECT(ADDRESS(620,30)),INDIRECT(ADDRESS(621,29))-INDIRECT(ADDRESS(616,30))+INDIRECT(ADDRESS(619,30))-INDIRECT(ADDRESS(620,30)))</f>
        <v>0</v>
      </c>
      <c r="AE621">
        <f>IF(DAY(NOW())&lt;M3,INDIRECT(ADDRESS(621,30))-INDIRECT(ADDRESS(616,31))+INDIRECT(ADDRESS(617,31))-INDIRECT(ADDRESS(620,31)),INDIRECT(ADDRESS(621,30))-INDIRECT(ADDRESS(616,31))+INDIRECT(ADDRESS(619,31))-INDIRECT(ADDRESS(620,31)))</f>
        <v>0</v>
      </c>
      <c r="AF621">
        <f>IF(DAY(NOW())&lt;M3,INDIRECT(ADDRESS(621,31))-INDIRECT(ADDRESS(616,32))+INDIRECT(ADDRESS(617,32))-INDIRECT(ADDRESS(620,32)),INDIRECT(ADDRESS(621,31))-INDIRECT(ADDRESS(616,32))+INDIRECT(ADDRESS(619,32))-INDIRECT(ADDRESS(620,32)))</f>
        <v>0</v>
      </c>
      <c r="AG621">
        <f>IF(DAY(NOW())&lt;M3,INDIRECT(ADDRESS(621,32))-INDIRECT(ADDRESS(616,33))+INDIRECT(ADDRESS(617,33))-INDIRECT(ADDRESS(620,33)),INDIRECT(ADDRESS(621,32))-INDIRECT(ADDRESS(616,33))+INDIRECT(ADDRESS(619,33))-INDIRECT(ADDRESS(620,33)))</f>
        <v>0</v>
      </c>
      <c r="AH621">
        <f>IF(DAY(NOW())&lt;M3,INDIRECT(ADDRESS(621,33))-INDIRECT(ADDRESS(616,34))+INDIRECT(ADDRESS(617,34))-INDIRECT(ADDRESS(620,34)),INDIRECT(ADDRESS(621,33))-INDIRECT(ADDRESS(616,34))+INDIRECT(ADDRESS(619,34))-INDIRECT(ADDRESS(620,34)))</f>
        <v>0</v>
      </c>
      <c r="AI621">
        <f>IF(DAY(NOW())&lt;M3,INDIRECT(ADDRESS(621,34))-INDIRECT(ADDRESS(616,35))+INDIRECT(ADDRESS(617,35))-INDIRECT(ADDRESS(620,35)),INDIRECT(ADDRESS(621,34))-INDIRECT(ADDRESS(616,35))+INDIRECT(ADDRESS(619,35))-INDIRECT(ADDRESS(620,35)))</f>
        <v>0</v>
      </c>
      <c r="AJ621">
        <f>IF(DAY(NOW())&lt;M3,INDIRECT(ADDRESS(621,35))-INDIRECT(ADDRESS(616,36))+INDIRECT(ADDRESS(617,36))-INDIRECT(ADDRESS(620,36)),INDIRECT(ADDRESS(621,35))-INDIRECT(ADDRESS(616,36))+INDIRECT(ADDRESS(619,36))-INDIRECT(ADDRESS(620,36)))</f>
        <v>0</v>
      </c>
      <c r="AK621">
        <f>IF(DAY(NOW())&lt;M3,INDIRECT(ADDRESS(621,36))-INDIRECT(ADDRESS(616,37))+INDIRECT(ADDRESS(617,37))-INDIRECT(ADDRESS(620,37)),INDIRECT(ADDRESS(621,36))-INDIRECT(ADDRESS(616,37))+INDIRECT(ADDRESS(619,37))-INDIRECT(ADDRESS(620,37)))</f>
        <v>0</v>
      </c>
      <c r="AL621">
        <f>IF(DAY(NOW())&lt;M3,INDIRECT(ADDRESS(621,37))-INDIRECT(ADDRESS(616,38))+INDIRECT(ADDRESS(617,38))-INDIRECT(ADDRESS(620,38)),INDIRECT(ADDRESS(621,37))-INDIRECT(ADDRESS(616,38))+INDIRECT(ADDRESS(619,38))-INDIRECT(ADDRESS(620,38)))</f>
        <v>0</v>
      </c>
      <c r="AM621">
        <f>IF(DAY(NOW())&lt;M3,INDIRECT(ADDRESS(621,38))-INDIRECT(ADDRESS(616,39))+INDIRECT(ADDRESS(617,39))-INDIRECT(ADDRESS(620,39)),INDIRECT(ADDRESS(621,38))-INDIRECT(ADDRESS(616,39))+INDIRECT(ADDRESS(619,39))-INDIRECT(ADDRESS(620,39)))</f>
        <v>0</v>
      </c>
      <c r="AN621">
        <f>IF(DAY(NOW())&lt;M3,INDIRECT(ADDRESS(621,39))-INDIRECT(ADDRESS(616,40))+INDIRECT(ADDRESS(617,40))-INDIRECT(ADDRESS(620,40)),INDIRECT(ADDRESS(621,39))-INDIRECT(ADDRESS(616,40))+INDIRECT(ADDRESS(619,40))-INDIRECT(ADDRESS(620,40)))</f>
        <v>0</v>
      </c>
      <c r="AO621">
        <f>IF(DAY(NOW())&lt;M3,INDIRECT(ADDRESS(621,40))-INDIRECT(ADDRESS(616,41))+INDIRECT(ADDRESS(617,41))-INDIRECT(ADDRESS(620,41)),INDIRECT(ADDRESS(621,40))-INDIRECT(ADDRESS(616,41))+INDIRECT(ADDRESS(619,41))-INDIRECT(ADDRESS(620,41)))</f>
        <v>0</v>
      </c>
      <c r="AP621">
        <f>IF(DAY(NOW())&lt;M3,INDIRECT(ADDRESS(621,41))-INDIRECT(ADDRESS(616,42))+INDIRECT(ADDRESS(617,42))-INDIRECT(ADDRESS(620,42)),INDIRECT(ADDRESS(621,41))-INDIRECT(ADDRESS(616,42))+INDIRECT(ADDRESS(619,42))-INDIRECT(ADDRESS(620,42)))</f>
        <v>0</v>
      </c>
      <c r="AQ621">
        <f>IF(DAY(NOW())&lt;M3,INDIRECT(ADDRESS(621,42))-INDIRECT(ADDRESS(616,43))+INDIRECT(ADDRESS(617,43))-INDIRECT(ADDRESS(620,43)),INDIRECT(ADDRESS(621,42))-INDIRECT(ADDRESS(616,43))+INDIRECT(ADDRESS(619,43))-INDIRECT(ADDRESS(620,43)))</f>
        <v>0</v>
      </c>
      <c r="AR621">
        <f>IF(DAY(NOW())&lt;M3,INDIRECT(ADDRESS(621,43))-INDIRECT(ADDRESS(616,44))+INDIRECT(ADDRESS(617,44))-INDIRECT(ADDRESS(620,44)),INDIRECT(ADDRESS(621,43))-INDIRECT(ADDRESS(616,44))+INDIRECT(ADDRESS(619,44))-INDIRECT(ADDRESS(620,44)))</f>
        <v>0</v>
      </c>
    </row>
    <row r="622" spans="1:76">
      <c r="A622" t="s">
        <v>14</v>
      </c>
      <c r="B622" t="s">
        <v>82</v>
      </c>
      <c r="C622" t="s">
        <v>83</v>
      </c>
      <c r="D622" t="s">
        <v>17</v>
      </c>
      <c r="E622">
        <v>1</v>
      </c>
      <c r="F622" t="s">
        <v>84</v>
      </c>
      <c r="K622" t="s">
        <v>305</v>
      </c>
      <c r="L622" t="s">
        <v>21</v>
      </c>
      <c r="BX622">
        <f>sum(j622:an622)</f>
        <v>0</v>
      </c>
    </row>
    <row r="623" spans="1:76">
      <c r="A623" t="s">
        <v>14</v>
      </c>
      <c r="B623" t="s">
        <v>82</v>
      </c>
      <c r="C623" t="s">
        <v>83</v>
      </c>
      <c r="D623" t="s">
        <v>17</v>
      </c>
      <c r="E623">
        <v>1</v>
      </c>
      <c r="F623" t="s">
        <v>84</v>
      </c>
      <c r="K623" t="s">
        <v>305</v>
      </c>
      <c r="L623" t="s">
        <v>37</v>
      </c>
    </row>
    <row r="624" spans="1:76">
      <c r="L624" t="s">
        <v>662</v>
      </c>
    </row>
    <row r="625" spans="1:76">
      <c r="L625" t="s">
        <v>663</v>
      </c>
    </row>
    <row r="626" spans="1:76">
      <c r="L626" t="s">
        <v>664</v>
      </c>
    </row>
    <row r="627" spans="1:76">
      <c r="L627" t="s">
        <v>665</v>
      </c>
      <c r="M627">
        <f>IF(DAY(NOW())&lt;M3,INDIRECT(ADDRESS(627,7))-INDIRECT(ADDRESS(622,13))+INDIRECT(ADDRESS(623,13))-INDIRECT(ADDRESS(626,13)),INDIRECT(ADDRESS(627,7))-INDIRECT(ADDRESS(622,13))+INDIRECT(ADDRESS(625,13))-INDIRECT(ADDRESS(626,13)))</f>
        <v>0</v>
      </c>
      <c r="N627">
        <f>IF(DAY(NOW())&lt;M3,INDIRECT(ADDRESS(627,13))-INDIRECT(ADDRESS(622,14))+INDIRECT(ADDRESS(623,14))-INDIRECT(ADDRESS(626,14)),INDIRECT(ADDRESS(627,13))-INDIRECT(ADDRESS(622,14))+INDIRECT(ADDRESS(625,14))-INDIRECT(ADDRESS(626,14)))</f>
        <v>0</v>
      </c>
      <c r="O627">
        <f>IF(DAY(NOW())&lt;M3,INDIRECT(ADDRESS(627,14))-INDIRECT(ADDRESS(622,15))+INDIRECT(ADDRESS(623,15))-INDIRECT(ADDRESS(626,15)),INDIRECT(ADDRESS(627,14))-INDIRECT(ADDRESS(622,15))+INDIRECT(ADDRESS(625,15))-INDIRECT(ADDRESS(626,15)))</f>
        <v>0</v>
      </c>
      <c r="P627">
        <f>IF(DAY(NOW())&lt;M3,INDIRECT(ADDRESS(627,15))-INDIRECT(ADDRESS(622,16))+INDIRECT(ADDRESS(623,16))-INDIRECT(ADDRESS(626,16)),INDIRECT(ADDRESS(627,15))-INDIRECT(ADDRESS(622,16))+INDIRECT(ADDRESS(625,16))-INDIRECT(ADDRESS(626,16)))</f>
        <v>0</v>
      </c>
      <c r="Q627">
        <f>IF(DAY(NOW())&lt;M3,INDIRECT(ADDRESS(627,16))-INDIRECT(ADDRESS(622,17))+INDIRECT(ADDRESS(623,17))-INDIRECT(ADDRESS(626,17)),INDIRECT(ADDRESS(627,16))-INDIRECT(ADDRESS(622,17))+INDIRECT(ADDRESS(625,17))-INDIRECT(ADDRESS(626,17)))</f>
        <v>0</v>
      </c>
      <c r="R627">
        <f>IF(DAY(NOW())&lt;M3,INDIRECT(ADDRESS(627,17))-INDIRECT(ADDRESS(622,18))+INDIRECT(ADDRESS(623,18))-INDIRECT(ADDRESS(626,18)),INDIRECT(ADDRESS(627,17))-INDIRECT(ADDRESS(622,18))+INDIRECT(ADDRESS(625,18))-INDIRECT(ADDRESS(626,18)))</f>
        <v>0</v>
      </c>
      <c r="S627">
        <f>IF(DAY(NOW())&lt;M3,INDIRECT(ADDRESS(627,18))-INDIRECT(ADDRESS(622,19))+INDIRECT(ADDRESS(623,19))-INDIRECT(ADDRESS(626,19)),INDIRECT(ADDRESS(627,18))-INDIRECT(ADDRESS(622,19))+INDIRECT(ADDRESS(625,19))-INDIRECT(ADDRESS(626,19)))</f>
        <v>0</v>
      </c>
      <c r="T627">
        <f>IF(DAY(NOW())&lt;M3,INDIRECT(ADDRESS(627,19))-INDIRECT(ADDRESS(622,20))+INDIRECT(ADDRESS(623,20))-INDIRECT(ADDRESS(626,20)),INDIRECT(ADDRESS(627,19))-INDIRECT(ADDRESS(622,20))+INDIRECT(ADDRESS(625,20))-INDIRECT(ADDRESS(626,20)))</f>
        <v>0</v>
      </c>
      <c r="U627">
        <f>IF(DAY(NOW())&lt;M3,INDIRECT(ADDRESS(627,20))-INDIRECT(ADDRESS(622,21))+INDIRECT(ADDRESS(623,21))-INDIRECT(ADDRESS(626,21)),INDIRECT(ADDRESS(627,20))-INDIRECT(ADDRESS(622,21))+INDIRECT(ADDRESS(625,21))-INDIRECT(ADDRESS(626,21)))</f>
        <v>0</v>
      </c>
      <c r="V627">
        <f>IF(DAY(NOW())&lt;M3,INDIRECT(ADDRESS(627,21))-INDIRECT(ADDRESS(622,22))+INDIRECT(ADDRESS(623,22))-INDIRECT(ADDRESS(626,22)),INDIRECT(ADDRESS(627,21))-INDIRECT(ADDRESS(622,22))+INDIRECT(ADDRESS(625,22))-INDIRECT(ADDRESS(626,22)))</f>
        <v>0</v>
      </c>
      <c r="W627">
        <f>IF(DAY(NOW())&lt;M3,INDIRECT(ADDRESS(627,22))-INDIRECT(ADDRESS(622,23))+INDIRECT(ADDRESS(623,23))-INDIRECT(ADDRESS(626,23)),INDIRECT(ADDRESS(627,22))-INDIRECT(ADDRESS(622,23))+INDIRECT(ADDRESS(625,23))-INDIRECT(ADDRESS(626,23)))</f>
        <v>0</v>
      </c>
      <c r="X627">
        <f>IF(DAY(NOW())&lt;M3,INDIRECT(ADDRESS(627,23))-INDIRECT(ADDRESS(622,24))+INDIRECT(ADDRESS(623,24))-INDIRECT(ADDRESS(626,24)),INDIRECT(ADDRESS(627,23))-INDIRECT(ADDRESS(622,24))+INDIRECT(ADDRESS(625,24))-INDIRECT(ADDRESS(626,24)))</f>
        <v>0</v>
      </c>
      <c r="Y627">
        <f>IF(DAY(NOW())&lt;M3,INDIRECT(ADDRESS(627,24))-INDIRECT(ADDRESS(622,25))+INDIRECT(ADDRESS(623,25))-INDIRECT(ADDRESS(626,25)),INDIRECT(ADDRESS(627,24))-INDIRECT(ADDRESS(622,25))+INDIRECT(ADDRESS(625,25))-INDIRECT(ADDRESS(626,25)))</f>
        <v>0</v>
      </c>
      <c r="Z627">
        <f>IF(DAY(NOW())&lt;M3,INDIRECT(ADDRESS(627,25))-INDIRECT(ADDRESS(622,26))+INDIRECT(ADDRESS(623,26))-INDIRECT(ADDRESS(626,26)),INDIRECT(ADDRESS(627,25))-INDIRECT(ADDRESS(622,26))+INDIRECT(ADDRESS(625,26))-INDIRECT(ADDRESS(626,26)))</f>
        <v>0</v>
      </c>
      <c r="AA627">
        <f>IF(DAY(NOW())&lt;M3,INDIRECT(ADDRESS(627,26))-INDIRECT(ADDRESS(622,27))+INDIRECT(ADDRESS(623,27))-INDIRECT(ADDRESS(626,27)),INDIRECT(ADDRESS(627,26))-INDIRECT(ADDRESS(622,27))+INDIRECT(ADDRESS(625,27))-INDIRECT(ADDRESS(626,27)))</f>
        <v>0</v>
      </c>
      <c r="AB627">
        <f>IF(DAY(NOW())&lt;M3,INDIRECT(ADDRESS(627,27))-INDIRECT(ADDRESS(622,28))+INDIRECT(ADDRESS(623,28))-INDIRECT(ADDRESS(626,28)),INDIRECT(ADDRESS(627,27))-INDIRECT(ADDRESS(622,28))+INDIRECT(ADDRESS(625,28))-INDIRECT(ADDRESS(626,28)))</f>
        <v>0</v>
      </c>
      <c r="AC627">
        <f>IF(DAY(NOW())&lt;M3,INDIRECT(ADDRESS(627,28))-INDIRECT(ADDRESS(622,29))+INDIRECT(ADDRESS(623,29))-INDIRECT(ADDRESS(626,29)),INDIRECT(ADDRESS(627,28))-INDIRECT(ADDRESS(622,29))+INDIRECT(ADDRESS(625,29))-INDIRECT(ADDRESS(626,29)))</f>
        <v>0</v>
      </c>
      <c r="AD627">
        <f>IF(DAY(NOW())&lt;M3,INDIRECT(ADDRESS(627,29))-INDIRECT(ADDRESS(622,30))+INDIRECT(ADDRESS(623,30))-INDIRECT(ADDRESS(626,30)),INDIRECT(ADDRESS(627,29))-INDIRECT(ADDRESS(622,30))+INDIRECT(ADDRESS(625,30))-INDIRECT(ADDRESS(626,30)))</f>
        <v>0</v>
      </c>
      <c r="AE627">
        <f>IF(DAY(NOW())&lt;M3,INDIRECT(ADDRESS(627,30))-INDIRECT(ADDRESS(622,31))+INDIRECT(ADDRESS(623,31))-INDIRECT(ADDRESS(626,31)),INDIRECT(ADDRESS(627,30))-INDIRECT(ADDRESS(622,31))+INDIRECT(ADDRESS(625,31))-INDIRECT(ADDRESS(626,31)))</f>
        <v>0</v>
      </c>
      <c r="AF627">
        <f>IF(DAY(NOW())&lt;M3,INDIRECT(ADDRESS(627,31))-INDIRECT(ADDRESS(622,32))+INDIRECT(ADDRESS(623,32))-INDIRECT(ADDRESS(626,32)),INDIRECT(ADDRESS(627,31))-INDIRECT(ADDRESS(622,32))+INDIRECT(ADDRESS(625,32))-INDIRECT(ADDRESS(626,32)))</f>
        <v>0</v>
      </c>
      <c r="AG627">
        <f>IF(DAY(NOW())&lt;M3,INDIRECT(ADDRESS(627,32))-INDIRECT(ADDRESS(622,33))+INDIRECT(ADDRESS(623,33))-INDIRECT(ADDRESS(626,33)),INDIRECT(ADDRESS(627,32))-INDIRECT(ADDRESS(622,33))+INDIRECT(ADDRESS(625,33))-INDIRECT(ADDRESS(626,33)))</f>
        <v>0</v>
      </c>
      <c r="AH627">
        <f>IF(DAY(NOW())&lt;M3,INDIRECT(ADDRESS(627,33))-INDIRECT(ADDRESS(622,34))+INDIRECT(ADDRESS(623,34))-INDIRECT(ADDRESS(626,34)),INDIRECT(ADDRESS(627,33))-INDIRECT(ADDRESS(622,34))+INDIRECT(ADDRESS(625,34))-INDIRECT(ADDRESS(626,34)))</f>
        <v>0</v>
      </c>
      <c r="AI627">
        <f>IF(DAY(NOW())&lt;M3,INDIRECT(ADDRESS(627,34))-INDIRECT(ADDRESS(622,35))+INDIRECT(ADDRESS(623,35))-INDIRECT(ADDRESS(626,35)),INDIRECT(ADDRESS(627,34))-INDIRECT(ADDRESS(622,35))+INDIRECT(ADDRESS(625,35))-INDIRECT(ADDRESS(626,35)))</f>
        <v>0</v>
      </c>
      <c r="AJ627">
        <f>IF(DAY(NOW())&lt;M3,INDIRECT(ADDRESS(627,35))-INDIRECT(ADDRESS(622,36))+INDIRECT(ADDRESS(623,36))-INDIRECT(ADDRESS(626,36)),INDIRECT(ADDRESS(627,35))-INDIRECT(ADDRESS(622,36))+INDIRECT(ADDRESS(625,36))-INDIRECT(ADDRESS(626,36)))</f>
        <v>0</v>
      </c>
      <c r="AK627">
        <f>IF(DAY(NOW())&lt;M3,INDIRECT(ADDRESS(627,36))-INDIRECT(ADDRESS(622,37))+INDIRECT(ADDRESS(623,37))-INDIRECT(ADDRESS(626,37)),INDIRECT(ADDRESS(627,36))-INDIRECT(ADDRESS(622,37))+INDIRECT(ADDRESS(625,37))-INDIRECT(ADDRESS(626,37)))</f>
        <v>0</v>
      </c>
      <c r="AL627">
        <f>IF(DAY(NOW())&lt;M3,INDIRECT(ADDRESS(627,37))-INDIRECT(ADDRESS(622,38))+INDIRECT(ADDRESS(623,38))-INDIRECT(ADDRESS(626,38)),INDIRECT(ADDRESS(627,37))-INDIRECT(ADDRESS(622,38))+INDIRECT(ADDRESS(625,38))-INDIRECT(ADDRESS(626,38)))</f>
        <v>0</v>
      </c>
      <c r="AM627">
        <f>IF(DAY(NOW())&lt;M3,INDIRECT(ADDRESS(627,38))-INDIRECT(ADDRESS(622,39))+INDIRECT(ADDRESS(623,39))-INDIRECT(ADDRESS(626,39)),INDIRECT(ADDRESS(627,38))-INDIRECT(ADDRESS(622,39))+INDIRECT(ADDRESS(625,39))-INDIRECT(ADDRESS(626,39)))</f>
        <v>0</v>
      </c>
      <c r="AN627">
        <f>IF(DAY(NOW())&lt;M3,INDIRECT(ADDRESS(627,39))-INDIRECT(ADDRESS(622,40))+INDIRECT(ADDRESS(623,40))-INDIRECT(ADDRESS(626,40)),INDIRECT(ADDRESS(627,39))-INDIRECT(ADDRESS(622,40))+INDIRECT(ADDRESS(625,40))-INDIRECT(ADDRESS(626,40)))</f>
        <v>0</v>
      </c>
      <c r="AO627">
        <f>IF(DAY(NOW())&lt;M3,INDIRECT(ADDRESS(627,40))-INDIRECT(ADDRESS(622,41))+INDIRECT(ADDRESS(623,41))-INDIRECT(ADDRESS(626,41)),INDIRECT(ADDRESS(627,40))-INDIRECT(ADDRESS(622,41))+INDIRECT(ADDRESS(625,41))-INDIRECT(ADDRESS(626,41)))</f>
        <v>0</v>
      </c>
      <c r="AP627">
        <f>IF(DAY(NOW())&lt;M3,INDIRECT(ADDRESS(627,41))-INDIRECT(ADDRESS(622,42))+INDIRECT(ADDRESS(623,42))-INDIRECT(ADDRESS(626,42)),INDIRECT(ADDRESS(627,41))-INDIRECT(ADDRESS(622,42))+INDIRECT(ADDRESS(625,42))-INDIRECT(ADDRESS(626,42)))</f>
        <v>0</v>
      </c>
      <c r="AQ627">
        <f>IF(DAY(NOW())&lt;M3,INDIRECT(ADDRESS(627,42))-INDIRECT(ADDRESS(622,43))+INDIRECT(ADDRESS(623,43))-INDIRECT(ADDRESS(626,43)),INDIRECT(ADDRESS(627,42))-INDIRECT(ADDRESS(622,43))+INDIRECT(ADDRESS(625,43))-INDIRECT(ADDRESS(626,43)))</f>
        <v>0</v>
      </c>
      <c r="AR627">
        <f>IF(DAY(NOW())&lt;M3,INDIRECT(ADDRESS(627,43))-INDIRECT(ADDRESS(622,44))+INDIRECT(ADDRESS(623,44))-INDIRECT(ADDRESS(626,44)),INDIRECT(ADDRESS(627,43))-INDIRECT(ADDRESS(622,44))+INDIRECT(ADDRESS(625,44))-INDIRECT(ADDRESS(626,44)))</f>
        <v>0</v>
      </c>
    </row>
    <row r="628" spans="1:76">
      <c r="A628" t="s">
        <v>14</v>
      </c>
      <c r="B628" t="s">
        <v>85</v>
      </c>
      <c r="C628" t="s">
        <v>86</v>
      </c>
      <c r="D628" t="s">
        <v>256</v>
      </c>
      <c r="E628">
        <v>1</v>
      </c>
      <c r="F628" t="s">
        <v>87</v>
      </c>
      <c r="K628" t="s">
        <v>305</v>
      </c>
      <c r="L628" t="s">
        <v>21</v>
      </c>
      <c r="BX628">
        <f>sum(j628:an628)</f>
        <v>0</v>
      </c>
    </row>
    <row r="629" spans="1:76">
      <c r="A629" t="s">
        <v>14</v>
      </c>
      <c r="B629" t="s">
        <v>85</v>
      </c>
      <c r="C629" t="s">
        <v>86</v>
      </c>
      <c r="D629" t="s">
        <v>256</v>
      </c>
      <c r="E629">
        <v>1</v>
      </c>
      <c r="F629" t="s">
        <v>87</v>
      </c>
      <c r="K629" t="s">
        <v>305</v>
      </c>
      <c r="L629" t="s">
        <v>37</v>
      </c>
    </row>
    <row r="630" spans="1:76">
      <c r="L630" t="s">
        <v>662</v>
      </c>
    </row>
    <row r="631" spans="1:76">
      <c r="L631" t="s">
        <v>663</v>
      </c>
    </row>
    <row r="632" spans="1:76">
      <c r="L632" t="s">
        <v>664</v>
      </c>
    </row>
    <row r="633" spans="1:76">
      <c r="L633" t="s">
        <v>665</v>
      </c>
      <c r="M633">
        <f>IF(DAY(NOW())&lt;M3,INDIRECT(ADDRESS(633,7))-INDIRECT(ADDRESS(628,13))+INDIRECT(ADDRESS(629,13))-INDIRECT(ADDRESS(632,13)),INDIRECT(ADDRESS(633,7))-INDIRECT(ADDRESS(628,13))+INDIRECT(ADDRESS(631,13))-INDIRECT(ADDRESS(632,13)))</f>
        <v>0</v>
      </c>
      <c r="N633">
        <f>IF(DAY(NOW())&lt;M3,INDIRECT(ADDRESS(633,13))-INDIRECT(ADDRESS(628,14))+INDIRECT(ADDRESS(629,14))-INDIRECT(ADDRESS(632,14)),INDIRECT(ADDRESS(633,13))-INDIRECT(ADDRESS(628,14))+INDIRECT(ADDRESS(631,14))-INDIRECT(ADDRESS(632,14)))</f>
        <v>0</v>
      </c>
      <c r="O633">
        <f>IF(DAY(NOW())&lt;M3,INDIRECT(ADDRESS(633,14))-INDIRECT(ADDRESS(628,15))+INDIRECT(ADDRESS(629,15))-INDIRECT(ADDRESS(632,15)),INDIRECT(ADDRESS(633,14))-INDIRECT(ADDRESS(628,15))+INDIRECT(ADDRESS(631,15))-INDIRECT(ADDRESS(632,15)))</f>
        <v>0</v>
      </c>
      <c r="P633">
        <f>IF(DAY(NOW())&lt;M3,INDIRECT(ADDRESS(633,15))-INDIRECT(ADDRESS(628,16))+INDIRECT(ADDRESS(629,16))-INDIRECT(ADDRESS(632,16)),INDIRECT(ADDRESS(633,15))-INDIRECT(ADDRESS(628,16))+INDIRECT(ADDRESS(631,16))-INDIRECT(ADDRESS(632,16)))</f>
        <v>0</v>
      </c>
      <c r="Q633">
        <f>IF(DAY(NOW())&lt;M3,INDIRECT(ADDRESS(633,16))-INDIRECT(ADDRESS(628,17))+INDIRECT(ADDRESS(629,17))-INDIRECT(ADDRESS(632,17)),INDIRECT(ADDRESS(633,16))-INDIRECT(ADDRESS(628,17))+INDIRECT(ADDRESS(631,17))-INDIRECT(ADDRESS(632,17)))</f>
        <v>0</v>
      </c>
      <c r="R633">
        <f>IF(DAY(NOW())&lt;M3,INDIRECT(ADDRESS(633,17))-INDIRECT(ADDRESS(628,18))+INDIRECT(ADDRESS(629,18))-INDIRECT(ADDRESS(632,18)),INDIRECT(ADDRESS(633,17))-INDIRECT(ADDRESS(628,18))+INDIRECT(ADDRESS(631,18))-INDIRECT(ADDRESS(632,18)))</f>
        <v>0</v>
      </c>
      <c r="S633">
        <f>IF(DAY(NOW())&lt;M3,INDIRECT(ADDRESS(633,18))-INDIRECT(ADDRESS(628,19))+INDIRECT(ADDRESS(629,19))-INDIRECT(ADDRESS(632,19)),INDIRECT(ADDRESS(633,18))-INDIRECT(ADDRESS(628,19))+INDIRECT(ADDRESS(631,19))-INDIRECT(ADDRESS(632,19)))</f>
        <v>0</v>
      </c>
      <c r="T633">
        <f>IF(DAY(NOW())&lt;M3,INDIRECT(ADDRESS(633,19))-INDIRECT(ADDRESS(628,20))+INDIRECT(ADDRESS(629,20))-INDIRECT(ADDRESS(632,20)),INDIRECT(ADDRESS(633,19))-INDIRECT(ADDRESS(628,20))+INDIRECT(ADDRESS(631,20))-INDIRECT(ADDRESS(632,20)))</f>
        <v>0</v>
      </c>
      <c r="U633">
        <f>IF(DAY(NOW())&lt;M3,INDIRECT(ADDRESS(633,20))-INDIRECT(ADDRESS(628,21))+INDIRECT(ADDRESS(629,21))-INDIRECT(ADDRESS(632,21)),INDIRECT(ADDRESS(633,20))-INDIRECT(ADDRESS(628,21))+INDIRECT(ADDRESS(631,21))-INDIRECT(ADDRESS(632,21)))</f>
        <v>0</v>
      </c>
      <c r="V633">
        <f>IF(DAY(NOW())&lt;M3,INDIRECT(ADDRESS(633,21))-INDIRECT(ADDRESS(628,22))+INDIRECT(ADDRESS(629,22))-INDIRECT(ADDRESS(632,22)),INDIRECT(ADDRESS(633,21))-INDIRECT(ADDRESS(628,22))+INDIRECT(ADDRESS(631,22))-INDIRECT(ADDRESS(632,22)))</f>
        <v>0</v>
      </c>
      <c r="W633">
        <f>IF(DAY(NOW())&lt;M3,INDIRECT(ADDRESS(633,22))-INDIRECT(ADDRESS(628,23))+INDIRECT(ADDRESS(629,23))-INDIRECT(ADDRESS(632,23)),INDIRECT(ADDRESS(633,22))-INDIRECT(ADDRESS(628,23))+INDIRECT(ADDRESS(631,23))-INDIRECT(ADDRESS(632,23)))</f>
        <v>0</v>
      </c>
      <c r="X633">
        <f>IF(DAY(NOW())&lt;M3,INDIRECT(ADDRESS(633,23))-INDIRECT(ADDRESS(628,24))+INDIRECT(ADDRESS(629,24))-INDIRECT(ADDRESS(632,24)),INDIRECT(ADDRESS(633,23))-INDIRECT(ADDRESS(628,24))+INDIRECT(ADDRESS(631,24))-INDIRECT(ADDRESS(632,24)))</f>
        <v>0</v>
      </c>
      <c r="Y633">
        <f>IF(DAY(NOW())&lt;M3,INDIRECT(ADDRESS(633,24))-INDIRECT(ADDRESS(628,25))+INDIRECT(ADDRESS(629,25))-INDIRECT(ADDRESS(632,25)),INDIRECT(ADDRESS(633,24))-INDIRECT(ADDRESS(628,25))+INDIRECT(ADDRESS(631,25))-INDIRECT(ADDRESS(632,25)))</f>
        <v>0</v>
      </c>
      <c r="Z633">
        <f>IF(DAY(NOW())&lt;M3,INDIRECT(ADDRESS(633,25))-INDIRECT(ADDRESS(628,26))+INDIRECT(ADDRESS(629,26))-INDIRECT(ADDRESS(632,26)),INDIRECT(ADDRESS(633,25))-INDIRECT(ADDRESS(628,26))+INDIRECT(ADDRESS(631,26))-INDIRECT(ADDRESS(632,26)))</f>
        <v>0</v>
      </c>
      <c r="AA633">
        <f>IF(DAY(NOW())&lt;M3,INDIRECT(ADDRESS(633,26))-INDIRECT(ADDRESS(628,27))+INDIRECT(ADDRESS(629,27))-INDIRECT(ADDRESS(632,27)),INDIRECT(ADDRESS(633,26))-INDIRECT(ADDRESS(628,27))+INDIRECT(ADDRESS(631,27))-INDIRECT(ADDRESS(632,27)))</f>
        <v>0</v>
      </c>
      <c r="AB633">
        <f>IF(DAY(NOW())&lt;M3,INDIRECT(ADDRESS(633,27))-INDIRECT(ADDRESS(628,28))+INDIRECT(ADDRESS(629,28))-INDIRECT(ADDRESS(632,28)),INDIRECT(ADDRESS(633,27))-INDIRECT(ADDRESS(628,28))+INDIRECT(ADDRESS(631,28))-INDIRECT(ADDRESS(632,28)))</f>
        <v>0</v>
      </c>
      <c r="AC633">
        <f>IF(DAY(NOW())&lt;M3,INDIRECT(ADDRESS(633,28))-INDIRECT(ADDRESS(628,29))+INDIRECT(ADDRESS(629,29))-INDIRECT(ADDRESS(632,29)),INDIRECT(ADDRESS(633,28))-INDIRECT(ADDRESS(628,29))+INDIRECT(ADDRESS(631,29))-INDIRECT(ADDRESS(632,29)))</f>
        <v>0</v>
      </c>
      <c r="AD633">
        <f>IF(DAY(NOW())&lt;M3,INDIRECT(ADDRESS(633,29))-INDIRECT(ADDRESS(628,30))+INDIRECT(ADDRESS(629,30))-INDIRECT(ADDRESS(632,30)),INDIRECT(ADDRESS(633,29))-INDIRECT(ADDRESS(628,30))+INDIRECT(ADDRESS(631,30))-INDIRECT(ADDRESS(632,30)))</f>
        <v>0</v>
      </c>
      <c r="AE633">
        <f>IF(DAY(NOW())&lt;M3,INDIRECT(ADDRESS(633,30))-INDIRECT(ADDRESS(628,31))+INDIRECT(ADDRESS(629,31))-INDIRECT(ADDRESS(632,31)),INDIRECT(ADDRESS(633,30))-INDIRECT(ADDRESS(628,31))+INDIRECT(ADDRESS(631,31))-INDIRECT(ADDRESS(632,31)))</f>
        <v>0</v>
      </c>
      <c r="AF633">
        <f>IF(DAY(NOW())&lt;M3,INDIRECT(ADDRESS(633,31))-INDIRECT(ADDRESS(628,32))+INDIRECT(ADDRESS(629,32))-INDIRECT(ADDRESS(632,32)),INDIRECT(ADDRESS(633,31))-INDIRECT(ADDRESS(628,32))+INDIRECT(ADDRESS(631,32))-INDIRECT(ADDRESS(632,32)))</f>
        <v>0</v>
      </c>
      <c r="AG633">
        <f>IF(DAY(NOW())&lt;M3,INDIRECT(ADDRESS(633,32))-INDIRECT(ADDRESS(628,33))+INDIRECT(ADDRESS(629,33))-INDIRECT(ADDRESS(632,33)),INDIRECT(ADDRESS(633,32))-INDIRECT(ADDRESS(628,33))+INDIRECT(ADDRESS(631,33))-INDIRECT(ADDRESS(632,33)))</f>
        <v>0</v>
      </c>
      <c r="AH633">
        <f>IF(DAY(NOW())&lt;M3,INDIRECT(ADDRESS(633,33))-INDIRECT(ADDRESS(628,34))+INDIRECT(ADDRESS(629,34))-INDIRECT(ADDRESS(632,34)),INDIRECT(ADDRESS(633,33))-INDIRECT(ADDRESS(628,34))+INDIRECT(ADDRESS(631,34))-INDIRECT(ADDRESS(632,34)))</f>
        <v>0</v>
      </c>
      <c r="AI633">
        <f>IF(DAY(NOW())&lt;M3,INDIRECT(ADDRESS(633,34))-INDIRECT(ADDRESS(628,35))+INDIRECT(ADDRESS(629,35))-INDIRECT(ADDRESS(632,35)),INDIRECT(ADDRESS(633,34))-INDIRECT(ADDRESS(628,35))+INDIRECT(ADDRESS(631,35))-INDIRECT(ADDRESS(632,35)))</f>
        <v>0</v>
      </c>
      <c r="AJ633">
        <f>IF(DAY(NOW())&lt;M3,INDIRECT(ADDRESS(633,35))-INDIRECT(ADDRESS(628,36))+INDIRECT(ADDRESS(629,36))-INDIRECT(ADDRESS(632,36)),INDIRECT(ADDRESS(633,35))-INDIRECT(ADDRESS(628,36))+INDIRECT(ADDRESS(631,36))-INDIRECT(ADDRESS(632,36)))</f>
        <v>0</v>
      </c>
      <c r="AK633">
        <f>IF(DAY(NOW())&lt;M3,INDIRECT(ADDRESS(633,36))-INDIRECT(ADDRESS(628,37))+INDIRECT(ADDRESS(629,37))-INDIRECT(ADDRESS(632,37)),INDIRECT(ADDRESS(633,36))-INDIRECT(ADDRESS(628,37))+INDIRECT(ADDRESS(631,37))-INDIRECT(ADDRESS(632,37)))</f>
        <v>0</v>
      </c>
      <c r="AL633">
        <f>IF(DAY(NOW())&lt;M3,INDIRECT(ADDRESS(633,37))-INDIRECT(ADDRESS(628,38))+INDIRECT(ADDRESS(629,38))-INDIRECT(ADDRESS(632,38)),INDIRECT(ADDRESS(633,37))-INDIRECT(ADDRESS(628,38))+INDIRECT(ADDRESS(631,38))-INDIRECT(ADDRESS(632,38)))</f>
        <v>0</v>
      </c>
      <c r="AM633">
        <f>IF(DAY(NOW())&lt;M3,INDIRECT(ADDRESS(633,38))-INDIRECT(ADDRESS(628,39))+INDIRECT(ADDRESS(629,39))-INDIRECT(ADDRESS(632,39)),INDIRECT(ADDRESS(633,38))-INDIRECT(ADDRESS(628,39))+INDIRECT(ADDRESS(631,39))-INDIRECT(ADDRESS(632,39)))</f>
        <v>0</v>
      </c>
      <c r="AN633">
        <f>IF(DAY(NOW())&lt;M3,INDIRECT(ADDRESS(633,39))-INDIRECT(ADDRESS(628,40))+INDIRECT(ADDRESS(629,40))-INDIRECT(ADDRESS(632,40)),INDIRECT(ADDRESS(633,39))-INDIRECT(ADDRESS(628,40))+INDIRECT(ADDRESS(631,40))-INDIRECT(ADDRESS(632,40)))</f>
        <v>0</v>
      </c>
      <c r="AO633">
        <f>IF(DAY(NOW())&lt;M3,INDIRECT(ADDRESS(633,40))-INDIRECT(ADDRESS(628,41))+INDIRECT(ADDRESS(629,41))-INDIRECT(ADDRESS(632,41)),INDIRECT(ADDRESS(633,40))-INDIRECT(ADDRESS(628,41))+INDIRECT(ADDRESS(631,41))-INDIRECT(ADDRESS(632,41)))</f>
        <v>0</v>
      </c>
      <c r="AP633">
        <f>IF(DAY(NOW())&lt;M3,INDIRECT(ADDRESS(633,41))-INDIRECT(ADDRESS(628,42))+INDIRECT(ADDRESS(629,42))-INDIRECT(ADDRESS(632,42)),INDIRECT(ADDRESS(633,41))-INDIRECT(ADDRESS(628,42))+INDIRECT(ADDRESS(631,42))-INDIRECT(ADDRESS(632,42)))</f>
        <v>0</v>
      </c>
      <c r="AQ633">
        <f>IF(DAY(NOW())&lt;M3,INDIRECT(ADDRESS(633,42))-INDIRECT(ADDRESS(628,43))+INDIRECT(ADDRESS(629,43))-INDIRECT(ADDRESS(632,43)),INDIRECT(ADDRESS(633,42))-INDIRECT(ADDRESS(628,43))+INDIRECT(ADDRESS(631,43))-INDIRECT(ADDRESS(632,43)))</f>
        <v>0</v>
      </c>
      <c r="AR633">
        <f>IF(DAY(NOW())&lt;M3,INDIRECT(ADDRESS(633,43))-INDIRECT(ADDRESS(628,44))+INDIRECT(ADDRESS(629,44))-INDIRECT(ADDRESS(632,44)),INDIRECT(ADDRESS(633,43))-INDIRECT(ADDRESS(628,44))+INDIRECT(ADDRESS(631,44))-INDIRECT(ADDRESS(632,44)))</f>
        <v>0</v>
      </c>
    </row>
    <row r="634" spans="1:76">
      <c r="A634" t="s">
        <v>14</v>
      </c>
      <c r="B634" t="s">
        <v>92</v>
      </c>
      <c r="C634" t="s">
        <v>93</v>
      </c>
      <c r="D634" t="s">
        <v>256</v>
      </c>
      <c r="E634">
        <v>1</v>
      </c>
      <c r="F634" t="s">
        <v>94</v>
      </c>
      <c r="K634" t="s">
        <v>305</v>
      </c>
      <c r="L634" t="s">
        <v>21</v>
      </c>
      <c r="BX634">
        <f>sum(j634:an634)</f>
        <v>0</v>
      </c>
    </row>
    <row r="635" spans="1:76">
      <c r="A635" t="s">
        <v>14</v>
      </c>
      <c r="B635" t="s">
        <v>92</v>
      </c>
      <c r="C635" t="s">
        <v>93</v>
      </c>
      <c r="D635" t="s">
        <v>256</v>
      </c>
      <c r="E635">
        <v>1</v>
      </c>
      <c r="F635" t="s">
        <v>94</v>
      </c>
      <c r="K635" t="s">
        <v>305</v>
      </c>
      <c r="L635" t="s">
        <v>37</v>
      </c>
    </row>
    <row r="636" spans="1:76">
      <c r="L636" t="s">
        <v>662</v>
      </c>
    </row>
    <row r="637" spans="1:76">
      <c r="L637" t="s">
        <v>663</v>
      </c>
    </row>
    <row r="638" spans="1:76">
      <c r="L638" t="s">
        <v>664</v>
      </c>
    </row>
    <row r="639" spans="1:76">
      <c r="L639" t="s">
        <v>665</v>
      </c>
      <c r="M639">
        <f>IF(DAY(NOW())&lt;M3,INDIRECT(ADDRESS(639,7))-INDIRECT(ADDRESS(634,13))+INDIRECT(ADDRESS(635,13))-INDIRECT(ADDRESS(638,13)),INDIRECT(ADDRESS(639,7))-INDIRECT(ADDRESS(634,13))+INDIRECT(ADDRESS(637,13))-INDIRECT(ADDRESS(638,13)))</f>
        <v>0</v>
      </c>
      <c r="N639">
        <f>IF(DAY(NOW())&lt;M3,INDIRECT(ADDRESS(639,13))-INDIRECT(ADDRESS(634,14))+INDIRECT(ADDRESS(635,14))-INDIRECT(ADDRESS(638,14)),INDIRECT(ADDRESS(639,13))-INDIRECT(ADDRESS(634,14))+INDIRECT(ADDRESS(637,14))-INDIRECT(ADDRESS(638,14)))</f>
        <v>0</v>
      </c>
      <c r="O639">
        <f>IF(DAY(NOW())&lt;M3,INDIRECT(ADDRESS(639,14))-INDIRECT(ADDRESS(634,15))+INDIRECT(ADDRESS(635,15))-INDIRECT(ADDRESS(638,15)),INDIRECT(ADDRESS(639,14))-INDIRECT(ADDRESS(634,15))+INDIRECT(ADDRESS(637,15))-INDIRECT(ADDRESS(638,15)))</f>
        <v>0</v>
      </c>
      <c r="P639">
        <f>IF(DAY(NOW())&lt;M3,INDIRECT(ADDRESS(639,15))-INDIRECT(ADDRESS(634,16))+INDIRECT(ADDRESS(635,16))-INDIRECT(ADDRESS(638,16)),INDIRECT(ADDRESS(639,15))-INDIRECT(ADDRESS(634,16))+INDIRECT(ADDRESS(637,16))-INDIRECT(ADDRESS(638,16)))</f>
        <v>0</v>
      </c>
      <c r="Q639">
        <f>IF(DAY(NOW())&lt;M3,INDIRECT(ADDRESS(639,16))-INDIRECT(ADDRESS(634,17))+INDIRECT(ADDRESS(635,17))-INDIRECT(ADDRESS(638,17)),INDIRECT(ADDRESS(639,16))-INDIRECT(ADDRESS(634,17))+INDIRECT(ADDRESS(637,17))-INDIRECT(ADDRESS(638,17)))</f>
        <v>0</v>
      </c>
      <c r="R639">
        <f>IF(DAY(NOW())&lt;M3,INDIRECT(ADDRESS(639,17))-INDIRECT(ADDRESS(634,18))+INDIRECT(ADDRESS(635,18))-INDIRECT(ADDRESS(638,18)),INDIRECT(ADDRESS(639,17))-INDIRECT(ADDRESS(634,18))+INDIRECT(ADDRESS(637,18))-INDIRECT(ADDRESS(638,18)))</f>
        <v>0</v>
      </c>
      <c r="S639">
        <f>IF(DAY(NOW())&lt;M3,INDIRECT(ADDRESS(639,18))-INDIRECT(ADDRESS(634,19))+INDIRECT(ADDRESS(635,19))-INDIRECT(ADDRESS(638,19)),INDIRECT(ADDRESS(639,18))-INDIRECT(ADDRESS(634,19))+INDIRECT(ADDRESS(637,19))-INDIRECT(ADDRESS(638,19)))</f>
        <v>0</v>
      </c>
      <c r="T639">
        <f>IF(DAY(NOW())&lt;M3,INDIRECT(ADDRESS(639,19))-INDIRECT(ADDRESS(634,20))+INDIRECT(ADDRESS(635,20))-INDIRECT(ADDRESS(638,20)),INDIRECT(ADDRESS(639,19))-INDIRECT(ADDRESS(634,20))+INDIRECT(ADDRESS(637,20))-INDIRECT(ADDRESS(638,20)))</f>
        <v>0</v>
      </c>
      <c r="U639">
        <f>IF(DAY(NOW())&lt;M3,INDIRECT(ADDRESS(639,20))-INDIRECT(ADDRESS(634,21))+INDIRECT(ADDRESS(635,21))-INDIRECT(ADDRESS(638,21)),INDIRECT(ADDRESS(639,20))-INDIRECT(ADDRESS(634,21))+INDIRECT(ADDRESS(637,21))-INDIRECT(ADDRESS(638,21)))</f>
        <v>0</v>
      </c>
      <c r="V639">
        <f>IF(DAY(NOW())&lt;M3,INDIRECT(ADDRESS(639,21))-INDIRECT(ADDRESS(634,22))+INDIRECT(ADDRESS(635,22))-INDIRECT(ADDRESS(638,22)),INDIRECT(ADDRESS(639,21))-INDIRECT(ADDRESS(634,22))+INDIRECT(ADDRESS(637,22))-INDIRECT(ADDRESS(638,22)))</f>
        <v>0</v>
      </c>
      <c r="W639">
        <f>IF(DAY(NOW())&lt;M3,INDIRECT(ADDRESS(639,22))-INDIRECT(ADDRESS(634,23))+INDIRECT(ADDRESS(635,23))-INDIRECT(ADDRESS(638,23)),INDIRECT(ADDRESS(639,22))-INDIRECT(ADDRESS(634,23))+INDIRECT(ADDRESS(637,23))-INDIRECT(ADDRESS(638,23)))</f>
        <v>0</v>
      </c>
      <c r="X639">
        <f>IF(DAY(NOW())&lt;M3,INDIRECT(ADDRESS(639,23))-INDIRECT(ADDRESS(634,24))+INDIRECT(ADDRESS(635,24))-INDIRECT(ADDRESS(638,24)),INDIRECT(ADDRESS(639,23))-INDIRECT(ADDRESS(634,24))+INDIRECT(ADDRESS(637,24))-INDIRECT(ADDRESS(638,24)))</f>
        <v>0</v>
      </c>
      <c r="Y639">
        <f>IF(DAY(NOW())&lt;M3,INDIRECT(ADDRESS(639,24))-INDIRECT(ADDRESS(634,25))+INDIRECT(ADDRESS(635,25))-INDIRECT(ADDRESS(638,25)),INDIRECT(ADDRESS(639,24))-INDIRECT(ADDRESS(634,25))+INDIRECT(ADDRESS(637,25))-INDIRECT(ADDRESS(638,25)))</f>
        <v>0</v>
      </c>
      <c r="Z639">
        <f>IF(DAY(NOW())&lt;M3,INDIRECT(ADDRESS(639,25))-INDIRECT(ADDRESS(634,26))+INDIRECT(ADDRESS(635,26))-INDIRECT(ADDRESS(638,26)),INDIRECT(ADDRESS(639,25))-INDIRECT(ADDRESS(634,26))+INDIRECT(ADDRESS(637,26))-INDIRECT(ADDRESS(638,26)))</f>
        <v>0</v>
      </c>
      <c r="AA639">
        <f>IF(DAY(NOW())&lt;M3,INDIRECT(ADDRESS(639,26))-INDIRECT(ADDRESS(634,27))+INDIRECT(ADDRESS(635,27))-INDIRECT(ADDRESS(638,27)),INDIRECT(ADDRESS(639,26))-INDIRECT(ADDRESS(634,27))+INDIRECT(ADDRESS(637,27))-INDIRECT(ADDRESS(638,27)))</f>
        <v>0</v>
      </c>
      <c r="AB639">
        <f>IF(DAY(NOW())&lt;M3,INDIRECT(ADDRESS(639,27))-INDIRECT(ADDRESS(634,28))+INDIRECT(ADDRESS(635,28))-INDIRECT(ADDRESS(638,28)),INDIRECT(ADDRESS(639,27))-INDIRECT(ADDRESS(634,28))+INDIRECT(ADDRESS(637,28))-INDIRECT(ADDRESS(638,28)))</f>
        <v>0</v>
      </c>
      <c r="AC639">
        <f>IF(DAY(NOW())&lt;M3,INDIRECT(ADDRESS(639,28))-INDIRECT(ADDRESS(634,29))+INDIRECT(ADDRESS(635,29))-INDIRECT(ADDRESS(638,29)),INDIRECT(ADDRESS(639,28))-INDIRECT(ADDRESS(634,29))+INDIRECT(ADDRESS(637,29))-INDIRECT(ADDRESS(638,29)))</f>
        <v>0</v>
      </c>
      <c r="AD639">
        <f>IF(DAY(NOW())&lt;M3,INDIRECT(ADDRESS(639,29))-INDIRECT(ADDRESS(634,30))+INDIRECT(ADDRESS(635,30))-INDIRECT(ADDRESS(638,30)),INDIRECT(ADDRESS(639,29))-INDIRECT(ADDRESS(634,30))+INDIRECT(ADDRESS(637,30))-INDIRECT(ADDRESS(638,30)))</f>
        <v>0</v>
      </c>
      <c r="AE639">
        <f>IF(DAY(NOW())&lt;M3,INDIRECT(ADDRESS(639,30))-INDIRECT(ADDRESS(634,31))+INDIRECT(ADDRESS(635,31))-INDIRECT(ADDRESS(638,31)),INDIRECT(ADDRESS(639,30))-INDIRECT(ADDRESS(634,31))+INDIRECT(ADDRESS(637,31))-INDIRECT(ADDRESS(638,31)))</f>
        <v>0</v>
      </c>
      <c r="AF639">
        <f>IF(DAY(NOW())&lt;M3,INDIRECT(ADDRESS(639,31))-INDIRECT(ADDRESS(634,32))+INDIRECT(ADDRESS(635,32))-INDIRECT(ADDRESS(638,32)),INDIRECT(ADDRESS(639,31))-INDIRECT(ADDRESS(634,32))+INDIRECT(ADDRESS(637,32))-INDIRECT(ADDRESS(638,32)))</f>
        <v>0</v>
      </c>
      <c r="AG639">
        <f>IF(DAY(NOW())&lt;M3,INDIRECT(ADDRESS(639,32))-INDIRECT(ADDRESS(634,33))+INDIRECT(ADDRESS(635,33))-INDIRECT(ADDRESS(638,33)),INDIRECT(ADDRESS(639,32))-INDIRECT(ADDRESS(634,33))+INDIRECT(ADDRESS(637,33))-INDIRECT(ADDRESS(638,33)))</f>
        <v>0</v>
      </c>
      <c r="AH639">
        <f>IF(DAY(NOW())&lt;M3,INDIRECT(ADDRESS(639,33))-INDIRECT(ADDRESS(634,34))+INDIRECT(ADDRESS(635,34))-INDIRECT(ADDRESS(638,34)),INDIRECT(ADDRESS(639,33))-INDIRECT(ADDRESS(634,34))+INDIRECT(ADDRESS(637,34))-INDIRECT(ADDRESS(638,34)))</f>
        <v>0</v>
      </c>
      <c r="AI639">
        <f>IF(DAY(NOW())&lt;M3,INDIRECT(ADDRESS(639,34))-INDIRECT(ADDRESS(634,35))+INDIRECT(ADDRESS(635,35))-INDIRECT(ADDRESS(638,35)),INDIRECT(ADDRESS(639,34))-INDIRECT(ADDRESS(634,35))+INDIRECT(ADDRESS(637,35))-INDIRECT(ADDRESS(638,35)))</f>
        <v>0</v>
      </c>
      <c r="AJ639">
        <f>IF(DAY(NOW())&lt;M3,INDIRECT(ADDRESS(639,35))-INDIRECT(ADDRESS(634,36))+INDIRECT(ADDRESS(635,36))-INDIRECT(ADDRESS(638,36)),INDIRECT(ADDRESS(639,35))-INDIRECT(ADDRESS(634,36))+INDIRECT(ADDRESS(637,36))-INDIRECT(ADDRESS(638,36)))</f>
        <v>0</v>
      </c>
      <c r="AK639">
        <f>IF(DAY(NOW())&lt;M3,INDIRECT(ADDRESS(639,36))-INDIRECT(ADDRESS(634,37))+INDIRECT(ADDRESS(635,37))-INDIRECT(ADDRESS(638,37)),INDIRECT(ADDRESS(639,36))-INDIRECT(ADDRESS(634,37))+INDIRECT(ADDRESS(637,37))-INDIRECT(ADDRESS(638,37)))</f>
        <v>0</v>
      </c>
      <c r="AL639">
        <f>IF(DAY(NOW())&lt;M3,INDIRECT(ADDRESS(639,37))-INDIRECT(ADDRESS(634,38))+INDIRECT(ADDRESS(635,38))-INDIRECT(ADDRESS(638,38)),INDIRECT(ADDRESS(639,37))-INDIRECT(ADDRESS(634,38))+INDIRECT(ADDRESS(637,38))-INDIRECT(ADDRESS(638,38)))</f>
        <v>0</v>
      </c>
      <c r="AM639">
        <f>IF(DAY(NOW())&lt;M3,INDIRECT(ADDRESS(639,38))-INDIRECT(ADDRESS(634,39))+INDIRECT(ADDRESS(635,39))-INDIRECT(ADDRESS(638,39)),INDIRECT(ADDRESS(639,38))-INDIRECT(ADDRESS(634,39))+INDIRECT(ADDRESS(637,39))-INDIRECT(ADDRESS(638,39)))</f>
        <v>0</v>
      </c>
      <c r="AN639">
        <f>IF(DAY(NOW())&lt;M3,INDIRECT(ADDRESS(639,39))-INDIRECT(ADDRESS(634,40))+INDIRECT(ADDRESS(635,40))-INDIRECT(ADDRESS(638,40)),INDIRECT(ADDRESS(639,39))-INDIRECT(ADDRESS(634,40))+INDIRECT(ADDRESS(637,40))-INDIRECT(ADDRESS(638,40)))</f>
        <v>0</v>
      </c>
      <c r="AO639">
        <f>IF(DAY(NOW())&lt;M3,INDIRECT(ADDRESS(639,40))-INDIRECT(ADDRESS(634,41))+INDIRECT(ADDRESS(635,41))-INDIRECT(ADDRESS(638,41)),INDIRECT(ADDRESS(639,40))-INDIRECT(ADDRESS(634,41))+INDIRECT(ADDRESS(637,41))-INDIRECT(ADDRESS(638,41)))</f>
        <v>0</v>
      </c>
      <c r="AP639">
        <f>IF(DAY(NOW())&lt;M3,INDIRECT(ADDRESS(639,41))-INDIRECT(ADDRESS(634,42))+INDIRECT(ADDRESS(635,42))-INDIRECT(ADDRESS(638,42)),INDIRECT(ADDRESS(639,41))-INDIRECT(ADDRESS(634,42))+INDIRECT(ADDRESS(637,42))-INDIRECT(ADDRESS(638,42)))</f>
        <v>0</v>
      </c>
      <c r="AQ639">
        <f>IF(DAY(NOW())&lt;M3,INDIRECT(ADDRESS(639,42))-INDIRECT(ADDRESS(634,43))+INDIRECT(ADDRESS(635,43))-INDIRECT(ADDRESS(638,43)),INDIRECT(ADDRESS(639,42))-INDIRECT(ADDRESS(634,43))+INDIRECT(ADDRESS(637,43))-INDIRECT(ADDRESS(638,43)))</f>
        <v>0</v>
      </c>
      <c r="AR639">
        <f>IF(DAY(NOW())&lt;M3,INDIRECT(ADDRESS(639,43))-INDIRECT(ADDRESS(634,44))+INDIRECT(ADDRESS(635,44))-INDIRECT(ADDRESS(638,44)),INDIRECT(ADDRESS(639,43))-INDIRECT(ADDRESS(634,44))+INDIRECT(ADDRESS(637,44))-INDIRECT(ADDRESS(638,44)))</f>
        <v>0</v>
      </c>
    </row>
    <row r="640" spans="1:76">
      <c r="A640" t="s">
        <v>31</v>
      </c>
      <c r="B640" t="s">
        <v>327</v>
      </c>
      <c r="C640" t="s">
        <v>328</v>
      </c>
      <c r="D640" t="s">
        <v>329</v>
      </c>
      <c r="E640">
        <v>3</v>
      </c>
      <c r="F640" t="s">
        <v>330</v>
      </c>
      <c r="K640" t="s">
        <v>308</v>
      </c>
      <c r="L640" t="s">
        <v>21</v>
      </c>
      <c r="M640">
        <f>sumifs(BOM!m:m,BOM!A:A,".1",BOM!B:B,"232-006600-000")</f>
        <v>0</v>
      </c>
      <c r="N640">
        <f>sumifs(BOM!n:n,BOM!A:A,".1",BOM!B:B,"232-006600-000")</f>
        <v>0</v>
      </c>
      <c r="O640">
        <f>sumifs(BOM!o:o,BOM!A:A,".1",BOM!B:B,"232-006600-000")</f>
        <v>0</v>
      </c>
      <c r="P640">
        <f>sumifs(BOM!p:p,BOM!A:A,".1",BOM!B:B,"232-006600-000")</f>
        <v>0</v>
      </c>
      <c r="Q640">
        <f>sumifs(BOM!q:q,BOM!A:A,".1",BOM!B:B,"232-006600-000")</f>
        <v>0</v>
      </c>
      <c r="R640">
        <f>sumifs(BOM!r:r,BOM!A:A,".1",BOM!B:B,"232-006600-000")</f>
        <v>0</v>
      </c>
      <c r="S640">
        <f>sumifs(BOM!s:s,BOM!A:A,".1",BOM!B:B,"232-006600-000")</f>
        <v>0</v>
      </c>
      <c r="T640">
        <f>sumifs(BOM!t:t,BOM!A:A,".1",BOM!B:B,"232-006600-000")</f>
        <v>0</v>
      </c>
      <c r="U640">
        <f>sumifs(BOM!u:u,BOM!A:A,".1",BOM!B:B,"232-006600-000")</f>
        <v>0</v>
      </c>
      <c r="V640">
        <f>sumifs(BOM!v:v,BOM!A:A,".1",BOM!B:B,"232-006600-000")</f>
        <v>0</v>
      </c>
      <c r="W640">
        <f>sumifs(BOM!w:w,BOM!A:A,".1",BOM!B:B,"232-006600-000")</f>
        <v>0</v>
      </c>
      <c r="X640">
        <f>sumifs(BOM!x:x,BOM!A:A,".1",BOM!B:B,"232-006600-000")</f>
        <v>0</v>
      </c>
      <c r="Y640">
        <f>sumifs(BOM!y:y,BOM!A:A,".1",BOM!B:B,"232-006600-000")</f>
        <v>0</v>
      </c>
      <c r="Z640">
        <f>sumifs(BOM!z:z,BOM!A:A,".1",BOM!B:B,"232-006600-000")</f>
        <v>0</v>
      </c>
      <c r="AA640">
        <f>sumifs(BOM!aa:aa,BOM!A:A,".1",BOM!B:B,"232-006600-000")</f>
        <v>0</v>
      </c>
      <c r="AB640">
        <f>sumifs(BOM!ab:ab,BOM!A:A,".1",BOM!B:B,"232-006600-000")</f>
        <v>0</v>
      </c>
      <c r="AC640">
        <f>sumifs(BOM!ac:ac,BOM!A:A,".1",BOM!B:B,"232-006600-000")</f>
        <v>0</v>
      </c>
      <c r="AD640">
        <f>sumifs(BOM!ad:ad,BOM!A:A,".1",BOM!B:B,"232-006600-000")</f>
        <v>0</v>
      </c>
      <c r="AE640">
        <f>sumifs(BOM!ae:ae,BOM!A:A,".1",BOM!B:B,"232-006600-000")</f>
        <v>0</v>
      </c>
      <c r="AF640">
        <f>sumifs(BOM!af:af,BOM!A:A,".1",BOM!B:B,"232-006600-000")</f>
        <v>0</v>
      </c>
      <c r="AG640">
        <f>sumifs(BOM!ag:ag,BOM!A:A,".1",BOM!B:B,"232-006600-000")</f>
        <v>0</v>
      </c>
      <c r="AH640">
        <f>sumifs(BOM!ah:ah,BOM!A:A,".1",BOM!B:B,"232-006600-000")</f>
        <v>0</v>
      </c>
      <c r="AI640">
        <f>sumifs(BOM!ai:ai,BOM!A:A,".1",BOM!B:B,"232-006600-000")</f>
        <v>0</v>
      </c>
      <c r="AJ640">
        <f>sumifs(BOM!aj:aj,BOM!A:A,".1",BOM!B:B,"232-006600-000")</f>
        <v>0</v>
      </c>
      <c r="AK640">
        <f>sumifs(BOM!ak:ak,BOM!A:A,".1",BOM!B:B,"232-006600-000")</f>
        <v>0</v>
      </c>
      <c r="AL640">
        <f>sumifs(BOM!al:al,BOM!A:A,".1",BOM!B:B,"232-006600-000")</f>
        <v>0</v>
      </c>
      <c r="AM640">
        <f>sumifs(BOM!am:am,BOM!A:A,".1",BOM!B:B,"232-006600-000")</f>
        <v>0</v>
      </c>
      <c r="AN640">
        <f>sumifs(BOM!an:an,BOM!A:A,".1",BOM!B:B,"232-006600-000")</f>
        <v>0</v>
      </c>
      <c r="AO640">
        <f>sumifs(BOM!ao:ao,BOM!A:A,".1",BOM!B:B,"232-006600-000")</f>
        <v>0</v>
      </c>
      <c r="AP640">
        <f>sumifs(BOM!ap:ap,BOM!A:A,".1",BOM!B:B,"232-006600-000")</f>
        <v>0</v>
      </c>
      <c r="AQ640">
        <f>sumifs(BOM!aq:aq,BOM!A:A,".1",BOM!B:B,"232-006600-000")</f>
        <v>0</v>
      </c>
      <c r="AR640">
        <f>sumifs(BOM!ar:ar,BOM!A:A,".1",BOM!B:B,"232-006600-000")</f>
        <v>0</v>
      </c>
      <c r="BX640">
        <f>sum(j640:an640)</f>
        <v>0</v>
      </c>
    </row>
    <row r="641" spans="1:76">
      <c r="A641" t="s">
        <v>31</v>
      </c>
      <c r="B641" t="s">
        <v>327</v>
      </c>
      <c r="C641" t="s">
        <v>328</v>
      </c>
      <c r="D641" t="s">
        <v>329</v>
      </c>
      <c r="E641">
        <v>3</v>
      </c>
      <c r="F641" t="s">
        <v>330</v>
      </c>
      <c r="K641" t="s">
        <v>308</v>
      </c>
      <c r="L641" t="s">
        <v>37</v>
      </c>
    </row>
    <row r="642" spans="1:76">
      <c r="L642" t="s">
        <v>662</v>
      </c>
    </row>
    <row r="643" spans="1:76">
      <c r="L643" t="s">
        <v>663</v>
      </c>
    </row>
    <row r="644" spans="1:76">
      <c r="L644" t="s">
        <v>664</v>
      </c>
    </row>
    <row r="645" spans="1:76">
      <c r="L645" t="s">
        <v>665</v>
      </c>
      <c r="M645">
        <f>IF(DAY(NOW())&lt;M3,INDIRECT(ADDRESS(645,7))-INDIRECT(ADDRESS(640,13))+INDIRECT(ADDRESS(641,13))-INDIRECT(ADDRESS(644,13)),INDIRECT(ADDRESS(645,7))-INDIRECT(ADDRESS(640,13))+INDIRECT(ADDRESS(643,13))-INDIRECT(ADDRESS(644,13)))</f>
        <v>0</v>
      </c>
      <c r="N645">
        <f>IF(DAY(NOW())&lt;M3,INDIRECT(ADDRESS(645,13))-INDIRECT(ADDRESS(640,14))+INDIRECT(ADDRESS(641,14))-INDIRECT(ADDRESS(644,14)),INDIRECT(ADDRESS(645,13))-INDIRECT(ADDRESS(640,14))+INDIRECT(ADDRESS(643,14))-INDIRECT(ADDRESS(644,14)))</f>
        <v>0</v>
      </c>
      <c r="O645">
        <f>IF(DAY(NOW())&lt;M3,INDIRECT(ADDRESS(645,14))-INDIRECT(ADDRESS(640,15))+INDIRECT(ADDRESS(641,15))-INDIRECT(ADDRESS(644,15)),INDIRECT(ADDRESS(645,14))-INDIRECT(ADDRESS(640,15))+INDIRECT(ADDRESS(643,15))-INDIRECT(ADDRESS(644,15)))</f>
        <v>0</v>
      </c>
      <c r="P645">
        <f>IF(DAY(NOW())&lt;M3,INDIRECT(ADDRESS(645,15))-INDIRECT(ADDRESS(640,16))+INDIRECT(ADDRESS(641,16))-INDIRECT(ADDRESS(644,16)),INDIRECT(ADDRESS(645,15))-INDIRECT(ADDRESS(640,16))+INDIRECT(ADDRESS(643,16))-INDIRECT(ADDRESS(644,16)))</f>
        <v>0</v>
      </c>
      <c r="Q645">
        <f>IF(DAY(NOW())&lt;M3,INDIRECT(ADDRESS(645,16))-INDIRECT(ADDRESS(640,17))+INDIRECT(ADDRESS(641,17))-INDIRECT(ADDRESS(644,17)),INDIRECT(ADDRESS(645,16))-INDIRECT(ADDRESS(640,17))+INDIRECT(ADDRESS(643,17))-INDIRECT(ADDRESS(644,17)))</f>
        <v>0</v>
      </c>
      <c r="R645">
        <f>IF(DAY(NOW())&lt;M3,INDIRECT(ADDRESS(645,17))-INDIRECT(ADDRESS(640,18))+INDIRECT(ADDRESS(641,18))-INDIRECT(ADDRESS(644,18)),INDIRECT(ADDRESS(645,17))-INDIRECT(ADDRESS(640,18))+INDIRECT(ADDRESS(643,18))-INDIRECT(ADDRESS(644,18)))</f>
        <v>0</v>
      </c>
      <c r="S645">
        <f>IF(DAY(NOW())&lt;M3,INDIRECT(ADDRESS(645,18))-INDIRECT(ADDRESS(640,19))+INDIRECT(ADDRESS(641,19))-INDIRECT(ADDRESS(644,19)),INDIRECT(ADDRESS(645,18))-INDIRECT(ADDRESS(640,19))+INDIRECT(ADDRESS(643,19))-INDIRECT(ADDRESS(644,19)))</f>
        <v>0</v>
      </c>
      <c r="T645">
        <f>IF(DAY(NOW())&lt;M3,INDIRECT(ADDRESS(645,19))-INDIRECT(ADDRESS(640,20))+INDIRECT(ADDRESS(641,20))-INDIRECT(ADDRESS(644,20)),INDIRECT(ADDRESS(645,19))-INDIRECT(ADDRESS(640,20))+INDIRECT(ADDRESS(643,20))-INDIRECT(ADDRESS(644,20)))</f>
        <v>0</v>
      </c>
      <c r="U645">
        <f>IF(DAY(NOW())&lt;M3,INDIRECT(ADDRESS(645,20))-INDIRECT(ADDRESS(640,21))+INDIRECT(ADDRESS(641,21))-INDIRECT(ADDRESS(644,21)),INDIRECT(ADDRESS(645,20))-INDIRECT(ADDRESS(640,21))+INDIRECT(ADDRESS(643,21))-INDIRECT(ADDRESS(644,21)))</f>
        <v>0</v>
      </c>
      <c r="V645">
        <f>IF(DAY(NOW())&lt;M3,INDIRECT(ADDRESS(645,21))-INDIRECT(ADDRESS(640,22))+INDIRECT(ADDRESS(641,22))-INDIRECT(ADDRESS(644,22)),INDIRECT(ADDRESS(645,21))-INDIRECT(ADDRESS(640,22))+INDIRECT(ADDRESS(643,22))-INDIRECT(ADDRESS(644,22)))</f>
        <v>0</v>
      </c>
      <c r="W645">
        <f>IF(DAY(NOW())&lt;M3,INDIRECT(ADDRESS(645,22))-INDIRECT(ADDRESS(640,23))+INDIRECT(ADDRESS(641,23))-INDIRECT(ADDRESS(644,23)),INDIRECT(ADDRESS(645,22))-INDIRECT(ADDRESS(640,23))+INDIRECT(ADDRESS(643,23))-INDIRECT(ADDRESS(644,23)))</f>
        <v>0</v>
      </c>
      <c r="X645">
        <f>IF(DAY(NOW())&lt;M3,INDIRECT(ADDRESS(645,23))-INDIRECT(ADDRESS(640,24))+INDIRECT(ADDRESS(641,24))-INDIRECT(ADDRESS(644,24)),INDIRECT(ADDRESS(645,23))-INDIRECT(ADDRESS(640,24))+INDIRECT(ADDRESS(643,24))-INDIRECT(ADDRESS(644,24)))</f>
        <v>0</v>
      </c>
      <c r="Y645">
        <f>IF(DAY(NOW())&lt;M3,INDIRECT(ADDRESS(645,24))-INDIRECT(ADDRESS(640,25))+INDIRECT(ADDRESS(641,25))-INDIRECT(ADDRESS(644,25)),INDIRECT(ADDRESS(645,24))-INDIRECT(ADDRESS(640,25))+INDIRECT(ADDRESS(643,25))-INDIRECT(ADDRESS(644,25)))</f>
        <v>0</v>
      </c>
      <c r="Z645">
        <f>IF(DAY(NOW())&lt;M3,INDIRECT(ADDRESS(645,25))-INDIRECT(ADDRESS(640,26))+INDIRECT(ADDRESS(641,26))-INDIRECT(ADDRESS(644,26)),INDIRECT(ADDRESS(645,25))-INDIRECT(ADDRESS(640,26))+INDIRECT(ADDRESS(643,26))-INDIRECT(ADDRESS(644,26)))</f>
        <v>0</v>
      </c>
      <c r="AA645">
        <f>IF(DAY(NOW())&lt;M3,INDIRECT(ADDRESS(645,26))-INDIRECT(ADDRESS(640,27))+INDIRECT(ADDRESS(641,27))-INDIRECT(ADDRESS(644,27)),INDIRECT(ADDRESS(645,26))-INDIRECT(ADDRESS(640,27))+INDIRECT(ADDRESS(643,27))-INDIRECT(ADDRESS(644,27)))</f>
        <v>0</v>
      </c>
      <c r="AB645">
        <f>IF(DAY(NOW())&lt;M3,INDIRECT(ADDRESS(645,27))-INDIRECT(ADDRESS(640,28))+INDIRECT(ADDRESS(641,28))-INDIRECT(ADDRESS(644,28)),INDIRECT(ADDRESS(645,27))-INDIRECT(ADDRESS(640,28))+INDIRECT(ADDRESS(643,28))-INDIRECT(ADDRESS(644,28)))</f>
        <v>0</v>
      </c>
      <c r="AC645">
        <f>IF(DAY(NOW())&lt;M3,INDIRECT(ADDRESS(645,28))-INDIRECT(ADDRESS(640,29))+INDIRECT(ADDRESS(641,29))-INDIRECT(ADDRESS(644,29)),INDIRECT(ADDRESS(645,28))-INDIRECT(ADDRESS(640,29))+INDIRECT(ADDRESS(643,29))-INDIRECT(ADDRESS(644,29)))</f>
        <v>0</v>
      </c>
      <c r="AD645">
        <f>IF(DAY(NOW())&lt;M3,INDIRECT(ADDRESS(645,29))-INDIRECT(ADDRESS(640,30))+INDIRECT(ADDRESS(641,30))-INDIRECT(ADDRESS(644,30)),INDIRECT(ADDRESS(645,29))-INDIRECT(ADDRESS(640,30))+INDIRECT(ADDRESS(643,30))-INDIRECT(ADDRESS(644,30)))</f>
        <v>0</v>
      </c>
      <c r="AE645">
        <f>IF(DAY(NOW())&lt;M3,INDIRECT(ADDRESS(645,30))-INDIRECT(ADDRESS(640,31))+INDIRECT(ADDRESS(641,31))-INDIRECT(ADDRESS(644,31)),INDIRECT(ADDRESS(645,30))-INDIRECT(ADDRESS(640,31))+INDIRECT(ADDRESS(643,31))-INDIRECT(ADDRESS(644,31)))</f>
        <v>0</v>
      </c>
      <c r="AF645">
        <f>IF(DAY(NOW())&lt;M3,INDIRECT(ADDRESS(645,31))-INDIRECT(ADDRESS(640,32))+INDIRECT(ADDRESS(641,32))-INDIRECT(ADDRESS(644,32)),INDIRECT(ADDRESS(645,31))-INDIRECT(ADDRESS(640,32))+INDIRECT(ADDRESS(643,32))-INDIRECT(ADDRESS(644,32)))</f>
        <v>0</v>
      </c>
      <c r="AG645">
        <f>IF(DAY(NOW())&lt;M3,INDIRECT(ADDRESS(645,32))-INDIRECT(ADDRESS(640,33))+INDIRECT(ADDRESS(641,33))-INDIRECT(ADDRESS(644,33)),INDIRECT(ADDRESS(645,32))-INDIRECT(ADDRESS(640,33))+INDIRECT(ADDRESS(643,33))-INDIRECT(ADDRESS(644,33)))</f>
        <v>0</v>
      </c>
      <c r="AH645">
        <f>IF(DAY(NOW())&lt;M3,INDIRECT(ADDRESS(645,33))-INDIRECT(ADDRESS(640,34))+INDIRECT(ADDRESS(641,34))-INDIRECT(ADDRESS(644,34)),INDIRECT(ADDRESS(645,33))-INDIRECT(ADDRESS(640,34))+INDIRECT(ADDRESS(643,34))-INDIRECT(ADDRESS(644,34)))</f>
        <v>0</v>
      </c>
      <c r="AI645">
        <f>IF(DAY(NOW())&lt;M3,INDIRECT(ADDRESS(645,34))-INDIRECT(ADDRESS(640,35))+INDIRECT(ADDRESS(641,35))-INDIRECT(ADDRESS(644,35)),INDIRECT(ADDRESS(645,34))-INDIRECT(ADDRESS(640,35))+INDIRECT(ADDRESS(643,35))-INDIRECT(ADDRESS(644,35)))</f>
        <v>0</v>
      </c>
      <c r="AJ645">
        <f>IF(DAY(NOW())&lt;M3,INDIRECT(ADDRESS(645,35))-INDIRECT(ADDRESS(640,36))+INDIRECT(ADDRESS(641,36))-INDIRECT(ADDRESS(644,36)),INDIRECT(ADDRESS(645,35))-INDIRECT(ADDRESS(640,36))+INDIRECT(ADDRESS(643,36))-INDIRECT(ADDRESS(644,36)))</f>
        <v>0</v>
      </c>
      <c r="AK645">
        <f>IF(DAY(NOW())&lt;M3,INDIRECT(ADDRESS(645,36))-INDIRECT(ADDRESS(640,37))+INDIRECT(ADDRESS(641,37))-INDIRECT(ADDRESS(644,37)),INDIRECT(ADDRESS(645,36))-INDIRECT(ADDRESS(640,37))+INDIRECT(ADDRESS(643,37))-INDIRECT(ADDRESS(644,37)))</f>
        <v>0</v>
      </c>
      <c r="AL645">
        <f>IF(DAY(NOW())&lt;M3,INDIRECT(ADDRESS(645,37))-INDIRECT(ADDRESS(640,38))+INDIRECT(ADDRESS(641,38))-INDIRECT(ADDRESS(644,38)),INDIRECT(ADDRESS(645,37))-INDIRECT(ADDRESS(640,38))+INDIRECT(ADDRESS(643,38))-INDIRECT(ADDRESS(644,38)))</f>
        <v>0</v>
      </c>
      <c r="AM645">
        <f>IF(DAY(NOW())&lt;M3,INDIRECT(ADDRESS(645,38))-INDIRECT(ADDRESS(640,39))+INDIRECT(ADDRESS(641,39))-INDIRECT(ADDRESS(644,39)),INDIRECT(ADDRESS(645,38))-INDIRECT(ADDRESS(640,39))+INDIRECT(ADDRESS(643,39))-INDIRECT(ADDRESS(644,39)))</f>
        <v>0</v>
      </c>
      <c r="AN645">
        <f>IF(DAY(NOW())&lt;M3,INDIRECT(ADDRESS(645,39))-INDIRECT(ADDRESS(640,40))+INDIRECT(ADDRESS(641,40))-INDIRECT(ADDRESS(644,40)),INDIRECT(ADDRESS(645,39))-INDIRECT(ADDRESS(640,40))+INDIRECT(ADDRESS(643,40))-INDIRECT(ADDRESS(644,40)))</f>
        <v>0</v>
      </c>
      <c r="AO645">
        <f>IF(DAY(NOW())&lt;M3,INDIRECT(ADDRESS(645,40))-INDIRECT(ADDRESS(640,41))+INDIRECT(ADDRESS(641,41))-INDIRECT(ADDRESS(644,41)),INDIRECT(ADDRESS(645,40))-INDIRECT(ADDRESS(640,41))+INDIRECT(ADDRESS(643,41))-INDIRECT(ADDRESS(644,41)))</f>
        <v>0</v>
      </c>
      <c r="AP645">
        <f>IF(DAY(NOW())&lt;M3,INDIRECT(ADDRESS(645,41))-INDIRECT(ADDRESS(640,42))+INDIRECT(ADDRESS(641,42))-INDIRECT(ADDRESS(644,42)),INDIRECT(ADDRESS(645,41))-INDIRECT(ADDRESS(640,42))+INDIRECT(ADDRESS(643,42))-INDIRECT(ADDRESS(644,42)))</f>
        <v>0</v>
      </c>
      <c r="AQ645">
        <f>IF(DAY(NOW())&lt;M3,INDIRECT(ADDRESS(645,42))-INDIRECT(ADDRESS(640,43))+INDIRECT(ADDRESS(641,43))-INDIRECT(ADDRESS(644,43)),INDIRECT(ADDRESS(645,42))-INDIRECT(ADDRESS(640,43))+INDIRECT(ADDRESS(643,43))-INDIRECT(ADDRESS(644,43)))</f>
        <v>0</v>
      </c>
      <c r="AR645">
        <f>IF(DAY(NOW())&lt;M3,INDIRECT(ADDRESS(645,43))-INDIRECT(ADDRESS(640,44))+INDIRECT(ADDRESS(641,44))-INDIRECT(ADDRESS(644,44)),INDIRECT(ADDRESS(645,43))-INDIRECT(ADDRESS(640,44))+INDIRECT(ADDRESS(643,44))-INDIRECT(ADDRESS(644,44)))</f>
        <v>0</v>
      </c>
    </row>
    <row r="646" spans="1:76">
      <c r="A646" t="s">
        <v>31</v>
      </c>
      <c r="B646" t="s">
        <v>337</v>
      </c>
      <c r="C646" t="s">
        <v>338</v>
      </c>
      <c r="D646" t="s">
        <v>17</v>
      </c>
      <c r="E646">
        <v>1</v>
      </c>
      <c r="F646" t="s">
        <v>339</v>
      </c>
      <c r="K646" t="s">
        <v>308</v>
      </c>
      <c r="L646" t="s">
        <v>21</v>
      </c>
      <c r="M646">
        <f>sumifs(BOM!m:m,BOM!A:A,".1",BOM!B:B,"211-182000-000")</f>
        <v>0</v>
      </c>
      <c r="N646">
        <f>sumifs(BOM!n:n,BOM!A:A,".1",BOM!B:B,"211-182000-000")</f>
        <v>0</v>
      </c>
      <c r="O646">
        <f>sumifs(BOM!o:o,BOM!A:A,".1",BOM!B:B,"211-182000-000")</f>
        <v>0</v>
      </c>
      <c r="P646">
        <f>sumifs(BOM!p:p,BOM!A:A,".1",BOM!B:B,"211-182000-000")</f>
        <v>0</v>
      </c>
      <c r="Q646">
        <f>sumifs(BOM!q:q,BOM!A:A,".1",BOM!B:B,"211-182000-000")</f>
        <v>0</v>
      </c>
      <c r="R646">
        <f>sumifs(BOM!r:r,BOM!A:A,".1",BOM!B:B,"211-182000-000")</f>
        <v>0</v>
      </c>
      <c r="S646">
        <f>sumifs(BOM!s:s,BOM!A:A,".1",BOM!B:B,"211-182000-000")</f>
        <v>0</v>
      </c>
      <c r="T646">
        <f>sumifs(BOM!t:t,BOM!A:A,".1",BOM!B:B,"211-182000-000")</f>
        <v>0</v>
      </c>
      <c r="U646">
        <f>sumifs(BOM!u:u,BOM!A:A,".1",BOM!B:B,"211-182000-000")</f>
        <v>0</v>
      </c>
      <c r="V646">
        <f>sumifs(BOM!v:v,BOM!A:A,".1",BOM!B:B,"211-182000-000")</f>
        <v>0</v>
      </c>
      <c r="W646">
        <f>sumifs(BOM!w:w,BOM!A:A,".1",BOM!B:B,"211-182000-000")</f>
        <v>0</v>
      </c>
      <c r="X646">
        <f>sumifs(BOM!x:x,BOM!A:A,".1",BOM!B:B,"211-182000-000")</f>
        <v>0</v>
      </c>
      <c r="Y646">
        <f>sumifs(BOM!y:y,BOM!A:A,".1",BOM!B:B,"211-182000-000")</f>
        <v>0</v>
      </c>
      <c r="Z646">
        <f>sumifs(BOM!z:z,BOM!A:A,".1",BOM!B:B,"211-182000-000")</f>
        <v>0</v>
      </c>
      <c r="AA646">
        <f>sumifs(BOM!aa:aa,BOM!A:A,".1",BOM!B:B,"211-182000-000")</f>
        <v>0</v>
      </c>
      <c r="AB646">
        <f>sumifs(BOM!ab:ab,BOM!A:A,".1",BOM!B:B,"211-182000-000")</f>
        <v>0</v>
      </c>
      <c r="AC646">
        <f>sumifs(BOM!ac:ac,BOM!A:A,".1",BOM!B:B,"211-182000-000")</f>
        <v>0</v>
      </c>
      <c r="AD646">
        <f>sumifs(BOM!ad:ad,BOM!A:A,".1",BOM!B:B,"211-182000-000")</f>
        <v>0</v>
      </c>
      <c r="AE646">
        <f>sumifs(BOM!ae:ae,BOM!A:A,".1",BOM!B:B,"211-182000-000")</f>
        <v>0</v>
      </c>
      <c r="AF646">
        <f>sumifs(BOM!af:af,BOM!A:A,".1",BOM!B:B,"211-182000-000")</f>
        <v>0</v>
      </c>
      <c r="AG646">
        <f>sumifs(BOM!ag:ag,BOM!A:A,".1",BOM!B:B,"211-182000-000")</f>
        <v>0</v>
      </c>
      <c r="AH646">
        <f>sumifs(BOM!ah:ah,BOM!A:A,".1",BOM!B:B,"211-182000-000")</f>
        <v>0</v>
      </c>
      <c r="AI646">
        <f>sumifs(BOM!ai:ai,BOM!A:A,".1",BOM!B:B,"211-182000-000")</f>
        <v>0</v>
      </c>
      <c r="AJ646">
        <f>sumifs(BOM!aj:aj,BOM!A:A,".1",BOM!B:B,"211-182000-000")</f>
        <v>0</v>
      </c>
      <c r="AK646">
        <f>sumifs(BOM!ak:ak,BOM!A:A,".1",BOM!B:B,"211-182000-000")</f>
        <v>0</v>
      </c>
      <c r="AL646">
        <f>sumifs(BOM!al:al,BOM!A:A,".1",BOM!B:B,"211-182000-000")</f>
        <v>0</v>
      </c>
      <c r="AM646">
        <f>sumifs(BOM!am:am,BOM!A:A,".1",BOM!B:B,"211-182000-000")</f>
        <v>0</v>
      </c>
      <c r="AN646">
        <f>sumifs(BOM!an:an,BOM!A:A,".1",BOM!B:B,"211-182000-000")</f>
        <v>0</v>
      </c>
      <c r="AO646">
        <f>sumifs(BOM!ao:ao,BOM!A:A,".1",BOM!B:B,"211-182000-000")</f>
        <v>0</v>
      </c>
      <c r="AP646">
        <f>sumifs(BOM!ap:ap,BOM!A:A,".1",BOM!B:B,"211-182000-000")</f>
        <v>0</v>
      </c>
      <c r="AQ646">
        <f>sumifs(BOM!aq:aq,BOM!A:A,".1",BOM!B:B,"211-182000-000")</f>
        <v>0</v>
      </c>
      <c r="AR646">
        <f>sumifs(BOM!ar:ar,BOM!A:A,".1",BOM!B:B,"211-182000-000")</f>
        <v>0</v>
      </c>
      <c r="BX646">
        <f>sum(j646:an646)</f>
        <v>0</v>
      </c>
    </row>
    <row r="647" spans="1:76">
      <c r="A647" t="s">
        <v>31</v>
      </c>
      <c r="B647" t="s">
        <v>337</v>
      </c>
      <c r="C647" t="s">
        <v>338</v>
      </c>
      <c r="D647" t="s">
        <v>17</v>
      </c>
      <c r="E647">
        <v>1</v>
      </c>
      <c r="F647" t="s">
        <v>339</v>
      </c>
      <c r="K647" t="s">
        <v>308</v>
      </c>
      <c r="L647" t="s">
        <v>37</v>
      </c>
    </row>
    <row r="648" spans="1:76">
      <c r="L648" t="s">
        <v>662</v>
      </c>
    </row>
    <row r="649" spans="1:76">
      <c r="L649" t="s">
        <v>663</v>
      </c>
    </row>
    <row r="650" spans="1:76">
      <c r="L650" t="s">
        <v>664</v>
      </c>
    </row>
    <row r="651" spans="1:76">
      <c r="L651" t="s">
        <v>665</v>
      </c>
      <c r="M651">
        <f>IF(DAY(NOW())&lt;M3,INDIRECT(ADDRESS(651,7))-INDIRECT(ADDRESS(646,13))+INDIRECT(ADDRESS(647,13))-INDIRECT(ADDRESS(650,13)),INDIRECT(ADDRESS(651,7))-INDIRECT(ADDRESS(646,13))+INDIRECT(ADDRESS(649,13))-INDIRECT(ADDRESS(650,13)))</f>
        <v>0</v>
      </c>
      <c r="N651">
        <f>IF(DAY(NOW())&lt;M3,INDIRECT(ADDRESS(651,13))-INDIRECT(ADDRESS(646,14))+INDIRECT(ADDRESS(647,14))-INDIRECT(ADDRESS(650,14)),INDIRECT(ADDRESS(651,13))-INDIRECT(ADDRESS(646,14))+INDIRECT(ADDRESS(649,14))-INDIRECT(ADDRESS(650,14)))</f>
        <v>0</v>
      </c>
      <c r="O651">
        <f>IF(DAY(NOW())&lt;M3,INDIRECT(ADDRESS(651,14))-INDIRECT(ADDRESS(646,15))+INDIRECT(ADDRESS(647,15))-INDIRECT(ADDRESS(650,15)),INDIRECT(ADDRESS(651,14))-INDIRECT(ADDRESS(646,15))+INDIRECT(ADDRESS(649,15))-INDIRECT(ADDRESS(650,15)))</f>
        <v>0</v>
      </c>
      <c r="P651">
        <f>IF(DAY(NOW())&lt;M3,INDIRECT(ADDRESS(651,15))-INDIRECT(ADDRESS(646,16))+INDIRECT(ADDRESS(647,16))-INDIRECT(ADDRESS(650,16)),INDIRECT(ADDRESS(651,15))-INDIRECT(ADDRESS(646,16))+INDIRECT(ADDRESS(649,16))-INDIRECT(ADDRESS(650,16)))</f>
        <v>0</v>
      </c>
      <c r="Q651">
        <f>IF(DAY(NOW())&lt;M3,INDIRECT(ADDRESS(651,16))-INDIRECT(ADDRESS(646,17))+INDIRECT(ADDRESS(647,17))-INDIRECT(ADDRESS(650,17)),INDIRECT(ADDRESS(651,16))-INDIRECT(ADDRESS(646,17))+INDIRECT(ADDRESS(649,17))-INDIRECT(ADDRESS(650,17)))</f>
        <v>0</v>
      </c>
      <c r="R651">
        <f>IF(DAY(NOW())&lt;M3,INDIRECT(ADDRESS(651,17))-INDIRECT(ADDRESS(646,18))+INDIRECT(ADDRESS(647,18))-INDIRECT(ADDRESS(650,18)),INDIRECT(ADDRESS(651,17))-INDIRECT(ADDRESS(646,18))+INDIRECT(ADDRESS(649,18))-INDIRECT(ADDRESS(650,18)))</f>
        <v>0</v>
      </c>
      <c r="S651">
        <f>IF(DAY(NOW())&lt;M3,INDIRECT(ADDRESS(651,18))-INDIRECT(ADDRESS(646,19))+INDIRECT(ADDRESS(647,19))-INDIRECT(ADDRESS(650,19)),INDIRECT(ADDRESS(651,18))-INDIRECT(ADDRESS(646,19))+INDIRECT(ADDRESS(649,19))-INDIRECT(ADDRESS(650,19)))</f>
        <v>0</v>
      </c>
      <c r="T651">
        <f>IF(DAY(NOW())&lt;M3,INDIRECT(ADDRESS(651,19))-INDIRECT(ADDRESS(646,20))+INDIRECT(ADDRESS(647,20))-INDIRECT(ADDRESS(650,20)),INDIRECT(ADDRESS(651,19))-INDIRECT(ADDRESS(646,20))+INDIRECT(ADDRESS(649,20))-INDIRECT(ADDRESS(650,20)))</f>
        <v>0</v>
      </c>
      <c r="U651">
        <f>IF(DAY(NOW())&lt;M3,INDIRECT(ADDRESS(651,20))-INDIRECT(ADDRESS(646,21))+INDIRECT(ADDRESS(647,21))-INDIRECT(ADDRESS(650,21)),INDIRECT(ADDRESS(651,20))-INDIRECT(ADDRESS(646,21))+INDIRECT(ADDRESS(649,21))-INDIRECT(ADDRESS(650,21)))</f>
        <v>0</v>
      </c>
      <c r="V651">
        <f>IF(DAY(NOW())&lt;M3,INDIRECT(ADDRESS(651,21))-INDIRECT(ADDRESS(646,22))+INDIRECT(ADDRESS(647,22))-INDIRECT(ADDRESS(650,22)),INDIRECT(ADDRESS(651,21))-INDIRECT(ADDRESS(646,22))+INDIRECT(ADDRESS(649,22))-INDIRECT(ADDRESS(650,22)))</f>
        <v>0</v>
      </c>
      <c r="W651">
        <f>IF(DAY(NOW())&lt;M3,INDIRECT(ADDRESS(651,22))-INDIRECT(ADDRESS(646,23))+INDIRECT(ADDRESS(647,23))-INDIRECT(ADDRESS(650,23)),INDIRECT(ADDRESS(651,22))-INDIRECT(ADDRESS(646,23))+INDIRECT(ADDRESS(649,23))-INDIRECT(ADDRESS(650,23)))</f>
        <v>0</v>
      </c>
      <c r="X651">
        <f>IF(DAY(NOW())&lt;M3,INDIRECT(ADDRESS(651,23))-INDIRECT(ADDRESS(646,24))+INDIRECT(ADDRESS(647,24))-INDIRECT(ADDRESS(650,24)),INDIRECT(ADDRESS(651,23))-INDIRECT(ADDRESS(646,24))+INDIRECT(ADDRESS(649,24))-INDIRECT(ADDRESS(650,24)))</f>
        <v>0</v>
      </c>
      <c r="Y651">
        <f>IF(DAY(NOW())&lt;M3,INDIRECT(ADDRESS(651,24))-INDIRECT(ADDRESS(646,25))+INDIRECT(ADDRESS(647,25))-INDIRECT(ADDRESS(650,25)),INDIRECT(ADDRESS(651,24))-INDIRECT(ADDRESS(646,25))+INDIRECT(ADDRESS(649,25))-INDIRECT(ADDRESS(650,25)))</f>
        <v>0</v>
      </c>
      <c r="Z651">
        <f>IF(DAY(NOW())&lt;M3,INDIRECT(ADDRESS(651,25))-INDIRECT(ADDRESS(646,26))+INDIRECT(ADDRESS(647,26))-INDIRECT(ADDRESS(650,26)),INDIRECT(ADDRESS(651,25))-INDIRECT(ADDRESS(646,26))+INDIRECT(ADDRESS(649,26))-INDIRECT(ADDRESS(650,26)))</f>
        <v>0</v>
      </c>
      <c r="AA651">
        <f>IF(DAY(NOW())&lt;M3,INDIRECT(ADDRESS(651,26))-INDIRECT(ADDRESS(646,27))+INDIRECT(ADDRESS(647,27))-INDIRECT(ADDRESS(650,27)),INDIRECT(ADDRESS(651,26))-INDIRECT(ADDRESS(646,27))+INDIRECT(ADDRESS(649,27))-INDIRECT(ADDRESS(650,27)))</f>
        <v>0</v>
      </c>
      <c r="AB651">
        <f>IF(DAY(NOW())&lt;M3,INDIRECT(ADDRESS(651,27))-INDIRECT(ADDRESS(646,28))+INDIRECT(ADDRESS(647,28))-INDIRECT(ADDRESS(650,28)),INDIRECT(ADDRESS(651,27))-INDIRECT(ADDRESS(646,28))+INDIRECT(ADDRESS(649,28))-INDIRECT(ADDRESS(650,28)))</f>
        <v>0</v>
      </c>
      <c r="AC651">
        <f>IF(DAY(NOW())&lt;M3,INDIRECT(ADDRESS(651,28))-INDIRECT(ADDRESS(646,29))+INDIRECT(ADDRESS(647,29))-INDIRECT(ADDRESS(650,29)),INDIRECT(ADDRESS(651,28))-INDIRECT(ADDRESS(646,29))+INDIRECT(ADDRESS(649,29))-INDIRECT(ADDRESS(650,29)))</f>
        <v>0</v>
      </c>
      <c r="AD651">
        <f>IF(DAY(NOW())&lt;M3,INDIRECT(ADDRESS(651,29))-INDIRECT(ADDRESS(646,30))+INDIRECT(ADDRESS(647,30))-INDIRECT(ADDRESS(650,30)),INDIRECT(ADDRESS(651,29))-INDIRECT(ADDRESS(646,30))+INDIRECT(ADDRESS(649,30))-INDIRECT(ADDRESS(650,30)))</f>
        <v>0</v>
      </c>
      <c r="AE651">
        <f>IF(DAY(NOW())&lt;M3,INDIRECT(ADDRESS(651,30))-INDIRECT(ADDRESS(646,31))+INDIRECT(ADDRESS(647,31))-INDIRECT(ADDRESS(650,31)),INDIRECT(ADDRESS(651,30))-INDIRECT(ADDRESS(646,31))+INDIRECT(ADDRESS(649,31))-INDIRECT(ADDRESS(650,31)))</f>
        <v>0</v>
      </c>
      <c r="AF651">
        <f>IF(DAY(NOW())&lt;M3,INDIRECT(ADDRESS(651,31))-INDIRECT(ADDRESS(646,32))+INDIRECT(ADDRESS(647,32))-INDIRECT(ADDRESS(650,32)),INDIRECT(ADDRESS(651,31))-INDIRECT(ADDRESS(646,32))+INDIRECT(ADDRESS(649,32))-INDIRECT(ADDRESS(650,32)))</f>
        <v>0</v>
      </c>
      <c r="AG651">
        <f>IF(DAY(NOW())&lt;M3,INDIRECT(ADDRESS(651,32))-INDIRECT(ADDRESS(646,33))+INDIRECT(ADDRESS(647,33))-INDIRECT(ADDRESS(650,33)),INDIRECT(ADDRESS(651,32))-INDIRECT(ADDRESS(646,33))+INDIRECT(ADDRESS(649,33))-INDIRECT(ADDRESS(650,33)))</f>
        <v>0</v>
      </c>
      <c r="AH651">
        <f>IF(DAY(NOW())&lt;M3,INDIRECT(ADDRESS(651,33))-INDIRECT(ADDRESS(646,34))+INDIRECT(ADDRESS(647,34))-INDIRECT(ADDRESS(650,34)),INDIRECT(ADDRESS(651,33))-INDIRECT(ADDRESS(646,34))+INDIRECT(ADDRESS(649,34))-INDIRECT(ADDRESS(650,34)))</f>
        <v>0</v>
      </c>
      <c r="AI651">
        <f>IF(DAY(NOW())&lt;M3,INDIRECT(ADDRESS(651,34))-INDIRECT(ADDRESS(646,35))+INDIRECT(ADDRESS(647,35))-INDIRECT(ADDRESS(650,35)),INDIRECT(ADDRESS(651,34))-INDIRECT(ADDRESS(646,35))+INDIRECT(ADDRESS(649,35))-INDIRECT(ADDRESS(650,35)))</f>
        <v>0</v>
      </c>
      <c r="AJ651">
        <f>IF(DAY(NOW())&lt;M3,INDIRECT(ADDRESS(651,35))-INDIRECT(ADDRESS(646,36))+INDIRECT(ADDRESS(647,36))-INDIRECT(ADDRESS(650,36)),INDIRECT(ADDRESS(651,35))-INDIRECT(ADDRESS(646,36))+INDIRECT(ADDRESS(649,36))-INDIRECT(ADDRESS(650,36)))</f>
        <v>0</v>
      </c>
      <c r="AK651">
        <f>IF(DAY(NOW())&lt;M3,INDIRECT(ADDRESS(651,36))-INDIRECT(ADDRESS(646,37))+INDIRECT(ADDRESS(647,37))-INDIRECT(ADDRESS(650,37)),INDIRECT(ADDRESS(651,36))-INDIRECT(ADDRESS(646,37))+INDIRECT(ADDRESS(649,37))-INDIRECT(ADDRESS(650,37)))</f>
        <v>0</v>
      </c>
      <c r="AL651">
        <f>IF(DAY(NOW())&lt;M3,INDIRECT(ADDRESS(651,37))-INDIRECT(ADDRESS(646,38))+INDIRECT(ADDRESS(647,38))-INDIRECT(ADDRESS(650,38)),INDIRECT(ADDRESS(651,37))-INDIRECT(ADDRESS(646,38))+INDIRECT(ADDRESS(649,38))-INDIRECT(ADDRESS(650,38)))</f>
        <v>0</v>
      </c>
      <c r="AM651">
        <f>IF(DAY(NOW())&lt;M3,INDIRECT(ADDRESS(651,38))-INDIRECT(ADDRESS(646,39))+INDIRECT(ADDRESS(647,39))-INDIRECT(ADDRESS(650,39)),INDIRECT(ADDRESS(651,38))-INDIRECT(ADDRESS(646,39))+INDIRECT(ADDRESS(649,39))-INDIRECT(ADDRESS(650,39)))</f>
        <v>0</v>
      </c>
      <c r="AN651">
        <f>IF(DAY(NOW())&lt;M3,INDIRECT(ADDRESS(651,39))-INDIRECT(ADDRESS(646,40))+INDIRECT(ADDRESS(647,40))-INDIRECT(ADDRESS(650,40)),INDIRECT(ADDRESS(651,39))-INDIRECT(ADDRESS(646,40))+INDIRECT(ADDRESS(649,40))-INDIRECT(ADDRESS(650,40)))</f>
        <v>0</v>
      </c>
      <c r="AO651">
        <f>IF(DAY(NOW())&lt;M3,INDIRECT(ADDRESS(651,40))-INDIRECT(ADDRESS(646,41))+INDIRECT(ADDRESS(647,41))-INDIRECT(ADDRESS(650,41)),INDIRECT(ADDRESS(651,40))-INDIRECT(ADDRESS(646,41))+INDIRECT(ADDRESS(649,41))-INDIRECT(ADDRESS(650,41)))</f>
        <v>0</v>
      </c>
      <c r="AP651">
        <f>IF(DAY(NOW())&lt;M3,INDIRECT(ADDRESS(651,41))-INDIRECT(ADDRESS(646,42))+INDIRECT(ADDRESS(647,42))-INDIRECT(ADDRESS(650,42)),INDIRECT(ADDRESS(651,41))-INDIRECT(ADDRESS(646,42))+INDIRECT(ADDRESS(649,42))-INDIRECT(ADDRESS(650,42)))</f>
        <v>0</v>
      </c>
      <c r="AQ651">
        <f>IF(DAY(NOW())&lt;M3,INDIRECT(ADDRESS(651,42))-INDIRECT(ADDRESS(646,43))+INDIRECT(ADDRESS(647,43))-INDIRECT(ADDRESS(650,43)),INDIRECT(ADDRESS(651,42))-INDIRECT(ADDRESS(646,43))+INDIRECT(ADDRESS(649,43))-INDIRECT(ADDRESS(650,43)))</f>
        <v>0</v>
      </c>
      <c r="AR651">
        <f>IF(DAY(NOW())&lt;M3,INDIRECT(ADDRESS(651,43))-INDIRECT(ADDRESS(646,44))+INDIRECT(ADDRESS(647,44))-INDIRECT(ADDRESS(650,44)),INDIRECT(ADDRESS(651,43))-INDIRECT(ADDRESS(646,44))+INDIRECT(ADDRESS(649,44))-INDIRECT(ADDRESS(650,44)))</f>
        <v>0</v>
      </c>
    </row>
    <row r="652" spans="1:76">
      <c r="A652" t="s">
        <v>14</v>
      </c>
      <c r="B652" t="s">
        <v>98</v>
      </c>
      <c r="C652" t="s">
        <v>99</v>
      </c>
      <c r="D652" t="s">
        <v>256</v>
      </c>
      <c r="E652">
        <v>1</v>
      </c>
      <c r="F652" t="s">
        <v>100</v>
      </c>
      <c r="K652" t="s">
        <v>305</v>
      </c>
      <c r="L652" t="s">
        <v>21</v>
      </c>
      <c r="BX652">
        <f>sum(j652:an652)</f>
        <v>0</v>
      </c>
    </row>
    <row r="653" spans="1:76">
      <c r="A653" t="s">
        <v>14</v>
      </c>
      <c r="B653" t="s">
        <v>98</v>
      </c>
      <c r="C653" t="s">
        <v>99</v>
      </c>
      <c r="D653" t="s">
        <v>256</v>
      </c>
      <c r="E653">
        <v>1</v>
      </c>
      <c r="F653" t="s">
        <v>100</v>
      </c>
      <c r="K653" t="s">
        <v>305</v>
      </c>
      <c r="L653" t="s">
        <v>37</v>
      </c>
    </row>
    <row r="654" spans="1:76">
      <c r="L654" t="s">
        <v>662</v>
      </c>
    </row>
    <row r="655" spans="1:76">
      <c r="L655" t="s">
        <v>663</v>
      </c>
    </row>
    <row r="656" spans="1:76">
      <c r="L656" t="s">
        <v>664</v>
      </c>
    </row>
    <row r="657" spans="1:76">
      <c r="L657" t="s">
        <v>665</v>
      </c>
      <c r="M657">
        <f>IF(DAY(NOW())&lt;M3,INDIRECT(ADDRESS(657,7))-INDIRECT(ADDRESS(652,13))+INDIRECT(ADDRESS(653,13))-INDIRECT(ADDRESS(656,13)),INDIRECT(ADDRESS(657,7))-INDIRECT(ADDRESS(652,13))+INDIRECT(ADDRESS(655,13))-INDIRECT(ADDRESS(656,13)))</f>
        <v>0</v>
      </c>
      <c r="N657">
        <f>IF(DAY(NOW())&lt;M3,INDIRECT(ADDRESS(657,13))-INDIRECT(ADDRESS(652,14))+INDIRECT(ADDRESS(653,14))-INDIRECT(ADDRESS(656,14)),INDIRECT(ADDRESS(657,13))-INDIRECT(ADDRESS(652,14))+INDIRECT(ADDRESS(655,14))-INDIRECT(ADDRESS(656,14)))</f>
        <v>0</v>
      </c>
      <c r="O657">
        <f>IF(DAY(NOW())&lt;M3,INDIRECT(ADDRESS(657,14))-INDIRECT(ADDRESS(652,15))+INDIRECT(ADDRESS(653,15))-INDIRECT(ADDRESS(656,15)),INDIRECT(ADDRESS(657,14))-INDIRECT(ADDRESS(652,15))+INDIRECT(ADDRESS(655,15))-INDIRECT(ADDRESS(656,15)))</f>
        <v>0</v>
      </c>
      <c r="P657">
        <f>IF(DAY(NOW())&lt;M3,INDIRECT(ADDRESS(657,15))-INDIRECT(ADDRESS(652,16))+INDIRECT(ADDRESS(653,16))-INDIRECT(ADDRESS(656,16)),INDIRECT(ADDRESS(657,15))-INDIRECT(ADDRESS(652,16))+INDIRECT(ADDRESS(655,16))-INDIRECT(ADDRESS(656,16)))</f>
        <v>0</v>
      </c>
      <c r="Q657">
        <f>IF(DAY(NOW())&lt;M3,INDIRECT(ADDRESS(657,16))-INDIRECT(ADDRESS(652,17))+INDIRECT(ADDRESS(653,17))-INDIRECT(ADDRESS(656,17)),INDIRECT(ADDRESS(657,16))-INDIRECT(ADDRESS(652,17))+INDIRECT(ADDRESS(655,17))-INDIRECT(ADDRESS(656,17)))</f>
        <v>0</v>
      </c>
      <c r="R657">
        <f>IF(DAY(NOW())&lt;M3,INDIRECT(ADDRESS(657,17))-INDIRECT(ADDRESS(652,18))+INDIRECT(ADDRESS(653,18))-INDIRECT(ADDRESS(656,18)),INDIRECT(ADDRESS(657,17))-INDIRECT(ADDRESS(652,18))+INDIRECT(ADDRESS(655,18))-INDIRECT(ADDRESS(656,18)))</f>
        <v>0</v>
      </c>
      <c r="S657">
        <f>IF(DAY(NOW())&lt;M3,INDIRECT(ADDRESS(657,18))-INDIRECT(ADDRESS(652,19))+INDIRECT(ADDRESS(653,19))-INDIRECT(ADDRESS(656,19)),INDIRECT(ADDRESS(657,18))-INDIRECT(ADDRESS(652,19))+INDIRECT(ADDRESS(655,19))-INDIRECT(ADDRESS(656,19)))</f>
        <v>0</v>
      </c>
      <c r="T657">
        <f>IF(DAY(NOW())&lt;M3,INDIRECT(ADDRESS(657,19))-INDIRECT(ADDRESS(652,20))+INDIRECT(ADDRESS(653,20))-INDIRECT(ADDRESS(656,20)),INDIRECT(ADDRESS(657,19))-INDIRECT(ADDRESS(652,20))+INDIRECT(ADDRESS(655,20))-INDIRECT(ADDRESS(656,20)))</f>
        <v>0</v>
      </c>
      <c r="U657">
        <f>IF(DAY(NOW())&lt;M3,INDIRECT(ADDRESS(657,20))-INDIRECT(ADDRESS(652,21))+INDIRECT(ADDRESS(653,21))-INDIRECT(ADDRESS(656,21)),INDIRECT(ADDRESS(657,20))-INDIRECT(ADDRESS(652,21))+INDIRECT(ADDRESS(655,21))-INDIRECT(ADDRESS(656,21)))</f>
        <v>0</v>
      </c>
      <c r="V657">
        <f>IF(DAY(NOW())&lt;M3,INDIRECT(ADDRESS(657,21))-INDIRECT(ADDRESS(652,22))+INDIRECT(ADDRESS(653,22))-INDIRECT(ADDRESS(656,22)),INDIRECT(ADDRESS(657,21))-INDIRECT(ADDRESS(652,22))+INDIRECT(ADDRESS(655,22))-INDIRECT(ADDRESS(656,22)))</f>
        <v>0</v>
      </c>
      <c r="W657">
        <f>IF(DAY(NOW())&lt;M3,INDIRECT(ADDRESS(657,22))-INDIRECT(ADDRESS(652,23))+INDIRECT(ADDRESS(653,23))-INDIRECT(ADDRESS(656,23)),INDIRECT(ADDRESS(657,22))-INDIRECT(ADDRESS(652,23))+INDIRECT(ADDRESS(655,23))-INDIRECT(ADDRESS(656,23)))</f>
        <v>0</v>
      </c>
      <c r="X657">
        <f>IF(DAY(NOW())&lt;M3,INDIRECT(ADDRESS(657,23))-INDIRECT(ADDRESS(652,24))+INDIRECT(ADDRESS(653,24))-INDIRECT(ADDRESS(656,24)),INDIRECT(ADDRESS(657,23))-INDIRECT(ADDRESS(652,24))+INDIRECT(ADDRESS(655,24))-INDIRECT(ADDRESS(656,24)))</f>
        <v>0</v>
      </c>
      <c r="Y657">
        <f>IF(DAY(NOW())&lt;M3,INDIRECT(ADDRESS(657,24))-INDIRECT(ADDRESS(652,25))+INDIRECT(ADDRESS(653,25))-INDIRECT(ADDRESS(656,25)),INDIRECT(ADDRESS(657,24))-INDIRECT(ADDRESS(652,25))+INDIRECT(ADDRESS(655,25))-INDIRECT(ADDRESS(656,25)))</f>
        <v>0</v>
      </c>
      <c r="Z657">
        <f>IF(DAY(NOW())&lt;M3,INDIRECT(ADDRESS(657,25))-INDIRECT(ADDRESS(652,26))+INDIRECT(ADDRESS(653,26))-INDIRECT(ADDRESS(656,26)),INDIRECT(ADDRESS(657,25))-INDIRECT(ADDRESS(652,26))+INDIRECT(ADDRESS(655,26))-INDIRECT(ADDRESS(656,26)))</f>
        <v>0</v>
      </c>
      <c r="AA657">
        <f>IF(DAY(NOW())&lt;M3,INDIRECT(ADDRESS(657,26))-INDIRECT(ADDRESS(652,27))+INDIRECT(ADDRESS(653,27))-INDIRECT(ADDRESS(656,27)),INDIRECT(ADDRESS(657,26))-INDIRECT(ADDRESS(652,27))+INDIRECT(ADDRESS(655,27))-INDIRECT(ADDRESS(656,27)))</f>
        <v>0</v>
      </c>
      <c r="AB657">
        <f>IF(DAY(NOW())&lt;M3,INDIRECT(ADDRESS(657,27))-INDIRECT(ADDRESS(652,28))+INDIRECT(ADDRESS(653,28))-INDIRECT(ADDRESS(656,28)),INDIRECT(ADDRESS(657,27))-INDIRECT(ADDRESS(652,28))+INDIRECT(ADDRESS(655,28))-INDIRECT(ADDRESS(656,28)))</f>
        <v>0</v>
      </c>
      <c r="AC657">
        <f>IF(DAY(NOW())&lt;M3,INDIRECT(ADDRESS(657,28))-INDIRECT(ADDRESS(652,29))+INDIRECT(ADDRESS(653,29))-INDIRECT(ADDRESS(656,29)),INDIRECT(ADDRESS(657,28))-INDIRECT(ADDRESS(652,29))+INDIRECT(ADDRESS(655,29))-INDIRECT(ADDRESS(656,29)))</f>
        <v>0</v>
      </c>
      <c r="AD657">
        <f>IF(DAY(NOW())&lt;M3,INDIRECT(ADDRESS(657,29))-INDIRECT(ADDRESS(652,30))+INDIRECT(ADDRESS(653,30))-INDIRECT(ADDRESS(656,30)),INDIRECT(ADDRESS(657,29))-INDIRECT(ADDRESS(652,30))+INDIRECT(ADDRESS(655,30))-INDIRECT(ADDRESS(656,30)))</f>
        <v>0</v>
      </c>
      <c r="AE657">
        <f>IF(DAY(NOW())&lt;M3,INDIRECT(ADDRESS(657,30))-INDIRECT(ADDRESS(652,31))+INDIRECT(ADDRESS(653,31))-INDIRECT(ADDRESS(656,31)),INDIRECT(ADDRESS(657,30))-INDIRECT(ADDRESS(652,31))+INDIRECT(ADDRESS(655,31))-INDIRECT(ADDRESS(656,31)))</f>
        <v>0</v>
      </c>
      <c r="AF657">
        <f>IF(DAY(NOW())&lt;M3,INDIRECT(ADDRESS(657,31))-INDIRECT(ADDRESS(652,32))+INDIRECT(ADDRESS(653,32))-INDIRECT(ADDRESS(656,32)),INDIRECT(ADDRESS(657,31))-INDIRECT(ADDRESS(652,32))+INDIRECT(ADDRESS(655,32))-INDIRECT(ADDRESS(656,32)))</f>
        <v>0</v>
      </c>
      <c r="AG657">
        <f>IF(DAY(NOW())&lt;M3,INDIRECT(ADDRESS(657,32))-INDIRECT(ADDRESS(652,33))+INDIRECT(ADDRESS(653,33))-INDIRECT(ADDRESS(656,33)),INDIRECT(ADDRESS(657,32))-INDIRECT(ADDRESS(652,33))+INDIRECT(ADDRESS(655,33))-INDIRECT(ADDRESS(656,33)))</f>
        <v>0</v>
      </c>
      <c r="AH657">
        <f>IF(DAY(NOW())&lt;M3,INDIRECT(ADDRESS(657,33))-INDIRECT(ADDRESS(652,34))+INDIRECT(ADDRESS(653,34))-INDIRECT(ADDRESS(656,34)),INDIRECT(ADDRESS(657,33))-INDIRECT(ADDRESS(652,34))+INDIRECT(ADDRESS(655,34))-INDIRECT(ADDRESS(656,34)))</f>
        <v>0</v>
      </c>
      <c r="AI657">
        <f>IF(DAY(NOW())&lt;M3,INDIRECT(ADDRESS(657,34))-INDIRECT(ADDRESS(652,35))+INDIRECT(ADDRESS(653,35))-INDIRECT(ADDRESS(656,35)),INDIRECT(ADDRESS(657,34))-INDIRECT(ADDRESS(652,35))+INDIRECT(ADDRESS(655,35))-INDIRECT(ADDRESS(656,35)))</f>
        <v>0</v>
      </c>
      <c r="AJ657">
        <f>IF(DAY(NOW())&lt;M3,INDIRECT(ADDRESS(657,35))-INDIRECT(ADDRESS(652,36))+INDIRECT(ADDRESS(653,36))-INDIRECT(ADDRESS(656,36)),INDIRECT(ADDRESS(657,35))-INDIRECT(ADDRESS(652,36))+INDIRECT(ADDRESS(655,36))-INDIRECT(ADDRESS(656,36)))</f>
        <v>0</v>
      </c>
      <c r="AK657">
        <f>IF(DAY(NOW())&lt;M3,INDIRECT(ADDRESS(657,36))-INDIRECT(ADDRESS(652,37))+INDIRECT(ADDRESS(653,37))-INDIRECT(ADDRESS(656,37)),INDIRECT(ADDRESS(657,36))-INDIRECT(ADDRESS(652,37))+INDIRECT(ADDRESS(655,37))-INDIRECT(ADDRESS(656,37)))</f>
        <v>0</v>
      </c>
      <c r="AL657">
        <f>IF(DAY(NOW())&lt;M3,INDIRECT(ADDRESS(657,37))-INDIRECT(ADDRESS(652,38))+INDIRECT(ADDRESS(653,38))-INDIRECT(ADDRESS(656,38)),INDIRECT(ADDRESS(657,37))-INDIRECT(ADDRESS(652,38))+INDIRECT(ADDRESS(655,38))-INDIRECT(ADDRESS(656,38)))</f>
        <v>0</v>
      </c>
      <c r="AM657">
        <f>IF(DAY(NOW())&lt;M3,INDIRECT(ADDRESS(657,38))-INDIRECT(ADDRESS(652,39))+INDIRECT(ADDRESS(653,39))-INDIRECT(ADDRESS(656,39)),INDIRECT(ADDRESS(657,38))-INDIRECT(ADDRESS(652,39))+INDIRECT(ADDRESS(655,39))-INDIRECT(ADDRESS(656,39)))</f>
        <v>0</v>
      </c>
      <c r="AN657">
        <f>IF(DAY(NOW())&lt;M3,INDIRECT(ADDRESS(657,39))-INDIRECT(ADDRESS(652,40))+INDIRECT(ADDRESS(653,40))-INDIRECT(ADDRESS(656,40)),INDIRECT(ADDRESS(657,39))-INDIRECT(ADDRESS(652,40))+INDIRECT(ADDRESS(655,40))-INDIRECT(ADDRESS(656,40)))</f>
        <v>0</v>
      </c>
      <c r="AO657">
        <f>IF(DAY(NOW())&lt;M3,INDIRECT(ADDRESS(657,40))-INDIRECT(ADDRESS(652,41))+INDIRECT(ADDRESS(653,41))-INDIRECT(ADDRESS(656,41)),INDIRECT(ADDRESS(657,40))-INDIRECT(ADDRESS(652,41))+INDIRECT(ADDRESS(655,41))-INDIRECT(ADDRESS(656,41)))</f>
        <v>0</v>
      </c>
      <c r="AP657">
        <f>IF(DAY(NOW())&lt;M3,INDIRECT(ADDRESS(657,41))-INDIRECT(ADDRESS(652,42))+INDIRECT(ADDRESS(653,42))-INDIRECT(ADDRESS(656,42)),INDIRECT(ADDRESS(657,41))-INDIRECT(ADDRESS(652,42))+INDIRECT(ADDRESS(655,42))-INDIRECT(ADDRESS(656,42)))</f>
        <v>0</v>
      </c>
      <c r="AQ657">
        <f>IF(DAY(NOW())&lt;M3,INDIRECT(ADDRESS(657,42))-INDIRECT(ADDRESS(652,43))+INDIRECT(ADDRESS(653,43))-INDIRECT(ADDRESS(656,43)),INDIRECT(ADDRESS(657,42))-INDIRECT(ADDRESS(652,43))+INDIRECT(ADDRESS(655,43))-INDIRECT(ADDRESS(656,43)))</f>
        <v>0</v>
      </c>
      <c r="AR657">
        <f>IF(DAY(NOW())&lt;M3,INDIRECT(ADDRESS(657,43))-INDIRECT(ADDRESS(652,44))+INDIRECT(ADDRESS(653,44))-INDIRECT(ADDRESS(656,44)),INDIRECT(ADDRESS(657,43))-INDIRECT(ADDRESS(652,44))+INDIRECT(ADDRESS(655,44))-INDIRECT(ADDRESS(656,44)))</f>
        <v>0</v>
      </c>
    </row>
    <row r="658" spans="1:76">
      <c r="A658" t="s">
        <v>31</v>
      </c>
      <c r="B658" t="s">
        <v>340</v>
      </c>
      <c r="C658" t="s">
        <v>341</v>
      </c>
      <c r="D658" t="s">
        <v>17</v>
      </c>
      <c r="E658">
        <v>1</v>
      </c>
      <c r="F658" t="s">
        <v>342</v>
      </c>
      <c r="K658" t="s">
        <v>308</v>
      </c>
      <c r="L658" t="s">
        <v>21</v>
      </c>
      <c r="M658">
        <f>sumifs(BOM!m:m,BOM!A:A,".1",BOM!B:B,"211-183000-000")</f>
        <v>0</v>
      </c>
      <c r="N658">
        <f>sumifs(BOM!n:n,BOM!A:A,".1",BOM!B:B,"211-183000-000")</f>
        <v>0</v>
      </c>
      <c r="O658">
        <f>sumifs(BOM!o:o,BOM!A:A,".1",BOM!B:B,"211-183000-000")</f>
        <v>0</v>
      </c>
      <c r="P658">
        <f>sumifs(BOM!p:p,BOM!A:A,".1",BOM!B:B,"211-183000-000")</f>
        <v>0</v>
      </c>
      <c r="Q658">
        <f>sumifs(BOM!q:q,BOM!A:A,".1",BOM!B:B,"211-183000-000")</f>
        <v>0</v>
      </c>
      <c r="R658">
        <f>sumifs(BOM!r:r,BOM!A:A,".1",BOM!B:B,"211-183000-000")</f>
        <v>0</v>
      </c>
      <c r="S658">
        <f>sumifs(BOM!s:s,BOM!A:A,".1",BOM!B:B,"211-183000-000")</f>
        <v>0</v>
      </c>
      <c r="T658">
        <f>sumifs(BOM!t:t,BOM!A:A,".1",BOM!B:B,"211-183000-000")</f>
        <v>0</v>
      </c>
      <c r="U658">
        <f>sumifs(BOM!u:u,BOM!A:A,".1",BOM!B:B,"211-183000-000")</f>
        <v>0</v>
      </c>
      <c r="V658">
        <f>sumifs(BOM!v:v,BOM!A:A,".1",BOM!B:B,"211-183000-000")</f>
        <v>0</v>
      </c>
      <c r="W658">
        <f>sumifs(BOM!w:w,BOM!A:A,".1",BOM!B:B,"211-183000-000")</f>
        <v>0</v>
      </c>
      <c r="X658">
        <f>sumifs(BOM!x:x,BOM!A:A,".1",BOM!B:B,"211-183000-000")</f>
        <v>0</v>
      </c>
      <c r="Y658">
        <f>sumifs(BOM!y:y,BOM!A:A,".1",BOM!B:B,"211-183000-000")</f>
        <v>0</v>
      </c>
      <c r="Z658">
        <f>sumifs(BOM!z:z,BOM!A:A,".1",BOM!B:B,"211-183000-000")</f>
        <v>0</v>
      </c>
      <c r="AA658">
        <f>sumifs(BOM!aa:aa,BOM!A:A,".1",BOM!B:B,"211-183000-000")</f>
        <v>0</v>
      </c>
      <c r="AB658">
        <f>sumifs(BOM!ab:ab,BOM!A:A,".1",BOM!B:B,"211-183000-000")</f>
        <v>0</v>
      </c>
      <c r="AC658">
        <f>sumifs(BOM!ac:ac,BOM!A:A,".1",BOM!B:B,"211-183000-000")</f>
        <v>0</v>
      </c>
      <c r="AD658">
        <f>sumifs(BOM!ad:ad,BOM!A:A,".1",BOM!B:B,"211-183000-000")</f>
        <v>0</v>
      </c>
      <c r="AE658">
        <f>sumifs(BOM!ae:ae,BOM!A:A,".1",BOM!B:B,"211-183000-000")</f>
        <v>0</v>
      </c>
      <c r="AF658">
        <f>sumifs(BOM!af:af,BOM!A:A,".1",BOM!B:B,"211-183000-000")</f>
        <v>0</v>
      </c>
      <c r="AG658">
        <f>sumifs(BOM!ag:ag,BOM!A:A,".1",BOM!B:B,"211-183000-000")</f>
        <v>0</v>
      </c>
      <c r="AH658">
        <f>sumifs(BOM!ah:ah,BOM!A:A,".1",BOM!B:B,"211-183000-000")</f>
        <v>0</v>
      </c>
      <c r="AI658">
        <f>sumifs(BOM!ai:ai,BOM!A:A,".1",BOM!B:B,"211-183000-000")</f>
        <v>0</v>
      </c>
      <c r="AJ658">
        <f>sumifs(BOM!aj:aj,BOM!A:A,".1",BOM!B:B,"211-183000-000")</f>
        <v>0</v>
      </c>
      <c r="AK658">
        <f>sumifs(BOM!ak:ak,BOM!A:A,".1",BOM!B:B,"211-183000-000")</f>
        <v>0</v>
      </c>
      <c r="AL658">
        <f>sumifs(BOM!al:al,BOM!A:A,".1",BOM!B:B,"211-183000-000")</f>
        <v>0</v>
      </c>
      <c r="AM658">
        <f>sumifs(BOM!am:am,BOM!A:A,".1",BOM!B:B,"211-183000-000")</f>
        <v>0</v>
      </c>
      <c r="AN658">
        <f>sumifs(BOM!an:an,BOM!A:A,".1",BOM!B:B,"211-183000-000")</f>
        <v>0</v>
      </c>
      <c r="AO658">
        <f>sumifs(BOM!ao:ao,BOM!A:A,".1",BOM!B:B,"211-183000-000")</f>
        <v>0</v>
      </c>
      <c r="AP658">
        <f>sumifs(BOM!ap:ap,BOM!A:A,".1",BOM!B:B,"211-183000-000")</f>
        <v>0</v>
      </c>
      <c r="AQ658">
        <f>sumifs(BOM!aq:aq,BOM!A:A,".1",BOM!B:B,"211-183000-000")</f>
        <v>0</v>
      </c>
      <c r="AR658">
        <f>sumifs(BOM!ar:ar,BOM!A:A,".1",BOM!B:B,"211-183000-000")</f>
        <v>0</v>
      </c>
      <c r="BX658">
        <f>sum(j658:an658)</f>
        <v>0</v>
      </c>
    </row>
    <row r="659" spans="1:76">
      <c r="A659" t="s">
        <v>31</v>
      </c>
      <c r="B659" t="s">
        <v>340</v>
      </c>
      <c r="C659" t="s">
        <v>341</v>
      </c>
      <c r="D659" t="s">
        <v>17</v>
      </c>
      <c r="E659">
        <v>1</v>
      </c>
      <c r="F659" t="s">
        <v>342</v>
      </c>
      <c r="K659" t="s">
        <v>308</v>
      </c>
      <c r="L659" t="s">
        <v>37</v>
      </c>
    </row>
    <row r="660" spans="1:76">
      <c r="L660" t="s">
        <v>662</v>
      </c>
    </row>
    <row r="661" spans="1:76">
      <c r="L661" t="s">
        <v>663</v>
      </c>
    </row>
    <row r="662" spans="1:76">
      <c r="L662" t="s">
        <v>664</v>
      </c>
    </row>
    <row r="663" spans="1:76">
      <c r="L663" t="s">
        <v>665</v>
      </c>
      <c r="M663">
        <f>IF(DAY(NOW())&lt;M3,INDIRECT(ADDRESS(663,7))-INDIRECT(ADDRESS(658,13))+INDIRECT(ADDRESS(659,13))-INDIRECT(ADDRESS(662,13)),INDIRECT(ADDRESS(663,7))-INDIRECT(ADDRESS(658,13))+INDIRECT(ADDRESS(661,13))-INDIRECT(ADDRESS(662,13)))</f>
        <v>0</v>
      </c>
      <c r="N663">
        <f>IF(DAY(NOW())&lt;M3,INDIRECT(ADDRESS(663,13))-INDIRECT(ADDRESS(658,14))+INDIRECT(ADDRESS(659,14))-INDIRECT(ADDRESS(662,14)),INDIRECT(ADDRESS(663,13))-INDIRECT(ADDRESS(658,14))+INDIRECT(ADDRESS(661,14))-INDIRECT(ADDRESS(662,14)))</f>
        <v>0</v>
      </c>
      <c r="O663">
        <f>IF(DAY(NOW())&lt;M3,INDIRECT(ADDRESS(663,14))-INDIRECT(ADDRESS(658,15))+INDIRECT(ADDRESS(659,15))-INDIRECT(ADDRESS(662,15)),INDIRECT(ADDRESS(663,14))-INDIRECT(ADDRESS(658,15))+INDIRECT(ADDRESS(661,15))-INDIRECT(ADDRESS(662,15)))</f>
        <v>0</v>
      </c>
      <c r="P663">
        <f>IF(DAY(NOW())&lt;M3,INDIRECT(ADDRESS(663,15))-INDIRECT(ADDRESS(658,16))+INDIRECT(ADDRESS(659,16))-INDIRECT(ADDRESS(662,16)),INDIRECT(ADDRESS(663,15))-INDIRECT(ADDRESS(658,16))+INDIRECT(ADDRESS(661,16))-INDIRECT(ADDRESS(662,16)))</f>
        <v>0</v>
      </c>
      <c r="Q663">
        <f>IF(DAY(NOW())&lt;M3,INDIRECT(ADDRESS(663,16))-INDIRECT(ADDRESS(658,17))+INDIRECT(ADDRESS(659,17))-INDIRECT(ADDRESS(662,17)),INDIRECT(ADDRESS(663,16))-INDIRECT(ADDRESS(658,17))+INDIRECT(ADDRESS(661,17))-INDIRECT(ADDRESS(662,17)))</f>
        <v>0</v>
      </c>
      <c r="R663">
        <f>IF(DAY(NOW())&lt;M3,INDIRECT(ADDRESS(663,17))-INDIRECT(ADDRESS(658,18))+INDIRECT(ADDRESS(659,18))-INDIRECT(ADDRESS(662,18)),INDIRECT(ADDRESS(663,17))-INDIRECT(ADDRESS(658,18))+INDIRECT(ADDRESS(661,18))-INDIRECT(ADDRESS(662,18)))</f>
        <v>0</v>
      </c>
      <c r="S663">
        <f>IF(DAY(NOW())&lt;M3,INDIRECT(ADDRESS(663,18))-INDIRECT(ADDRESS(658,19))+INDIRECT(ADDRESS(659,19))-INDIRECT(ADDRESS(662,19)),INDIRECT(ADDRESS(663,18))-INDIRECT(ADDRESS(658,19))+INDIRECT(ADDRESS(661,19))-INDIRECT(ADDRESS(662,19)))</f>
        <v>0</v>
      </c>
      <c r="T663">
        <f>IF(DAY(NOW())&lt;M3,INDIRECT(ADDRESS(663,19))-INDIRECT(ADDRESS(658,20))+INDIRECT(ADDRESS(659,20))-INDIRECT(ADDRESS(662,20)),INDIRECT(ADDRESS(663,19))-INDIRECT(ADDRESS(658,20))+INDIRECT(ADDRESS(661,20))-INDIRECT(ADDRESS(662,20)))</f>
        <v>0</v>
      </c>
      <c r="U663">
        <f>IF(DAY(NOW())&lt;M3,INDIRECT(ADDRESS(663,20))-INDIRECT(ADDRESS(658,21))+INDIRECT(ADDRESS(659,21))-INDIRECT(ADDRESS(662,21)),INDIRECT(ADDRESS(663,20))-INDIRECT(ADDRESS(658,21))+INDIRECT(ADDRESS(661,21))-INDIRECT(ADDRESS(662,21)))</f>
        <v>0</v>
      </c>
      <c r="V663">
        <f>IF(DAY(NOW())&lt;M3,INDIRECT(ADDRESS(663,21))-INDIRECT(ADDRESS(658,22))+INDIRECT(ADDRESS(659,22))-INDIRECT(ADDRESS(662,22)),INDIRECT(ADDRESS(663,21))-INDIRECT(ADDRESS(658,22))+INDIRECT(ADDRESS(661,22))-INDIRECT(ADDRESS(662,22)))</f>
        <v>0</v>
      </c>
      <c r="W663">
        <f>IF(DAY(NOW())&lt;M3,INDIRECT(ADDRESS(663,22))-INDIRECT(ADDRESS(658,23))+INDIRECT(ADDRESS(659,23))-INDIRECT(ADDRESS(662,23)),INDIRECT(ADDRESS(663,22))-INDIRECT(ADDRESS(658,23))+INDIRECT(ADDRESS(661,23))-INDIRECT(ADDRESS(662,23)))</f>
        <v>0</v>
      </c>
      <c r="X663">
        <f>IF(DAY(NOW())&lt;M3,INDIRECT(ADDRESS(663,23))-INDIRECT(ADDRESS(658,24))+INDIRECT(ADDRESS(659,24))-INDIRECT(ADDRESS(662,24)),INDIRECT(ADDRESS(663,23))-INDIRECT(ADDRESS(658,24))+INDIRECT(ADDRESS(661,24))-INDIRECT(ADDRESS(662,24)))</f>
        <v>0</v>
      </c>
      <c r="Y663">
        <f>IF(DAY(NOW())&lt;M3,INDIRECT(ADDRESS(663,24))-INDIRECT(ADDRESS(658,25))+INDIRECT(ADDRESS(659,25))-INDIRECT(ADDRESS(662,25)),INDIRECT(ADDRESS(663,24))-INDIRECT(ADDRESS(658,25))+INDIRECT(ADDRESS(661,25))-INDIRECT(ADDRESS(662,25)))</f>
        <v>0</v>
      </c>
      <c r="Z663">
        <f>IF(DAY(NOW())&lt;M3,INDIRECT(ADDRESS(663,25))-INDIRECT(ADDRESS(658,26))+INDIRECT(ADDRESS(659,26))-INDIRECT(ADDRESS(662,26)),INDIRECT(ADDRESS(663,25))-INDIRECT(ADDRESS(658,26))+INDIRECT(ADDRESS(661,26))-INDIRECT(ADDRESS(662,26)))</f>
        <v>0</v>
      </c>
      <c r="AA663">
        <f>IF(DAY(NOW())&lt;M3,INDIRECT(ADDRESS(663,26))-INDIRECT(ADDRESS(658,27))+INDIRECT(ADDRESS(659,27))-INDIRECT(ADDRESS(662,27)),INDIRECT(ADDRESS(663,26))-INDIRECT(ADDRESS(658,27))+INDIRECT(ADDRESS(661,27))-INDIRECT(ADDRESS(662,27)))</f>
        <v>0</v>
      </c>
      <c r="AB663">
        <f>IF(DAY(NOW())&lt;M3,INDIRECT(ADDRESS(663,27))-INDIRECT(ADDRESS(658,28))+INDIRECT(ADDRESS(659,28))-INDIRECT(ADDRESS(662,28)),INDIRECT(ADDRESS(663,27))-INDIRECT(ADDRESS(658,28))+INDIRECT(ADDRESS(661,28))-INDIRECT(ADDRESS(662,28)))</f>
        <v>0</v>
      </c>
      <c r="AC663">
        <f>IF(DAY(NOW())&lt;M3,INDIRECT(ADDRESS(663,28))-INDIRECT(ADDRESS(658,29))+INDIRECT(ADDRESS(659,29))-INDIRECT(ADDRESS(662,29)),INDIRECT(ADDRESS(663,28))-INDIRECT(ADDRESS(658,29))+INDIRECT(ADDRESS(661,29))-INDIRECT(ADDRESS(662,29)))</f>
        <v>0</v>
      </c>
      <c r="AD663">
        <f>IF(DAY(NOW())&lt;M3,INDIRECT(ADDRESS(663,29))-INDIRECT(ADDRESS(658,30))+INDIRECT(ADDRESS(659,30))-INDIRECT(ADDRESS(662,30)),INDIRECT(ADDRESS(663,29))-INDIRECT(ADDRESS(658,30))+INDIRECT(ADDRESS(661,30))-INDIRECT(ADDRESS(662,30)))</f>
        <v>0</v>
      </c>
      <c r="AE663">
        <f>IF(DAY(NOW())&lt;M3,INDIRECT(ADDRESS(663,30))-INDIRECT(ADDRESS(658,31))+INDIRECT(ADDRESS(659,31))-INDIRECT(ADDRESS(662,31)),INDIRECT(ADDRESS(663,30))-INDIRECT(ADDRESS(658,31))+INDIRECT(ADDRESS(661,31))-INDIRECT(ADDRESS(662,31)))</f>
        <v>0</v>
      </c>
      <c r="AF663">
        <f>IF(DAY(NOW())&lt;M3,INDIRECT(ADDRESS(663,31))-INDIRECT(ADDRESS(658,32))+INDIRECT(ADDRESS(659,32))-INDIRECT(ADDRESS(662,32)),INDIRECT(ADDRESS(663,31))-INDIRECT(ADDRESS(658,32))+INDIRECT(ADDRESS(661,32))-INDIRECT(ADDRESS(662,32)))</f>
        <v>0</v>
      </c>
      <c r="AG663">
        <f>IF(DAY(NOW())&lt;M3,INDIRECT(ADDRESS(663,32))-INDIRECT(ADDRESS(658,33))+INDIRECT(ADDRESS(659,33))-INDIRECT(ADDRESS(662,33)),INDIRECT(ADDRESS(663,32))-INDIRECT(ADDRESS(658,33))+INDIRECT(ADDRESS(661,33))-INDIRECT(ADDRESS(662,33)))</f>
        <v>0</v>
      </c>
      <c r="AH663">
        <f>IF(DAY(NOW())&lt;M3,INDIRECT(ADDRESS(663,33))-INDIRECT(ADDRESS(658,34))+INDIRECT(ADDRESS(659,34))-INDIRECT(ADDRESS(662,34)),INDIRECT(ADDRESS(663,33))-INDIRECT(ADDRESS(658,34))+INDIRECT(ADDRESS(661,34))-INDIRECT(ADDRESS(662,34)))</f>
        <v>0</v>
      </c>
      <c r="AI663">
        <f>IF(DAY(NOW())&lt;M3,INDIRECT(ADDRESS(663,34))-INDIRECT(ADDRESS(658,35))+INDIRECT(ADDRESS(659,35))-INDIRECT(ADDRESS(662,35)),INDIRECT(ADDRESS(663,34))-INDIRECT(ADDRESS(658,35))+INDIRECT(ADDRESS(661,35))-INDIRECT(ADDRESS(662,35)))</f>
        <v>0</v>
      </c>
      <c r="AJ663">
        <f>IF(DAY(NOW())&lt;M3,INDIRECT(ADDRESS(663,35))-INDIRECT(ADDRESS(658,36))+INDIRECT(ADDRESS(659,36))-INDIRECT(ADDRESS(662,36)),INDIRECT(ADDRESS(663,35))-INDIRECT(ADDRESS(658,36))+INDIRECT(ADDRESS(661,36))-INDIRECT(ADDRESS(662,36)))</f>
        <v>0</v>
      </c>
      <c r="AK663">
        <f>IF(DAY(NOW())&lt;M3,INDIRECT(ADDRESS(663,36))-INDIRECT(ADDRESS(658,37))+INDIRECT(ADDRESS(659,37))-INDIRECT(ADDRESS(662,37)),INDIRECT(ADDRESS(663,36))-INDIRECT(ADDRESS(658,37))+INDIRECT(ADDRESS(661,37))-INDIRECT(ADDRESS(662,37)))</f>
        <v>0</v>
      </c>
      <c r="AL663">
        <f>IF(DAY(NOW())&lt;M3,INDIRECT(ADDRESS(663,37))-INDIRECT(ADDRESS(658,38))+INDIRECT(ADDRESS(659,38))-INDIRECT(ADDRESS(662,38)),INDIRECT(ADDRESS(663,37))-INDIRECT(ADDRESS(658,38))+INDIRECT(ADDRESS(661,38))-INDIRECT(ADDRESS(662,38)))</f>
        <v>0</v>
      </c>
      <c r="AM663">
        <f>IF(DAY(NOW())&lt;M3,INDIRECT(ADDRESS(663,38))-INDIRECT(ADDRESS(658,39))+INDIRECT(ADDRESS(659,39))-INDIRECT(ADDRESS(662,39)),INDIRECT(ADDRESS(663,38))-INDIRECT(ADDRESS(658,39))+INDIRECT(ADDRESS(661,39))-INDIRECT(ADDRESS(662,39)))</f>
        <v>0</v>
      </c>
      <c r="AN663">
        <f>IF(DAY(NOW())&lt;M3,INDIRECT(ADDRESS(663,39))-INDIRECT(ADDRESS(658,40))+INDIRECT(ADDRESS(659,40))-INDIRECT(ADDRESS(662,40)),INDIRECT(ADDRESS(663,39))-INDIRECT(ADDRESS(658,40))+INDIRECT(ADDRESS(661,40))-INDIRECT(ADDRESS(662,40)))</f>
        <v>0</v>
      </c>
      <c r="AO663">
        <f>IF(DAY(NOW())&lt;M3,INDIRECT(ADDRESS(663,40))-INDIRECT(ADDRESS(658,41))+INDIRECT(ADDRESS(659,41))-INDIRECT(ADDRESS(662,41)),INDIRECT(ADDRESS(663,40))-INDIRECT(ADDRESS(658,41))+INDIRECT(ADDRESS(661,41))-INDIRECT(ADDRESS(662,41)))</f>
        <v>0</v>
      </c>
      <c r="AP663">
        <f>IF(DAY(NOW())&lt;M3,INDIRECT(ADDRESS(663,41))-INDIRECT(ADDRESS(658,42))+INDIRECT(ADDRESS(659,42))-INDIRECT(ADDRESS(662,42)),INDIRECT(ADDRESS(663,41))-INDIRECT(ADDRESS(658,42))+INDIRECT(ADDRESS(661,42))-INDIRECT(ADDRESS(662,42)))</f>
        <v>0</v>
      </c>
      <c r="AQ663">
        <f>IF(DAY(NOW())&lt;M3,INDIRECT(ADDRESS(663,42))-INDIRECT(ADDRESS(658,43))+INDIRECT(ADDRESS(659,43))-INDIRECT(ADDRESS(662,43)),INDIRECT(ADDRESS(663,42))-INDIRECT(ADDRESS(658,43))+INDIRECT(ADDRESS(661,43))-INDIRECT(ADDRESS(662,43)))</f>
        <v>0</v>
      </c>
      <c r="AR663">
        <f>IF(DAY(NOW())&lt;M3,INDIRECT(ADDRESS(663,43))-INDIRECT(ADDRESS(658,44))+INDIRECT(ADDRESS(659,44))-INDIRECT(ADDRESS(662,44)),INDIRECT(ADDRESS(663,43))-INDIRECT(ADDRESS(658,44))+INDIRECT(ADDRESS(661,44))-INDIRECT(ADDRESS(662,44)))</f>
        <v>0</v>
      </c>
    </row>
    <row r="664" spans="1:76">
      <c r="A664" t="s">
        <v>14</v>
      </c>
      <c r="B664" t="s">
        <v>105</v>
      </c>
      <c r="C664" t="s">
        <v>106</v>
      </c>
      <c r="D664" t="s">
        <v>304</v>
      </c>
      <c r="E664">
        <v>1</v>
      </c>
      <c r="F664" t="s">
        <v>107</v>
      </c>
      <c r="K664" t="s">
        <v>305</v>
      </c>
      <c r="L664" t="s">
        <v>21</v>
      </c>
      <c r="BX664">
        <f>sum(j664:an664)</f>
        <v>0</v>
      </c>
    </row>
    <row r="665" spans="1:76">
      <c r="A665" t="s">
        <v>14</v>
      </c>
      <c r="B665" t="s">
        <v>105</v>
      </c>
      <c r="C665" t="s">
        <v>106</v>
      </c>
      <c r="D665" t="s">
        <v>304</v>
      </c>
      <c r="E665">
        <v>1</v>
      </c>
      <c r="F665" t="s">
        <v>107</v>
      </c>
      <c r="K665" t="s">
        <v>305</v>
      </c>
      <c r="L665" t="s">
        <v>37</v>
      </c>
    </row>
    <row r="666" spans="1:76">
      <c r="L666" t="s">
        <v>662</v>
      </c>
    </row>
    <row r="667" spans="1:76">
      <c r="L667" t="s">
        <v>663</v>
      </c>
    </row>
    <row r="668" spans="1:76">
      <c r="L668" t="s">
        <v>664</v>
      </c>
    </row>
    <row r="669" spans="1:76">
      <c r="L669" t="s">
        <v>665</v>
      </c>
      <c r="M669">
        <f>IF(DAY(NOW())&lt;M3,INDIRECT(ADDRESS(669,7))-INDIRECT(ADDRESS(664,13))+INDIRECT(ADDRESS(665,13))-INDIRECT(ADDRESS(668,13)),INDIRECT(ADDRESS(669,7))-INDIRECT(ADDRESS(664,13))+INDIRECT(ADDRESS(667,13))-INDIRECT(ADDRESS(668,13)))</f>
        <v>0</v>
      </c>
      <c r="N669">
        <f>IF(DAY(NOW())&lt;M3,INDIRECT(ADDRESS(669,13))-INDIRECT(ADDRESS(664,14))+INDIRECT(ADDRESS(665,14))-INDIRECT(ADDRESS(668,14)),INDIRECT(ADDRESS(669,13))-INDIRECT(ADDRESS(664,14))+INDIRECT(ADDRESS(667,14))-INDIRECT(ADDRESS(668,14)))</f>
        <v>0</v>
      </c>
      <c r="O669">
        <f>IF(DAY(NOW())&lt;M3,INDIRECT(ADDRESS(669,14))-INDIRECT(ADDRESS(664,15))+INDIRECT(ADDRESS(665,15))-INDIRECT(ADDRESS(668,15)),INDIRECT(ADDRESS(669,14))-INDIRECT(ADDRESS(664,15))+INDIRECT(ADDRESS(667,15))-INDIRECT(ADDRESS(668,15)))</f>
        <v>0</v>
      </c>
      <c r="P669">
        <f>IF(DAY(NOW())&lt;M3,INDIRECT(ADDRESS(669,15))-INDIRECT(ADDRESS(664,16))+INDIRECT(ADDRESS(665,16))-INDIRECT(ADDRESS(668,16)),INDIRECT(ADDRESS(669,15))-INDIRECT(ADDRESS(664,16))+INDIRECT(ADDRESS(667,16))-INDIRECT(ADDRESS(668,16)))</f>
        <v>0</v>
      </c>
      <c r="Q669">
        <f>IF(DAY(NOW())&lt;M3,INDIRECT(ADDRESS(669,16))-INDIRECT(ADDRESS(664,17))+INDIRECT(ADDRESS(665,17))-INDIRECT(ADDRESS(668,17)),INDIRECT(ADDRESS(669,16))-INDIRECT(ADDRESS(664,17))+INDIRECT(ADDRESS(667,17))-INDIRECT(ADDRESS(668,17)))</f>
        <v>0</v>
      </c>
      <c r="R669">
        <f>IF(DAY(NOW())&lt;M3,INDIRECT(ADDRESS(669,17))-INDIRECT(ADDRESS(664,18))+INDIRECT(ADDRESS(665,18))-INDIRECT(ADDRESS(668,18)),INDIRECT(ADDRESS(669,17))-INDIRECT(ADDRESS(664,18))+INDIRECT(ADDRESS(667,18))-INDIRECT(ADDRESS(668,18)))</f>
        <v>0</v>
      </c>
      <c r="S669">
        <f>IF(DAY(NOW())&lt;M3,INDIRECT(ADDRESS(669,18))-INDIRECT(ADDRESS(664,19))+INDIRECT(ADDRESS(665,19))-INDIRECT(ADDRESS(668,19)),INDIRECT(ADDRESS(669,18))-INDIRECT(ADDRESS(664,19))+INDIRECT(ADDRESS(667,19))-INDIRECT(ADDRESS(668,19)))</f>
        <v>0</v>
      </c>
      <c r="T669">
        <f>IF(DAY(NOW())&lt;M3,INDIRECT(ADDRESS(669,19))-INDIRECT(ADDRESS(664,20))+INDIRECT(ADDRESS(665,20))-INDIRECT(ADDRESS(668,20)),INDIRECT(ADDRESS(669,19))-INDIRECT(ADDRESS(664,20))+INDIRECT(ADDRESS(667,20))-INDIRECT(ADDRESS(668,20)))</f>
        <v>0</v>
      </c>
      <c r="U669">
        <f>IF(DAY(NOW())&lt;M3,INDIRECT(ADDRESS(669,20))-INDIRECT(ADDRESS(664,21))+INDIRECT(ADDRESS(665,21))-INDIRECT(ADDRESS(668,21)),INDIRECT(ADDRESS(669,20))-INDIRECT(ADDRESS(664,21))+INDIRECT(ADDRESS(667,21))-INDIRECT(ADDRESS(668,21)))</f>
        <v>0</v>
      </c>
      <c r="V669">
        <f>IF(DAY(NOW())&lt;M3,INDIRECT(ADDRESS(669,21))-INDIRECT(ADDRESS(664,22))+INDIRECT(ADDRESS(665,22))-INDIRECT(ADDRESS(668,22)),INDIRECT(ADDRESS(669,21))-INDIRECT(ADDRESS(664,22))+INDIRECT(ADDRESS(667,22))-INDIRECT(ADDRESS(668,22)))</f>
        <v>0</v>
      </c>
      <c r="W669">
        <f>IF(DAY(NOW())&lt;M3,INDIRECT(ADDRESS(669,22))-INDIRECT(ADDRESS(664,23))+INDIRECT(ADDRESS(665,23))-INDIRECT(ADDRESS(668,23)),INDIRECT(ADDRESS(669,22))-INDIRECT(ADDRESS(664,23))+INDIRECT(ADDRESS(667,23))-INDIRECT(ADDRESS(668,23)))</f>
        <v>0</v>
      </c>
      <c r="X669">
        <f>IF(DAY(NOW())&lt;M3,INDIRECT(ADDRESS(669,23))-INDIRECT(ADDRESS(664,24))+INDIRECT(ADDRESS(665,24))-INDIRECT(ADDRESS(668,24)),INDIRECT(ADDRESS(669,23))-INDIRECT(ADDRESS(664,24))+INDIRECT(ADDRESS(667,24))-INDIRECT(ADDRESS(668,24)))</f>
        <v>0</v>
      </c>
      <c r="Y669">
        <f>IF(DAY(NOW())&lt;M3,INDIRECT(ADDRESS(669,24))-INDIRECT(ADDRESS(664,25))+INDIRECT(ADDRESS(665,25))-INDIRECT(ADDRESS(668,25)),INDIRECT(ADDRESS(669,24))-INDIRECT(ADDRESS(664,25))+INDIRECT(ADDRESS(667,25))-INDIRECT(ADDRESS(668,25)))</f>
        <v>0</v>
      </c>
      <c r="Z669">
        <f>IF(DAY(NOW())&lt;M3,INDIRECT(ADDRESS(669,25))-INDIRECT(ADDRESS(664,26))+INDIRECT(ADDRESS(665,26))-INDIRECT(ADDRESS(668,26)),INDIRECT(ADDRESS(669,25))-INDIRECT(ADDRESS(664,26))+INDIRECT(ADDRESS(667,26))-INDIRECT(ADDRESS(668,26)))</f>
        <v>0</v>
      </c>
      <c r="AA669">
        <f>IF(DAY(NOW())&lt;M3,INDIRECT(ADDRESS(669,26))-INDIRECT(ADDRESS(664,27))+INDIRECT(ADDRESS(665,27))-INDIRECT(ADDRESS(668,27)),INDIRECT(ADDRESS(669,26))-INDIRECT(ADDRESS(664,27))+INDIRECT(ADDRESS(667,27))-INDIRECT(ADDRESS(668,27)))</f>
        <v>0</v>
      </c>
      <c r="AB669">
        <f>IF(DAY(NOW())&lt;M3,INDIRECT(ADDRESS(669,27))-INDIRECT(ADDRESS(664,28))+INDIRECT(ADDRESS(665,28))-INDIRECT(ADDRESS(668,28)),INDIRECT(ADDRESS(669,27))-INDIRECT(ADDRESS(664,28))+INDIRECT(ADDRESS(667,28))-INDIRECT(ADDRESS(668,28)))</f>
        <v>0</v>
      </c>
      <c r="AC669">
        <f>IF(DAY(NOW())&lt;M3,INDIRECT(ADDRESS(669,28))-INDIRECT(ADDRESS(664,29))+INDIRECT(ADDRESS(665,29))-INDIRECT(ADDRESS(668,29)),INDIRECT(ADDRESS(669,28))-INDIRECT(ADDRESS(664,29))+INDIRECT(ADDRESS(667,29))-INDIRECT(ADDRESS(668,29)))</f>
        <v>0</v>
      </c>
      <c r="AD669">
        <f>IF(DAY(NOW())&lt;M3,INDIRECT(ADDRESS(669,29))-INDIRECT(ADDRESS(664,30))+INDIRECT(ADDRESS(665,30))-INDIRECT(ADDRESS(668,30)),INDIRECT(ADDRESS(669,29))-INDIRECT(ADDRESS(664,30))+INDIRECT(ADDRESS(667,30))-INDIRECT(ADDRESS(668,30)))</f>
        <v>0</v>
      </c>
      <c r="AE669">
        <f>IF(DAY(NOW())&lt;M3,INDIRECT(ADDRESS(669,30))-INDIRECT(ADDRESS(664,31))+INDIRECT(ADDRESS(665,31))-INDIRECT(ADDRESS(668,31)),INDIRECT(ADDRESS(669,30))-INDIRECT(ADDRESS(664,31))+INDIRECT(ADDRESS(667,31))-INDIRECT(ADDRESS(668,31)))</f>
        <v>0</v>
      </c>
      <c r="AF669">
        <f>IF(DAY(NOW())&lt;M3,INDIRECT(ADDRESS(669,31))-INDIRECT(ADDRESS(664,32))+INDIRECT(ADDRESS(665,32))-INDIRECT(ADDRESS(668,32)),INDIRECT(ADDRESS(669,31))-INDIRECT(ADDRESS(664,32))+INDIRECT(ADDRESS(667,32))-INDIRECT(ADDRESS(668,32)))</f>
        <v>0</v>
      </c>
      <c r="AG669">
        <f>IF(DAY(NOW())&lt;M3,INDIRECT(ADDRESS(669,32))-INDIRECT(ADDRESS(664,33))+INDIRECT(ADDRESS(665,33))-INDIRECT(ADDRESS(668,33)),INDIRECT(ADDRESS(669,32))-INDIRECT(ADDRESS(664,33))+INDIRECT(ADDRESS(667,33))-INDIRECT(ADDRESS(668,33)))</f>
        <v>0</v>
      </c>
      <c r="AH669">
        <f>IF(DAY(NOW())&lt;M3,INDIRECT(ADDRESS(669,33))-INDIRECT(ADDRESS(664,34))+INDIRECT(ADDRESS(665,34))-INDIRECT(ADDRESS(668,34)),INDIRECT(ADDRESS(669,33))-INDIRECT(ADDRESS(664,34))+INDIRECT(ADDRESS(667,34))-INDIRECT(ADDRESS(668,34)))</f>
        <v>0</v>
      </c>
      <c r="AI669">
        <f>IF(DAY(NOW())&lt;M3,INDIRECT(ADDRESS(669,34))-INDIRECT(ADDRESS(664,35))+INDIRECT(ADDRESS(665,35))-INDIRECT(ADDRESS(668,35)),INDIRECT(ADDRESS(669,34))-INDIRECT(ADDRESS(664,35))+INDIRECT(ADDRESS(667,35))-INDIRECT(ADDRESS(668,35)))</f>
        <v>0</v>
      </c>
      <c r="AJ669">
        <f>IF(DAY(NOW())&lt;M3,INDIRECT(ADDRESS(669,35))-INDIRECT(ADDRESS(664,36))+INDIRECT(ADDRESS(665,36))-INDIRECT(ADDRESS(668,36)),INDIRECT(ADDRESS(669,35))-INDIRECT(ADDRESS(664,36))+INDIRECT(ADDRESS(667,36))-INDIRECT(ADDRESS(668,36)))</f>
        <v>0</v>
      </c>
      <c r="AK669">
        <f>IF(DAY(NOW())&lt;M3,INDIRECT(ADDRESS(669,36))-INDIRECT(ADDRESS(664,37))+INDIRECT(ADDRESS(665,37))-INDIRECT(ADDRESS(668,37)),INDIRECT(ADDRESS(669,36))-INDIRECT(ADDRESS(664,37))+INDIRECT(ADDRESS(667,37))-INDIRECT(ADDRESS(668,37)))</f>
        <v>0</v>
      </c>
      <c r="AL669">
        <f>IF(DAY(NOW())&lt;M3,INDIRECT(ADDRESS(669,37))-INDIRECT(ADDRESS(664,38))+INDIRECT(ADDRESS(665,38))-INDIRECT(ADDRESS(668,38)),INDIRECT(ADDRESS(669,37))-INDIRECT(ADDRESS(664,38))+INDIRECT(ADDRESS(667,38))-INDIRECT(ADDRESS(668,38)))</f>
        <v>0</v>
      </c>
      <c r="AM669">
        <f>IF(DAY(NOW())&lt;M3,INDIRECT(ADDRESS(669,38))-INDIRECT(ADDRESS(664,39))+INDIRECT(ADDRESS(665,39))-INDIRECT(ADDRESS(668,39)),INDIRECT(ADDRESS(669,38))-INDIRECT(ADDRESS(664,39))+INDIRECT(ADDRESS(667,39))-INDIRECT(ADDRESS(668,39)))</f>
        <v>0</v>
      </c>
      <c r="AN669">
        <f>IF(DAY(NOW())&lt;M3,INDIRECT(ADDRESS(669,39))-INDIRECT(ADDRESS(664,40))+INDIRECT(ADDRESS(665,40))-INDIRECT(ADDRESS(668,40)),INDIRECT(ADDRESS(669,39))-INDIRECT(ADDRESS(664,40))+INDIRECT(ADDRESS(667,40))-INDIRECT(ADDRESS(668,40)))</f>
        <v>0</v>
      </c>
      <c r="AO669">
        <f>IF(DAY(NOW())&lt;M3,INDIRECT(ADDRESS(669,40))-INDIRECT(ADDRESS(664,41))+INDIRECT(ADDRESS(665,41))-INDIRECT(ADDRESS(668,41)),INDIRECT(ADDRESS(669,40))-INDIRECT(ADDRESS(664,41))+INDIRECT(ADDRESS(667,41))-INDIRECT(ADDRESS(668,41)))</f>
        <v>0</v>
      </c>
      <c r="AP669">
        <f>IF(DAY(NOW())&lt;M3,INDIRECT(ADDRESS(669,41))-INDIRECT(ADDRESS(664,42))+INDIRECT(ADDRESS(665,42))-INDIRECT(ADDRESS(668,42)),INDIRECT(ADDRESS(669,41))-INDIRECT(ADDRESS(664,42))+INDIRECT(ADDRESS(667,42))-INDIRECT(ADDRESS(668,42)))</f>
        <v>0</v>
      </c>
      <c r="AQ669">
        <f>IF(DAY(NOW())&lt;M3,INDIRECT(ADDRESS(669,42))-INDIRECT(ADDRESS(664,43))+INDIRECT(ADDRESS(665,43))-INDIRECT(ADDRESS(668,43)),INDIRECT(ADDRESS(669,42))-INDIRECT(ADDRESS(664,43))+INDIRECT(ADDRESS(667,43))-INDIRECT(ADDRESS(668,43)))</f>
        <v>0</v>
      </c>
      <c r="AR669">
        <f>IF(DAY(NOW())&lt;M3,INDIRECT(ADDRESS(669,43))-INDIRECT(ADDRESS(664,44))+INDIRECT(ADDRESS(665,44))-INDIRECT(ADDRESS(668,44)),INDIRECT(ADDRESS(669,43))-INDIRECT(ADDRESS(664,44))+INDIRECT(ADDRESS(667,44))-INDIRECT(ADDRESS(668,44)))</f>
        <v>0</v>
      </c>
    </row>
    <row r="670" spans="1:76">
      <c r="A670" t="s">
        <v>31</v>
      </c>
      <c r="B670" t="s">
        <v>343</v>
      </c>
      <c r="C670" t="s">
        <v>344</v>
      </c>
      <c r="D670" t="s">
        <v>256</v>
      </c>
      <c r="E670">
        <v>1</v>
      </c>
      <c r="F670" t="s">
        <v>345</v>
      </c>
      <c r="K670" t="s">
        <v>308</v>
      </c>
      <c r="L670" t="s">
        <v>21</v>
      </c>
      <c r="M670">
        <f>sumifs(BOM!m:m,BOM!A:A,".1",BOM!B:B,"212-037800-000")</f>
        <v>0</v>
      </c>
      <c r="N670">
        <f>sumifs(BOM!n:n,BOM!A:A,".1",BOM!B:B,"212-037800-000")</f>
        <v>0</v>
      </c>
      <c r="O670">
        <f>sumifs(BOM!o:o,BOM!A:A,".1",BOM!B:B,"212-037800-000")</f>
        <v>0</v>
      </c>
      <c r="P670">
        <f>sumifs(BOM!p:p,BOM!A:A,".1",BOM!B:B,"212-037800-000")</f>
        <v>0</v>
      </c>
      <c r="Q670">
        <f>sumifs(BOM!q:q,BOM!A:A,".1",BOM!B:B,"212-037800-000")</f>
        <v>0</v>
      </c>
      <c r="R670">
        <f>sumifs(BOM!r:r,BOM!A:A,".1",BOM!B:B,"212-037800-000")</f>
        <v>0</v>
      </c>
      <c r="S670">
        <f>sumifs(BOM!s:s,BOM!A:A,".1",BOM!B:B,"212-037800-000")</f>
        <v>0</v>
      </c>
      <c r="T670">
        <f>sumifs(BOM!t:t,BOM!A:A,".1",BOM!B:B,"212-037800-000")</f>
        <v>0</v>
      </c>
      <c r="U670">
        <f>sumifs(BOM!u:u,BOM!A:A,".1",BOM!B:B,"212-037800-000")</f>
        <v>0</v>
      </c>
      <c r="V670">
        <f>sumifs(BOM!v:v,BOM!A:A,".1",BOM!B:B,"212-037800-000")</f>
        <v>0</v>
      </c>
      <c r="W670">
        <f>sumifs(BOM!w:w,BOM!A:A,".1",BOM!B:B,"212-037800-000")</f>
        <v>0</v>
      </c>
      <c r="X670">
        <f>sumifs(BOM!x:x,BOM!A:A,".1",BOM!B:B,"212-037800-000")</f>
        <v>0</v>
      </c>
      <c r="Y670">
        <f>sumifs(BOM!y:y,BOM!A:A,".1",BOM!B:B,"212-037800-000")</f>
        <v>0</v>
      </c>
      <c r="Z670">
        <f>sumifs(BOM!z:z,BOM!A:A,".1",BOM!B:B,"212-037800-000")</f>
        <v>0</v>
      </c>
      <c r="AA670">
        <f>sumifs(BOM!aa:aa,BOM!A:A,".1",BOM!B:B,"212-037800-000")</f>
        <v>0</v>
      </c>
      <c r="AB670">
        <f>sumifs(BOM!ab:ab,BOM!A:A,".1",BOM!B:B,"212-037800-000")</f>
        <v>0</v>
      </c>
      <c r="AC670">
        <f>sumifs(BOM!ac:ac,BOM!A:A,".1",BOM!B:B,"212-037800-000")</f>
        <v>0</v>
      </c>
      <c r="AD670">
        <f>sumifs(BOM!ad:ad,BOM!A:A,".1",BOM!B:B,"212-037800-000")</f>
        <v>0</v>
      </c>
      <c r="AE670">
        <f>sumifs(BOM!ae:ae,BOM!A:A,".1",BOM!B:B,"212-037800-000")</f>
        <v>0</v>
      </c>
      <c r="AF670">
        <f>sumifs(BOM!af:af,BOM!A:A,".1",BOM!B:B,"212-037800-000")</f>
        <v>0</v>
      </c>
      <c r="AG670">
        <f>sumifs(BOM!ag:ag,BOM!A:A,".1",BOM!B:B,"212-037800-000")</f>
        <v>0</v>
      </c>
      <c r="AH670">
        <f>sumifs(BOM!ah:ah,BOM!A:A,".1",BOM!B:B,"212-037800-000")</f>
        <v>0</v>
      </c>
      <c r="AI670">
        <f>sumifs(BOM!ai:ai,BOM!A:A,".1",BOM!B:B,"212-037800-000")</f>
        <v>0</v>
      </c>
      <c r="AJ670">
        <f>sumifs(BOM!aj:aj,BOM!A:A,".1",BOM!B:B,"212-037800-000")</f>
        <v>0</v>
      </c>
      <c r="AK670">
        <f>sumifs(BOM!ak:ak,BOM!A:A,".1",BOM!B:B,"212-037800-000")</f>
        <v>0</v>
      </c>
      <c r="AL670">
        <f>sumifs(BOM!al:al,BOM!A:A,".1",BOM!B:B,"212-037800-000")</f>
        <v>0</v>
      </c>
      <c r="AM670">
        <f>sumifs(BOM!am:am,BOM!A:A,".1",BOM!B:B,"212-037800-000")</f>
        <v>0</v>
      </c>
      <c r="AN670">
        <f>sumifs(BOM!an:an,BOM!A:A,".1",BOM!B:B,"212-037800-000")</f>
        <v>0</v>
      </c>
      <c r="AO670">
        <f>sumifs(BOM!ao:ao,BOM!A:A,".1",BOM!B:B,"212-037800-000")</f>
        <v>0</v>
      </c>
      <c r="AP670">
        <f>sumifs(BOM!ap:ap,BOM!A:A,".1",BOM!B:B,"212-037800-000")</f>
        <v>0</v>
      </c>
      <c r="AQ670">
        <f>sumifs(BOM!aq:aq,BOM!A:A,".1",BOM!B:B,"212-037800-000")</f>
        <v>0</v>
      </c>
      <c r="AR670">
        <f>sumifs(BOM!ar:ar,BOM!A:A,".1",BOM!B:B,"212-037800-000")</f>
        <v>0</v>
      </c>
      <c r="BX670">
        <f>sum(j670:an670)</f>
        <v>0</v>
      </c>
    </row>
    <row r="671" spans="1:76">
      <c r="A671" t="s">
        <v>31</v>
      </c>
      <c r="B671" t="s">
        <v>343</v>
      </c>
      <c r="C671" t="s">
        <v>344</v>
      </c>
      <c r="D671" t="s">
        <v>256</v>
      </c>
      <c r="E671">
        <v>1</v>
      </c>
      <c r="F671" t="s">
        <v>345</v>
      </c>
      <c r="K671" t="s">
        <v>308</v>
      </c>
      <c r="L671" t="s">
        <v>37</v>
      </c>
    </row>
    <row r="672" spans="1:76">
      <c r="L672" t="s">
        <v>662</v>
      </c>
    </row>
    <row r="673" spans="1:76">
      <c r="L673" t="s">
        <v>663</v>
      </c>
    </row>
    <row r="674" spans="1:76">
      <c r="L674" t="s">
        <v>664</v>
      </c>
    </row>
    <row r="675" spans="1:76">
      <c r="L675" t="s">
        <v>665</v>
      </c>
      <c r="M675">
        <f>IF(DAY(NOW())&lt;M3,INDIRECT(ADDRESS(675,7))-INDIRECT(ADDRESS(670,13))+INDIRECT(ADDRESS(671,13))-INDIRECT(ADDRESS(674,13)),INDIRECT(ADDRESS(675,7))-INDIRECT(ADDRESS(670,13))+INDIRECT(ADDRESS(673,13))-INDIRECT(ADDRESS(674,13)))</f>
        <v>0</v>
      </c>
      <c r="N675">
        <f>IF(DAY(NOW())&lt;M3,INDIRECT(ADDRESS(675,13))-INDIRECT(ADDRESS(670,14))+INDIRECT(ADDRESS(671,14))-INDIRECT(ADDRESS(674,14)),INDIRECT(ADDRESS(675,13))-INDIRECT(ADDRESS(670,14))+INDIRECT(ADDRESS(673,14))-INDIRECT(ADDRESS(674,14)))</f>
        <v>0</v>
      </c>
      <c r="O675">
        <f>IF(DAY(NOW())&lt;M3,INDIRECT(ADDRESS(675,14))-INDIRECT(ADDRESS(670,15))+INDIRECT(ADDRESS(671,15))-INDIRECT(ADDRESS(674,15)),INDIRECT(ADDRESS(675,14))-INDIRECT(ADDRESS(670,15))+INDIRECT(ADDRESS(673,15))-INDIRECT(ADDRESS(674,15)))</f>
        <v>0</v>
      </c>
      <c r="P675">
        <f>IF(DAY(NOW())&lt;M3,INDIRECT(ADDRESS(675,15))-INDIRECT(ADDRESS(670,16))+INDIRECT(ADDRESS(671,16))-INDIRECT(ADDRESS(674,16)),INDIRECT(ADDRESS(675,15))-INDIRECT(ADDRESS(670,16))+INDIRECT(ADDRESS(673,16))-INDIRECT(ADDRESS(674,16)))</f>
        <v>0</v>
      </c>
      <c r="Q675">
        <f>IF(DAY(NOW())&lt;M3,INDIRECT(ADDRESS(675,16))-INDIRECT(ADDRESS(670,17))+INDIRECT(ADDRESS(671,17))-INDIRECT(ADDRESS(674,17)),INDIRECT(ADDRESS(675,16))-INDIRECT(ADDRESS(670,17))+INDIRECT(ADDRESS(673,17))-INDIRECT(ADDRESS(674,17)))</f>
        <v>0</v>
      </c>
      <c r="R675">
        <f>IF(DAY(NOW())&lt;M3,INDIRECT(ADDRESS(675,17))-INDIRECT(ADDRESS(670,18))+INDIRECT(ADDRESS(671,18))-INDIRECT(ADDRESS(674,18)),INDIRECT(ADDRESS(675,17))-INDIRECT(ADDRESS(670,18))+INDIRECT(ADDRESS(673,18))-INDIRECT(ADDRESS(674,18)))</f>
        <v>0</v>
      </c>
      <c r="S675">
        <f>IF(DAY(NOW())&lt;M3,INDIRECT(ADDRESS(675,18))-INDIRECT(ADDRESS(670,19))+INDIRECT(ADDRESS(671,19))-INDIRECT(ADDRESS(674,19)),INDIRECT(ADDRESS(675,18))-INDIRECT(ADDRESS(670,19))+INDIRECT(ADDRESS(673,19))-INDIRECT(ADDRESS(674,19)))</f>
        <v>0</v>
      </c>
      <c r="T675">
        <f>IF(DAY(NOW())&lt;M3,INDIRECT(ADDRESS(675,19))-INDIRECT(ADDRESS(670,20))+INDIRECT(ADDRESS(671,20))-INDIRECT(ADDRESS(674,20)),INDIRECT(ADDRESS(675,19))-INDIRECT(ADDRESS(670,20))+INDIRECT(ADDRESS(673,20))-INDIRECT(ADDRESS(674,20)))</f>
        <v>0</v>
      </c>
      <c r="U675">
        <f>IF(DAY(NOW())&lt;M3,INDIRECT(ADDRESS(675,20))-INDIRECT(ADDRESS(670,21))+INDIRECT(ADDRESS(671,21))-INDIRECT(ADDRESS(674,21)),INDIRECT(ADDRESS(675,20))-INDIRECT(ADDRESS(670,21))+INDIRECT(ADDRESS(673,21))-INDIRECT(ADDRESS(674,21)))</f>
        <v>0</v>
      </c>
      <c r="V675">
        <f>IF(DAY(NOW())&lt;M3,INDIRECT(ADDRESS(675,21))-INDIRECT(ADDRESS(670,22))+INDIRECT(ADDRESS(671,22))-INDIRECT(ADDRESS(674,22)),INDIRECT(ADDRESS(675,21))-INDIRECT(ADDRESS(670,22))+INDIRECT(ADDRESS(673,22))-INDIRECT(ADDRESS(674,22)))</f>
        <v>0</v>
      </c>
      <c r="W675">
        <f>IF(DAY(NOW())&lt;M3,INDIRECT(ADDRESS(675,22))-INDIRECT(ADDRESS(670,23))+INDIRECT(ADDRESS(671,23))-INDIRECT(ADDRESS(674,23)),INDIRECT(ADDRESS(675,22))-INDIRECT(ADDRESS(670,23))+INDIRECT(ADDRESS(673,23))-INDIRECT(ADDRESS(674,23)))</f>
        <v>0</v>
      </c>
      <c r="X675">
        <f>IF(DAY(NOW())&lt;M3,INDIRECT(ADDRESS(675,23))-INDIRECT(ADDRESS(670,24))+INDIRECT(ADDRESS(671,24))-INDIRECT(ADDRESS(674,24)),INDIRECT(ADDRESS(675,23))-INDIRECT(ADDRESS(670,24))+INDIRECT(ADDRESS(673,24))-INDIRECT(ADDRESS(674,24)))</f>
        <v>0</v>
      </c>
      <c r="Y675">
        <f>IF(DAY(NOW())&lt;M3,INDIRECT(ADDRESS(675,24))-INDIRECT(ADDRESS(670,25))+INDIRECT(ADDRESS(671,25))-INDIRECT(ADDRESS(674,25)),INDIRECT(ADDRESS(675,24))-INDIRECT(ADDRESS(670,25))+INDIRECT(ADDRESS(673,25))-INDIRECT(ADDRESS(674,25)))</f>
        <v>0</v>
      </c>
      <c r="Z675">
        <f>IF(DAY(NOW())&lt;M3,INDIRECT(ADDRESS(675,25))-INDIRECT(ADDRESS(670,26))+INDIRECT(ADDRESS(671,26))-INDIRECT(ADDRESS(674,26)),INDIRECT(ADDRESS(675,25))-INDIRECT(ADDRESS(670,26))+INDIRECT(ADDRESS(673,26))-INDIRECT(ADDRESS(674,26)))</f>
        <v>0</v>
      </c>
      <c r="AA675">
        <f>IF(DAY(NOW())&lt;M3,INDIRECT(ADDRESS(675,26))-INDIRECT(ADDRESS(670,27))+INDIRECT(ADDRESS(671,27))-INDIRECT(ADDRESS(674,27)),INDIRECT(ADDRESS(675,26))-INDIRECT(ADDRESS(670,27))+INDIRECT(ADDRESS(673,27))-INDIRECT(ADDRESS(674,27)))</f>
        <v>0</v>
      </c>
      <c r="AB675">
        <f>IF(DAY(NOW())&lt;M3,INDIRECT(ADDRESS(675,27))-INDIRECT(ADDRESS(670,28))+INDIRECT(ADDRESS(671,28))-INDIRECT(ADDRESS(674,28)),INDIRECT(ADDRESS(675,27))-INDIRECT(ADDRESS(670,28))+INDIRECT(ADDRESS(673,28))-INDIRECT(ADDRESS(674,28)))</f>
        <v>0</v>
      </c>
      <c r="AC675">
        <f>IF(DAY(NOW())&lt;M3,INDIRECT(ADDRESS(675,28))-INDIRECT(ADDRESS(670,29))+INDIRECT(ADDRESS(671,29))-INDIRECT(ADDRESS(674,29)),INDIRECT(ADDRESS(675,28))-INDIRECT(ADDRESS(670,29))+INDIRECT(ADDRESS(673,29))-INDIRECT(ADDRESS(674,29)))</f>
        <v>0</v>
      </c>
      <c r="AD675">
        <f>IF(DAY(NOW())&lt;M3,INDIRECT(ADDRESS(675,29))-INDIRECT(ADDRESS(670,30))+INDIRECT(ADDRESS(671,30))-INDIRECT(ADDRESS(674,30)),INDIRECT(ADDRESS(675,29))-INDIRECT(ADDRESS(670,30))+INDIRECT(ADDRESS(673,30))-INDIRECT(ADDRESS(674,30)))</f>
        <v>0</v>
      </c>
      <c r="AE675">
        <f>IF(DAY(NOW())&lt;M3,INDIRECT(ADDRESS(675,30))-INDIRECT(ADDRESS(670,31))+INDIRECT(ADDRESS(671,31))-INDIRECT(ADDRESS(674,31)),INDIRECT(ADDRESS(675,30))-INDIRECT(ADDRESS(670,31))+INDIRECT(ADDRESS(673,31))-INDIRECT(ADDRESS(674,31)))</f>
        <v>0</v>
      </c>
      <c r="AF675">
        <f>IF(DAY(NOW())&lt;M3,INDIRECT(ADDRESS(675,31))-INDIRECT(ADDRESS(670,32))+INDIRECT(ADDRESS(671,32))-INDIRECT(ADDRESS(674,32)),INDIRECT(ADDRESS(675,31))-INDIRECT(ADDRESS(670,32))+INDIRECT(ADDRESS(673,32))-INDIRECT(ADDRESS(674,32)))</f>
        <v>0</v>
      </c>
      <c r="AG675">
        <f>IF(DAY(NOW())&lt;M3,INDIRECT(ADDRESS(675,32))-INDIRECT(ADDRESS(670,33))+INDIRECT(ADDRESS(671,33))-INDIRECT(ADDRESS(674,33)),INDIRECT(ADDRESS(675,32))-INDIRECT(ADDRESS(670,33))+INDIRECT(ADDRESS(673,33))-INDIRECT(ADDRESS(674,33)))</f>
        <v>0</v>
      </c>
      <c r="AH675">
        <f>IF(DAY(NOW())&lt;M3,INDIRECT(ADDRESS(675,33))-INDIRECT(ADDRESS(670,34))+INDIRECT(ADDRESS(671,34))-INDIRECT(ADDRESS(674,34)),INDIRECT(ADDRESS(675,33))-INDIRECT(ADDRESS(670,34))+INDIRECT(ADDRESS(673,34))-INDIRECT(ADDRESS(674,34)))</f>
        <v>0</v>
      </c>
      <c r="AI675">
        <f>IF(DAY(NOW())&lt;M3,INDIRECT(ADDRESS(675,34))-INDIRECT(ADDRESS(670,35))+INDIRECT(ADDRESS(671,35))-INDIRECT(ADDRESS(674,35)),INDIRECT(ADDRESS(675,34))-INDIRECT(ADDRESS(670,35))+INDIRECT(ADDRESS(673,35))-INDIRECT(ADDRESS(674,35)))</f>
        <v>0</v>
      </c>
      <c r="AJ675">
        <f>IF(DAY(NOW())&lt;M3,INDIRECT(ADDRESS(675,35))-INDIRECT(ADDRESS(670,36))+INDIRECT(ADDRESS(671,36))-INDIRECT(ADDRESS(674,36)),INDIRECT(ADDRESS(675,35))-INDIRECT(ADDRESS(670,36))+INDIRECT(ADDRESS(673,36))-INDIRECT(ADDRESS(674,36)))</f>
        <v>0</v>
      </c>
      <c r="AK675">
        <f>IF(DAY(NOW())&lt;M3,INDIRECT(ADDRESS(675,36))-INDIRECT(ADDRESS(670,37))+INDIRECT(ADDRESS(671,37))-INDIRECT(ADDRESS(674,37)),INDIRECT(ADDRESS(675,36))-INDIRECT(ADDRESS(670,37))+INDIRECT(ADDRESS(673,37))-INDIRECT(ADDRESS(674,37)))</f>
        <v>0</v>
      </c>
      <c r="AL675">
        <f>IF(DAY(NOW())&lt;M3,INDIRECT(ADDRESS(675,37))-INDIRECT(ADDRESS(670,38))+INDIRECT(ADDRESS(671,38))-INDIRECT(ADDRESS(674,38)),INDIRECT(ADDRESS(675,37))-INDIRECT(ADDRESS(670,38))+INDIRECT(ADDRESS(673,38))-INDIRECT(ADDRESS(674,38)))</f>
        <v>0</v>
      </c>
      <c r="AM675">
        <f>IF(DAY(NOW())&lt;M3,INDIRECT(ADDRESS(675,38))-INDIRECT(ADDRESS(670,39))+INDIRECT(ADDRESS(671,39))-INDIRECT(ADDRESS(674,39)),INDIRECT(ADDRESS(675,38))-INDIRECT(ADDRESS(670,39))+INDIRECT(ADDRESS(673,39))-INDIRECT(ADDRESS(674,39)))</f>
        <v>0</v>
      </c>
      <c r="AN675">
        <f>IF(DAY(NOW())&lt;M3,INDIRECT(ADDRESS(675,39))-INDIRECT(ADDRESS(670,40))+INDIRECT(ADDRESS(671,40))-INDIRECT(ADDRESS(674,40)),INDIRECT(ADDRESS(675,39))-INDIRECT(ADDRESS(670,40))+INDIRECT(ADDRESS(673,40))-INDIRECT(ADDRESS(674,40)))</f>
        <v>0</v>
      </c>
      <c r="AO675">
        <f>IF(DAY(NOW())&lt;M3,INDIRECT(ADDRESS(675,40))-INDIRECT(ADDRESS(670,41))+INDIRECT(ADDRESS(671,41))-INDIRECT(ADDRESS(674,41)),INDIRECT(ADDRESS(675,40))-INDIRECT(ADDRESS(670,41))+INDIRECT(ADDRESS(673,41))-INDIRECT(ADDRESS(674,41)))</f>
        <v>0</v>
      </c>
      <c r="AP675">
        <f>IF(DAY(NOW())&lt;M3,INDIRECT(ADDRESS(675,41))-INDIRECT(ADDRESS(670,42))+INDIRECT(ADDRESS(671,42))-INDIRECT(ADDRESS(674,42)),INDIRECT(ADDRESS(675,41))-INDIRECT(ADDRESS(670,42))+INDIRECT(ADDRESS(673,42))-INDIRECT(ADDRESS(674,42)))</f>
        <v>0</v>
      </c>
      <c r="AQ675">
        <f>IF(DAY(NOW())&lt;M3,INDIRECT(ADDRESS(675,42))-INDIRECT(ADDRESS(670,43))+INDIRECT(ADDRESS(671,43))-INDIRECT(ADDRESS(674,43)),INDIRECT(ADDRESS(675,42))-INDIRECT(ADDRESS(670,43))+INDIRECT(ADDRESS(673,43))-INDIRECT(ADDRESS(674,43)))</f>
        <v>0</v>
      </c>
      <c r="AR675">
        <f>IF(DAY(NOW())&lt;M3,INDIRECT(ADDRESS(675,43))-INDIRECT(ADDRESS(670,44))+INDIRECT(ADDRESS(671,44))-INDIRECT(ADDRESS(674,44)),INDIRECT(ADDRESS(675,43))-INDIRECT(ADDRESS(670,44))+INDIRECT(ADDRESS(673,44))-INDIRECT(ADDRESS(674,44)))</f>
        <v>0</v>
      </c>
    </row>
    <row r="676" spans="1:76">
      <c r="A676" t="s">
        <v>31</v>
      </c>
      <c r="B676" t="s">
        <v>346</v>
      </c>
      <c r="C676" t="s">
        <v>347</v>
      </c>
      <c r="D676" t="s">
        <v>256</v>
      </c>
      <c r="E676">
        <v>1</v>
      </c>
      <c r="F676" t="s">
        <v>348</v>
      </c>
      <c r="K676" t="s">
        <v>308</v>
      </c>
      <c r="L676" t="s">
        <v>21</v>
      </c>
      <c r="M676">
        <f>sumifs(BOM!m:m,BOM!A:A,".1",BOM!B:B,"212-037900-000")</f>
        <v>0</v>
      </c>
      <c r="N676">
        <f>sumifs(BOM!n:n,BOM!A:A,".1",BOM!B:B,"212-037900-000")</f>
        <v>0</v>
      </c>
      <c r="O676">
        <f>sumifs(BOM!o:o,BOM!A:A,".1",BOM!B:B,"212-037900-000")</f>
        <v>0</v>
      </c>
      <c r="P676">
        <f>sumifs(BOM!p:p,BOM!A:A,".1",BOM!B:B,"212-037900-000")</f>
        <v>0</v>
      </c>
      <c r="Q676">
        <f>sumifs(BOM!q:q,BOM!A:A,".1",BOM!B:B,"212-037900-000")</f>
        <v>0</v>
      </c>
      <c r="R676">
        <f>sumifs(BOM!r:r,BOM!A:A,".1",BOM!B:B,"212-037900-000")</f>
        <v>0</v>
      </c>
      <c r="S676">
        <f>sumifs(BOM!s:s,BOM!A:A,".1",BOM!B:B,"212-037900-000")</f>
        <v>0</v>
      </c>
      <c r="T676">
        <f>sumifs(BOM!t:t,BOM!A:A,".1",BOM!B:B,"212-037900-000")</f>
        <v>0</v>
      </c>
      <c r="U676">
        <f>sumifs(BOM!u:u,BOM!A:A,".1",BOM!B:B,"212-037900-000")</f>
        <v>0</v>
      </c>
      <c r="V676">
        <f>sumifs(BOM!v:v,BOM!A:A,".1",BOM!B:B,"212-037900-000")</f>
        <v>0</v>
      </c>
      <c r="W676">
        <f>sumifs(BOM!w:w,BOM!A:A,".1",BOM!B:B,"212-037900-000")</f>
        <v>0</v>
      </c>
      <c r="X676">
        <f>sumifs(BOM!x:x,BOM!A:A,".1",BOM!B:B,"212-037900-000")</f>
        <v>0</v>
      </c>
      <c r="Y676">
        <f>sumifs(BOM!y:y,BOM!A:A,".1",BOM!B:B,"212-037900-000")</f>
        <v>0</v>
      </c>
      <c r="Z676">
        <f>sumifs(BOM!z:z,BOM!A:A,".1",BOM!B:B,"212-037900-000")</f>
        <v>0</v>
      </c>
      <c r="AA676">
        <f>sumifs(BOM!aa:aa,BOM!A:A,".1",BOM!B:B,"212-037900-000")</f>
        <v>0</v>
      </c>
      <c r="AB676">
        <f>sumifs(BOM!ab:ab,BOM!A:A,".1",BOM!B:B,"212-037900-000")</f>
        <v>0</v>
      </c>
      <c r="AC676">
        <f>sumifs(BOM!ac:ac,BOM!A:A,".1",BOM!B:B,"212-037900-000")</f>
        <v>0</v>
      </c>
      <c r="AD676">
        <f>sumifs(BOM!ad:ad,BOM!A:A,".1",BOM!B:B,"212-037900-000")</f>
        <v>0</v>
      </c>
      <c r="AE676">
        <f>sumifs(BOM!ae:ae,BOM!A:A,".1",BOM!B:B,"212-037900-000")</f>
        <v>0</v>
      </c>
      <c r="AF676">
        <f>sumifs(BOM!af:af,BOM!A:A,".1",BOM!B:B,"212-037900-000")</f>
        <v>0</v>
      </c>
      <c r="AG676">
        <f>sumifs(BOM!ag:ag,BOM!A:A,".1",BOM!B:B,"212-037900-000")</f>
        <v>0</v>
      </c>
      <c r="AH676">
        <f>sumifs(BOM!ah:ah,BOM!A:A,".1",BOM!B:B,"212-037900-000")</f>
        <v>0</v>
      </c>
      <c r="AI676">
        <f>sumifs(BOM!ai:ai,BOM!A:A,".1",BOM!B:B,"212-037900-000")</f>
        <v>0</v>
      </c>
      <c r="AJ676">
        <f>sumifs(BOM!aj:aj,BOM!A:A,".1",BOM!B:B,"212-037900-000")</f>
        <v>0</v>
      </c>
      <c r="AK676">
        <f>sumifs(BOM!ak:ak,BOM!A:A,".1",BOM!B:B,"212-037900-000")</f>
        <v>0</v>
      </c>
      <c r="AL676">
        <f>sumifs(BOM!al:al,BOM!A:A,".1",BOM!B:B,"212-037900-000")</f>
        <v>0</v>
      </c>
      <c r="AM676">
        <f>sumifs(BOM!am:am,BOM!A:A,".1",BOM!B:B,"212-037900-000")</f>
        <v>0</v>
      </c>
      <c r="AN676">
        <f>sumifs(BOM!an:an,BOM!A:A,".1",BOM!B:B,"212-037900-000")</f>
        <v>0</v>
      </c>
      <c r="AO676">
        <f>sumifs(BOM!ao:ao,BOM!A:A,".1",BOM!B:B,"212-037900-000")</f>
        <v>0</v>
      </c>
      <c r="AP676">
        <f>sumifs(BOM!ap:ap,BOM!A:A,".1",BOM!B:B,"212-037900-000")</f>
        <v>0</v>
      </c>
      <c r="AQ676">
        <f>sumifs(BOM!aq:aq,BOM!A:A,".1",BOM!B:B,"212-037900-000")</f>
        <v>0</v>
      </c>
      <c r="AR676">
        <f>sumifs(BOM!ar:ar,BOM!A:A,".1",BOM!B:B,"212-037900-000")</f>
        <v>0</v>
      </c>
      <c r="BX676">
        <f>sum(j676:an676)</f>
        <v>0</v>
      </c>
    </row>
    <row r="677" spans="1:76">
      <c r="A677" t="s">
        <v>31</v>
      </c>
      <c r="B677" t="s">
        <v>346</v>
      </c>
      <c r="C677" t="s">
        <v>347</v>
      </c>
      <c r="D677" t="s">
        <v>256</v>
      </c>
      <c r="E677">
        <v>1</v>
      </c>
      <c r="F677" t="s">
        <v>348</v>
      </c>
      <c r="K677" t="s">
        <v>308</v>
      </c>
      <c r="L677" t="s">
        <v>37</v>
      </c>
    </row>
    <row r="678" spans="1:76">
      <c r="L678" t="s">
        <v>662</v>
      </c>
    </row>
    <row r="679" spans="1:76">
      <c r="L679" t="s">
        <v>663</v>
      </c>
    </row>
    <row r="680" spans="1:76">
      <c r="L680" t="s">
        <v>664</v>
      </c>
    </row>
    <row r="681" spans="1:76">
      <c r="L681" t="s">
        <v>665</v>
      </c>
      <c r="M681">
        <f>IF(DAY(NOW())&lt;M3,INDIRECT(ADDRESS(681,7))-INDIRECT(ADDRESS(676,13))+INDIRECT(ADDRESS(677,13))-INDIRECT(ADDRESS(680,13)),INDIRECT(ADDRESS(681,7))-INDIRECT(ADDRESS(676,13))+INDIRECT(ADDRESS(679,13))-INDIRECT(ADDRESS(680,13)))</f>
        <v>0</v>
      </c>
      <c r="N681">
        <f>IF(DAY(NOW())&lt;M3,INDIRECT(ADDRESS(681,13))-INDIRECT(ADDRESS(676,14))+INDIRECT(ADDRESS(677,14))-INDIRECT(ADDRESS(680,14)),INDIRECT(ADDRESS(681,13))-INDIRECT(ADDRESS(676,14))+INDIRECT(ADDRESS(679,14))-INDIRECT(ADDRESS(680,14)))</f>
        <v>0</v>
      </c>
      <c r="O681">
        <f>IF(DAY(NOW())&lt;M3,INDIRECT(ADDRESS(681,14))-INDIRECT(ADDRESS(676,15))+INDIRECT(ADDRESS(677,15))-INDIRECT(ADDRESS(680,15)),INDIRECT(ADDRESS(681,14))-INDIRECT(ADDRESS(676,15))+INDIRECT(ADDRESS(679,15))-INDIRECT(ADDRESS(680,15)))</f>
        <v>0</v>
      </c>
      <c r="P681">
        <f>IF(DAY(NOW())&lt;M3,INDIRECT(ADDRESS(681,15))-INDIRECT(ADDRESS(676,16))+INDIRECT(ADDRESS(677,16))-INDIRECT(ADDRESS(680,16)),INDIRECT(ADDRESS(681,15))-INDIRECT(ADDRESS(676,16))+INDIRECT(ADDRESS(679,16))-INDIRECT(ADDRESS(680,16)))</f>
        <v>0</v>
      </c>
      <c r="Q681">
        <f>IF(DAY(NOW())&lt;M3,INDIRECT(ADDRESS(681,16))-INDIRECT(ADDRESS(676,17))+INDIRECT(ADDRESS(677,17))-INDIRECT(ADDRESS(680,17)),INDIRECT(ADDRESS(681,16))-INDIRECT(ADDRESS(676,17))+INDIRECT(ADDRESS(679,17))-INDIRECT(ADDRESS(680,17)))</f>
        <v>0</v>
      </c>
      <c r="R681">
        <f>IF(DAY(NOW())&lt;M3,INDIRECT(ADDRESS(681,17))-INDIRECT(ADDRESS(676,18))+INDIRECT(ADDRESS(677,18))-INDIRECT(ADDRESS(680,18)),INDIRECT(ADDRESS(681,17))-INDIRECT(ADDRESS(676,18))+INDIRECT(ADDRESS(679,18))-INDIRECT(ADDRESS(680,18)))</f>
        <v>0</v>
      </c>
      <c r="S681">
        <f>IF(DAY(NOW())&lt;M3,INDIRECT(ADDRESS(681,18))-INDIRECT(ADDRESS(676,19))+INDIRECT(ADDRESS(677,19))-INDIRECT(ADDRESS(680,19)),INDIRECT(ADDRESS(681,18))-INDIRECT(ADDRESS(676,19))+INDIRECT(ADDRESS(679,19))-INDIRECT(ADDRESS(680,19)))</f>
        <v>0</v>
      </c>
      <c r="T681">
        <f>IF(DAY(NOW())&lt;M3,INDIRECT(ADDRESS(681,19))-INDIRECT(ADDRESS(676,20))+INDIRECT(ADDRESS(677,20))-INDIRECT(ADDRESS(680,20)),INDIRECT(ADDRESS(681,19))-INDIRECT(ADDRESS(676,20))+INDIRECT(ADDRESS(679,20))-INDIRECT(ADDRESS(680,20)))</f>
        <v>0</v>
      </c>
      <c r="U681">
        <f>IF(DAY(NOW())&lt;M3,INDIRECT(ADDRESS(681,20))-INDIRECT(ADDRESS(676,21))+INDIRECT(ADDRESS(677,21))-INDIRECT(ADDRESS(680,21)),INDIRECT(ADDRESS(681,20))-INDIRECT(ADDRESS(676,21))+INDIRECT(ADDRESS(679,21))-INDIRECT(ADDRESS(680,21)))</f>
        <v>0</v>
      </c>
      <c r="V681">
        <f>IF(DAY(NOW())&lt;M3,INDIRECT(ADDRESS(681,21))-INDIRECT(ADDRESS(676,22))+INDIRECT(ADDRESS(677,22))-INDIRECT(ADDRESS(680,22)),INDIRECT(ADDRESS(681,21))-INDIRECT(ADDRESS(676,22))+INDIRECT(ADDRESS(679,22))-INDIRECT(ADDRESS(680,22)))</f>
        <v>0</v>
      </c>
      <c r="W681">
        <f>IF(DAY(NOW())&lt;M3,INDIRECT(ADDRESS(681,22))-INDIRECT(ADDRESS(676,23))+INDIRECT(ADDRESS(677,23))-INDIRECT(ADDRESS(680,23)),INDIRECT(ADDRESS(681,22))-INDIRECT(ADDRESS(676,23))+INDIRECT(ADDRESS(679,23))-INDIRECT(ADDRESS(680,23)))</f>
        <v>0</v>
      </c>
      <c r="X681">
        <f>IF(DAY(NOW())&lt;M3,INDIRECT(ADDRESS(681,23))-INDIRECT(ADDRESS(676,24))+INDIRECT(ADDRESS(677,24))-INDIRECT(ADDRESS(680,24)),INDIRECT(ADDRESS(681,23))-INDIRECT(ADDRESS(676,24))+INDIRECT(ADDRESS(679,24))-INDIRECT(ADDRESS(680,24)))</f>
        <v>0</v>
      </c>
      <c r="Y681">
        <f>IF(DAY(NOW())&lt;M3,INDIRECT(ADDRESS(681,24))-INDIRECT(ADDRESS(676,25))+INDIRECT(ADDRESS(677,25))-INDIRECT(ADDRESS(680,25)),INDIRECT(ADDRESS(681,24))-INDIRECT(ADDRESS(676,25))+INDIRECT(ADDRESS(679,25))-INDIRECT(ADDRESS(680,25)))</f>
        <v>0</v>
      </c>
      <c r="Z681">
        <f>IF(DAY(NOW())&lt;M3,INDIRECT(ADDRESS(681,25))-INDIRECT(ADDRESS(676,26))+INDIRECT(ADDRESS(677,26))-INDIRECT(ADDRESS(680,26)),INDIRECT(ADDRESS(681,25))-INDIRECT(ADDRESS(676,26))+INDIRECT(ADDRESS(679,26))-INDIRECT(ADDRESS(680,26)))</f>
        <v>0</v>
      </c>
      <c r="AA681">
        <f>IF(DAY(NOW())&lt;M3,INDIRECT(ADDRESS(681,26))-INDIRECT(ADDRESS(676,27))+INDIRECT(ADDRESS(677,27))-INDIRECT(ADDRESS(680,27)),INDIRECT(ADDRESS(681,26))-INDIRECT(ADDRESS(676,27))+INDIRECT(ADDRESS(679,27))-INDIRECT(ADDRESS(680,27)))</f>
        <v>0</v>
      </c>
      <c r="AB681">
        <f>IF(DAY(NOW())&lt;M3,INDIRECT(ADDRESS(681,27))-INDIRECT(ADDRESS(676,28))+INDIRECT(ADDRESS(677,28))-INDIRECT(ADDRESS(680,28)),INDIRECT(ADDRESS(681,27))-INDIRECT(ADDRESS(676,28))+INDIRECT(ADDRESS(679,28))-INDIRECT(ADDRESS(680,28)))</f>
        <v>0</v>
      </c>
      <c r="AC681">
        <f>IF(DAY(NOW())&lt;M3,INDIRECT(ADDRESS(681,28))-INDIRECT(ADDRESS(676,29))+INDIRECT(ADDRESS(677,29))-INDIRECT(ADDRESS(680,29)),INDIRECT(ADDRESS(681,28))-INDIRECT(ADDRESS(676,29))+INDIRECT(ADDRESS(679,29))-INDIRECT(ADDRESS(680,29)))</f>
        <v>0</v>
      </c>
      <c r="AD681">
        <f>IF(DAY(NOW())&lt;M3,INDIRECT(ADDRESS(681,29))-INDIRECT(ADDRESS(676,30))+INDIRECT(ADDRESS(677,30))-INDIRECT(ADDRESS(680,30)),INDIRECT(ADDRESS(681,29))-INDIRECT(ADDRESS(676,30))+INDIRECT(ADDRESS(679,30))-INDIRECT(ADDRESS(680,30)))</f>
        <v>0</v>
      </c>
      <c r="AE681">
        <f>IF(DAY(NOW())&lt;M3,INDIRECT(ADDRESS(681,30))-INDIRECT(ADDRESS(676,31))+INDIRECT(ADDRESS(677,31))-INDIRECT(ADDRESS(680,31)),INDIRECT(ADDRESS(681,30))-INDIRECT(ADDRESS(676,31))+INDIRECT(ADDRESS(679,31))-INDIRECT(ADDRESS(680,31)))</f>
        <v>0</v>
      </c>
      <c r="AF681">
        <f>IF(DAY(NOW())&lt;M3,INDIRECT(ADDRESS(681,31))-INDIRECT(ADDRESS(676,32))+INDIRECT(ADDRESS(677,32))-INDIRECT(ADDRESS(680,32)),INDIRECT(ADDRESS(681,31))-INDIRECT(ADDRESS(676,32))+INDIRECT(ADDRESS(679,32))-INDIRECT(ADDRESS(680,32)))</f>
        <v>0</v>
      </c>
      <c r="AG681">
        <f>IF(DAY(NOW())&lt;M3,INDIRECT(ADDRESS(681,32))-INDIRECT(ADDRESS(676,33))+INDIRECT(ADDRESS(677,33))-INDIRECT(ADDRESS(680,33)),INDIRECT(ADDRESS(681,32))-INDIRECT(ADDRESS(676,33))+INDIRECT(ADDRESS(679,33))-INDIRECT(ADDRESS(680,33)))</f>
        <v>0</v>
      </c>
      <c r="AH681">
        <f>IF(DAY(NOW())&lt;M3,INDIRECT(ADDRESS(681,33))-INDIRECT(ADDRESS(676,34))+INDIRECT(ADDRESS(677,34))-INDIRECT(ADDRESS(680,34)),INDIRECT(ADDRESS(681,33))-INDIRECT(ADDRESS(676,34))+INDIRECT(ADDRESS(679,34))-INDIRECT(ADDRESS(680,34)))</f>
        <v>0</v>
      </c>
      <c r="AI681">
        <f>IF(DAY(NOW())&lt;M3,INDIRECT(ADDRESS(681,34))-INDIRECT(ADDRESS(676,35))+INDIRECT(ADDRESS(677,35))-INDIRECT(ADDRESS(680,35)),INDIRECT(ADDRESS(681,34))-INDIRECT(ADDRESS(676,35))+INDIRECT(ADDRESS(679,35))-INDIRECT(ADDRESS(680,35)))</f>
        <v>0</v>
      </c>
      <c r="AJ681">
        <f>IF(DAY(NOW())&lt;M3,INDIRECT(ADDRESS(681,35))-INDIRECT(ADDRESS(676,36))+INDIRECT(ADDRESS(677,36))-INDIRECT(ADDRESS(680,36)),INDIRECT(ADDRESS(681,35))-INDIRECT(ADDRESS(676,36))+INDIRECT(ADDRESS(679,36))-INDIRECT(ADDRESS(680,36)))</f>
        <v>0</v>
      </c>
      <c r="AK681">
        <f>IF(DAY(NOW())&lt;M3,INDIRECT(ADDRESS(681,36))-INDIRECT(ADDRESS(676,37))+INDIRECT(ADDRESS(677,37))-INDIRECT(ADDRESS(680,37)),INDIRECT(ADDRESS(681,36))-INDIRECT(ADDRESS(676,37))+INDIRECT(ADDRESS(679,37))-INDIRECT(ADDRESS(680,37)))</f>
        <v>0</v>
      </c>
      <c r="AL681">
        <f>IF(DAY(NOW())&lt;M3,INDIRECT(ADDRESS(681,37))-INDIRECT(ADDRESS(676,38))+INDIRECT(ADDRESS(677,38))-INDIRECT(ADDRESS(680,38)),INDIRECT(ADDRESS(681,37))-INDIRECT(ADDRESS(676,38))+INDIRECT(ADDRESS(679,38))-INDIRECT(ADDRESS(680,38)))</f>
        <v>0</v>
      </c>
      <c r="AM681">
        <f>IF(DAY(NOW())&lt;M3,INDIRECT(ADDRESS(681,38))-INDIRECT(ADDRESS(676,39))+INDIRECT(ADDRESS(677,39))-INDIRECT(ADDRESS(680,39)),INDIRECT(ADDRESS(681,38))-INDIRECT(ADDRESS(676,39))+INDIRECT(ADDRESS(679,39))-INDIRECT(ADDRESS(680,39)))</f>
        <v>0</v>
      </c>
      <c r="AN681">
        <f>IF(DAY(NOW())&lt;M3,INDIRECT(ADDRESS(681,39))-INDIRECT(ADDRESS(676,40))+INDIRECT(ADDRESS(677,40))-INDIRECT(ADDRESS(680,40)),INDIRECT(ADDRESS(681,39))-INDIRECT(ADDRESS(676,40))+INDIRECT(ADDRESS(679,40))-INDIRECT(ADDRESS(680,40)))</f>
        <v>0</v>
      </c>
      <c r="AO681">
        <f>IF(DAY(NOW())&lt;M3,INDIRECT(ADDRESS(681,40))-INDIRECT(ADDRESS(676,41))+INDIRECT(ADDRESS(677,41))-INDIRECT(ADDRESS(680,41)),INDIRECT(ADDRESS(681,40))-INDIRECT(ADDRESS(676,41))+INDIRECT(ADDRESS(679,41))-INDIRECT(ADDRESS(680,41)))</f>
        <v>0</v>
      </c>
      <c r="AP681">
        <f>IF(DAY(NOW())&lt;M3,INDIRECT(ADDRESS(681,41))-INDIRECT(ADDRESS(676,42))+INDIRECT(ADDRESS(677,42))-INDIRECT(ADDRESS(680,42)),INDIRECT(ADDRESS(681,41))-INDIRECT(ADDRESS(676,42))+INDIRECT(ADDRESS(679,42))-INDIRECT(ADDRESS(680,42)))</f>
        <v>0</v>
      </c>
      <c r="AQ681">
        <f>IF(DAY(NOW())&lt;M3,INDIRECT(ADDRESS(681,42))-INDIRECT(ADDRESS(676,43))+INDIRECT(ADDRESS(677,43))-INDIRECT(ADDRESS(680,43)),INDIRECT(ADDRESS(681,42))-INDIRECT(ADDRESS(676,43))+INDIRECT(ADDRESS(679,43))-INDIRECT(ADDRESS(680,43)))</f>
        <v>0</v>
      </c>
      <c r="AR681">
        <f>IF(DAY(NOW())&lt;M3,INDIRECT(ADDRESS(681,43))-INDIRECT(ADDRESS(676,44))+INDIRECT(ADDRESS(677,44))-INDIRECT(ADDRESS(680,44)),INDIRECT(ADDRESS(681,43))-INDIRECT(ADDRESS(676,44))+INDIRECT(ADDRESS(679,44))-INDIRECT(ADDRESS(680,44)))</f>
        <v>0</v>
      </c>
    </row>
    <row r="682" spans="1:76">
      <c r="A682" t="s">
        <v>31</v>
      </c>
      <c r="B682" t="s">
        <v>349</v>
      </c>
      <c r="C682" t="s">
        <v>350</v>
      </c>
      <c r="D682" t="s">
        <v>256</v>
      </c>
      <c r="E682">
        <v>1</v>
      </c>
      <c r="F682" t="s">
        <v>351</v>
      </c>
      <c r="K682" t="s">
        <v>308</v>
      </c>
      <c r="L682" t="s">
        <v>21</v>
      </c>
      <c r="M682">
        <f>sumifs(BOM!m:m,BOM!A:A,".1",BOM!B:B,"212-038000-000")</f>
        <v>0</v>
      </c>
      <c r="N682">
        <f>sumifs(BOM!n:n,BOM!A:A,".1",BOM!B:B,"212-038000-000")</f>
        <v>0</v>
      </c>
      <c r="O682">
        <f>sumifs(BOM!o:o,BOM!A:A,".1",BOM!B:B,"212-038000-000")</f>
        <v>0</v>
      </c>
      <c r="P682">
        <f>sumifs(BOM!p:p,BOM!A:A,".1",BOM!B:B,"212-038000-000")</f>
        <v>0</v>
      </c>
      <c r="Q682">
        <f>sumifs(BOM!q:q,BOM!A:A,".1",BOM!B:B,"212-038000-000")</f>
        <v>0</v>
      </c>
      <c r="R682">
        <f>sumifs(BOM!r:r,BOM!A:A,".1",BOM!B:B,"212-038000-000")</f>
        <v>0</v>
      </c>
      <c r="S682">
        <f>sumifs(BOM!s:s,BOM!A:A,".1",BOM!B:B,"212-038000-000")</f>
        <v>0</v>
      </c>
      <c r="T682">
        <f>sumifs(BOM!t:t,BOM!A:A,".1",BOM!B:B,"212-038000-000")</f>
        <v>0</v>
      </c>
      <c r="U682">
        <f>sumifs(BOM!u:u,BOM!A:A,".1",BOM!B:B,"212-038000-000")</f>
        <v>0</v>
      </c>
      <c r="V682">
        <f>sumifs(BOM!v:v,BOM!A:A,".1",BOM!B:B,"212-038000-000")</f>
        <v>0</v>
      </c>
      <c r="W682">
        <f>sumifs(BOM!w:w,BOM!A:A,".1",BOM!B:B,"212-038000-000")</f>
        <v>0</v>
      </c>
      <c r="X682">
        <f>sumifs(BOM!x:x,BOM!A:A,".1",BOM!B:B,"212-038000-000")</f>
        <v>0</v>
      </c>
      <c r="Y682">
        <f>sumifs(BOM!y:y,BOM!A:A,".1",BOM!B:B,"212-038000-000")</f>
        <v>0</v>
      </c>
      <c r="Z682">
        <f>sumifs(BOM!z:z,BOM!A:A,".1",BOM!B:B,"212-038000-000")</f>
        <v>0</v>
      </c>
      <c r="AA682">
        <f>sumifs(BOM!aa:aa,BOM!A:A,".1",BOM!B:B,"212-038000-000")</f>
        <v>0</v>
      </c>
      <c r="AB682">
        <f>sumifs(BOM!ab:ab,BOM!A:A,".1",BOM!B:B,"212-038000-000")</f>
        <v>0</v>
      </c>
      <c r="AC682">
        <f>sumifs(BOM!ac:ac,BOM!A:A,".1",BOM!B:B,"212-038000-000")</f>
        <v>0</v>
      </c>
      <c r="AD682">
        <f>sumifs(BOM!ad:ad,BOM!A:A,".1",BOM!B:B,"212-038000-000")</f>
        <v>0</v>
      </c>
      <c r="AE682">
        <f>sumifs(BOM!ae:ae,BOM!A:A,".1",BOM!B:B,"212-038000-000")</f>
        <v>0</v>
      </c>
      <c r="AF682">
        <f>sumifs(BOM!af:af,BOM!A:A,".1",BOM!B:B,"212-038000-000")</f>
        <v>0</v>
      </c>
      <c r="AG682">
        <f>sumifs(BOM!ag:ag,BOM!A:A,".1",BOM!B:B,"212-038000-000")</f>
        <v>0</v>
      </c>
      <c r="AH682">
        <f>sumifs(BOM!ah:ah,BOM!A:A,".1",BOM!B:B,"212-038000-000")</f>
        <v>0</v>
      </c>
      <c r="AI682">
        <f>sumifs(BOM!ai:ai,BOM!A:A,".1",BOM!B:B,"212-038000-000")</f>
        <v>0</v>
      </c>
      <c r="AJ682">
        <f>sumifs(BOM!aj:aj,BOM!A:A,".1",BOM!B:B,"212-038000-000")</f>
        <v>0</v>
      </c>
      <c r="AK682">
        <f>sumifs(BOM!ak:ak,BOM!A:A,".1",BOM!B:B,"212-038000-000")</f>
        <v>0</v>
      </c>
      <c r="AL682">
        <f>sumifs(BOM!al:al,BOM!A:A,".1",BOM!B:B,"212-038000-000")</f>
        <v>0</v>
      </c>
      <c r="AM682">
        <f>sumifs(BOM!am:am,BOM!A:A,".1",BOM!B:B,"212-038000-000")</f>
        <v>0</v>
      </c>
      <c r="AN682">
        <f>sumifs(BOM!an:an,BOM!A:A,".1",BOM!B:B,"212-038000-000")</f>
        <v>0</v>
      </c>
      <c r="AO682">
        <f>sumifs(BOM!ao:ao,BOM!A:A,".1",BOM!B:B,"212-038000-000")</f>
        <v>0</v>
      </c>
      <c r="AP682">
        <f>sumifs(BOM!ap:ap,BOM!A:A,".1",BOM!B:B,"212-038000-000")</f>
        <v>0</v>
      </c>
      <c r="AQ682">
        <f>sumifs(BOM!aq:aq,BOM!A:A,".1",BOM!B:B,"212-038000-000")</f>
        <v>0</v>
      </c>
      <c r="AR682">
        <f>sumifs(BOM!ar:ar,BOM!A:A,".1",BOM!B:B,"212-038000-000")</f>
        <v>0</v>
      </c>
      <c r="BX682">
        <f>sum(j682:an682)</f>
        <v>0</v>
      </c>
    </row>
    <row r="683" spans="1:76">
      <c r="A683" t="s">
        <v>31</v>
      </c>
      <c r="B683" t="s">
        <v>349</v>
      </c>
      <c r="C683" t="s">
        <v>350</v>
      </c>
      <c r="D683" t="s">
        <v>256</v>
      </c>
      <c r="E683">
        <v>1</v>
      </c>
      <c r="F683" t="s">
        <v>351</v>
      </c>
      <c r="K683" t="s">
        <v>308</v>
      </c>
      <c r="L683" t="s">
        <v>37</v>
      </c>
    </row>
    <row r="684" spans="1:76">
      <c r="L684" t="s">
        <v>662</v>
      </c>
    </row>
    <row r="685" spans="1:76">
      <c r="L685" t="s">
        <v>663</v>
      </c>
    </row>
    <row r="686" spans="1:76">
      <c r="L686" t="s">
        <v>664</v>
      </c>
    </row>
    <row r="687" spans="1:76">
      <c r="L687" t="s">
        <v>665</v>
      </c>
      <c r="M687">
        <f>IF(DAY(NOW())&lt;M3,INDIRECT(ADDRESS(687,7))-INDIRECT(ADDRESS(682,13))+INDIRECT(ADDRESS(683,13))-INDIRECT(ADDRESS(686,13)),INDIRECT(ADDRESS(687,7))-INDIRECT(ADDRESS(682,13))+INDIRECT(ADDRESS(685,13))-INDIRECT(ADDRESS(686,13)))</f>
        <v>0</v>
      </c>
      <c r="N687">
        <f>IF(DAY(NOW())&lt;M3,INDIRECT(ADDRESS(687,13))-INDIRECT(ADDRESS(682,14))+INDIRECT(ADDRESS(683,14))-INDIRECT(ADDRESS(686,14)),INDIRECT(ADDRESS(687,13))-INDIRECT(ADDRESS(682,14))+INDIRECT(ADDRESS(685,14))-INDIRECT(ADDRESS(686,14)))</f>
        <v>0</v>
      </c>
      <c r="O687">
        <f>IF(DAY(NOW())&lt;M3,INDIRECT(ADDRESS(687,14))-INDIRECT(ADDRESS(682,15))+INDIRECT(ADDRESS(683,15))-INDIRECT(ADDRESS(686,15)),INDIRECT(ADDRESS(687,14))-INDIRECT(ADDRESS(682,15))+INDIRECT(ADDRESS(685,15))-INDIRECT(ADDRESS(686,15)))</f>
        <v>0</v>
      </c>
      <c r="P687">
        <f>IF(DAY(NOW())&lt;M3,INDIRECT(ADDRESS(687,15))-INDIRECT(ADDRESS(682,16))+INDIRECT(ADDRESS(683,16))-INDIRECT(ADDRESS(686,16)),INDIRECT(ADDRESS(687,15))-INDIRECT(ADDRESS(682,16))+INDIRECT(ADDRESS(685,16))-INDIRECT(ADDRESS(686,16)))</f>
        <v>0</v>
      </c>
      <c r="Q687">
        <f>IF(DAY(NOW())&lt;M3,INDIRECT(ADDRESS(687,16))-INDIRECT(ADDRESS(682,17))+INDIRECT(ADDRESS(683,17))-INDIRECT(ADDRESS(686,17)),INDIRECT(ADDRESS(687,16))-INDIRECT(ADDRESS(682,17))+INDIRECT(ADDRESS(685,17))-INDIRECT(ADDRESS(686,17)))</f>
        <v>0</v>
      </c>
      <c r="R687">
        <f>IF(DAY(NOW())&lt;M3,INDIRECT(ADDRESS(687,17))-INDIRECT(ADDRESS(682,18))+INDIRECT(ADDRESS(683,18))-INDIRECT(ADDRESS(686,18)),INDIRECT(ADDRESS(687,17))-INDIRECT(ADDRESS(682,18))+INDIRECT(ADDRESS(685,18))-INDIRECT(ADDRESS(686,18)))</f>
        <v>0</v>
      </c>
      <c r="S687">
        <f>IF(DAY(NOW())&lt;M3,INDIRECT(ADDRESS(687,18))-INDIRECT(ADDRESS(682,19))+INDIRECT(ADDRESS(683,19))-INDIRECT(ADDRESS(686,19)),INDIRECT(ADDRESS(687,18))-INDIRECT(ADDRESS(682,19))+INDIRECT(ADDRESS(685,19))-INDIRECT(ADDRESS(686,19)))</f>
        <v>0</v>
      </c>
      <c r="T687">
        <f>IF(DAY(NOW())&lt;M3,INDIRECT(ADDRESS(687,19))-INDIRECT(ADDRESS(682,20))+INDIRECT(ADDRESS(683,20))-INDIRECT(ADDRESS(686,20)),INDIRECT(ADDRESS(687,19))-INDIRECT(ADDRESS(682,20))+INDIRECT(ADDRESS(685,20))-INDIRECT(ADDRESS(686,20)))</f>
        <v>0</v>
      </c>
      <c r="U687">
        <f>IF(DAY(NOW())&lt;M3,INDIRECT(ADDRESS(687,20))-INDIRECT(ADDRESS(682,21))+INDIRECT(ADDRESS(683,21))-INDIRECT(ADDRESS(686,21)),INDIRECT(ADDRESS(687,20))-INDIRECT(ADDRESS(682,21))+INDIRECT(ADDRESS(685,21))-INDIRECT(ADDRESS(686,21)))</f>
        <v>0</v>
      </c>
      <c r="V687">
        <f>IF(DAY(NOW())&lt;M3,INDIRECT(ADDRESS(687,21))-INDIRECT(ADDRESS(682,22))+INDIRECT(ADDRESS(683,22))-INDIRECT(ADDRESS(686,22)),INDIRECT(ADDRESS(687,21))-INDIRECT(ADDRESS(682,22))+INDIRECT(ADDRESS(685,22))-INDIRECT(ADDRESS(686,22)))</f>
        <v>0</v>
      </c>
      <c r="W687">
        <f>IF(DAY(NOW())&lt;M3,INDIRECT(ADDRESS(687,22))-INDIRECT(ADDRESS(682,23))+INDIRECT(ADDRESS(683,23))-INDIRECT(ADDRESS(686,23)),INDIRECT(ADDRESS(687,22))-INDIRECT(ADDRESS(682,23))+INDIRECT(ADDRESS(685,23))-INDIRECT(ADDRESS(686,23)))</f>
        <v>0</v>
      </c>
      <c r="X687">
        <f>IF(DAY(NOW())&lt;M3,INDIRECT(ADDRESS(687,23))-INDIRECT(ADDRESS(682,24))+INDIRECT(ADDRESS(683,24))-INDIRECT(ADDRESS(686,24)),INDIRECT(ADDRESS(687,23))-INDIRECT(ADDRESS(682,24))+INDIRECT(ADDRESS(685,24))-INDIRECT(ADDRESS(686,24)))</f>
        <v>0</v>
      </c>
      <c r="Y687">
        <f>IF(DAY(NOW())&lt;M3,INDIRECT(ADDRESS(687,24))-INDIRECT(ADDRESS(682,25))+INDIRECT(ADDRESS(683,25))-INDIRECT(ADDRESS(686,25)),INDIRECT(ADDRESS(687,24))-INDIRECT(ADDRESS(682,25))+INDIRECT(ADDRESS(685,25))-INDIRECT(ADDRESS(686,25)))</f>
        <v>0</v>
      </c>
      <c r="Z687">
        <f>IF(DAY(NOW())&lt;M3,INDIRECT(ADDRESS(687,25))-INDIRECT(ADDRESS(682,26))+INDIRECT(ADDRESS(683,26))-INDIRECT(ADDRESS(686,26)),INDIRECT(ADDRESS(687,25))-INDIRECT(ADDRESS(682,26))+INDIRECT(ADDRESS(685,26))-INDIRECT(ADDRESS(686,26)))</f>
        <v>0</v>
      </c>
      <c r="AA687">
        <f>IF(DAY(NOW())&lt;M3,INDIRECT(ADDRESS(687,26))-INDIRECT(ADDRESS(682,27))+INDIRECT(ADDRESS(683,27))-INDIRECT(ADDRESS(686,27)),INDIRECT(ADDRESS(687,26))-INDIRECT(ADDRESS(682,27))+INDIRECT(ADDRESS(685,27))-INDIRECT(ADDRESS(686,27)))</f>
        <v>0</v>
      </c>
      <c r="AB687">
        <f>IF(DAY(NOW())&lt;M3,INDIRECT(ADDRESS(687,27))-INDIRECT(ADDRESS(682,28))+INDIRECT(ADDRESS(683,28))-INDIRECT(ADDRESS(686,28)),INDIRECT(ADDRESS(687,27))-INDIRECT(ADDRESS(682,28))+INDIRECT(ADDRESS(685,28))-INDIRECT(ADDRESS(686,28)))</f>
        <v>0</v>
      </c>
      <c r="AC687">
        <f>IF(DAY(NOW())&lt;M3,INDIRECT(ADDRESS(687,28))-INDIRECT(ADDRESS(682,29))+INDIRECT(ADDRESS(683,29))-INDIRECT(ADDRESS(686,29)),INDIRECT(ADDRESS(687,28))-INDIRECT(ADDRESS(682,29))+INDIRECT(ADDRESS(685,29))-INDIRECT(ADDRESS(686,29)))</f>
        <v>0</v>
      </c>
      <c r="AD687">
        <f>IF(DAY(NOW())&lt;M3,INDIRECT(ADDRESS(687,29))-INDIRECT(ADDRESS(682,30))+INDIRECT(ADDRESS(683,30))-INDIRECT(ADDRESS(686,30)),INDIRECT(ADDRESS(687,29))-INDIRECT(ADDRESS(682,30))+INDIRECT(ADDRESS(685,30))-INDIRECT(ADDRESS(686,30)))</f>
        <v>0</v>
      </c>
      <c r="AE687">
        <f>IF(DAY(NOW())&lt;M3,INDIRECT(ADDRESS(687,30))-INDIRECT(ADDRESS(682,31))+INDIRECT(ADDRESS(683,31))-INDIRECT(ADDRESS(686,31)),INDIRECT(ADDRESS(687,30))-INDIRECT(ADDRESS(682,31))+INDIRECT(ADDRESS(685,31))-INDIRECT(ADDRESS(686,31)))</f>
        <v>0</v>
      </c>
      <c r="AF687">
        <f>IF(DAY(NOW())&lt;M3,INDIRECT(ADDRESS(687,31))-INDIRECT(ADDRESS(682,32))+INDIRECT(ADDRESS(683,32))-INDIRECT(ADDRESS(686,32)),INDIRECT(ADDRESS(687,31))-INDIRECT(ADDRESS(682,32))+INDIRECT(ADDRESS(685,32))-INDIRECT(ADDRESS(686,32)))</f>
        <v>0</v>
      </c>
      <c r="AG687">
        <f>IF(DAY(NOW())&lt;M3,INDIRECT(ADDRESS(687,32))-INDIRECT(ADDRESS(682,33))+INDIRECT(ADDRESS(683,33))-INDIRECT(ADDRESS(686,33)),INDIRECT(ADDRESS(687,32))-INDIRECT(ADDRESS(682,33))+INDIRECT(ADDRESS(685,33))-INDIRECT(ADDRESS(686,33)))</f>
        <v>0</v>
      </c>
      <c r="AH687">
        <f>IF(DAY(NOW())&lt;M3,INDIRECT(ADDRESS(687,33))-INDIRECT(ADDRESS(682,34))+INDIRECT(ADDRESS(683,34))-INDIRECT(ADDRESS(686,34)),INDIRECT(ADDRESS(687,33))-INDIRECT(ADDRESS(682,34))+INDIRECT(ADDRESS(685,34))-INDIRECT(ADDRESS(686,34)))</f>
        <v>0</v>
      </c>
      <c r="AI687">
        <f>IF(DAY(NOW())&lt;M3,INDIRECT(ADDRESS(687,34))-INDIRECT(ADDRESS(682,35))+INDIRECT(ADDRESS(683,35))-INDIRECT(ADDRESS(686,35)),INDIRECT(ADDRESS(687,34))-INDIRECT(ADDRESS(682,35))+INDIRECT(ADDRESS(685,35))-INDIRECT(ADDRESS(686,35)))</f>
        <v>0</v>
      </c>
      <c r="AJ687">
        <f>IF(DAY(NOW())&lt;M3,INDIRECT(ADDRESS(687,35))-INDIRECT(ADDRESS(682,36))+INDIRECT(ADDRESS(683,36))-INDIRECT(ADDRESS(686,36)),INDIRECT(ADDRESS(687,35))-INDIRECT(ADDRESS(682,36))+INDIRECT(ADDRESS(685,36))-INDIRECT(ADDRESS(686,36)))</f>
        <v>0</v>
      </c>
      <c r="AK687">
        <f>IF(DAY(NOW())&lt;M3,INDIRECT(ADDRESS(687,36))-INDIRECT(ADDRESS(682,37))+INDIRECT(ADDRESS(683,37))-INDIRECT(ADDRESS(686,37)),INDIRECT(ADDRESS(687,36))-INDIRECT(ADDRESS(682,37))+INDIRECT(ADDRESS(685,37))-INDIRECT(ADDRESS(686,37)))</f>
        <v>0</v>
      </c>
      <c r="AL687">
        <f>IF(DAY(NOW())&lt;M3,INDIRECT(ADDRESS(687,37))-INDIRECT(ADDRESS(682,38))+INDIRECT(ADDRESS(683,38))-INDIRECT(ADDRESS(686,38)),INDIRECT(ADDRESS(687,37))-INDIRECT(ADDRESS(682,38))+INDIRECT(ADDRESS(685,38))-INDIRECT(ADDRESS(686,38)))</f>
        <v>0</v>
      </c>
      <c r="AM687">
        <f>IF(DAY(NOW())&lt;M3,INDIRECT(ADDRESS(687,38))-INDIRECT(ADDRESS(682,39))+INDIRECT(ADDRESS(683,39))-INDIRECT(ADDRESS(686,39)),INDIRECT(ADDRESS(687,38))-INDIRECT(ADDRESS(682,39))+INDIRECT(ADDRESS(685,39))-INDIRECT(ADDRESS(686,39)))</f>
        <v>0</v>
      </c>
      <c r="AN687">
        <f>IF(DAY(NOW())&lt;M3,INDIRECT(ADDRESS(687,39))-INDIRECT(ADDRESS(682,40))+INDIRECT(ADDRESS(683,40))-INDIRECT(ADDRESS(686,40)),INDIRECT(ADDRESS(687,39))-INDIRECT(ADDRESS(682,40))+INDIRECT(ADDRESS(685,40))-INDIRECT(ADDRESS(686,40)))</f>
        <v>0</v>
      </c>
      <c r="AO687">
        <f>IF(DAY(NOW())&lt;M3,INDIRECT(ADDRESS(687,40))-INDIRECT(ADDRESS(682,41))+INDIRECT(ADDRESS(683,41))-INDIRECT(ADDRESS(686,41)),INDIRECT(ADDRESS(687,40))-INDIRECT(ADDRESS(682,41))+INDIRECT(ADDRESS(685,41))-INDIRECT(ADDRESS(686,41)))</f>
        <v>0</v>
      </c>
      <c r="AP687">
        <f>IF(DAY(NOW())&lt;M3,INDIRECT(ADDRESS(687,41))-INDIRECT(ADDRESS(682,42))+INDIRECT(ADDRESS(683,42))-INDIRECT(ADDRESS(686,42)),INDIRECT(ADDRESS(687,41))-INDIRECT(ADDRESS(682,42))+INDIRECT(ADDRESS(685,42))-INDIRECT(ADDRESS(686,42)))</f>
        <v>0</v>
      </c>
      <c r="AQ687">
        <f>IF(DAY(NOW())&lt;M3,INDIRECT(ADDRESS(687,42))-INDIRECT(ADDRESS(682,43))+INDIRECT(ADDRESS(683,43))-INDIRECT(ADDRESS(686,43)),INDIRECT(ADDRESS(687,42))-INDIRECT(ADDRESS(682,43))+INDIRECT(ADDRESS(685,43))-INDIRECT(ADDRESS(686,43)))</f>
        <v>0</v>
      </c>
      <c r="AR687">
        <f>IF(DAY(NOW())&lt;M3,INDIRECT(ADDRESS(687,43))-INDIRECT(ADDRESS(682,44))+INDIRECT(ADDRESS(683,44))-INDIRECT(ADDRESS(686,44)),INDIRECT(ADDRESS(687,43))-INDIRECT(ADDRESS(682,44))+INDIRECT(ADDRESS(685,44))-INDIRECT(ADDRESS(686,44)))</f>
        <v>0</v>
      </c>
    </row>
    <row r="688" spans="1:76">
      <c r="A688" t="s">
        <v>31</v>
      </c>
      <c r="B688" t="s">
        <v>352</v>
      </c>
      <c r="C688" t="s">
        <v>353</v>
      </c>
      <c r="D688" t="s">
        <v>354</v>
      </c>
      <c r="E688" t="s">
        <v>36</v>
      </c>
      <c r="K688" t="s">
        <v>308</v>
      </c>
      <c r="L688" t="s">
        <v>21</v>
      </c>
      <c r="M688">
        <f>sumifs(BOM!m:m,BOM!A:A,".1",BOM!B:B,"262-000200-000")</f>
        <v>0</v>
      </c>
      <c r="N688">
        <f>sumifs(BOM!n:n,BOM!A:A,".1",BOM!B:B,"262-000200-000")</f>
        <v>0</v>
      </c>
      <c r="O688">
        <f>sumifs(BOM!o:o,BOM!A:A,".1",BOM!B:B,"262-000200-000")</f>
        <v>0</v>
      </c>
      <c r="P688">
        <f>sumifs(BOM!p:p,BOM!A:A,".1",BOM!B:B,"262-000200-000")</f>
        <v>0</v>
      </c>
      <c r="Q688">
        <f>sumifs(BOM!q:q,BOM!A:A,".1",BOM!B:B,"262-000200-000")</f>
        <v>0</v>
      </c>
      <c r="R688">
        <f>sumifs(BOM!r:r,BOM!A:A,".1",BOM!B:B,"262-000200-000")</f>
        <v>0</v>
      </c>
      <c r="S688">
        <f>sumifs(BOM!s:s,BOM!A:A,".1",BOM!B:B,"262-000200-000")</f>
        <v>0</v>
      </c>
      <c r="T688">
        <f>sumifs(BOM!t:t,BOM!A:A,".1",BOM!B:B,"262-000200-000")</f>
        <v>0</v>
      </c>
      <c r="U688">
        <f>sumifs(BOM!u:u,BOM!A:A,".1",BOM!B:B,"262-000200-000")</f>
        <v>0</v>
      </c>
      <c r="V688">
        <f>sumifs(BOM!v:v,BOM!A:A,".1",BOM!B:B,"262-000200-000")</f>
        <v>0</v>
      </c>
      <c r="W688">
        <f>sumifs(BOM!w:w,BOM!A:A,".1",BOM!B:B,"262-000200-000")</f>
        <v>0</v>
      </c>
      <c r="X688">
        <f>sumifs(BOM!x:x,BOM!A:A,".1",BOM!B:B,"262-000200-000")</f>
        <v>0</v>
      </c>
      <c r="Y688">
        <f>sumifs(BOM!y:y,BOM!A:A,".1",BOM!B:B,"262-000200-000")</f>
        <v>0</v>
      </c>
      <c r="Z688">
        <f>sumifs(BOM!z:z,BOM!A:A,".1",BOM!B:B,"262-000200-000")</f>
        <v>0</v>
      </c>
      <c r="AA688">
        <f>sumifs(BOM!aa:aa,BOM!A:A,".1",BOM!B:B,"262-000200-000")</f>
        <v>0</v>
      </c>
      <c r="AB688">
        <f>sumifs(BOM!ab:ab,BOM!A:A,".1",BOM!B:B,"262-000200-000")</f>
        <v>0</v>
      </c>
      <c r="AC688">
        <f>sumifs(BOM!ac:ac,BOM!A:A,".1",BOM!B:B,"262-000200-000")</f>
        <v>0</v>
      </c>
      <c r="AD688">
        <f>sumifs(BOM!ad:ad,BOM!A:A,".1",BOM!B:B,"262-000200-000")</f>
        <v>0</v>
      </c>
      <c r="AE688">
        <f>sumifs(BOM!ae:ae,BOM!A:A,".1",BOM!B:B,"262-000200-000")</f>
        <v>0</v>
      </c>
      <c r="AF688">
        <f>sumifs(BOM!af:af,BOM!A:A,".1",BOM!B:B,"262-000200-000")</f>
        <v>0</v>
      </c>
      <c r="AG688">
        <f>sumifs(BOM!ag:ag,BOM!A:A,".1",BOM!B:B,"262-000200-000")</f>
        <v>0</v>
      </c>
      <c r="AH688">
        <f>sumifs(BOM!ah:ah,BOM!A:A,".1",BOM!B:B,"262-000200-000")</f>
        <v>0</v>
      </c>
      <c r="AI688">
        <f>sumifs(BOM!ai:ai,BOM!A:A,".1",BOM!B:B,"262-000200-000")</f>
        <v>0</v>
      </c>
      <c r="AJ688">
        <f>sumifs(BOM!aj:aj,BOM!A:A,".1",BOM!B:B,"262-000200-000")</f>
        <v>0</v>
      </c>
      <c r="AK688">
        <f>sumifs(BOM!ak:ak,BOM!A:A,".1",BOM!B:B,"262-000200-000")</f>
        <v>0</v>
      </c>
      <c r="AL688">
        <f>sumifs(BOM!al:al,BOM!A:A,".1",BOM!B:B,"262-000200-000")</f>
        <v>0</v>
      </c>
      <c r="AM688">
        <f>sumifs(BOM!am:am,BOM!A:A,".1",BOM!B:B,"262-000200-000")</f>
        <v>0</v>
      </c>
      <c r="AN688">
        <f>sumifs(BOM!an:an,BOM!A:A,".1",BOM!B:B,"262-000200-000")</f>
        <v>0</v>
      </c>
      <c r="AO688">
        <f>sumifs(BOM!ao:ao,BOM!A:A,".1",BOM!B:B,"262-000200-000")</f>
        <v>0</v>
      </c>
      <c r="AP688">
        <f>sumifs(BOM!ap:ap,BOM!A:A,".1",BOM!B:B,"262-000200-000")</f>
        <v>0</v>
      </c>
      <c r="AQ688">
        <f>sumifs(BOM!aq:aq,BOM!A:A,".1",BOM!B:B,"262-000200-000")</f>
        <v>0</v>
      </c>
      <c r="AR688">
        <f>sumifs(BOM!ar:ar,BOM!A:A,".1",BOM!B:B,"262-000200-000")</f>
        <v>0</v>
      </c>
      <c r="BX688">
        <f>sum(j688:an688)</f>
        <v>0</v>
      </c>
    </row>
    <row r="689" spans="1:76">
      <c r="A689" t="s">
        <v>31</v>
      </c>
      <c r="B689" t="s">
        <v>352</v>
      </c>
      <c r="C689" t="s">
        <v>353</v>
      </c>
      <c r="D689" t="s">
        <v>354</v>
      </c>
      <c r="E689" t="s">
        <v>36</v>
      </c>
      <c r="K689" t="s">
        <v>308</v>
      </c>
      <c r="L689" t="s">
        <v>37</v>
      </c>
    </row>
    <row r="690" spans="1:76">
      <c r="L690" t="s">
        <v>662</v>
      </c>
    </row>
    <row r="691" spans="1:76">
      <c r="L691" t="s">
        <v>663</v>
      </c>
    </row>
    <row r="692" spans="1:76">
      <c r="L692" t="s">
        <v>664</v>
      </c>
    </row>
    <row r="693" spans="1:76">
      <c r="L693" t="s">
        <v>665</v>
      </c>
      <c r="M693">
        <f>IF(DAY(NOW())&lt;M3,INDIRECT(ADDRESS(693,7))-INDIRECT(ADDRESS(688,13))+INDIRECT(ADDRESS(689,13))-INDIRECT(ADDRESS(692,13)),INDIRECT(ADDRESS(693,7))-INDIRECT(ADDRESS(688,13))+INDIRECT(ADDRESS(691,13))-INDIRECT(ADDRESS(692,13)))</f>
        <v>0</v>
      </c>
      <c r="N693">
        <f>IF(DAY(NOW())&lt;M3,INDIRECT(ADDRESS(693,13))-INDIRECT(ADDRESS(688,14))+INDIRECT(ADDRESS(689,14))-INDIRECT(ADDRESS(692,14)),INDIRECT(ADDRESS(693,13))-INDIRECT(ADDRESS(688,14))+INDIRECT(ADDRESS(691,14))-INDIRECT(ADDRESS(692,14)))</f>
        <v>0</v>
      </c>
      <c r="O693">
        <f>IF(DAY(NOW())&lt;M3,INDIRECT(ADDRESS(693,14))-INDIRECT(ADDRESS(688,15))+INDIRECT(ADDRESS(689,15))-INDIRECT(ADDRESS(692,15)),INDIRECT(ADDRESS(693,14))-INDIRECT(ADDRESS(688,15))+INDIRECT(ADDRESS(691,15))-INDIRECT(ADDRESS(692,15)))</f>
        <v>0</v>
      </c>
      <c r="P693">
        <f>IF(DAY(NOW())&lt;M3,INDIRECT(ADDRESS(693,15))-INDIRECT(ADDRESS(688,16))+INDIRECT(ADDRESS(689,16))-INDIRECT(ADDRESS(692,16)),INDIRECT(ADDRESS(693,15))-INDIRECT(ADDRESS(688,16))+INDIRECT(ADDRESS(691,16))-INDIRECT(ADDRESS(692,16)))</f>
        <v>0</v>
      </c>
      <c r="Q693">
        <f>IF(DAY(NOW())&lt;M3,INDIRECT(ADDRESS(693,16))-INDIRECT(ADDRESS(688,17))+INDIRECT(ADDRESS(689,17))-INDIRECT(ADDRESS(692,17)),INDIRECT(ADDRESS(693,16))-INDIRECT(ADDRESS(688,17))+INDIRECT(ADDRESS(691,17))-INDIRECT(ADDRESS(692,17)))</f>
        <v>0</v>
      </c>
      <c r="R693">
        <f>IF(DAY(NOW())&lt;M3,INDIRECT(ADDRESS(693,17))-INDIRECT(ADDRESS(688,18))+INDIRECT(ADDRESS(689,18))-INDIRECT(ADDRESS(692,18)),INDIRECT(ADDRESS(693,17))-INDIRECT(ADDRESS(688,18))+INDIRECT(ADDRESS(691,18))-INDIRECT(ADDRESS(692,18)))</f>
        <v>0</v>
      </c>
      <c r="S693">
        <f>IF(DAY(NOW())&lt;M3,INDIRECT(ADDRESS(693,18))-INDIRECT(ADDRESS(688,19))+INDIRECT(ADDRESS(689,19))-INDIRECT(ADDRESS(692,19)),INDIRECT(ADDRESS(693,18))-INDIRECT(ADDRESS(688,19))+INDIRECT(ADDRESS(691,19))-INDIRECT(ADDRESS(692,19)))</f>
        <v>0</v>
      </c>
      <c r="T693">
        <f>IF(DAY(NOW())&lt;M3,INDIRECT(ADDRESS(693,19))-INDIRECT(ADDRESS(688,20))+INDIRECT(ADDRESS(689,20))-INDIRECT(ADDRESS(692,20)),INDIRECT(ADDRESS(693,19))-INDIRECT(ADDRESS(688,20))+INDIRECT(ADDRESS(691,20))-INDIRECT(ADDRESS(692,20)))</f>
        <v>0</v>
      </c>
      <c r="U693">
        <f>IF(DAY(NOW())&lt;M3,INDIRECT(ADDRESS(693,20))-INDIRECT(ADDRESS(688,21))+INDIRECT(ADDRESS(689,21))-INDIRECT(ADDRESS(692,21)),INDIRECT(ADDRESS(693,20))-INDIRECT(ADDRESS(688,21))+INDIRECT(ADDRESS(691,21))-INDIRECT(ADDRESS(692,21)))</f>
        <v>0</v>
      </c>
      <c r="V693">
        <f>IF(DAY(NOW())&lt;M3,INDIRECT(ADDRESS(693,21))-INDIRECT(ADDRESS(688,22))+INDIRECT(ADDRESS(689,22))-INDIRECT(ADDRESS(692,22)),INDIRECT(ADDRESS(693,21))-INDIRECT(ADDRESS(688,22))+INDIRECT(ADDRESS(691,22))-INDIRECT(ADDRESS(692,22)))</f>
        <v>0</v>
      </c>
      <c r="W693">
        <f>IF(DAY(NOW())&lt;M3,INDIRECT(ADDRESS(693,22))-INDIRECT(ADDRESS(688,23))+INDIRECT(ADDRESS(689,23))-INDIRECT(ADDRESS(692,23)),INDIRECT(ADDRESS(693,22))-INDIRECT(ADDRESS(688,23))+INDIRECT(ADDRESS(691,23))-INDIRECT(ADDRESS(692,23)))</f>
        <v>0</v>
      </c>
      <c r="X693">
        <f>IF(DAY(NOW())&lt;M3,INDIRECT(ADDRESS(693,23))-INDIRECT(ADDRESS(688,24))+INDIRECT(ADDRESS(689,24))-INDIRECT(ADDRESS(692,24)),INDIRECT(ADDRESS(693,23))-INDIRECT(ADDRESS(688,24))+INDIRECT(ADDRESS(691,24))-INDIRECT(ADDRESS(692,24)))</f>
        <v>0</v>
      </c>
      <c r="Y693">
        <f>IF(DAY(NOW())&lt;M3,INDIRECT(ADDRESS(693,24))-INDIRECT(ADDRESS(688,25))+INDIRECT(ADDRESS(689,25))-INDIRECT(ADDRESS(692,25)),INDIRECT(ADDRESS(693,24))-INDIRECT(ADDRESS(688,25))+INDIRECT(ADDRESS(691,25))-INDIRECT(ADDRESS(692,25)))</f>
        <v>0</v>
      </c>
      <c r="Z693">
        <f>IF(DAY(NOW())&lt;M3,INDIRECT(ADDRESS(693,25))-INDIRECT(ADDRESS(688,26))+INDIRECT(ADDRESS(689,26))-INDIRECT(ADDRESS(692,26)),INDIRECT(ADDRESS(693,25))-INDIRECT(ADDRESS(688,26))+INDIRECT(ADDRESS(691,26))-INDIRECT(ADDRESS(692,26)))</f>
        <v>0</v>
      </c>
      <c r="AA693">
        <f>IF(DAY(NOW())&lt;M3,INDIRECT(ADDRESS(693,26))-INDIRECT(ADDRESS(688,27))+INDIRECT(ADDRESS(689,27))-INDIRECT(ADDRESS(692,27)),INDIRECT(ADDRESS(693,26))-INDIRECT(ADDRESS(688,27))+INDIRECT(ADDRESS(691,27))-INDIRECT(ADDRESS(692,27)))</f>
        <v>0</v>
      </c>
      <c r="AB693">
        <f>IF(DAY(NOW())&lt;M3,INDIRECT(ADDRESS(693,27))-INDIRECT(ADDRESS(688,28))+INDIRECT(ADDRESS(689,28))-INDIRECT(ADDRESS(692,28)),INDIRECT(ADDRESS(693,27))-INDIRECT(ADDRESS(688,28))+INDIRECT(ADDRESS(691,28))-INDIRECT(ADDRESS(692,28)))</f>
        <v>0</v>
      </c>
      <c r="AC693">
        <f>IF(DAY(NOW())&lt;M3,INDIRECT(ADDRESS(693,28))-INDIRECT(ADDRESS(688,29))+INDIRECT(ADDRESS(689,29))-INDIRECT(ADDRESS(692,29)),INDIRECT(ADDRESS(693,28))-INDIRECT(ADDRESS(688,29))+INDIRECT(ADDRESS(691,29))-INDIRECT(ADDRESS(692,29)))</f>
        <v>0</v>
      </c>
      <c r="AD693">
        <f>IF(DAY(NOW())&lt;M3,INDIRECT(ADDRESS(693,29))-INDIRECT(ADDRESS(688,30))+INDIRECT(ADDRESS(689,30))-INDIRECT(ADDRESS(692,30)),INDIRECT(ADDRESS(693,29))-INDIRECT(ADDRESS(688,30))+INDIRECT(ADDRESS(691,30))-INDIRECT(ADDRESS(692,30)))</f>
        <v>0</v>
      </c>
      <c r="AE693">
        <f>IF(DAY(NOW())&lt;M3,INDIRECT(ADDRESS(693,30))-INDIRECT(ADDRESS(688,31))+INDIRECT(ADDRESS(689,31))-INDIRECT(ADDRESS(692,31)),INDIRECT(ADDRESS(693,30))-INDIRECT(ADDRESS(688,31))+INDIRECT(ADDRESS(691,31))-INDIRECT(ADDRESS(692,31)))</f>
        <v>0</v>
      </c>
      <c r="AF693">
        <f>IF(DAY(NOW())&lt;M3,INDIRECT(ADDRESS(693,31))-INDIRECT(ADDRESS(688,32))+INDIRECT(ADDRESS(689,32))-INDIRECT(ADDRESS(692,32)),INDIRECT(ADDRESS(693,31))-INDIRECT(ADDRESS(688,32))+INDIRECT(ADDRESS(691,32))-INDIRECT(ADDRESS(692,32)))</f>
        <v>0</v>
      </c>
      <c r="AG693">
        <f>IF(DAY(NOW())&lt;M3,INDIRECT(ADDRESS(693,32))-INDIRECT(ADDRESS(688,33))+INDIRECT(ADDRESS(689,33))-INDIRECT(ADDRESS(692,33)),INDIRECT(ADDRESS(693,32))-INDIRECT(ADDRESS(688,33))+INDIRECT(ADDRESS(691,33))-INDIRECT(ADDRESS(692,33)))</f>
        <v>0</v>
      </c>
      <c r="AH693">
        <f>IF(DAY(NOW())&lt;M3,INDIRECT(ADDRESS(693,33))-INDIRECT(ADDRESS(688,34))+INDIRECT(ADDRESS(689,34))-INDIRECT(ADDRESS(692,34)),INDIRECT(ADDRESS(693,33))-INDIRECT(ADDRESS(688,34))+INDIRECT(ADDRESS(691,34))-INDIRECT(ADDRESS(692,34)))</f>
        <v>0</v>
      </c>
      <c r="AI693">
        <f>IF(DAY(NOW())&lt;M3,INDIRECT(ADDRESS(693,34))-INDIRECT(ADDRESS(688,35))+INDIRECT(ADDRESS(689,35))-INDIRECT(ADDRESS(692,35)),INDIRECT(ADDRESS(693,34))-INDIRECT(ADDRESS(688,35))+INDIRECT(ADDRESS(691,35))-INDIRECT(ADDRESS(692,35)))</f>
        <v>0</v>
      </c>
      <c r="AJ693">
        <f>IF(DAY(NOW())&lt;M3,INDIRECT(ADDRESS(693,35))-INDIRECT(ADDRESS(688,36))+INDIRECT(ADDRESS(689,36))-INDIRECT(ADDRESS(692,36)),INDIRECT(ADDRESS(693,35))-INDIRECT(ADDRESS(688,36))+INDIRECT(ADDRESS(691,36))-INDIRECT(ADDRESS(692,36)))</f>
        <v>0</v>
      </c>
      <c r="AK693">
        <f>IF(DAY(NOW())&lt;M3,INDIRECT(ADDRESS(693,36))-INDIRECT(ADDRESS(688,37))+INDIRECT(ADDRESS(689,37))-INDIRECT(ADDRESS(692,37)),INDIRECT(ADDRESS(693,36))-INDIRECT(ADDRESS(688,37))+INDIRECT(ADDRESS(691,37))-INDIRECT(ADDRESS(692,37)))</f>
        <v>0</v>
      </c>
      <c r="AL693">
        <f>IF(DAY(NOW())&lt;M3,INDIRECT(ADDRESS(693,37))-INDIRECT(ADDRESS(688,38))+INDIRECT(ADDRESS(689,38))-INDIRECT(ADDRESS(692,38)),INDIRECT(ADDRESS(693,37))-INDIRECT(ADDRESS(688,38))+INDIRECT(ADDRESS(691,38))-INDIRECT(ADDRESS(692,38)))</f>
        <v>0</v>
      </c>
      <c r="AM693">
        <f>IF(DAY(NOW())&lt;M3,INDIRECT(ADDRESS(693,38))-INDIRECT(ADDRESS(688,39))+INDIRECT(ADDRESS(689,39))-INDIRECT(ADDRESS(692,39)),INDIRECT(ADDRESS(693,38))-INDIRECT(ADDRESS(688,39))+INDIRECT(ADDRESS(691,39))-INDIRECT(ADDRESS(692,39)))</f>
        <v>0</v>
      </c>
      <c r="AN693">
        <f>IF(DAY(NOW())&lt;M3,INDIRECT(ADDRESS(693,39))-INDIRECT(ADDRESS(688,40))+INDIRECT(ADDRESS(689,40))-INDIRECT(ADDRESS(692,40)),INDIRECT(ADDRESS(693,39))-INDIRECT(ADDRESS(688,40))+INDIRECT(ADDRESS(691,40))-INDIRECT(ADDRESS(692,40)))</f>
        <v>0</v>
      </c>
      <c r="AO693">
        <f>IF(DAY(NOW())&lt;M3,INDIRECT(ADDRESS(693,40))-INDIRECT(ADDRESS(688,41))+INDIRECT(ADDRESS(689,41))-INDIRECT(ADDRESS(692,41)),INDIRECT(ADDRESS(693,40))-INDIRECT(ADDRESS(688,41))+INDIRECT(ADDRESS(691,41))-INDIRECT(ADDRESS(692,41)))</f>
        <v>0</v>
      </c>
      <c r="AP693">
        <f>IF(DAY(NOW())&lt;M3,INDIRECT(ADDRESS(693,41))-INDIRECT(ADDRESS(688,42))+INDIRECT(ADDRESS(689,42))-INDIRECT(ADDRESS(692,42)),INDIRECT(ADDRESS(693,41))-INDIRECT(ADDRESS(688,42))+INDIRECT(ADDRESS(691,42))-INDIRECT(ADDRESS(692,42)))</f>
        <v>0</v>
      </c>
      <c r="AQ693">
        <f>IF(DAY(NOW())&lt;M3,INDIRECT(ADDRESS(693,42))-INDIRECT(ADDRESS(688,43))+INDIRECT(ADDRESS(689,43))-INDIRECT(ADDRESS(692,43)),INDIRECT(ADDRESS(693,42))-INDIRECT(ADDRESS(688,43))+INDIRECT(ADDRESS(691,43))-INDIRECT(ADDRESS(692,43)))</f>
        <v>0</v>
      </c>
      <c r="AR693">
        <f>IF(DAY(NOW())&lt;M3,INDIRECT(ADDRESS(693,43))-INDIRECT(ADDRESS(688,44))+INDIRECT(ADDRESS(689,44))-INDIRECT(ADDRESS(692,44)),INDIRECT(ADDRESS(693,43))-INDIRECT(ADDRESS(688,44))+INDIRECT(ADDRESS(691,44))-INDIRECT(ADDRESS(692,44)))</f>
        <v>0</v>
      </c>
    </row>
    <row r="694" spans="1:76">
      <c r="A694" t="s">
        <v>31</v>
      </c>
      <c r="B694" t="s">
        <v>355</v>
      </c>
      <c r="C694" t="s">
        <v>356</v>
      </c>
      <c r="D694" t="s">
        <v>354</v>
      </c>
      <c r="E694">
        <v>1</v>
      </c>
      <c r="F694" t="s">
        <v>357</v>
      </c>
      <c r="K694" t="s">
        <v>308</v>
      </c>
      <c r="L694" t="s">
        <v>21</v>
      </c>
      <c r="M694">
        <f>sumifs(BOM!m:m,BOM!A:A,".1",BOM!B:B,"222-275000-000")</f>
        <v>0</v>
      </c>
      <c r="N694">
        <f>sumifs(BOM!n:n,BOM!A:A,".1",BOM!B:B,"222-275000-000")</f>
        <v>0</v>
      </c>
      <c r="O694">
        <f>sumifs(BOM!o:o,BOM!A:A,".1",BOM!B:B,"222-275000-000")</f>
        <v>0</v>
      </c>
      <c r="P694">
        <f>sumifs(BOM!p:p,BOM!A:A,".1",BOM!B:B,"222-275000-000")</f>
        <v>0</v>
      </c>
      <c r="Q694">
        <f>sumifs(BOM!q:q,BOM!A:A,".1",BOM!B:B,"222-275000-000")</f>
        <v>0</v>
      </c>
      <c r="R694">
        <f>sumifs(BOM!r:r,BOM!A:A,".1",BOM!B:B,"222-275000-000")</f>
        <v>0</v>
      </c>
      <c r="S694">
        <f>sumifs(BOM!s:s,BOM!A:A,".1",BOM!B:B,"222-275000-000")</f>
        <v>0</v>
      </c>
      <c r="T694">
        <f>sumifs(BOM!t:t,BOM!A:A,".1",BOM!B:B,"222-275000-000")</f>
        <v>0</v>
      </c>
      <c r="U694">
        <f>sumifs(BOM!u:u,BOM!A:A,".1",BOM!B:B,"222-275000-000")</f>
        <v>0</v>
      </c>
      <c r="V694">
        <f>sumifs(BOM!v:v,BOM!A:A,".1",BOM!B:B,"222-275000-000")</f>
        <v>0</v>
      </c>
      <c r="W694">
        <f>sumifs(BOM!w:w,BOM!A:A,".1",BOM!B:B,"222-275000-000")</f>
        <v>0</v>
      </c>
      <c r="X694">
        <f>sumifs(BOM!x:x,BOM!A:A,".1",BOM!B:B,"222-275000-000")</f>
        <v>0</v>
      </c>
      <c r="Y694">
        <f>sumifs(BOM!y:y,BOM!A:A,".1",BOM!B:B,"222-275000-000")</f>
        <v>0</v>
      </c>
      <c r="Z694">
        <f>sumifs(BOM!z:z,BOM!A:A,".1",BOM!B:B,"222-275000-000")</f>
        <v>0</v>
      </c>
      <c r="AA694">
        <f>sumifs(BOM!aa:aa,BOM!A:A,".1",BOM!B:B,"222-275000-000")</f>
        <v>0</v>
      </c>
      <c r="AB694">
        <f>sumifs(BOM!ab:ab,BOM!A:A,".1",BOM!B:B,"222-275000-000")</f>
        <v>0</v>
      </c>
      <c r="AC694">
        <f>sumifs(BOM!ac:ac,BOM!A:A,".1",BOM!B:B,"222-275000-000")</f>
        <v>0</v>
      </c>
      <c r="AD694">
        <f>sumifs(BOM!ad:ad,BOM!A:A,".1",BOM!B:B,"222-275000-000")</f>
        <v>0</v>
      </c>
      <c r="AE694">
        <f>sumifs(BOM!ae:ae,BOM!A:A,".1",BOM!B:B,"222-275000-000")</f>
        <v>0</v>
      </c>
      <c r="AF694">
        <f>sumifs(BOM!af:af,BOM!A:A,".1",BOM!B:B,"222-275000-000")</f>
        <v>0</v>
      </c>
      <c r="AG694">
        <f>sumifs(BOM!ag:ag,BOM!A:A,".1",BOM!B:B,"222-275000-000")</f>
        <v>0</v>
      </c>
      <c r="AH694">
        <f>sumifs(BOM!ah:ah,BOM!A:A,".1",BOM!B:B,"222-275000-000")</f>
        <v>0</v>
      </c>
      <c r="AI694">
        <f>sumifs(BOM!ai:ai,BOM!A:A,".1",BOM!B:B,"222-275000-000")</f>
        <v>0</v>
      </c>
      <c r="AJ694">
        <f>sumifs(BOM!aj:aj,BOM!A:A,".1",BOM!B:B,"222-275000-000")</f>
        <v>0</v>
      </c>
      <c r="AK694">
        <f>sumifs(BOM!ak:ak,BOM!A:A,".1",BOM!B:B,"222-275000-000")</f>
        <v>0</v>
      </c>
      <c r="AL694">
        <f>sumifs(BOM!al:al,BOM!A:A,".1",BOM!B:B,"222-275000-000")</f>
        <v>0</v>
      </c>
      <c r="AM694">
        <f>sumifs(BOM!am:am,BOM!A:A,".1",BOM!B:B,"222-275000-000")</f>
        <v>0</v>
      </c>
      <c r="AN694">
        <f>sumifs(BOM!an:an,BOM!A:A,".1",BOM!B:B,"222-275000-000")</f>
        <v>0</v>
      </c>
      <c r="AO694">
        <f>sumifs(BOM!ao:ao,BOM!A:A,".1",BOM!B:B,"222-275000-000")</f>
        <v>0</v>
      </c>
      <c r="AP694">
        <f>sumifs(BOM!ap:ap,BOM!A:A,".1",BOM!B:B,"222-275000-000")</f>
        <v>0</v>
      </c>
      <c r="AQ694">
        <f>sumifs(BOM!aq:aq,BOM!A:A,".1",BOM!B:B,"222-275000-000")</f>
        <v>0</v>
      </c>
      <c r="AR694">
        <f>sumifs(BOM!ar:ar,BOM!A:A,".1",BOM!B:B,"222-275000-000")</f>
        <v>0</v>
      </c>
      <c r="BX694">
        <f>sum(j694:an694)</f>
        <v>0</v>
      </c>
    </row>
    <row r="695" spans="1:76">
      <c r="A695" t="s">
        <v>31</v>
      </c>
      <c r="B695" t="s">
        <v>355</v>
      </c>
      <c r="C695" t="s">
        <v>356</v>
      </c>
      <c r="D695" t="s">
        <v>354</v>
      </c>
      <c r="E695">
        <v>1</v>
      </c>
      <c r="F695" t="s">
        <v>357</v>
      </c>
      <c r="K695" t="s">
        <v>308</v>
      </c>
      <c r="L695" t="s">
        <v>37</v>
      </c>
    </row>
    <row r="696" spans="1:76">
      <c r="L696" t="s">
        <v>662</v>
      </c>
    </row>
    <row r="697" spans="1:76">
      <c r="L697" t="s">
        <v>663</v>
      </c>
    </row>
    <row r="698" spans="1:76">
      <c r="L698" t="s">
        <v>664</v>
      </c>
    </row>
    <row r="699" spans="1:76">
      <c r="L699" t="s">
        <v>665</v>
      </c>
      <c r="M699">
        <f>IF(DAY(NOW())&lt;M3,INDIRECT(ADDRESS(699,7))-INDIRECT(ADDRESS(694,13))+INDIRECT(ADDRESS(695,13))-INDIRECT(ADDRESS(698,13)),INDIRECT(ADDRESS(699,7))-INDIRECT(ADDRESS(694,13))+INDIRECT(ADDRESS(697,13))-INDIRECT(ADDRESS(698,13)))</f>
        <v>0</v>
      </c>
      <c r="N699">
        <f>IF(DAY(NOW())&lt;M3,INDIRECT(ADDRESS(699,13))-INDIRECT(ADDRESS(694,14))+INDIRECT(ADDRESS(695,14))-INDIRECT(ADDRESS(698,14)),INDIRECT(ADDRESS(699,13))-INDIRECT(ADDRESS(694,14))+INDIRECT(ADDRESS(697,14))-INDIRECT(ADDRESS(698,14)))</f>
        <v>0</v>
      </c>
      <c r="O699">
        <f>IF(DAY(NOW())&lt;M3,INDIRECT(ADDRESS(699,14))-INDIRECT(ADDRESS(694,15))+INDIRECT(ADDRESS(695,15))-INDIRECT(ADDRESS(698,15)),INDIRECT(ADDRESS(699,14))-INDIRECT(ADDRESS(694,15))+INDIRECT(ADDRESS(697,15))-INDIRECT(ADDRESS(698,15)))</f>
        <v>0</v>
      </c>
      <c r="P699">
        <f>IF(DAY(NOW())&lt;M3,INDIRECT(ADDRESS(699,15))-INDIRECT(ADDRESS(694,16))+INDIRECT(ADDRESS(695,16))-INDIRECT(ADDRESS(698,16)),INDIRECT(ADDRESS(699,15))-INDIRECT(ADDRESS(694,16))+INDIRECT(ADDRESS(697,16))-INDIRECT(ADDRESS(698,16)))</f>
        <v>0</v>
      </c>
      <c r="Q699">
        <f>IF(DAY(NOW())&lt;M3,INDIRECT(ADDRESS(699,16))-INDIRECT(ADDRESS(694,17))+INDIRECT(ADDRESS(695,17))-INDIRECT(ADDRESS(698,17)),INDIRECT(ADDRESS(699,16))-INDIRECT(ADDRESS(694,17))+INDIRECT(ADDRESS(697,17))-INDIRECT(ADDRESS(698,17)))</f>
        <v>0</v>
      </c>
      <c r="R699">
        <f>IF(DAY(NOW())&lt;M3,INDIRECT(ADDRESS(699,17))-INDIRECT(ADDRESS(694,18))+INDIRECT(ADDRESS(695,18))-INDIRECT(ADDRESS(698,18)),INDIRECT(ADDRESS(699,17))-INDIRECT(ADDRESS(694,18))+INDIRECT(ADDRESS(697,18))-INDIRECT(ADDRESS(698,18)))</f>
        <v>0</v>
      </c>
      <c r="S699">
        <f>IF(DAY(NOW())&lt;M3,INDIRECT(ADDRESS(699,18))-INDIRECT(ADDRESS(694,19))+INDIRECT(ADDRESS(695,19))-INDIRECT(ADDRESS(698,19)),INDIRECT(ADDRESS(699,18))-INDIRECT(ADDRESS(694,19))+INDIRECT(ADDRESS(697,19))-INDIRECT(ADDRESS(698,19)))</f>
        <v>0</v>
      </c>
      <c r="T699">
        <f>IF(DAY(NOW())&lt;M3,INDIRECT(ADDRESS(699,19))-INDIRECT(ADDRESS(694,20))+INDIRECT(ADDRESS(695,20))-INDIRECT(ADDRESS(698,20)),INDIRECT(ADDRESS(699,19))-INDIRECT(ADDRESS(694,20))+INDIRECT(ADDRESS(697,20))-INDIRECT(ADDRESS(698,20)))</f>
        <v>0</v>
      </c>
      <c r="U699">
        <f>IF(DAY(NOW())&lt;M3,INDIRECT(ADDRESS(699,20))-INDIRECT(ADDRESS(694,21))+INDIRECT(ADDRESS(695,21))-INDIRECT(ADDRESS(698,21)),INDIRECT(ADDRESS(699,20))-INDIRECT(ADDRESS(694,21))+INDIRECT(ADDRESS(697,21))-INDIRECT(ADDRESS(698,21)))</f>
        <v>0</v>
      </c>
      <c r="V699">
        <f>IF(DAY(NOW())&lt;M3,INDIRECT(ADDRESS(699,21))-INDIRECT(ADDRESS(694,22))+INDIRECT(ADDRESS(695,22))-INDIRECT(ADDRESS(698,22)),INDIRECT(ADDRESS(699,21))-INDIRECT(ADDRESS(694,22))+INDIRECT(ADDRESS(697,22))-INDIRECT(ADDRESS(698,22)))</f>
        <v>0</v>
      </c>
      <c r="W699">
        <f>IF(DAY(NOW())&lt;M3,INDIRECT(ADDRESS(699,22))-INDIRECT(ADDRESS(694,23))+INDIRECT(ADDRESS(695,23))-INDIRECT(ADDRESS(698,23)),INDIRECT(ADDRESS(699,22))-INDIRECT(ADDRESS(694,23))+INDIRECT(ADDRESS(697,23))-INDIRECT(ADDRESS(698,23)))</f>
        <v>0</v>
      </c>
      <c r="X699">
        <f>IF(DAY(NOW())&lt;M3,INDIRECT(ADDRESS(699,23))-INDIRECT(ADDRESS(694,24))+INDIRECT(ADDRESS(695,24))-INDIRECT(ADDRESS(698,24)),INDIRECT(ADDRESS(699,23))-INDIRECT(ADDRESS(694,24))+INDIRECT(ADDRESS(697,24))-INDIRECT(ADDRESS(698,24)))</f>
        <v>0</v>
      </c>
      <c r="Y699">
        <f>IF(DAY(NOW())&lt;M3,INDIRECT(ADDRESS(699,24))-INDIRECT(ADDRESS(694,25))+INDIRECT(ADDRESS(695,25))-INDIRECT(ADDRESS(698,25)),INDIRECT(ADDRESS(699,24))-INDIRECT(ADDRESS(694,25))+INDIRECT(ADDRESS(697,25))-INDIRECT(ADDRESS(698,25)))</f>
        <v>0</v>
      </c>
      <c r="Z699">
        <f>IF(DAY(NOW())&lt;M3,INDIRECT(ADDRESS(699,25))-INDIRECT(ADDRESS(694,26))+INDIRECT(ADDRESS(695,26))-INDIRECT(ADDRESS(698,26)),INDIRECT(ADDRESS(699,25))-INDIRECT(ADDRESS(694,26))+INDIRECT(ADDRESS(697,26))-INDIRECT(ADDRESS(698,26)))</f>
        <v>0</v>
      </c>
      <c r="AA699">
        <f>IF(DAY(NOW())&lt;M3,INDIRECT(ADDRESS(699,26))-INDIRECT(ADDRESS(694,27))+INDIRECT(ADDRESS(695,27))-INDIRECT(ADDRESS(698,27)),INDIRECT(ADDRESS(699,26))-INDIRECT(ADDRESS(694,27))+INDIRECT(ADDRESS(697,27))-INDIRECT(ADDRESS(698,27)))</f>
        <v>0</v>
      </c>
      <c r="AB699">
        <f>IF(DAY(NOW())&lt;M3,INDIRECT(ADDRESS(699,27))-INDIRECT(ADDRESS(694,28))+INDIRECT(ADDRESS(695,28))-INDIRECT(ADDRESS(698,28)),INDIRECT(ADDRESS(699,27))-INDIRECT(ADDRESS(694,28))+INDIRECT(ADDRESS(697,28))-INDIRECT(ADDRESS(698,28)))</f>
        <v>0</v>
      </c>
      <c r="AC699">
        <f>IF(DAY(NOW())&lt;M3,INDIRECT(ADDRESS(699,28))-INDIRECT(ADDRESS(694,29))+INDIRECT(ADDRESS(695,29))-INDIRECT(ADDRESS(698,29)),INDIRECT(ADDRESS(699,28))-INDIRECT(ADDRESS(694,29))+INDIRECT(ADDRESS(697,29))-INDIRECT(ADDRESS(698,29)))</f>
        <v>0</v>
      </c>
      <c r="AD699">
        <f>IF(DAY(NOW())&lt;M3,INDIRECT(ADDRESS(699,29))-INDIRECT(ADDRESS(694,30))+INDIRECT(ADDRESS(695,30))-INDIRECT(ADDRESS(698,30)),INDIRECT(ADDRESS(699,29))-INDIRECT(ADDRESS(694,30))+INDIRECT(ADDRESS(697,30))-INDIRECT(ADDRESS(698,30)))</f>
        <v>0</v>
      </c>
      <c r="AE699">
        <f>IF(DAY(NOW())&lt;M3,INDIRECT(ADDRESS(699,30))-INDIRECT(ADDRESS(694,31))+INDIRECT(ADDRESS(695,31))-INDIRECT(ADDRESS(698,31)),INDIRECT(ADDRESS(699,30))-INDIRECT(ADDRESS(694,31))+INDIRECT(ADDRESS(697,31))-INDIRECT(ADDRESS(698,31)))</f>
        <v>0</v>
      </c>
      <c r="AF699">
        <f>IF(DAY(NOW())&lt;M3,INDIRECT(ADDRESS(699,31))-INDIRECT(ADDRESS(694,32))+INDIRECT(ADDRESS(695,32))-INDIRECT(ADDRESS(698,32)),INDIRECT(ADDRESS(699,31))-INDIRECT(ADDRESS(694,32))+INDIRECT(ADDRESS(697,32))-INDIRECT(ADDRESS(698,32)))</f>
        <v>0</v>
      </c>
      <c r="AG699">
        <f>IF(DAY(NOW())&lt;M3,INDIRECT(ADDRESS(699,32))-INDIRECT(ADDRESS(694,33))+INDIRECT(ADDRESS(695,33))-INDIRECT(ADDRESS(698,33)),INDIRECT(ADDRESS(699,32))-INDIRECT(ADDRESS(694,33))+INDIRECT(ADDRESS(697,33))-INDIRECT(ADDRESS(698,33)))</f>
        <v>0</v>
      </c>
      <c r="AH699">
        <f>IF(DAY(NOW())&lt;M3,INDIRECT(ADDRESS(699,33))-INDIRECT(ADDRESS(694,34))+INDIRECT(ADDRESS(695,34))-INDIRECT(ADDRESS(698,34)),INDIRECT(ADDRESS(699,33))-INDIRECT(ADDRESS(694,34))+INDIRECT(ADDRESS(697,34))-INDIRECT(ADDRESS(698,34)))</f>
        <v>0</v>
      </c>
      <c r="AI699">
        <f>IF(DAY(NOW())&lt;M3,INDIRECT(ADDRESS(699,34))-INDIRECT(ADDRESS(694,35))+INDIRECT(ADDRESS(695,35))-INDIRECT(ADDRESS(698,35)),INDIRECT(ADDRESS(699,34))-INDIRECT(ADDRESS(694,35))+INDIRECT(ADDRESS(697,35))-INDIRECT(ADDRESS(698,35)))</f>
        <v>0</v>
      </c>
      <c r="AJ699">
        <f>IF(DAY(NOW())&lt;M3,INDIRECT(ADDRESS(699,35))-INDIRECT(ADDRESS(694,36))+INDIRECT(ADDRESS(695,36))-INDIRECT(ADDRESS(698,36)),INDIRECT(ADDRESS(699,35))-INDIRECT(ADDRESS(694,36))+INDIRECT(ADDRESS(697,36))-INDIRECT(ADDRESS(698,36)))</f>
        <v>0</v>
      </c>
      <c r="AK699">
        <f>IF(DAY(NOW())&lt;M3,INDIRECT(ADDRESS(699,36))-INDIRECT(ADDRESS(694,37))+INDIRECT(ADDRESS(695,37))-INDIRECT(ADDRESS(698,37)),INDIRECT(ADDRESS(699,36))-INDIRECT(ADDRESS(694,37))+INDIRECT(ADDRESS(697,37))-INDIRECT(ADDRESS(698,37)))</f>
        <v>0</v>
      </c>
      <c r="AL699">
        <f>IF(DAY(NOW())&lt;M3,INDIRECT(ADDRESS(699,37))-INDIRECT(ADDRESS(694,38))+INDIRECT(ADDRESS(695,38))-INDIRECT(ADDRESS(698,38)),INDIRECT(ADDRESS(699,37))-INDIRECT(ADDRESS(694,38))+INDIRECT(ADDRESS(697,38))-INDIRECT(ADDRESS(698,38)))</f>
        <v>0</v>
      </c>
      <c r="AM699">
        <f>IF(DAY(NOW())&lt;M3,INDIRECT(ADDRESS(699,38))-INDIRECT(ADDRESS(694,39))+INDIRECT(ADDRESS(695,39))-INDIRECT(ADDRESS(698,39)),INDIRECT(ADDRESS(699,38))-INDIRECT(ADDRESS(694,39))+INDIRECT(ADDRESS(697,39))-INDIRECT(ADDRESS(698,39)))</f>
        <v>0</v>
      </c>
      <c r="AN699">
        <f>IF(DAY(NOW())&lt;M3,INDIRECT(ADDRESS(699,39))-INDIRECT(ADDRESS(694,40))+INDIRECT(ADDRESS(695,40))-INDIRECT(ADDRESS(698,40)),INDIRECT(ADDRESS(699,39))-INDIRECT(ADDRESS(694,40))+INDIRECT(ADDRESS(697,40))-INDIRECT(ADDRESS(698,40)))</f>
        <v>0</v>
      </c>
      <c r="AO699">
        <f>IF(DAY(NOW())&lt;M3,INDIRECT(ADDRESS(699,40))-INDIRECT(ADDRESS(694,41))+INDIRECT(ADDRESS(695,41))-INDIRECT(ADDRESS(698,41)),INDIRECT(ADDRESS(699,40))-INDIRECT(ADDRESS(694,41))+INDIRECT(ADDRESS(697,41))-INDIRECT(ADDRESS(698,41)))</f>
        <v>0</v>
      </c>
      <c r="AP699">
        <f>IF(DAY(NOW())&lt;M3,INDIRECT(ADDRESS(699,41))-INDIRECT(ADDRESS(694,42))+INDIRECT(ADDRESS(695,42))-INDIRECT(ADDRESS(698,42)),INDIRECT(ADDRESS(699,41))-INDIRECT(ADDRESS(694,42))+INDIRECT(ADDRESS(697,42))-INDIRECT(ADDRESS(698,42)))</f>
        <v>0</v>
      </c>
      <c r="AQ699">
        <f>IF(DAY(NOW())&lt;M3,INDIRECT(ADDRESS(699,42))-INDIRECT(ADDRESS(694,43))+INDIRECT(ADDRESS(695,43))-INDIRECT(ADDRESS(698,43)),INDIRECT(ADDRESS(699,42))-INDIRECT(ADDRESS(694,43))+INDIRECT(ADDRESS(697,43))-INDIRECT(ADDRESS(698,43)))</f>
        <v>0</v>
      </c>
      <c r="AR699">
        <f>IF(DAY(NOW())&lt;M3,INDIRECT(ADDRESS(699,43))-INDIRECT(ADDRESS(694,44))+INDIRECT(ADDRESS(695,44))-INDIRECT(ADDRESS(698,44)),INDIRECT(ADDRESS(699,43))-INDIRECT(ADDRESS(694,44))+INDIRECT(ADDRESS(697,44))-INDIRECT(ADDRESS(698,44)))</f>
        <v>0</v>
      </c>
    </row>
    <row r="700" spans="1:76">
      <c r="A700" t="s">
        <v>31</v>
      </c>
      <c r="B700" t="s">
        <v>358</v>
      </c>
      <c r="C700" t="s">
        <v>359</v>
      </c>
      <c r="D700" t="s">
        <v>354</v>
      </c>
      <c r="E700">
        <v>1</v>
      </c>
      <c r="F700" t="s">
        <v>360</v>
      </c>
      <c r="K700" t="s">
        <v>308</v>
      </c>
      <c r="L700" t="s">
        <v>21</v>
      </c>
      <c r="M700">
        <f>sumifs(BOM!m:m,BOM!A:A,".1",BOM!B:B,"222-276000-000")</f>
        <v>0</v>
      </c>
      <c r="N700">
        <f>sumifs(BOM!n:n,BOM!A:A,".1",BOM!B:B,"222-276000-000")</f>
        <v>0</v>
      </c>
      <c r="O700">
        <f>sumifs(BOM!o:o,BOM!A:A,".1",BOM!B:B,"222-276000-000")</f>
        <v>0</v>
      </c>
      <c r="P700">
        <f>sumifs(BOM!p:p,BOM!A:A,".1",BOM!B:B,"222-276000-000")</f>
        <v>0</v>
      </c>
      <c r="Q700">
        <f>sumifs(BOM!q:q,BOM!A:A,".1",BOM!B:B,"222-276000-000")</f>
        <v>0</v>
      </c>
      <c r="R700">
        <f>sumifs(BOM!r:r,BOM!A:A,".1",BOM!B:B,"222-276000-000")</f>
        <v>0</v>
      </c>
      <c r="S700">
        <f>sumifs(BOM!s:s,BOM!A:A,".1",BOM!B:B,"222-276000-000")</f>
        <v>0</v>
      </c>
      <c r="T700">
        <f>sumifs(BOM!t:t,BOM!A:A,".1",BOM!B:B,"222-276000-000")</f>
        <v>0</v>
      </c>
      <c r="U700">
        <f>sumifs(BOM!u:u,BOM!A:A,".1",BOM!B:B,"222-276000-000")</f>
        <v>0</v>
      </c>
      <c r="V700">
        <f>sumifs(BOM!v:v,BOM!A:A,".1",BOM!B:B,"222-276000-000")</f>
        <v>0</v>
      </c>
      <c r="W700">
        <f>sumifs(BOM!w:w,BOM!A:A,".1",BOM!B:B,"222-276000-000")</f>
        <v>0</v>
      </c>
      <c r="X700">
        <f>sumifs(BOM!x:x,BOM!A:A,".1",BOM!B:B,"222-276000-000")</f>
        <v>0</v>
      </c>
      <c r="Y700">
        <f>sumifs(BOM!y:y,BOM!A:A,".1",BOM!B:B,"222-276000-000")</f>
        <v>0</v>
      </c>
      <c r="Z700">
        <f>sumifs(BOM!z:z,BOM!A:A,".1",BOM!B:B,"222-276000-000")</f>
        <v>0</v>
      </c>
      <c r="AA700">
        <f>sumifs(BOM!aa:aa,BOM!A:A,".1",BOM!B:B,"222-276000-000")</f>
        <v>0</v>
      </c>
      <c r="AB700">
        <f>sumifs(BOM!ab:ab,BOM!A:A,".1",BOM!B:B,"222-276000-000")</f>
        <v>0</v>
      </c>
      <c r="AC700">
        <f>sumifs(BOM!ac:ac,BOM!A:A,".1",BOM!B:B,"222-276000-000")</f>
        <v>0</v>
      </c>
      <c r="AD700">
        <f>sumifs(BOM!ad:ad,BOM!A:A,".1",BOM!B:B,"222-276000-000")</f>
        <v>0</v>
      </c>
      <c r="AE700">
        <f>sumifs(BOM!ae:ae,BOM!A:A,".1",BOM!B:B,"222-276000-000")</f>
        <v>0</v>
      </c>
      <c r="AF700">
        <f>sumifs(BOM!af:af,BOM!A:A,".1",BOM!B:B,"222-276000-000")</f>
        <v>0</v>
      </c>
      <c r="AG700">
        <f>sumifs(BOM!ag:ag,BOM!A:A,".1",BOM!B:B,"222-276000-000")</f>
        <v>0</v>
      </c>
      <c r="AH700">
        <f>sumifs(BOM!ah:ah,BOM!A:A,".1",BOM!B:B,"222-276000-000")</f>
        <v>0</v>
      </c>
      <c r="AI700">
        <f>sumifs(BOM!ai:ai,BOM!A:A,".1",BOM!B:B,"222-276000-000")</f>
        <v>0</v>
      </c>
      <c r="AJ700">
        <f>sumifs(BOM!aj:aj,BOM!A:A,".1",BOM!B:B,"222-276000-000")</f>
        <v>0</v>
      </c>
      <c r="AK700">
        <f>sumifs(BOM!ak:ak,BOM!A:A,".1",BOM!B:B,"222-276000-000")</f>
        <v>0</v>
      </c>
      <c r="AL700">
        <f>sumifs(BOM!al:al,BOM!A:A,".1",BOM!B:B,"222-276000-000")</f>
        <v>0</v>
      </c>
      <c r="AM700">
        <f>sumifs(BOM!am:am,BOM!A:A,".1",BOM!B:B,"222-276000-000")</f>
        <v>0</v>
      </c>
      <c r="AN700">
        <f>sumifs(BOM!an:an,BOM!A:A,".1",BOM!B:B,"222-276000-000")</f>
        <v>0</v>
      </c>
      <c r="AO700">
        <f>sumifs(BOM!ao:ao,BOM!A:A,".1",BOM!B:B,"222-276000-000")</f>
        <v>0</v>
      </c>
      <c r="AP700">
        <f>sumifs(BOM!ap:ap,BOM!A:A,".1",BOM!B:B,"222-276000-000")</f>
        <v>0</v>
      </c>
      <c r="AQ700">
        <f>sumifs(BOM!aq:aq,BOM!A:A,".1",BOM!B:B,"222-276000-000")</f>
        <v>0</v>
      </c>
      <c r="AR700">
        <f>sumifs(BOM!ar:ar,BOM!A:A,".1",BOM!B:B,"222-276000-000")</f>
        <v>0</v>
      </c>
      <c r="BX700">
        <f>sum(j700:an700)</f>
        <v>0</v>
      </c>
    </row>
    <row r="701" spans="1:76">
      <c r="A701" t="s">
        <v>31</v>
      </c>
      <c r="B701" t="s">
        <v>358</v>
      </c>
      <c r="C701" t="s">
        <v>359</v>
      </c>
      <c r="D701" t="s">
        <v>354</v>
      </c>
      <c r="E701">
        <v>1</v>
      </c>
      <c r="F701" t="s">
        <v>360</v>
      </c>
      <c r="K701" t="s">
        <v>308</v>
      </c>
      <c r="L701" t="s">
        <v>37</v>
      </c>
    </row>
    <row r="702" spans="1:76">
      <c r="L702" t="s">
        <v>662</v>
      </c>
    </row>
    <row r="703" spans="1:76">
      <c r="L703" t="s">
        <v>663</v>
      </c>
    </row>
    <row r="704" spans="1:76">
      <c r="L704" t="s">
        <v>664</v>
      </c>
    </row>
    <row r="705" spans="1:76">
      <c r="L705" t="s">
        <v>665</v>
      </c>
      <c r="M705">
        <f>IF(DAY(NOW())&lt;M3,INDIRECT(ADDRESS(705,7))-INDIRECT(ADDRESS(700,13))+INDIRECT(ADDRESS(701,13))-INDIRECT(ADDRESS(704,13)),INDIRECT(ADDRESS(705,7))-INDIRECT(ADDRESS(700,13))+INDIRECT(ADDRESS(703,13))-INDIRECT(ADDRESS(704,13)))</f>
        <v>0</v>
      </c>
      <c r="N705">
        <f>IF(DAY(NOW())&lt;M3,INDIRECT(ADDRESS(705,13))-INDIRECT(ADDRESS(700,14))+INDIRECT(ADDRESS(701,14))-INDIRECT(ADDRESS(704,14)),INDIRECT(ADDRESS(705,13))-INDIRECT(ADDRESS(700,14))+INDIRECT(ADDRESS(703,14))-INDIRECT(ADDRESS(704,14)))</f>
        <v>0</v>
      </c>
      <c r="O705">
        <f>IF(DAY(NOW())&lt;M3,INDIRECT(ADDRESS(705,14))-INDIRECT(ADDRESS(700,15))+INDIRECT(ADDRESS(701,15))-INDIRECT(ADDRESS(704,15)),INDIRECT(ADDRESS(705,14))-INDIRECT(ADDRESS(700,15))+INDIRECT(ADDRESS(703,15))-INDIRECT(ADDRESS(704,15)))</f>
        <v>0</v>
      </c>
      <c r="P705">
        <f>IF(DAY(NOW())&lt;M3,INDIRECT(ADDRESS(705,15))-INDIRECT(ADDRESS(700,16))+INDIRECT(ADDRESS(701,16))-INDIRECT(ADDRESS(704,16)),INDIRECT(ADDRESS(705,15))-INDIRECT(ADDRESS(700,16))+INDIRECT(ADDRESS(703,16))-INDIRECT(ADDRESS(704,16)))</f>
        <v>0</v>
      </c>
      <c r="Q705">
        <f>IF(DAY(NOW())&lt;M3,INDIRECT(ADDRESS(705,16))-INDIRECT(ADDRESS(700,17))+INDIRECT(ADDRESS(701,17))-INDIRECT(ADDRESS(704,17)),INDIRECT(ADDRESS(705,16))-INDIRECT(ADDRESS(700,17))+INDIRECT(ADDRESS(703,17))-INDIRECT(ADDRESS(704,17)))</f>
        <v>0</v>
      </c>
      <c r="R705">
        <f>IF(DAY(NOW())&lt;M3,INDIRECT(ADDRESS(705,17))-INDIRECT(ADDRESS(700,18))+INDIRECT(ADDRESS(701,18))-INDIRECT(ADDRESS(704,18)),INDIRECT(ADDRESS(705,17))-INDIRECT(ADDRESS(700,18))+INDIRECT(ADDRESS(703,18))-INDIRECT(ADDRESS(704,18)))</f>
        <v>0</v>
      </c>
      <c r="S705">
        <f>IF(DAY(NOW())&lt;M3,INDIRECT(ADDRESS(705,18))-INDIRECT(ADDRESS(700,19))+INDIRECT(ADDRESS(701,19))-INDIRECT(ADDRESS(704,19)),INDIRECT(ADDRESS(705,18))-INDIRECT(ADDRESS(700,19))+INDIRECT(ADDRESS(703,19))-INDIRECT(ADDRESS(704,19)))</f>
        <v>0</v>
      </c>
      <c r="T705">
        <f>IF(DAY(NOW())&lt;M3,INDIRECT(ADDRESS(705,19))-INDIRECT(ADDRESS(700,20))+INDIRECT(ADDRESS(701,20))-INDIRECT(ADDRESS(704,20)),INDIRECT(ADDRESS(705,19))-INDIRECT(ADDRESS(700,20))+INDIRECT(ADDRESS(703,20))-INDIRECT(ADDRESS(704,20)))</f>
        <v>0</v>
      </c>
      <c r="U705">
        <f>IF(DAY(NOW())&lt;M3,INDIRECT(ADDRESS(705,20))-INDIRECT(ADDRESS(700,21))+INDIRECT(ADDRESS(701,21))-INDIRECT(ADDRESS(704,21)),INDIRECT(ADDRESS(705,20))-INDIRECT(ADDRESS(700,21))+INDIRECT(ADDRESS(703,21))-INDIRECT(ADDRESS(704,21)))</f>
        <v>0</v>
      </c>
      <c r="V705">
        <f>IF(DAY(NOW())&lt;M3,INDIRECT(ADDRESS(705,21))-INDIRECT(ADDRESS(700,22))+INDIRECT(ADDRESS(701,22))-INDIRECT(ADDRESS(704,22)),INDIRECT(ADDRESS(705,21))-INDIRECT(ADDRESS(700,22))+INDIRECT(ADDRESS(703,22))-INDIRECT(ADDRESS(704,22)))</f>
        <v>0</v>
      </c>
      <c r="W705">
        <f>IF(DAY(NOW())&lt;M3,INDIRECT(ADDRESS(705,22))-INDIRECT(ADDRESS(700,23))+INDIRECT(ADDRESS(701,23))-INDIRECT(ADDRESS(704,23)),INDIRECT(ADDRESS(705,22))-INDIRECT(ADDRESS(700,23))+INDIRECT(ADDRESS(703,23))-INDIRECT(ADDRESS(704,23)))</f>
        <v>0</v>
      </c>
      <c r="X705">
        <f>IF(DAY(NOW())&lt;M3,INDIRECT(ADDRESS(705,23))-INDIRECT(ADDRESS(700,24))+INDIRECT(ADDRESS(701,24))-INDIRECT(ADDRESS(704,24)),INDIRECT(ADDRESS(705,23))-INDIRECT(ADDRESS(700,24))+INDIRECT(ADDRESS(703,24))-INDIRECT(ADDRESS(704,24)))</f>
        <v>0</v>
      </c>
      <c r="Y705">
        <f>IF(DAY(NOW())&lt;M3,INDIRECT(ADDRESS(705,24))-INDIRECT(ADDRESS(700,25))+INDIRECT(ADDRESS(701,25))-INDIRECT(ADDRESS(704,25)),INDIRECT(ADDRESS(705,24))-INDIRECT(ADDRESS(700,25))+INDIRECT(ADDRESS(703,25))-INDIRECT(ADDRESS(704,25)))</f>
        <v>0</v>
      </c>
      <c r="Z705">
        <f>IF(DAY(NOW())&lt;M3,INDIRECT(ADDRESS(705,25))-INDIRECT(ADDRESS(700,26))+INDIRECT(ADDRESS(701,26))-INDIRECT(ADDRESS(704,26)),INDIRECT(ADDRESS(705,25))-INDIRECT(ADDRESS(700,26))+INDIRECT(ADDRESS(703,26))-INDIRECT(ADDRESS(704,26)))</f>
        <v>0</v>
      </c>
      <c r="AA705">
        <f>IF(DAY(NOW())&lt;M3,INDIRECT(ADDRESS(705,26))-INDIRECT(ADDRESS(700,27))+INDIRECT(ADDRESS(701,27))-INDIRECT(ADDRESS(704,27)),INDIRECT(ADDRESS(705,26))-INDIRECT(ADDRESS(700,27))+INDIRECT(ADDRESS(703,27))-INDIRECT(ADDRESS(704,27)))</f>
        <v>0</v>
      </c>
      <c r="AB705">
        <f>IF(DAY(NOW())&lt;M3,INDIRECT(ADDRESS(705,27))-INDIRECT(ADDRESS(700,28))+INDIRECT(ADDRESS(701,28))-INDIRECT(ADDRESS(704,28)),INDIRECT(ADDRESS(705,27))-INDIRECT(ADDRESS(700,28))+INDIRECT(ADDRESS(703,28))-INDIRECT(ADDRESS(704,28)))</f>
        <v>0</v>
      </c>
      <c r="AC705">
        <f>IF(DAY(NOW())&lt;M3,INDIRECT(ADDRESS(705,28))-INDIRECT(ADDRESS(700,29))+INDIRECT(ADDRESS(701,29))-INDIRECT(ADDRESS(704,29)),INDIRECT(ADDRESS(705,28))-INDIRECT(ADDRESS(700,29))+INDIRECT(ADDRESS(703,29))-INDIRECT(ADDRESS(704,29)))</f>
        <v>0</v>
      </c>
      <c r="AD705">
        <f>IF(DAY(NOW())&lt;M3,INDIRECT(ADDRESS(705,29))-INDIRECT(ADDRESS(700,30))+INDIRECT(ADDRESS(701,30))-INDIRECT(ADDRESS(704,30)),INDIRECT(ADDRESS(705,29))-INDIRECT(ADDRESS(700,30))+INDIRECT(ADDRESS(703,30))-INDIRECT(ADDRESS(704,30)))</f>
        <v>0</v>
      </c>
      <c r="AE705">
        <f>IF(DAY(NOW())&lt;M3,INDIRECT(ADDRESS(705,30))-INDIRECT(ADDRESS(700,31))+INDIRECT(ADDRESS(701,31))-INDIRECT(ADDRESS(704,31)),INDIRECT(ADDRESS(705,30))-INDIRECT(ADDRESS(700,31))+INDIRECT(ADDRESS(703,31))-INDIRECT(ADDRESS(704,31)))</f>
        <v>0</v>
      </c>
      <c r="AF705">
        <f>IF(DAY(NOW())&lt;M3,INDIRECT(ADDRESS(705,31))-INDIRECT(ADDRESS(700,32))+INDIRECT(ADDRESS(701,32))-INDIRECT(ADDRESS(704,32)),INDIRECT(ADDRESS(705,31))-INDIRECT(ADDRESS(700,32))+INDIRECT(ADDRESS(703,32))-INDIRECT(ADDRESS(704,32)))</f>
        <v>0</v>
      </c>
      <c r="AG705">
        <f>IF(DAY(NOW())&lt;M3,INDIRECT(ADDRESS(705,32))-INDIRECT(ADDRESS(700,33))+INDIRECT(ADDRESS(701,33))-INDIRECT(ADDRESS(704,33)),INDIRECT(ADDRESS(705,32))-INDIRECT(ADDRESS(700,33))+INDIRECT(ADDRESS(703,33))-INDIRECT(ADDRESS(704,33)))</f>
        <v>0</v>
      </c>
      <c r="AH705">
        <f>IF(DAY(NOW())&lt;M3,INDIRECT(ADDRESS(705,33))-INDIRECT(ADDRESS(700,34))+INDIRECT(ADDRESS(701,34))-INDIRECT(ADDRESS(704,34)),INDIRECT(ADDRESS(705,33))-INDIRECT(ADDRESS(700,34))+INDIRECT(ADDRESS(703,34))-INDIRECT(ADDRESS(704,34)))</f>
        <v>0</v>
      </c>
      <c r="AI705">
        <f>IF(DAY(NOW())&lt;M3,INDIRECT(ADDRESS(705,34))-INDIRECT(ADDRESS(700,35))+INDIRECT(ADDRESS(701,35))-INDIRECT(ADDRESS(704,35)),INDIRECT(ADDRESS(705,34))-INDIRECT(ADDRESS(700,35))+INDIRECT(ADDRESS(703,35))-INDIRECT(ADDRESS(704,35)))</f>
        <v>0</v>
      </c>
      <c r="AJ705">
        <f>IF(DAY(NOW())&lt;M3,INDIRECT(ADDRESS(705,35))-INDIRECT(ADDRESS(700,36))+INDIRECT(ADDRESS(701,36))-INDIRECT(ADDRESS(704,36)),INDIRECT(ADDRESS(705,35))-INDIRECT(ADDRESS(700,36))+INDIRECT(ADDRESS(703,36))-INDIRECT(ADDRESS(704,36)))</f>
        <v>0</v>
      </c>
      <c r="AK705">
        <f>IF(DAY(NOW())&lt;M3,INDIRECT(ADDRESS(705,36))-INDIRECT(ADDRESS(700,37))+INDIRECT(ADDRESS(701,37))-INDIRECT(ADDRESS(704,37)),INDIRECT(ADDRESS(705,36))-INDIRECT(ADDRESS(700,37))+INDIRECT(ADDRESS(703,37))-INDIRECT(ADDRESS(704,37)))</f>
        <v>0</v>
      </c>
      <c r="AL705">
        <f>IF(DAY(NOW())&lt;M3,INDIRECT(ADDRESS(705,37))-INDIRECT(ADDRESS(700,38))+INDIRECT(ADDRESS(701,38))-INDIRECT(ADDRESS(704,38)),INDIRECT(ADDRESS(705,37))-INDIRECT(ADDRESS(700,38))+INDIRECT(ADDRESS(703,38))-INDIRECT(ADDRESS(704,38)))</f>
        <v>0</v>
      </c>
      <c r="AM705">
        <f>IF(DAY(NOW())&lt;M3,INDIRECT(ADDRESS(705,38))-INDIRECT(ADDRESS(700,39))+INDIRECT(ADDRESS(701,39))-INDIRECT(ADDRESS(704,39)),INDIRECT(ADDRESS(705,38))-INDIRECT(ADDRESS(700,39))+INDIRECT(ADDRESS(703,39))-INDIRECT(ADDRESS(704,39)))</f>
        <v>0</v>
      </c>
      <c r="AN705">
        <f>IF(DAY(NOW())&lt;M3,INDIRECT(ADDRESS(705,39))-INDIRECT(ADDRESS(700,40))+INDIRECT(ADDRESS(701,40))-INDIRECT(ADDRESS(704,40)),INDIRECT(ADDRESS(705,39))-INDIRECT(ADDRESS(700,40))+INDIRECT(ADDRESS(703,40))-INDIRECT(ADDRESS(704,40)))</f>
        <v>0</v>
      </c>
      <c r="AO705">
        <f>IF(DAY(NOW())&lt;M3,INDIRECT(ADDRESS(705,40))-INDIRECT(ADDRESS(700,41))+INDIRECT(ADDRESS(701,41))-INDIRECT(ADDRESS(704,41)),INDIRECT(ADDRESS(705,40))-INDIRECT(ADDRESS(700,41))+INDIRECT(ADDRESS(703,41))-INDIRECT(ADDRESS(704,41)))</f>
        <v>0</v>
      </c>
      <c r="AP705">
        <f>IF(DAY(NOW())&lt;M3,INDIRECT(ADDRESS(705,41))-INDIRECT(ADDRESS(700,42))+INDIRECT(ADDRESS(701,42))-INDIRECT(ADDRESS(704,42)),INDIRECT(ADDRESS(705,41))-INDIRECT(ADDRESS(700,42))+INDIRECT(ADDRESS(703,42))-INDIRECT(ADDRESS(704,42)))</f>
        <v>0</v>
      </c>
      <c r="AQ705">
        <f>IF(DAY(NOW())&lt;M3,INDIRECT(ADDRESS(705,42))-INDIRECT(ADDRESS(700,43))+INDIRECT(ADDRESS(701,43))-INDIRECT(ADDRESS(704,43)),INDIRECT(ADDRESS(705,42))-INDIRECT(ADDRESS(700,43))+INDIRECT(ADDRESS(703,43))-INDIRECT(ADDRESS(704,43)))</f>
        <v>0</v>
      </c>
      <c r="AR705">
        <f>IF(DAY(NOW())&lt;M3,INDIRECT(ADDRESS(705,43))-INDIRECT(ADDRESS(700,44))+INDIRECT(ADDRESS(701,44))-INDIRECT(ADDRESS(704,44)),INDIRECT(ADDRESS(705,43))-INDIRECT(ADDRESS(700,44))+INDIRECT(ADDRESS(703,44))-INDIRECT(ADDRESS(704,44)))</f>
        <v>0</v>
      </c>
    </row>
    <row r="706" spans="1:76">
      <c r="A706" t="s">
        <v>31</v>
      </c>
      <c r="B706" t="s">
        <v>361</v>
      </c>
      <c r="C706" t="s">
        <v>362</v>
      </c>
      <c r="D706" t="s">
        <v>17</v>
      </c>
      <c r="E706">
        <v>1</v>
      </c>
      <c r="F706" t="s">
        <v>363</v>
      </c>
      <c r="K706" t="s">
        <v>308</v>
      </c>
      <c r="L706" t="s">
        <v>21</v>
      </c>
      <c r="M706">
        <f>sumifs(BOM!m:m,BOM!A:A,".1",BOM!B:B,"222-277000-000")</f>
        <v>0</v>
      </c>
      <c r="N706">
        <f>sumifs(BOM!n:n,BOM!A:A,".1",BOM!B:B,"222-277000-000")</f>
        <v>0</v>
      </c>
      <c r="O706">
        <f>sumifs(BOM!o:o,BOM!A:A,".1",BOM!B:B,"222-277000-000")</f>
        <v>0</v>
      </c>
      <c r="P706">
        <f>sumifs(BOM!p:p,BOM!A:A,".1",BOM!B:B,"222-277000-000")</f>
        <v>0</v>
      </c>
      <c r="Q706">
        <f>sumifs(BOM!q:q,BOM!A:A,".1",BOM!B:B,"222-277000-000")</f>
        <v>0</v>
      </c>
      <c r="R706">
        <f>sumifs(BOM!r:r,BOM!A:A,".1",BOM!B:B,"222-277000-000")</f>
        <v>0</v>
      </c>
      <c r="S706">
        <f>sumifs(BOM!s:s,BOM!A:A,".1",BOM!B:B,"222-277000-000")</f>
        <v>0</v>
      </c>
      <c r="T706">
        <f>sumifs(BOM!t:t,BOM!A:A,".1",BOM!B:B,"222-277000-000")</f>
        <v>0</v>
      </c>
      <c r="U706">
        <f>sumifs(BOM!u:u,BOM!A:A,".1",BOM!B:B,"222-277000-000")</f>
        <v>0</v>
      </c>
      <c r="V706">
        <f>sumifs(BOM!v:v,BOM!A:A,".1",BOM!B:B,"222-277000-000")</f>
        <v>0</v>
      </c>
      <c r="W706">
        <f>sumifs(BOM!w:w,BOM!A:A,".1",BOM!B:B,"222-277000-000")</f>
        <v>0</v>
      </c>
      <c r="X706">
        <f>sumifs(BOM!x:x,BOM!A:A,".1",BOM!B:B,"222-277000-000")</f>
        <v>0</v>
      </c>
      <c r="Y706">
        <f>sumifs(BOM!y:y,BOM!A:A,".1",BOM!B:B,"222-277000-000")</f>
        <v>0</v>
      </c>
      <c r="Z706">
        <f>sumifs(BOM!z:z,BOM!A:A,".1",BOM!B:B,"222-277000-000")</f>
        <v>0</v>
      </c>
      <c r="AA706">
        <f>sumifs(BOM!aa:aa,BOM!A:A,".1",BOM!B:B,"222-277000-000")</f>
        <v>0</v>
      </c>
      <c r="AB706">
        <f>sumifs(BOM!ab:ab,BOM!A:A,".1",BOM!B:B,"222-277000-000")</f>
        <v>0</v>
      </c>
      <c r="AC706">
        <f>sumifs(BOM!ac:ac,BOM!A:A,".1",BOM!B:B,"222-277000-000")</f>
        <v>0</v>
      </c>
      <c r="AD706">
        <f>sumifs(BOM!ad:ad,BOM!A:A,".1",BOM!B:B,"222-277000-000")</f>
        <v>0</v>
      </c>
      <c r="AE706">
        <f>sumifs(BOM!ae:ae,BOM!A:A,".1",BOM!B:B,"222-277000-000")</f>
        <v>0</v>
      </c>
      <c r="AF706">
        <f>sumifs(BOM!af:af,BOM!A:A,".1",BOM!B:B,"222-277000-000")</f>
        <v>0</v>
      </c>
      <c r="AG706">
        <f>sumifs(BOM!ag:ag,BOM!A:A,".1",BOM!B:B,"222-277000-000")</f>
        <v>0</v>
      </c>
      <c r="AH706">
        <f>sumifs(BOM!ah:ah,BOM!A:A,".1",BOM!B:B,"222-277000-000")</f>
        <v>0</v>
      </c>
      <c r="AI706">
        <f>sumifs(BOM!ai:ai,BOM!A:A,".1",BOM!B:B,"222-277000-000")</f>
        <v>0</v>
      </c>
      <c r="AJ706">
        <f>sumifs(BOM!aj:aj,BOM!A:A,".1",BOM!B:B,"222-277000-000")</f>
        <v>0</v>
      </c>
      <c r="AK706">
        <f>sumifs(BOM!ak:ak,BOM!A:A,".1",BOM!B:B,"222-277000-000")</f>
        <v>0</v>
      </c>
      <c r="AL706">
        <f>sumifs(BOM!al:al,BOM!A:A,".1",BOM!B:B,"222-277000-000")</f>
        <v>0</v>
      </c>
      <c r="AM706">
        <f>sumifs(BOM!am:am,BOM!A:A,".1",BOM!B:B,"222-277000-000")</f>
        <v>0</v>
      </c>
      <c r="AN706">
        <f>sumifs(BOM!an:an,BOM!A:A,".1",BOM!B:B,"222-277000-000")</f>
        <v>0</v>
      </c>
      <c r="AO706">
        <f>sumifs(BOM!ao:ao,BOM!A:A,".1",BOM!B:B,"222-277000-000")</f>
        <v>0</v>
      </c>
      <c r="AP706">
        <f>sumifs(BOM!ap:ap,BOM!A:A,".1",BOM!B:B,"222-277000-000")</f>
        <v>0</v>
      </c>
      <c r="AQ706">
        <f>sumifs(BOM!aq:aq,BOM!A:A,".1",BOM!B:B,"222-277000-000")</f>
        <v>0</v>
      </c>
      <c r="AR706">
        <f>sumifs(BOM!ar:ar,BOM!A:A,".1",BOM!B:B,"222-277000-000")</f>
        <v>0</v>
      </c>
      <c r="BX706">
        <f>sum(j706:an706)</f>
        <v>0</v>
      </c>
    </row>
    <row r="707" spans="1:76">
      <c r="A707" t="s">
        <v>31</v>
      </c>
      <c r="B707" t="s">
        <v>361</v>
      </c>
      <c r="C707" t="s">
        <v>362</v>
      </c>
      <c r="D707" t="s">
        <v>17</v>
      </c>
      <c r="E707">
        <v>1</v>
      </c>
      <c r="F707" t="s">
        <v>363</v>
      </c>
      <c r="K707" t="s">
        <v>308</v>
      </c>
      <c r="L707" t="s">
        <v>37</v>
      </c>
    </row>
    <row r="708" spans="1:76">
      <c r="L708" t="s">
        <v>662</v>
      </c>
    </row>
    <row r="709" spans="1:76">
      <c r="L709" t="s">
        <v>663</v>
      </c>
    </row>
    <row r="710" spans="1:76">
      <c r="L710" t="s">
        <v>664</v>
      </c>
    </row>
    <row r="711" spans="1:76">
      <c r="L711" t="s">
        <v>665</v>
      </c>
      <c r="M711">
        <f>IF(DAY(NOW())&lt;M3,INDIRECT(ADDRESS(711,7))-INDIRECT(ADDRESS(706,13))+INDIRECT(ADDRESS(707,13))-INDIRECT(ADDRESS(710,13)),INDIRECT(ADDRESS(711,7))-INDIRECT(ADDRESS(706,13))+INDIRECT(ADDRESS(709,13))-INDIRECT(ADDRESS(710,13)))</f>
        <v>0</v>
      </c>
      <c r="N711">
        <f>IF(DAY(NOW())&lt;M3,INDIRECT(ADDRESS(711,13))-INDIRECT(ADDRESS(706,14))+INDIRECT(ADDRESS(707,14))-INDIRECT(ADDRESS(710,14)),INDIRECT(ADDRESS(711,13))-INDIRECT(ADDRESS(706,14))+INDIRECT(ADDRESS(709,14))-INDIRECT(ADDRESS(710,14)))</f>
        <v>0</v>
      </c>
      <c r="O711">
        <f>IF(DAY(NOW())&lt;M3,INDIRECT(ADDRESS(711,14))-INDIRECT(ADDRESS(706,15))+INDIRECT(ADDRESS(707,15))-INDIRECT(ADDRESS(710,15)),INDIRECT(ADDRESS(711,14))-INDIRECT(ADDRESS(706,15))+INDIRECT(ADDRESS(709,15))-INDIRECT(ADDRESS(710,15)))</f>
        <v>0</v>
      </c>
      <c r="P711">
        <f>IF(DAY(NOW())&lt;M3,INDIRECT(ADDRESS(711,15))-INDIRECT(ADDRESS(706,16))+INDIRECT(ADDRESS(707,16))-INDIRECT(ADDRESS(710,16)),INDIRECT(ADDRESS(711,15))-INDIRECT(ADDRESS(706,16))+INDIRECT(ADDRESS(709,16))-INDIRECT(ADDRESS(710,16)))</f>
        <v>0</v>
      </c>
      <c r="Q711">
        <f>IF(DAY(NOW())&lt;M3,INDIRECT(ADDRESS(711,16))-INDIRECT(ADDRESS(706,17))+INDIRECT(ADDRESS(707,17))-INDIRECT(ADDRESS(710,17)),INDIRECT(ADDRESS(711,16))-INDIRECT(ADDRESS(706,17))+INDIRECT(ADDRESS(709,17))-INDIRECT(ADDRESS(710,17)))</f>
        <v>0</v>
      </c>
      <c r="R711">
        <f>IF(DAY(NOW())&lt;M3,INDIRECT(ADDRESS(711,17))-INDIRECT(ADDRESS(706,18))+INDIRECT(ADDRESS(707,18))-INDIRECT(ADDRESS(710,18)),INDIRECT(ADDRESS(711,17))-INDIRECT(ADDRESS(706,18))+INDIRECT(ADDRESS(709,18))-INDIRECT(ADDRESS(710,18)))</f>
        <v>0</v>
      </c>
      <c r="S711">
        <f>IF(DAY(NOW())&lt;M3,INDIRECT(ADDRESS(711,18))-INDIRECT(ADDRESS(706,19))+INDIRECT(ADDRESS(707,19))-INDIRECT(ADDRESS(710,19)),INDIRECT(ADDRESS(711,18))-INDIRECT(ADDRESS(706,19))+INDIRECT(ADDRESS(709,19))-INDIRECT(ADDRESS(710,19)))</f>
        <v>0</v>
      </c>
      <c r="T711">
        <f>IF(DAY(NOW())&lt;M3,INDIRECT(ADDRESS(711,19))-INDIRECT(ADDRESS(706,20))+INDIRECT(ADDRESS(707,20))-INDIRECT(ADDRESS(710,20)),INDIRECT(ADDRESS(711,19))-INDIRECT(ADDRESS(706,20))+INDIRECT(ADDRESS(709,20))-INDIRECT(ADDRESS(710,20)))</f>
        <v>0</v>
      </c>
      <c r="U711">
        <f>IF(DAY(NOW())&lt;M3,INDIRECT(ADDRESS(711,20))-INDIRECT(ADDRESS(706,21))+INDIRECT(ADDRESS(707,21))-INDIRECT(ADDRESS(710,21)),INDIRECT(ADDRESS(711,20))-INDIRECT(ADDRESS(706,21))+INDIRECT(ADDRESS(709,21))-INDIRECT(ADDRESS(710,21)))</f>
        <v>0</v>
      </c>
      <c r="V711">
        <f>IF(DAY(NOW())&lt;M3,INDIRECT(ADDRESS(711,21))-INDIRECT(ADDRESS(706,22))+INDIRECT(ADDRESS(707,22))-INDIRECT(ADDRESS(710,22)),INDIRECT(ADDRESS(711,21))-INDIRECT(ADDRESS(706,22))+INDIRECT(ADDRESS(709,22))-INDIRECT(ADDRESS(710,22)))</f>
        <v>0</v>
      </c>
      <c r="W711">
        <f>IF(DAY(NOW())&lt;M3,INDIRECT(ADDRESS(711,22))-INDIRECT(ADDRESS(706,23))+INDIRECT(ADDRESS(707,23))-INDIRECT(ADDRESS(710,23)),INDIRECT(ADDRESS(711,22))-INDIRECT(ADDRESS(706,23))+INDIRECT(ADDRESS(709,23))-INDIRECT(ADDRESS(710,23)))</f>
        <v>0</v>
      </c>
      <c r="X711">
        <f>IF(DAY(NOW())&lt;M3,INDIRECT(ADDRESS(711,23))-INDIRECT(ADDRESS(706,24))+INDIRECT(ADDRESS(707,24))-INDIRECT(ADDRESS(710,24)),INDIRECT(ADDRESS(711,23))-INDIRECT(ADDRESS(706,24))+INDIRECT(ADDRESS(709,24))-INDIRECT(ADDRESS(710,24)))</f>
        <v>0</v>
      </c>
      <c r="Y711">
        <f>IF(DAY(NOW())&lt;M3,INDIRECT(ADDRESS(711,24))-INDIRECT(ADDRESS(706,25))+INDIRECT(ADDRESS(707,25))-INDIRECT(ADDRESS(710,25)),INDIRECT(ADDRESS(711,24))-INDIRECT(ADDRESS(706,25))+INDIRECT(ADDRESS(709,25))-INDIRECT(ADDRESS(710,25)))</f>
        <v>0</v>
      </c>
      <c r="Z711">
        <f>IF(DAY(NOW())&lt;M3,INDIRECT(ADDRESS(711,25))-INDIRECT(ADDRESS(706,26))+INDIRECT(ADDRESS(707,26))-INDIRECT(ADDRESS(710,26)),INDIRECT(ADDRESS(711,25))-INDIRECT(ADDRESS(706,26))+INDIRECT(ADDRESS(709,26))-INDIRECT(ADDRESS(710,26)))</f>
        <v>0</v>
      </c>
      <c r="AA711">
        <f>IF(DAY(NOW())&lt;M3,INDIRECT(ADDRESS(711,26))-INDIRECT(ADDRESS(706,27))+INDIRECT(ADDRESS(707,27))-INDIRECT(ADDRESS(710,27)),INDIRECT(ADDRESS(711,26))-INDIRECT(ADDRESS(706,27))+INDIRECT(ADDRESS(709,27))-INDIRECT(ADDRESS(710,27)))</f>
        <v>0</v>
      </c>
      <c r="AB711">
        <f>IF(DAY(NOW())&lt;M3,INDIRECT(ADDRESS(711,27))-INDIRECT(ADDRESS(706,28))+INDIRECT(ADDRESS(707,28))-INDIRECT(ADDRESS(710,28)),INDIRECT(ADDRESS(711,27))-INDIRECT(ADDRESS(706,28))+INDIRECT(ADDRESS(709,28))-INDIRECT(ADDRESS(710,28)))</f>
        <v>0</v>
      </c>
      <c r="AC711">
        <f>IF(DAY(NOW())&lt;M3,INDIRECT(ADDRESS(711,28))-INDIRECT(ADDRESS(706,29))+INDIRECT(ADDRESS(707,29))-INDIRECT(ADDRESS(710,29)),INDIRECT(ADDRESS(711,28))-INDIRECT(ADDRESS(706,29))+INDIRECT(ADDRESS(709,29))-INDIRECT(ADDRESS(710,29)))</f>
        <v>0</v>
      </c>
      <c r="AD711">
        <f>IF(DAY(NOW())&lt;M3,INDIRECT(ADDRESS(711,29))-INDIRECT(ADDRESS(706,30))+INDIRECT(ADDRESS(707,30))-INDIRECT(ADDRESS(710,30)),INDIRECT(ADDRESS(711,29))-INDIRECT(ADDRESS(706,30))+INDIRECT(ADDRESS(709,30))-INDIRECT(ADDRESS(710,30)))</f>
        <v>0</v>
      </c>
      <c r="AE711">
        <f>IF(DAY(NOW())&lt;M3,INDIRECT(ADDRESS(711,30))-INDIRECT(ADDRESS(706,31))+INDIRECT(ADDRESS(707,31))-INDIRECT(ADDRESS(710,31)),INDIRECT(ADDRESS(711,30))-INDIRECT(ADDRESS(706,31))+INDIRECT(ADDRESS(709,31))-INDIRECT(ADDRESS(710,31)))</f>
        <v>0</v>
      </c>
      <c r="AF711">
        <f>IF(DAY(NOW())&lt;M3,INDIRECT(ADDRESS(711,31))-INDIRECT(ADDRESS(706,32))+INDIRECT(ADDRESS(707,32))-INDIRECT(ADDRESS(710,32)),INDIRECT(ADDRESS(711,31))-INDIRECT(ADDRESS(706,32))+INDIRECT(ADDRESS(709,32))-INDIRECT(ADDRESS(710,32)))</f>
        <v>0</v>
      </c>
      <c r="AG711">
        <f>IF(DAY(NOW())&lt;M3,INDIRECT(ADDRESS(711,32))-INDIRECT(ADDRESS(706,33))+INDIRECT(ADDRESS(707,33))-INDIRECT(ADDRESS(710,33)),INDIRECT(ADDRESS(711,32))-INDIRECT(ADDRESS(706,33))+INDIRECT(ADDRESS(709,33))-INDIRECT(ADDRESS(710,33)))</f>
        <v>0</v>
      </c>
      <c r="AH711">
        <f>IF(DAY(NOW())&lt;M3,INDIRECT(ADDRESS(711,33))-INDIRECT(ADDRESS(706,34))+INDIRECT(ADDRESS(707,34))-INDIRECT(ADDRESS(710,34)),INDIRECT(ADDRESS(711,33))-INDIRECT(ADDRESS(706,34))+INDIRECT(ADDRESS(709,34))-INDIRECT(ADDRESS(710,34)))</f>
        <v>0</v>
      </c>
      <c r="AI711">
        <f>IF(DAY(NOW())&lt;M3,INDIRECT(ADDRESS(711,34))-INDIRECT(ADDRESS(706,35))+INDIRECT(ADDRESS(707,35))-INDIRECT(ADDRESS(710,35)),INDIRECT(ADDRESS(711,34))-INDIRECT(ADDRESS(706,35))+INDIRECT(ADDRESS(709,35))-INDIRECT(ADDRESS(710,35)))</f>
        <v>0</v>
      </c>
      <c r="AJ711">
        <f>IF(DAY(NOW())&lt;M3,INDIRECT(ADDRESS(711,35))-INDIRECT(ADDRESS(706,36))+INDIRECT(ADDRESS(707,36))-INDIRECT(ADDRESS(710,36)),INDIRECT(ADDRESS(711,35))-INDIRECT(ADDRESS(706,36))+INDIRECT(ADDRESS(709,36))-INDIRECT(ADDRESS(710,36)))</f>
        <v>0</v>
      </c>
      <c r="AK711">
        <f>IF(DAY(NOW())&lt;M3,INDIRECT(ADDRESS(711,36))-INDIRECT(ADDRESS(706,37))+INDIRECT(ADDRESS(707,37))-INDIRECT(ADDRESS(710,37)),INDIRECT(ADDRESS(711,36))-INDIRECT(ADDRESS(706,37))+INDIRECT(ADDRESS(709,37))-INDIRECT(ADDRESS(710,37)))</f>
        <v>0</v>
      </c>
      <c r="AL711">
        <f>IF(DAY(NOW())&lt;M3,INDIRECT(ADDRESS(711,37))-INDIRECT(ADDRESS(706,38))+INDIRECT(ADDRESS(707,38))-INDIRECT(ADDRESS(710,38)),INDIRECT(ADDRESS(711,37))-INDIRECT(ADDRESS(706,38))+INDIRECT(ADDRESS(709,38))-INDIRECT(ADDRESS(710,38)))</f>
        <v>0</v>
      </c>
      <c r="AM711">
        <f>IF(DAY(NOW())&lt;M3,INDIRECT(ADDRESS(711,38))-INDIRECT(ADDRESS(706,39))+INDIRECT(ADDRESS(707,39))-INDIRECT(ADDRESS(710,39)),INDIRECT(ADDRESS(711,38))-INDIRECT(ADDRESS(706,39))+INDIRECT(ADDRESS(709,39))-INDIRECT(ADDRESS(710,39)))</f>
        <v>0</v>
      </c>
      <c r="AN711">
        <f>IF(DAY(NOW())&lt;M3,INDIRECT(ADDRESS(711,39))-INDIRECT(ADDRESS(706,40))+INDIRECT(ADDRESS(707,40))-INDIRECT(ADDRESS(710,40)),INDIRECT(ADDRESS(711,39))-INDIRECT(ADDRESS(706,40))+INDIRECT(ADDRESS(709,40))-INDIRECT(ADDRESS(710,40)))</f>
        <v>0</v>
      </c>
      <c r="AO711">
        <f>IF(DAY(NOW())&lt;M3,INDIRECT(ADDRESS(711,40))-INDIRECT(ADDRESS(706,41))+INDIRECT(ADDRESS(707,41))-INDIRECT(ADDRESS(710,41)),INDIRECT(ADDRESS(711,40))-INDIRECT(ADDRESS(706,41))+INDIRECT(ADDRESS(709,41))-INDIRECT(ADDRESS(710,41)))</f>
        <v>0</v>
      </c>
      <c r="AP711">
        <f>IF(DAY(NOW())&lt;M3,INDIRECT(ADDRESS(711,41))-INDIRECT(ADDRESS(706,42))+INDIRECT(ADDRESS(707,42))-INDIRECT(ADDRESS(710,42)),INDIRECT(ADDRESS(711,41))-INDIRECT(ADDRESS(706,42))+INDIRECT(ADDRESS(709,42))-INDIRECT(ADDRESS(710,42)))</f>
        <v>0</v>
      </c>
      <c r="AQ711">
        <f>IF(DAY(NOW())&lt;M3,INDIRECT(ADDRESS(711,42))-INDIRECT(ADDRESS(706,43))+INDIRECT(ADDRESS(707,43))-INDIRECT(ADDRESS(710,43)),INDIRECT(ADDRESS(711,42))-INDIRECT(ADDRESS(706,43))+INDIRECT(ADDRESS(709,43))-INDIRECT(ADDRESS(710,43)))</f>
        <v>0</v>
      </c>
      <c r="AR711">
        <f>IF(DAY(NOW())&lt;M3,INDIRECT(ADDRESS(711,43))-INDIRECT(ADDRESS(706,44))+INDIRECT(ADDRESS(707,44))-INDIRECT(ADDRESS(710,44)),INDIRECT(ADDRESS(711,43))-INDIRECT(ADDRESS(706,44))+INDIRECT(ADDRESS(709,44))-INDIRECT(ADDRESS(710,44)))</f>
        <v>0</v>
      </c>
    </row>
    <row r="712" spans="1:76">
      <c r="A712" t="s">
        <v>14</v>
      </c>
      <c r="B712" t="s">
        <v>120</v>
      </c>
      <c r="C712" t="s">
        <v>121</v>
      </c>
      <c r="D712" t="s">
        <v>256</v>
      </c>
      <c r="E712">
        <v>1</v>
      </c>
      <c r="F712" t="s">
        <v>122</v>
      </c>
      <c r="K712" t="s">
        <v>305</v>
      </c>
      <c r="L712" t="s">
        <v>21</v>
      </c>
      <c r="BX712">
        <f>sum(j712:an712)</f>
        <v>0</v>
      </c>
    </row>
    <row r="713" spans="1:76">
      <c r="A713" t="s">
        <v>14</v>
      </c>
      <c r="B713" t="s">
        <v>120</v>
      </c>
      <c r="C713" t="s">
        <v>121</v>
      </c>
      <c r="D713" t="s">
        <v>256</v>
      </c>
      <c r="E713">
        <v>1</v>
      </c>
      <c r="F713" t="s">
        <v>122</v>
      </c>
      <c r="K713" t="s">
        <v>305</v>
      </c>
      <c r="L713" t="s">
        <v>37</v>
      </c>
    </row>
    <row r="714" spans="1:76">
      <c r="L714" t="s">
        <v>662</v>
      </c>
    </row>
    <row r="715" spans="1:76">
      <c r="L715" t="s">
        <v>663</v>
      </c>
    </row>
    <row r="716" spans="1:76">
      <c r="L716" t="s">
        <v>664</v>
      </c>
    </row>
    <row r="717" spans="1:76">
      <c r="L717" t="s">
        <v>665</v>
      </c>
      <c r="M717">
        <f>IF(DAY(NOW())&lt;M3,INDIRECT(ADDRESS(717,7))-INDIRECT(ADDRESS(712,13))+INDIRECT(ADDRESS(713,13))-INDIRECT(ADDRESS(716,13)),INDIRECT(ADDRESS(717,7))-INDIRECT(ADDRESS(712,13))+INDIRECT(ADDRESS(715,13))-INDIRECT(ADDRESS(716,13)))</f>
        <v>0</v>
      </c>
      <c r="N717">
        <f>IF(DAY(NOW())&lt;M3,INDIRECT(ADDRESS(717,13))-INDIRECT(ADDRESS(712,14))+INDIRECT(ADDRESS(713,14))-INDIRECT(ADDRESS(716,14)),INDIRECT(ADDRESS(717,13))-INDIRECT(ADDRESS(712,14))+INDIRECT(ADDRESS(715,14))-INDIRECT(ADDRESS(716,14)))</f>
        <v>0</v>
      </c>
      <c r="O717">
        <f>IF(DAY(NOW())&lt;M3,INDIRECT(ADDRESS(717,14))-INDIRECT(ADDRESS(712,15))+INDIRECT(ADDRESS(713,15))-INDIRECT(ADDRESS(716,15)),INDIRECT(ADDRESS(717,14))-INDIRECT(ADDRESS(712,15))+INDIRECT(ADDRESS(715,15))-INDIRECT(ADDRESS(716,15)))</f>
        <v>0</v>
      </c>
      <c r="P717">
        <f>IF(DAY(NOW())&lt;M3,INDIRECT(ADDRESS(717,15))-INDIRECT(ADDRESS(712,16))+INDIRECT(ADDRESS(713,16))-INDIRECT(ADDRESS(716,16)),INDIRECT(ADDRESS(717,15))-INDIRECT(ADDRESS(712,16))+INDIRECT(ADDRESS(715,16))-INDIRECT(ADDRESS(716,16)))</f>
        <v>0</v>
      </c>
      <c r="Q717">
        <f>IF(DAY(NOW())&lt;M3,INDIRECT(ADDRESS(717,16))-INDIRECT(ADDRESS(712,17))+INDIRECT(ADDRESS(713,17))-INDIRECT(ADDRESS(716,17)),INDIRECT(ADDRESS(717,16))-INDIRECT(ADDRESS(712,17))+INDIRECT(ADDRESS(715,17))-INDIRECT(ADDRESS(716,17)))</f>
        <v>0</v>
      </c>
      <c r="R717">
        <f>IF(DAY(NOW())&lt;M3,INDIRECT(ADDRESS(717,17))-INDIRECT(ADDRESS(712,18))+INDIRECT(ADDRESS(713,18))-INDIRECT(ADDRESS(716,18)),INDIRECT(ADDRESS(717,17))-INDIRECT(ADDRESS(712,18))+INDIRECT(ADDRESS(715,18))-INDIRECT(ADDRESS(716,18)))</f>
        <v>0</v>
      </c>
      <c r="S717">
        <f>IF(DAY(NOW())&lt;M3,INDIRECT(ADDRESS(717,18))-INDIRECT(ADDRESS(712,19))+INDIRECT(ADDRESS(713,19))-INDIRECT(ADDRESS(716,19)),INDIRECT(ADDRESS(717,18))-INDIRECT(ADDRESS(712,19))+INDIRECT(ADDRESS(715,19))-INDIRECT(ADDRESS(716,19)))</f>
        <v>0</v>
      </c>
      <c r="T717">
        <f>IF(DAY(NOW())&lt;M3,INDIRECT(ADDRESS(717,19))-INDIRECT(ADDRESS(712,20))+INDIRECT(ADDRESS(713,20))-INDIRECT(ADDRESS(716,20)),INDIRECT(ADDRESS(717,19))-INDIRECT(ADDRESS(712,20))+INDIRECT(ADDRESS(715,20))-INDIRECT(ADDRESS(716,20)))</f>
        <v>0</v>
      </c>
      <c r="U717">
        <f>IF(DAY(NOW())&lt;M3,INDIRECT(ADDRESS(717,20))-INDIRECT(ADDRESS(712,21))+INDIRECT(ADDRESS(713,21))-INDIRECT(ADDRESS(716,21)),INDIRECT(ADDRESS(717,20))-INDIRECT(ADDRESS(712,21))+INDIRECT(ADDRESS(715,21))-INDIRECT(ADDRESS(716,21)))</f>
        <v>0</v>
      </c>
      <c r="V717">
        <f>IF(DAY(NOW())&lt;M3,INDIRECT(ADDRESS(717,21))-INDIRECT(ADDRESS(712,22))+INDIRECT(ADDRESS(713,22))-INDIRECT(ADDRESS(716,22)),INDIRECT(ADDRESS(717,21))-INDIRECT(ADDRESS(712,22))+INDIRECT(ADDRESS(715,22))-INDIRECT(ADDRESS(716,22)))</f>
        <v>0</v>
      </c>
      <c r="W717">
        <f>IF(DAY(NOW())&lt;M3,INDIRECT(ADDRESS(717,22))-INDIRECT(ADDRESS(712,23))+INDIRECT(ADDRESS(713,23))-INDIRECT(ADDRESS(716,23)),INDIRECT(ADDRESS(717,22))-INDIRECT(ADDRESS(712,23))+INDIRECT(ADDRESS(715,23))-INDIRECT(ADDRESS(716,23)))</f>
        <v>0</v>
      </c>
      <c r="X717">
        <f>IF(DAY(NOW())&lt;M3,INDIRECT(ADDRESS(717,23))-INDIRECT(ADDRESS(712,24))+INDIRECT(ADDRESS(713,24))-INDIRECT(ADDRESS(716,24)),INDIRECT(ADDRESS(717,23))-INDIRECT(ADDRESS(712,24))+INDIRECT(ADDRESS(715,24))-INDIRECT(ADDRESS(716,24)))</f>
        <v>0</v>
      </c>
      <c r="Y717">
        <f>IF(DAY(NOW())&lt;M3,INDIRECT(ADDRESS(717,24))-INDIRECT(ADDRESS(712,25))+INDIRECT(ADDRESS(713,25))-INDIRECT(ADDRESS(716,25)),INDIRECT(ADDRESS(717,24))-INDIRECT(ADDRESS(712,25))+INDIRECT(ADDRESS(715,25))-INDIRECT(ADDRESS(716,25)))</f>
        <v>0</v>
      </c>
      <c r="Z717">
        <f>IF(DAY(NOW())&lt;M3,INDIRECT(ADDRESS(717,25))-INDIRECT(ADDRESS(712,26))+INDIRECT(ADDRESS(713,26))-INDIRECT(ADDRESS(716,26)),INDIRECT(ADDRESS(717,25))-INDIRECT(ADDRESS(712,26))+INDIRECT(ADDRESS(715,26))-INDIRECT(ADDRESS(716,26)))</f>
        <v>0</v>
      </c>
      <c r="AA717">
        <f>IF(DAY(NOW())&lt;M3,INDIRECT(ADDRESS(717,26))-INDIRECT(ADDRESS(712,27))+INDIRECT(ADDRESS(713,27))-INDIRECT(ADDRESS(716,27)),INDIRECT(ADDRESS(717,26))-INDIRECT(ADDRESS(712,27))+INDIRECT(ADDRESS(715,27))-INDIRECT(ADDRESS(716,27)))</f>
        <v>0</v>
      </c>
      <c r="AB717">
        <f>IF(DAY(NOW())&lt;M3,INDIRECT(ADDRESS(717,27))-INDIRECT(ADDRESS(712,28))+INDIRECT(ADDRESS(713,28))-INDIRECT(ADDRESS(716,28)),INDIRECT(ADDRESS(717,27))-INDIRECT(ADDRESS(712,28))+INDIRECT(ADDRESS(715,28))-INDIRECT(ADDRESS(716,28)))</f>
        <v>0</v>
      </c>
      <c r="AC717">
        <f>IF(DAY(NOW())&lt;M3,INDIRECT(ADDRESS(717,28))-INDIRECT(ADDRESS(712,29))+INDIRECT(ADDRESS(713,29))-INDIRECT(ADDRESS(716,29)),INDIRECT(ADDRESS(717,28))-INDIRECT(ADDRESS(712,29))+INDIRECT(ADDRESS(715,29))-INDIRECT(ADDRESS(716,29)))</f>
        <v>0</v>
      </c>
      <c r="AD717">
        <f>IF(DAY(NOW())&lt;M3,INDIRECT(ADDRESS(717,29))-INDIRECT(ADDRESS(712,30))+INDIRECT(ADDRESS(713,30))-INDIRECT(ADDRESS(716,30)),INDIRECT(ADDRESS(717,29))-INDIRECT(ADDRESS(712,30))+INDIRECT(ADDRESS(715,30))-INDIRECT(ADDRESS(716,30)))</f>
        <v>0</v>
      </c>
      <c r="AE717">
        <f>IF(DAY(NOW())&lt;M3,INDIRECT(ADDRESS(717,30))-INDIRECT(ADDRESS(712,31))+INDIRECT(ADDRESS(713,31))-INDIRECT(ADDRESS(716,31)),INDIRECT(ADDRESS(717,30))-INDIRECT(ADDRESS(712,31))+INDIRECT(ADDRESS(715,31))-INDIRECT(ADDRESS(716,31)))</f>
        <v>0</v>
      </c>
      <c r="AF717">
        <f>IF(DAY(NOW())&lt;M3,INDIRECT(ADDRESS(717,31))-INDIRECT(ADDRESS(712,32))+INDIRECT(ADDRESS(713,32))-INDIRECT(ADDRESS(716,32)),INDIRECT(ADDRESS(717,31))-INDIRECT(ADDRESS(712,32))+INDIRECT(ADDRESS(715,32))-INDIRECT(ADDRESS(716,32)))</f>
        <v>0</v>
      </c>
      <c r="AG717">
        <f>IF(DAY(NOW())&lt;M3,INDIRECT(ADDRESS(717,32))-INDIRECT(ADDRESS(712,33))+INDIRECT(ADDRESS(713,33))-INDIRECT(ADDRESS(716,33)),INDIRECT(ADDRESS(717,32))-INDIRECT(ADDRESS(712,33))+INDIRECT(ADDRESS(715,33))-INDIRECT(ADDRESS(716,33)))</f>
        <v>0</v>
      </c>
      <c r="AH717">
        <f>IF(DAY(NOW())&lt;M3,INDIRECT(ADDRESS(717,33))-INDIRECT(ADDRESS(712,34))+INDIRECT(ADDRESS(713,34))-INDIRECT(ADDRESS(716,34)),INDIRECT(ADDRESS(717,33))-INDIRECT(ADDRESS(712,34))+INDIRECT(ADDRESS(715,34))-INDIRECT(ADDRESS(716,34)))</f>
        <v>0</v>
      </c>
      <c r="AI717">
        <f>IF(DAY(NOW())&lt;M3,INDIRECT(ADDRESS(717,34))-INDIRECT(ADDRESS(712,35))+INDIRECT(ADDRESS(713,35))-INDIRECT(ADDRESS(716,35)),INDIRECT(ADDRESS(717,34))-INDIRECT(ADDRESS(712,35))+INDIRECT(ADDRESS(715,35))-INDIRECT(ADDRESS(716,35)))</f>
        <v>0</v>
      </c>
      <c r="AJ717">
        <f>IF(DAY(NOW())&lt;M3,INDIRECT(ADDRESS(717,35))-INDIRECT(ADDRESS(712,36))+INDIRECT(ADDRESS(713,36))-INDIRECT(ADDRESS(716,36)),INDIRECT(ADDRESS(717,35))-INDIRECT(ADDRESS(712,36))+INDIRECT(ADDRESS(715,36))-INDIRECT(ADDRESS(716,36)))</f>
        <v>0</v>
      </c>
      <c r="AK717">
        <f>IF(DAY(NOW())&lt;M3,INDIRECT(ADDRESS(717,36))-INDIRECT(ADDRESS(712,37))+INDIRECT(ADDRESS(713,37))-INDIRECT(ADDRESS(716,37)),INDIRECT(ADDRESS(717,36))-INDIRECT(ADDRESS(712,37))+INDIRECT(ADDRESS(715,37))-INDIRECT(ADDRESS(716,37)))</f>
        <v>0</v>
      </c>
      <c r="AL717">
        <f>IF(DAY(NOW())&lt;M3,INDIRECT(ADDRESS(717,37))-INDIRECT(ADDRESS(712,38))+INDIRECT(ADDRESS(713,38))-INDIRECT(ADDRESS(716,38)),INDIRECT(ADDRESS(717,37))-INDIRECT(ADDRESS(712,38))+INDIRECT(ADDRESS(715,38))-INDIRECT(ADDRESS(716,38)))</f>
        <v>0</v>
      </c>
      <c r="AM717">
        <f>IF(DAY(NOW())&lt;M3,INDIRECT(ADDRESS(717,38))-INDIRECT(ADDRESS(712,39))+INDIRECT(ADDRESS(713,39))-INDIRECT(ADDRESS(716,39)),INDIRECT(ADDRESS(717,38))-INDIRECT(ADDRESS(712,39))+INDIRECT(ADDRESS(715,39))-INDIRECT(ADDRESS(716,39)))</f>
        <v>0</v>
      </c>
      <c r="AN717">
        <f>IF(DAY(NOW())&lt;M3,INDIRECT(ADDRESS(717,39))-INDIRECT(ADDRESS(712,40))+INDIRECT(ADDRESS(713,40))-INDIRECT(ADDRESS(716,40)),INDIRECT(ADDRESS(717,39))-INDIRECT(ADDRESS(712,40))+INDIRECT(ADDRESS(715,40))-INDIRECT(ADDRESS(716,40)))</f>
        <v>0</v>
      </c>
      <c r="AO717">
        <f>IF(DAY(NOW())&lt;M3,INDIRECT(ADDRESS(717,40))-INDIRECT(ADDRESS(712,41))+INDIRECT(ADDRESS(713,41))-INDIRECT(ADDRESS(716,41)),INDIRECT(ADDRESS(717,40))-INDIRECT(ADDRESS(712,41))+INDIRECT(ADDRESS(715,41))-INDIRECT(ADDRESS(716,41)))</f>
        <v>0</v>
      </c>
      <c r="AP717">
        <f>IF(DAY(NOW())&lt;M3,INDIRECT(ADDRESS(717,41))-INDIRECT(ADDRESS(712,42))+INDIRECT(ADDRESS(713,42))-INDIRECT(ADDRESS(716,42)),INDIRECT(ADDRESS(717,41))-INDIRECT(ADDRESS(712,42))+INDIRECT(ADDRESS(715,42))-INDIRECT(ADDRESS(716,42)))</f>
        <v>0</v>
      </c>
      <c r="AQ717">
        <f>IF(DAY(NOW())&lt;M3,INDIRECT(ADDRESS(717,42))-INDIRECT(ADDRESS(712,43))+INDIRECT(ADDRESS(713,43))-INDIRECT(ADDRESS(716,43)),INDIRECT(ADDRESS(717,42))-INDIRECT(ADDRESS(712,43))+INDIRECT(ADDRESS(715,43))-INDIRECT(ADDRESS(716,43)))</f>
        <v>0</v>
      </c>
      <c r="AR717">
        <f>IF(DAY(NOW())&lt;M3,INDIRECT(ADDRESS(717,43))-INDIRECT(ADDRESS(712,44))+INDIRECT(ADDRESS(713,44))-INDIRECT(ADDRESS(716,44)),INDIRECT(ADDRESS(717,43))-INDIRECT(ADDRESS(712,44))+INDIRECT(ADDRESS(715,44))-INDIRECT(ADDRESS(716,44)))</f>
        <v>0</v>
      </c>
    </row>
    <row r="718" spans="1:76">
      <c r="A718" t="s">
        <v>31</v>
      </c>
      <c r="B718" t="s">
        <v>364</v>
      </c>
      <c r="C718" t="s">
        <v>365</v>
      </c>
      <c r="D718" t="s">
        <v>256</v>
      </c>
      <c r="E718">
        <v>7</v>
      </c>
      <c r="F718" t="s">
        <v>366</v>
      </c>
      <c r="K718" t="s">
        <v>308</v>
      </c>
      <c r="L718" t="s">
        <v>21</v>
      </c>
      <c r="M718">
        <f>sumifs(BOM!m:m,BOM!A:A,".1",BOM!B:B,"222-020800-000")</f>
        <v>0</v>
      </c>
      <c r="N718">
        <f>sumifs(BOM!n:n,BOM!A:A,".1",BOM!B:B,"222-020800-000")</f>
        <v>0</v>
      </c>
      <c r="O718">
        <f>sumifs(BOM!o:o,BOM!A:A,".1",BOM!B:B,"222-020800-000")</f>
        <v>0</v>
      </c>
      <c r="P718">
        <f>sumifs(BOM!p:p,BOM!A:A,".1",BOM!B:B,"222-020800-000")</f>
        <v>0</v>
      </c>
      <c r="Q718">
        <f>sumifs(BOM!q:q,BOM!A:A,".1",BOM!B:B,"222-020800-000")</f>
        <v>0</v>
      </c>
      <c r="R718">
        <f>sumifs(BOM!r:r,BOM!A:A,".1",BOM!B:B,"222-020800-000")</f>
        <v>0</v>
      </c>
      <c r="S718">
        <f>sumifs(BOM!s:s,BOM!A:A,".1",BOM!B:B,"222-020800-000")</f>
        <v>0</v>
      </c>
      <c r="T718">
        <f>sumifs(BOM!t:t,BOM!A:A,".1",BOM!B:B,"222-020800-000")</f>
        <v>0</v>
      </c>
      <c r="U718">
        <f>sumifs(BOM!u:u,BOM!A:A,".1",BOM!B:B,"222-020800-000")</f>
        <v>0</v>
      </c>
      <c r="V718">
        <f>sumifs(BOM!v:v,BOM!A:A,".1",BOM!B:B,"222-020800-000")</f>
        <v>0</v>
      </c>
      <c r="W718">
        <f>sumifs(BOM!w:w,BOM!A:A,".1",BOM!B:B,"222-020800-000")</f>
        <v>0</v>
      </c>
      <c r="X718">
        <f>sumifs(BOM!x:x,BOM!A:A,".1",BOM!B:B,"222-020800-000")</f>
        <v>0</v>
      </c>
      <c r="Y718">
        <f>sumifs(BOM!y:y,BOM!A:A,".1",BOM!B:B,"222-020800-000")</f>
        <v>0</v>
      </c>
      <c r="Z718">
        <f>sumifs(BOM!z:z,BOM!A:A,".1",BOM!B:B,"222-020800-000")</f>
        <v>0</v>
      </c>
      <c r="AA718">
        <f>sumifs(BOM!aa:aa,BOM!A:A,".1",BOM!B:B,"222-020800-000")</f>
        <v>0</v>
      </c>
      <c r="AB718">
        <f>sumifs(BOM!ab:ab,BOM!A:A,".1",BOM!B:B,"222-020800-000")</f>
        <v>0</v>
      </c>
      <c r="AC718">
        <f>sumifs(BOM!ac:ac,BOM!A:A,".1",BOM!B:B,"222-020800-000")</f>
        <v>0</v>
      </c>
      <c r="AD718">
        <f>sumifs(BOM!ad:ad,BOM!A:A,".1",BOM!B:B,"222-020800-000")</f>
        <v>0</v>
      </c>
      <c r="AE718">
        <f>sumifs(BOM!ae:ae,BOM!A:A,".1",BOM!B:B,"222-020800-000")</f>
        <v>0</v>
      </c>
      <c r="AF718">
        <f>sumifs(BOM!af:af,BOM!A:A,".1",BOM!B:B,"222-020800-000")</f>
        <v>0</v>
      </c>
      <c r="AG718">
        <f>sumifs(BOM!ag:ag,BOM!A:A,".1",BOM!B:B,"222-020800-000")</f>
        <v>0</v>
      </c>
      <c r="AH718">
        <f>sumifs(BOM!ah:ah,BOM!A:A,".1",BOM!B:B,"222-020800-000")</f>
        <v>0</v>
      </c>
      <c r="AI718">
        <f>sumifs(BOM!ai:ai,BOM!A:A,".1",BOM!B:B,"222-020800-000")</f>
        <v>0</v>
      </c>
      <c r="AJ718">
        <f>sumifs(BOM!aj:aj,BOM!A:A,".1",BOM!B:B,"222-020800-000")</f>
        <v>0</v>
      </c>
      <c r="AK718">
        <f>sumifs(BOM!ak:ak,BOM!A:A,".1",BOM!B:B,"222-020800-000")</f>
        <v>0</v>
      </c>
      <c r="AL718">
        <f>sumifs(BOM!al:al,BOM!A:A,".1",BOM!B:B,"222-020800-000")</f>
        <v>0</v>
      </c>
      <c r="AM718">
        <f>sumifs(BOM!am:am,BOM!A:A,".1",BOM!B:B,"222-020800-000")</f>
        <v>0</v>
      </c>
      <c r="AN718">
        <f>sumifs(BOM!an:an,BOM!A:A,".1",BOM!B:B,"222-020800-000")</f>
        <v>0</v>
      </c>
      <c r="AO718">
        <f>sumifs(BOM!ao:ao,BOM!A:A,".1",BOM!B:B,"222-020800-000")</f>
        <v>0</v>
      </c>
      <c r="AP718">
        <f>sumifs(BOM!ap:ap,BOM!A:A,".1",BOM!B:B,"222-020800-000")</f>
        <v>0</v>
      </c>
      <c r="AQ718">
        <f>sumifs(BOM!aq:aq,BOM!A:A,".1",BOM!B:B,"222-020800-000")</f>
        <v>0</v>
      </c>
      <c r="AR718">
        <f>sumifs(BOM!ar:ar,BOM!A:A,".1",BOM!B:B,"222-020800-000")</f>
        <v>0</v>
      </c>
      <c r="BX718">
        <f>sum(j718:an718)</f>
        <v>0</v>
      </c>
    </row>
    <row r="719" spans="1:76">
      <c r="A719" t="s">
        <v>31</v>
      </c>
      <c r="B719" t="s">
        <v>364</v>
      </c>
      <c r="C719" t="s">
        <v>365</v>
      </c>
      <c r="D719" t="s">
        <v>256</v>
      </c>
      <c r="E719">
        <v>7</v>
      </c>
      <c r="F719" t="s">
        <v>366</v>
      </c>
      <c r="K719" t="s">
        <v>308</v>
      </c>
      <c r="L719" t="s">
        <v>37</v>
      </c>
    </row>
    <row r="720" spans="1:76">
      <c r="L720" t="s">
        <v>662</v>
      </c>
    </row>
    <row r="721" spans="1:76">
      <c r="L721" t="s">
        <v>663</v>
      </c>
    </row>
    <row r="722" spans="1:76">
      <c r="L722" t="s">
        <v>664</v>
      </c>
    </row>
    <row r="723" spans="1:76">
      <c r="L723" t="s">
        <v>665</v>
      </c>
      <c r="M723">
        <f>IF(DAY(NOW())&lt;M3,INDIRECT(ADDRESS(723,7))-INDIRECT(ADDRESS(718,13))+INDIRECT(ADDRESS(719,13))-INDIRECT(ADDRESS(722,13)),INDIRECT(ADDRESS(723,7))-INDIRECT(ADDRESS(718,13))+INDIRECT(ADDRESS(721,13))-INDIRECT(ADDRESS(722,13)))</f>
        <v>0</v>
      </c>
      <c r="N723">
        <f>IF(DAY(NOW())&lt;M3,INDIRECT(ADDRESS(723,13))-INDIRECT(ADDRESS(718,14))+INDIRECT(ADDRESS(719,14))-INDIRECT(ADDRESS(722,14)),INDIRECT(ADDRESS(723,13))-INDIRECT(ADDRESS(718,14))+INDIRECT(ADDRESS(721,14))-INDIRECT(ADDRESS(722,14)))</f>
        <v>0</v>
      </c>
      <c r="O723">
        <f>IF(DAY(NOW())&lt;M3,INDIRECT(ADDRESS(723,14))-INDIRECT(ADDRESS(718,15))+INDIRECT(ADDRESS(719,15))-INDIRECT(ADDRESS(722,15)),INDIRECT(ADDRESS(723,14))-INDIRECT(ADDRESS(718,15))+INDIRECT(ADDRESS(721,15))-INDIRECT(ADDRESS(722,15)))</f>
        <v>0</v>
      </c>
      <c r="P723">
        <f>IF(DAY(NOW())&lt;M3,INDIRECT(ADDRESS(723,15))-INDIRECT(ADDRESS(718,16))+INDIRECT(ADDRESS(719,16))-INDIRECT(ADDRESS(722,16)),INDIRECT(ADDRESS(723,15))-INDIRECT(ADDRESS(718,16))+INDIRECT(ADDRESS(721,16))-INDIRECT(ADDRESS(722,16)))</f>
        <v>0</v>
      </c>
      <c r="Q723">
        <f>IF(DAY(NOW())&lt;M3,INDIRECT(ADDRESS(723,16))-INDIRECT(ADDRESS(718,17))+INDIRECT(ADDRESS(719,17))-INDIRECT(ADDRESS(722,17)),INDIRECT(ADDRESS(723,16))-INDIRECT(ADDRESS(718,17))+INDIRECT(ADDRESS(721,17))-INDIRECT(ADDRESS(722,17)))</f>
        <v>0</v>
      </c>
      <c r="R723">
        <f>IF(DAY(NOW())&lt;M3,INDIRECT(ADDRESS(723,17))-INDIRECT(ADDRESS(718,18))+INDIRECT(ADDRESS(719,18))-INDIRECT(ADDRESS(722,18)),INDIRECT(ADDRESS(723,17))-INDIRECT(ADDRESS(718,18))+INDIRECT(ADDRESS(721,18))-INDIRECT(ADDRESS(722,18)))</f>
        <v>0</v>
      </c>
      <c r="S723">
        <f>IF(DAY(NOW())&lt;M3,INDIRECT(ADDRESS(723,18))-INDIRECT(ADDRESS(718,19))+INDIRECT(ADDRESS(719,19))-INDIRECT(ADDRESS(722,19)),INDIRECT(ADDRESS(723,18))-INDIRECT(ADDRESS(718,19))+INDIRECT(ADDRESS(721,19))-INDIRECT(ADDRESS(722,19)))</f>
        <v>0</v>
      </c>
      <c r="T723">
        <f>IF(DAY(NOW())&lt;M3,INDIRECT(ADDRESS(723,19))-INDIRECT(ADDRESS(718,20))+INDIRECT(ADDRESS(719,20))-INDIRECT(ADDRESS(722,20)),INDIRECT(ADDRESS(723,19))-INDIRECT(ADDRESS(718,20))+INDIRECT(ADDRESS(721,20))-INDIRECT(ADDRESS(722,20)))</f>
        <v>0</v>
      </c>
      <c r="U723">
        <f>IF(DAY(NOW())&lt;M3,INDIRECT(ADDRESS(723,20))-INDIRECT(ADDRESS(718,21))+INDIRECT(ADDRESS(719,21))-INDIRECT(ADDRESS(722,21)),INDIRECT(ADDRESS(723,20))-INDIRECT(ADDRESS(718,21))+INDIRECT(ADDRESS(721,21))-INDIRECT(ADDRESS(722,21)))</f>
        <v>0</v>
      </c>
      <c r="V723">
        <f>IF(DAY(NOW())&lt;M3,INDIRECT(ADDRESS(723,21))-INDIRECT(ADDRESS(718,22))+INDIRECT(ADDRESS(719,22))-INDIRECT(ADDRESS(722,22)),INDIRECT(ADDRESS(723,21))-INDIRECT(ADDRESS(718,22))+INDIRECT(ADDRESS(721,22))-INDIRECT(ADDRESS(722,22)))</f>
        <v>0</v>
      </c>
      <c r="W723">
        <f>IF(DAY(NOW())&lt;M3,INDIRECT(ADDRESS(723,22))-INDIRECT(ADDRESS(718,23))+INDIRECT(ADDRESS(719,23))-INDIRECT(ADDRESS(722,23)),INDIRECT(ADDRESS(723,22))-INDIRECT(ADDRESS(718,23))+INDIRECT(ADDRESS(721,23))-INDIRECT(ADDRESS(722,23)))</f>
        <v>0</v>
      </c>
      <c r="X723">
        <f>IF(DAY(NOW())&lt;M3,INDIRECT(ADDRESS(723,23))-INDIRECT(ADDRESS(718,24))+INDIRECT(ADDRESS(719,24))-INDIRECT(ADDRESS(722,24)),INDIRECT(ADDRESS(723,23))-INDIRECT(ADDRESS(718,24))+INDIRECT(ADDRESS(721,24))-INDIRECT(ADDRESS(722,24)))</f>
        <v>0</v>
      </c>
      <c r="Y723">
        <f>IF(DAY(NOW())&lt;M3,INDIRECT(ADDRESS(723,24))-INDIRECT(ADDRESS(718,25))+INDIRECT(ADDRESS(719,25))-INDIRECT(ADDRESS(722,25)),INDIRECT(ADDRESS(723,24))-INDIRECT(ADDRESS(718,25))+INDIRECT(ADDRESS(721,25))-INDIRECT(ADDRESS(722,25)))</f>
        <v>0</v>
      </c>
      <c r="Z723">
        <f>IF(DAY(NOW())&lt;M3,INDIRECT(ADDRESS(723,25))-INDIRECT(ADDRESS(718,26))+INDIRECT(ADDRESS(719,26))-INDIRECT(ADDRESS(722,26)),INDIRECT(ADDRESS(723,25))-INDIRECT(ADDRESS(718,26))+INDIRECT(ADDRESS(721,26))-INDIRECT(ADDRESS(722,26)))</f>
        <v>0</v>
      </c>
      <c r="AA723">
        <f>IF(DAY(NOW())&lt;M3,INDIRECT(ADDRESS(723,26))-INDIRECT(ADDRESS(718,27))+INDIRECT(ADDRESS(719,27))-INDIRECT(ADDRESS(722,27)),INDIRECT(ADDRESS(723,26))-INDIRECT(ADDRESS(718,27))+INDIRECT(ADDRESS(721,27))-INDIRECT(ADDRESS(722,27)))</f>
        <v>0</v>
      </c>
      <c r="AB723">
        <f>IF(DAY(NOW())&lt;M3,INDIRECT(ADDRESS(723,27))-INDIRECT(ADDRESS(718,28))+INDIRECT(ADDRESS(719,28))-INDIRECT(ADDRESS(722,28)),INDIRECT(ADDRESS(723,27))-INDIRECT(ADDRESS(718,28))+INDIRECT(ADDRESS(721,28))-INDIRECT(ADDRESS(722,28)))</f>
        <v>0</v>
      </c>
      <c r="AC723">
        <f>IF(DAY(NOW())&lt;M3,INDIRECT(ADDRESS(723,28))-INDIRECT(ADDRESS(718,29))+INDIRECT(ADDRESS(719,29))-INDIRECT(ADDRESS(722,29)),INDIRECT(ADDRESS(723,28))-INDIRECT(ADDRESS(718,29))+INDIRECT(ADDRESS(721,29))-INDIRECT(ADDRESS(722,29)))</f>
        <v>0</v>
      </c>
      <c r="AD723">
        <f>IF(DAY(NOW())&lt;M3,INDIRECT(ADDRESS(723,29))-INDIRECT(ADDRESS(718,30))+INDIRECT(ADDRESS(719,30))-INDIRECT(ADDRESS(722,30)),INDIRECT(ADDRESS(723,29))-INDIRECT(ADDRESS(718,30))+INDIRECT(ADDRESS(721,30))-INDIRECT(ADDRESS(722,30)))</f>
        <v>0</v>
      </c>
      <c r="AE723">
        <f>IF(DAY(NOW())&lt;M3,INDIRECT(ADDRESS(723,30))-INDIRECT(ADDRESS(718,31))+INDIRECT(ADDRESS(719,31))-INDIRECT(ADDRESS(722,31)),INDIRECT(ADDRESS(723,30))-INDIRECT(ADDRESS(718,31))+INDIRECT(ADDRESS(721,31))-INDIRECT(ADDRESS(722,31)))</f>
        <v>0</v>
      </c>
      <c r="AF723">
        <f>IF(DAY(NOW())&lt;M3,INDIRECT(ADDRESS(723,31))-INDIRECT(ADDRESS(718,32))+INDIRECT(ADDRESS(719,32))-INDIRECT(ADDRESS(722,32)),INDIRECT(ADDRESS(723,31))-INDIRECT(ADDRESS(718,32))+INDIRECT(ADDRESS(721,32))-INDIRECT(ADDRESS(722,32)))</f>
        <v>0</v>
      </c>
      <c r="AG723">
        <f>IF(DAY(NOW())&lt;M3,INDIRECT(ADDRESS(723,32))-INDIRECT(ADDRESS(718,33))+INDIRECT(ADDRESS(719,33))-INDIRECT(ADDRESS(722,33)),INDIRECT(ADDRESS(723,32))-INDIRECT(ADDRESS(718,33))+INDIRECT(ADDRESS(721,33))-INDIRECT(ADDRESS(722,33)))</f>
        <v>0</v>
      </c>
      <c r="AH723">
        <f>IF(DAY(NOW())&lt;M3,INDIRECT(ADDRESS(723,33))-INDIRECT(ADDRESS(718,34))+INDIRECT(ADDRESS(719,34))-INDIRECT(ADDRESS(722,34)),INDIRECT(ADDRESS(723,33))-INDIRECT(ADDRESS(718,34))+INDIRECT(ADDRESS(721,34))-INDIRECT(ADDRESS(722,34)))</f>
        <v>0</v>
      </c>
      <c r="AI723">
        <f>IF(DAY(NOW())&lt;M3,INDIRECT(ADDRESS(723,34))-INDIRECT(ADDRESS(718,35))+INDIRECT(ADDRESS(719,35))-INDIRECT(ADDRESS(722,35)),INDIRECT(ADDRESS(723,34))-INDIRECT(ADDRESS(718,35))+INDIRECT(ADDRESS(721,35))-INDIRECT(ADDRESS(722,35)))</f>
        <v>0</v>
      </c>
      <c r="AJ723">
        <f>IF(DAY(NOW())&lt;M3,INDIRECT(ADDRESS(723,35))-INDIRECT(ADDRESS(718,36))+INDIRECT(ADDRESS(719,36))-INDIRECT(ADDRESS(722,36)),INDIRECT(ADDRESS(723,35))-INDIRECT(ADDRESS(718,36))+INDIRECT(ADDRESS(721,36))-INDIRECT(ADDRESS(722,36)))</f>
        <v>0</v>
      </c>
      <c r="AK723">
        <f>IF(DAY(NOW())&lt;M3,INDIRECT(ADDRESS(723,36))-INDIRECT(ADDRESS(718,37))+INDIRECT(ADDRESS(719,37))-INDIRECT(ADDRESS(722,37)),INDIRECT(ADDRESS(723,36))-INDIRECT(ADDRESS(718,37))+INDIRECT(ADDRESS(721,37))-INDIRECT(ADDRESS(722,37)))</f>
        <v>0</v>
      </c>
      <c r="AL723">
        <f>IF(DAY(NOW())&lt;M3,INDIRECT(ADDRESS(723,37))-INDIRECT(ADDRESS(718,38))+INDIRECT(ADDRESS(719,38))-INDIRECT(ADDRESS(722,38)),INDIRECT(ADDRESS(723,37))-INDIRECT(ADDRESS(718,38))+INDIRECT(ADDRESS(721,38))-INDIRECT(ADDRESS(722,38)))</f>
        <v>0</v>
      </c>
      <c r="AM723">
        <f>IF(DAY(NOW())&lt;M3,INDIRECT(ADDRESS(723,38))-INDIRECT(ADDRESS(718,39))+INDIRECT(ADDRESS(719,39))-INDIRECT(ADDRESS(722,39)),INDIRECT(ADDRESS(723,38))-INDIRECT(ADDRESS(718,39))+INDIRECT(ADDRESS(721,39))-INDIRECT(ADDRESS(722,39)))</f>
        <v>0</v>
      </c>
      <c r="AN723">
        <f>IF(DAY(NOW())&lt;M3,INDIRECT(ADDRESS(723,39))-INDIRECT(ADDRESS(718,40))+INDIRECT(ADDRESS(719,40))-INDIRECT(ADDRESS(722,40)),INDIRECT(ADDRESS(723,39))-INDIRECT(ADDRESS(718,40))+INDIRECT(ADDRESS(721,40))-INDIRECT(ADDRESS(722,40)))</f>
        <v>0</v>
      </c>
      <c r="AO723">
        <f>IF(DAY(NOW())&lt;M3,INDIRECT(ADDRESS(723,40))-INDIRECT(ADDRESS(718,41))+INDIRECT(ADDRESS(719,41))-INDIRECT(ADDRESS(722,41)),INDIRECT(ADDRESS(723,40))-INDIRECT(ADDRESS(718,41))+INDIRECT(ADDRESS(721,41))-INDIRECT(ADDRESS(722,41)))</f>
        <v>0</v>
      </c>
      <c r="AP723">
        <f>IF(DAY(NOW())&lt;M3,INDIRECT(ADDRESS(723,41))-INDIRECT(ADDRESS(718,42))+INDIRECT(ADDRESS(719,42))-INDIRECT(ADDRESS(722,42)),INDIRECT(ADDRESS(723,41))-INDIRECT(ADDRESS(718,42))+INDIRECT(ADDRESS(721,42))-INDIRECT(ADDRESS(722,42)))</f>
        <v>0</v>
      </c>
      <c r="AQ723">
        <f>IF(DAY(NOW())&lt;M3,INDIRECT(ADDRESS(723,42))-INDIRECT(ADDRESS(718,43))+INDIRECT(ADDRESS(719,43))-INDIRECT(ADDRESS(722,43)),INDIRECT(ADDRESS(723,42))-INDIRECT(ADDRESS(718,43))+INDIRECT(ADDRESS(721,43))-INDIRECT(ADDRESS(722,43)))</f>
        <v>0</v>
      </c>
      <c r="AR723">
        <f>IF(DAY(NOW())&lt;M3,INDIRECT(ADDRESS(723,43))-INDIRECT(ADDRESS(718,44))+INDIRECT(ADDRESS(719,44))-INDIRECT(ADDRESS(722,44)),INDIRECT(ADDRESS(723,43))-INDIRECT(ADDRESS(718,44))+INDIRECT(ADDRESS(721,44))-INDIRECT(ADDRESS(722,44)))</f>
        <v>0</v>
      </c>
    </row>
    <row r="724" spans="1:76">
      <c r="A724" t="s">
        <v>31</v>
      </c>
      <c r="B724" t="s">
        <v>367</v>
      </c>
      <c r="C724" t="s">
        <v>368</v>
      </c>
      <c r="D724" t="s">
        <v>256</v>
      </c>
      <c r="E724">
        <v>3</v>
      </c>
      <c r="F724" t="s">
        <v>369</v>
      </c>
      <c r="K724" t="s">
        <v>308</v>
      </c>
      <c r="L724" t="s">
        <v>21</v>
      </c>
      <c r="M724">
        <f>sumifs(BOM!m:m,BOM!A:A,".1",BOM!B:B,"232-008400-000")</f>
        <v>0</v>
      </c>
      <c r="N724">
        <f>sumifs(BOM!n:n,BOM!A:A,".1",BOM!B:B,"232-008400-000")</f>
        <v>0</v>
      </c>
      <c r="O724">
        <f>sumifs(BOM!o:o,BOM!A:A,".1",BOM!B:B,"232-008400-000")</f>
        <v>0</v>
      </c>
      <c r="P724">
        <f>sumifs(BOM!p:p,BOM!A:A,".1",BOM!B:B,"232-008400-000")</f>
        <v>0</v>
      </c>
      <c r="Q724">
        <f>sumifs(BOM!q:q,BOM!A:A,".1",BOM!B:B,"232-008400-000")</f>
        <v>0</v>
      </c>
      <c r="R724">
        <f>sumifs(BOM!r:r,BOM!A:A,".1",BOM!B:B,"232-008400-000")</f>
        <v>0</v>
      </c>
      <c r="S724">
        <f>sumifs(BOM!s:s,BOM!A:A,".1",BOM!B:B,"232-008400-000")</f>
        <v>0</v>
      </c>
      <c r="T724">
        <f>sumifs(BOM!t:t,BOM!A:A,".1",BOM!B:B,"232-008400-000")</f>
        <v>0</v>
      </c>
      <c r="U724">
        <f>sumifs(BOM!u:u,BOM!A:A,".1",BOM!B:B,"232-008400-000")</f>
        <v>0</v>
      </c>
      <c r="V724">
        <f>sumifs(BOM!v:v,BOM!A:A,".1",BOM!B:B,"232-008400-000")</f>
        <v>0</v>
      </c>
      <c r="W724">
        <f>sumifs(BOM!w:w,BOM!A:A,".1",BOM!B:B,"232-008400-000")</f>
        <v>0</v>
      </c>
      <c r="X724">
        <f>sumifs(BOM!x:x,BOM!A:A,".1",BOM!B:B,"232-008400-000")</f>
        <v>0</v>
      </c>
      <c r="Y724">
        <f>sumifs(BOM!y:y,BOM!A:A,".1",BOM!B:B,"232-008400-000")</f>
        <v>0</v>
      </c>
      <c r="Z724">
        <f>sumifs(BOM!z:z,BOM!A:A,".1",BOM!B:B,"232-008400-000")</f>
        <v>0</v>
      </c>
      <c r="AA724">
        <f>sumifs(BOM!aa:aa,BOM!A:A,".1",BOM!B:B,"232-008400-000")</f>
        <v>0</v>
      </c>
      <c r="AB724">
        <f>sumifs(BOM!ab:ab,BOM!A:A,".1",BOM!B:B,"232-008400-000")</f>
        <v>0</v>
      </c>
      <c r="AC724">
        <f>sumifs(BOM!ac:ac,BOM!A:A,".1",BOM!B:B,"232-008400-000")</f>
        <v>0</v>
      </c>
      <c r="AD724">
        <f>sumifs(BOM!ad:ad,BOM!A:A,".1",BOM!B:B,"232-008400-000")</f>
        <v>0</v>
      </c>
      <c r="AE724">
        <f>sumifs(BOM!ae:ae,BOM!A:A,".1",BOM!B:B,"232-008400-000")</f>
        <v>0</v>
      </c>
      <c r="AF724">
        <f>sumifs(BOM!af:af,BOM!A:A,".1",BOM!B:B,"232-008400-000")</f>
        <v>0</v>
      </c>
      <c r="AG724">
        <f>sumifs(BOM!ag:ag,BOM!A:A,".1",BOM!B:B,"232-008400-000")</f>
        <v>0</v>
      </c>
      <c r="AH724">
        <f>sumifs(BOM!ah:ah,BOM!A:A,".1",BOM!B:B,"232-008400-000")</f>
        <v>0</v>
      </c>
      <c r="AI724">
        <f>sumifs(BOM!ai:ai,BOM!A:A,".1",BOM!B:B,"232-008400-000")</f>
        <v>0</v>
      </c>
      <c r="AJ724">
        <f>sumifs(BOM!aj:aj,BOM!A:A,".1",BOM!B:B,"232-008400-000")</f>
        <v>0</v>
      </c>
      <c r="AK724">
        <f>sumifs(BOM!ak:ak,BOM!A:A,".1",BOM!B:B,"232-008400-000")</f>
        <v>0</v>
      </c>
      <c r="AL724">
        <f>sumifs(BOM!al:al,BOM!A:A,".1",BOM!B:B,"232-008400-000")</f>
        <v>0</v>
      </c>
      <c r="AM724">
        <f>sumifs(BOM!am:am,BOM!A:A,".1",BOM!B:B,"232-008400-000")</f>
        <v>0</v>
      </c>
      <c r="AN724">
        <f>sumifs(BOM!an:an,BOM!A:A,".1",BOM!B:B,"232-008400-000")</f>
        <v>0</v>
      </c>
      <c r="AO724">
        <f>sumifs(BOM!ao:ao,BOM!A:A,".1",BOM!B:B,"232-008400-000")</f>
        <v>0</v>
      </c>
      <c r="AP724">
        <f>sumifs(BOM!ap:ap,BOM!A:A,".1",BOM!B:B,"232-008400-000")</f>
        <v>0</v>
      </c>
      <c r="AQ724">
        <f>sumifs(BOM!aq:aq,BOM!A:A,".1",BOM!B:B,"232-008400-000")</f>
        <v>0</v>
      </c>
      <c r="AR724">
        <f>sumifs(BOM!ar:ar,BOM!A:A,".1",BOM!B:B,"232-008400-000")</f>
        <v>0</v>
      </c>
      <c r="BX724">
        <f>sum(j724:an724)</f>
        <v>0</v>
      </c>
    </row>
    <row r="725" spans="1:76">
      <c r="A725" t="s">
        <v>31</v>
      </c>
      <c r="B725" t="s">
        <v>367</v>
      </c>
      <c r="C725" t="s">
        <v>368</v>
      </c>
      <c r="D725" t="s">
        <v>256</v>
      </c>
      <c r="E725">
        <v>3</v>
      </c>
      <c r="F725" t="s">
        <v>369</v>
      </c>
      <c r="K725" t="s">
        <v>308</v>
      </c>
      <c r="L725" t="s">
        <v>37</v>
      </c>
    </row>
    <row r="726" spans="1:76">
      <c r="L726" t="s">
        <v>662</v>
      </c>
    </row>
    <row r="727" spans="1:76">
      <c r="L727" t="s">
        <v>663</v>
      </c>
    </row>
    <row r="728" spans="1:76">
      <c r="L728" t="s">
        <v>664</v>
      </c>
    </row>
    <row r="729" spans="1:76">
      <c r="L729" t="s">
        <v>665</v>
      </c>
      <c r="M729">
        <f>IF(DAY(NOW())&lt;M3,INDIRECT(ADDRESS(729,7))-INDIRECT(ADDRESS(724,13))+INDIRECT(ADDRESS(725,13))-INDIRECT(ADDRESS(728,13)),INDIRECT(ADDRESS(729,7))-INDIRECT(ADDRESS(724,13))+INDIRECT(ADDRESS(727,13))-INDIRECT(ADDRESS(728,13)))</f>
        <v>0</v>
      </c>
      <c r="N729">
        <f>IF(DAY(NOW())&lt;M3,INDIRECT(ADDRESS(729,13))-INDIRECT(ADDRESS(724,14))+INDIRECT(ADDRESS(725,14))-INDIRECT(ADDRESS(728,14)),INDIRECT(ADDRESS(729,13))-INDIRECT(ADDRESS(724,14))+INDIRECT(ADDRESS(727,14))-INDIRECT(ADDRESS(728,14)))</f>
        <v>0</v>
      </c>
      <c r="O729">
        <f>IF(DAY(NOW())&lt;M3,INDIRECT(ADDRESS(729,14))-INDIRECT(ADDRESS(724,15))+INDIRECT(ADDRESS(725,15))-INDIRECT(ADDRESS(728,15)),INDIRECT(ADDRESS(729,14))-INDIRECT(ADDRESS(724,15))+INDIRECT(ADDRESS(727,15))-INDIRECT(ADDRESS(728,15)))</f>
        <v>0</v>
      </c>
      <c r="P729">
        <f>IF(DAY(NOW())&lt;M3,INDIRECT(ADDRESS(729,15))-INDIRECT(ADDRESS(724,16))+INDIRECT(ADDRESS(725,16))-INDIRECT(ADDRESS(728,16)),INDIRECT(ADDRESS(729,15))-INDIRECT(ADDRESS(724,16))+INDIRECT(ADDRESS(727,16))-INDIRECT(ADDRESS(728,16)))</f>
        <v>0</v>
      </c>
      <c r="Q729">
        <f>IF(DAY(NOW())&lt;M3,INDIRECT(ADDRESS(729,16))-INDIRECT(ADDRESS(724,17))+INDIRECT(ADDRESS(725,17))-INDIRECT(ADDRESS(728,17)),INDIRECT(ADDRESS(729,16))-INDIRECT(ADDRESS(724,17))+INDIRECT(ADDRESS(727,17))-INDIRECT(ADDRESS(728,17)))</f>
        <v>0</v>
      </c>
      <c r="R729">
        <f>IF(DAY(NOW())&lt;M3,INDIRECT(ADDRESS(729,17))-INDIRECT(ADDRESS(724,18))+INDIRECT(ADDRESS(725,18))-INDIRECT(ADDRESS(728,18)),INDIRECT(ADDRESS(729,17))-INDIRECT(ADDRESS(724,18))+INDIRECT(ADDRESS(727,18))-INDIRECT(ADDRESS(728,18)))</f>
        <v>0</v>
      </c>
      <c r="S729">
        <f>IF(DAY(NOW())&lt;M3,INDIRECT(ADDRESS(729,18))-INDIRECT(ADDRESS(724,19))+INDIRECT(ADDRESS(725,19))-INDIRECT(ADDRESS(728,19)),INDIRECT(ADDRESS(729,18))-INDIRECT(ADDRESS(724,19))+INDIRECT(ADDRESS(727,19))-INDIRECT(ADDRESS(728,19)))</f>
        <v>0</v>
      </c>
      <c r="T729">
        <f>IF(DAY(NOW())&lt;M3,INDIRECT(ADDRESS(729,19))-INDIRECT(ADDRESS(724,20))+INDIRECT(ADDRESS(725,20))-INDIRECT(ADDRESS(728,20)),INDIRECT(ADDRESS(729,19))-INDIRECT(ADDRESS(724,20))+INDIRECT(ADDRESS(727,20))-INDIRECT(ADDRESS(728,20)))</f>
        <v>0</v>
      </c>
      <c r="U729">
        <f>IF(DAY(NOW())&lt;M3,INDIRECT(ADDRESS(729,20))-INDIRECT(ADDRESS(724,21))+INDIRECT(ADDRESS(725,21))-INDIRECT(ADDRESS(728,21)),INDIRECT(ADDRESS(729,20))-INDIRECT(ADDRESS(724,21))+INDIRECT(ADDRESS(727,21))-INDIRECT(ADDRESS(728,21)))</f>
        <v>0</v>
      </c>
      <c r="V729">
        <f>IF(DAY(NOW())&lt;M3,INDIRECT(ADDRESS(729,21))-INDIRECT(ADDRESS(724,22))+INDIRECT(ADDRESS(725,22))-INDIRECT(ADDRESS(728,22)),INDIRECT(ADDRESS(729,21))-INDIRECT(ADDRESS(724,22))+INDIRECT(ADDRESS(727,22))-INDIRECT(ADDRESS(728,22)))</f>
        <v>0</v>
      </c>
      <c r="W729">
        <f>IF(DAY(NOW())&lt;M3,INDIRECT(ADDRESS(729,22))-INDIRECT(ADDRESS(724,23))+INDIRECT(ADDRESS(725,23))-INDIRECT(ADDRESS(728,23)),INDIRECT(ADDRESS(729,22))-INDIRECT(ADDRESS(724,23))+INDIRECT(ADDRESS(727,23))-INDIRECT(ADDRESS(728,23)))</f>
        <v>0</v>
      </c>
      <c r="X729">
        <f>IF(DAY(NOW())&lt;M3,INDIRECT(ADDRESS(729,23))-INDIRECT(ADDRESS(724,24))+INDIRECT(ADDRESS(725,24))-INDIRECT(ADDRESS(728,24)),INDIRECT(ADDRESS(729,23))-INDIRECT(ADDRESS(724,24))+INDIRECT(ADDRESS(727,24))-INDIRECT(ADDRESS(728,24)))</f>
        <v>0</v>
      </c>
      <c r="Y729">
        <f>IF(DAY(NOW())&lt;M3,INDIRECT(ADDRESS(729,24))-INDIRECT(ADDRESS(724,25))+INDIRECT(ADDRESS(725,25))-INDIRECT(ADDRESS(728,25)),INDIRECT(ADDRESS(729,24))-INDIRECT(ADDRESS(724,25))+INDIRECT(ADDRESS(727,25))-INDIRECT(ADDRESS(728,25)))</f>
        <v>0</v>
      </c>
      <c r="Z729">
        <f>IF(DAY(NOW())&lt;M3,INDIRECT(ADDRESS(729,25))-INDIRECT(ADDRESS(724,26))+INDIRECT(ADDRESS(725,26))-INDIRECT(ADDRESS(728,26)),INDIRECT(ADDRESS(729,25))-INDIRECT(ADDRESS(724,26))+INDIRECT(ADDRESS(727,26))-INDIRECT(ADDRESS(728,26)))</f>
        <v>0</v>
      </c>
      <c r="AA729">
        <f>IF(DAY(NOW())&lt;M3,INDIRECT(ADDRESS(729,26))-INDIRECT(ADDRESS(724,27))+INDIRECT(ADDRESS(725,27))-INDIRECT(ADDRESS(728,27)),INDIRECT(ADDRESS(729,26))-INDIRECT(ADDRESS(724,27))+INDIRECT(ADDRESS(727,27))-INDIRECT(ADDRESS(728,27)))</f>
        <v>0</v>
      </c>
      <c r="AB729">
        <f>IF(DAY(NOW())&lt;M3,INDIRECT(ADDRESS(729,27))-INDIRECT(ADDRESS(724,28))+INDIRECT(ADDRESS(725,28))-INDIRECT(ADDRESS(728,28)),INDIRECT(ADDRESS(729,27))-INDIRECT(ADDRESS(724,28))+INDIRECT(ADDRESS(727,28))-INDIRECT(ADDRESS(728,28)))</f>
        <v>0</v>
      </c>
      <c r="AC729">
        <f>IF(DAY(NOW())&lt;M3,INDIRECT(ADDRESS(729,28))-INDIRECT(ADDRESS(724,29))+INDIRECT(ADDRESS(725,29))-INDIRECT(ADDRESS(728,29)),INDIRECT(ADDRESS(729,28))-INDIRECT(ADDRESS(724,29))+INDIRECT(ADDRESS(727,29))-INDIRECT(ADDRESS(728,29)))</f>
        <v>0</v>
      </c>
      <c r="AD729">
        <f>IF(DAY(NOW())&lt;M3,INDIRECT(ADDRESS(729,29))-INDIRECT(ADDRESS(724,30))+INDIRECT(ADDRESS(725,30))-INDIRECT(ADDRESS(728,30)),INDIRECT(ADDRESS(729,29))-INDIRECT(ADDRESS(724,30))+INDIRECT(ADDRESS(727,30))-INDIRECT(ADDRESS(728,30)))</f>
        <v>0</v>
      </c>
      <c r="AE729">
        <f>IF(DAY(NOW())&lt;M3,INDIRECT(ADDRESS(729,30))-INDIRECT(ADDRESS(724,31))+INDIRECT(ADDRESS(725,31))-INDIRECT(ADDRESS(728,31)),INDIRECT(ADDRESS(729,30))-INDIRECT(ADDRESS(724,31))+INDIRECT(ADDRESS(727,31))-INDIRECT(ADDRESS(728,31)))</f>
        <v>0</v>
      </c>
      <c r="AF729">
        <f>IF(DAY(NOW())&lt;M3,INDIRECT(ADDRESS(729,31))-INDIRECT(ADDRESS(724,32))+INDIRECT(ADDRESS(725,32))-INDIRECT(ADDRESS(728,32)),INDIRECT(ADDRESS(729,31))-INDIRECT(ADDRESS(724,32))+INDIRECT(ADDRESS(727,32))-INDIRECT(ADDRESS(728,32)))</f>
        <v>0</v>
      </c>
      <c r="AG729">
        <f>IF(DAY(NOW())&lt;M3,INDIRECT(ADDRESS(729,32))-INDIRECT(ADDRESS(724,33))+INDIRECT(ADDRESS(725,33))-INDIRECT(ADDRESS(728,33)),INDIRECT(ADDRESS(729,32))-INDIRECT(ADDRESS(724,33))+INDIRECT(ADDRESS(727,33))-INDIRECT(ADDRESS(728,33)))</f>
        <v>0</v>
      </c>
      <c r="AH729">
        <f>IF(DAY(NOW())&lt;M3,INDIRECT(ADDRESS(729,33))-INDIRECT(ADDRESS(724,34))+INDIRECT(ADDRESS(725,34))-INDIRECT(ADDRESS(728,34)),INDIRECT(ADDRESS(729,33))-INDIRECT(ADDRESS(724,34))+INDIRECT(ADDRESS(727,34))-INDIRECT(ADDRESS(728,34)))</f>
        <v>0</v>
      </c>
      <c r="AI729">
        <f>IF(DAY(NOW())&lt;M3,INDIRECT(ADDRESS(729,34))-INDIRECT(ADDRESS(724,35))+INDIRECT(ADDRESS(725,35))-INDIRECT(ADDRESS(728,35)),INDIRECT(ADDRESS(729,34))-INDIRECT(ADDRESS(724,35))+INDIRECT(ADDRESS(727,35))-INDIRECT(ADDRESS(728,35)))</f>
        <v>0</v>
      </c>
      <c r="AJ729">
        <f>IF(DAY(NOW())&lt;M3,INDIRECT(ADDRESS(729,35))-INDIRECT(ADDRESS(724,36))+INDIRECT(ADDRESS(725,36))-INDIRECT(ADDRESS(728,36)),INDIRECT(ADDRESS(729,35))-INDIRECT(ADDRESS(724,36))+INDIRECT(ADDRESS(727,36))-INDIRECT(ADDRESS(728,36)))</f>
        <v>0</v>
      </c>
      <c r="AK729">
        <f>IF(DAY(NOW())&lt;M3,INDIRECT(ADDRESS(729,36))-INDIRECT(ADDRESS(724,37))+INDIRECT(ADDRESS(725,37))-INDIRECT(ADDRESS(728,37)),INDIRECT(ADDRESS(729,36))-INDIRECT(ADDRESS(724,37))+INDIRECT(ADDRESS(727,37))-INDIRECT(ADDRESS(728,37)))</f>
        <v>0</v>
      </c>
      <c r="AL729">
        <f>IF(DAY(NOW())&lt;M3,INDIRECT(ADDRESS(729,37))-INDIRECT(ADDRESS(724,38))+INDIRECT(ADDRESS(725,38))-INDIRECT(ADDRESS(728,38)),INDIRECT(ADDRESS(729,37))-INDIRECT(ADDRESS(724,38))+INDIRECT(ADDRESS(727,38))-INDIRECT(ADDRESS(728,38)))</f>
        <v>0</v>
      </c>
      <c r="AM729">
        <f>IF(DAY(NOW())&lt;M3,INDIRECT(ADDRESS(729,38))-INDIRECT(ADDRESS(724,39))+INDIRECT(ADDRESS(725,39))-INDIRECT(ADDRESS(728,39)),INDIRECT(ADDRESS(729,38))-INDIRECT(ADDRESS(724,39))+INDIRECT(ADDRESS(727,39))-INDIRECT(ADDRESS(728,39)))</f>
        <v>0</v>
      </c>
      <c r="AN729">
        <f>IF(DAY(NOW())&lt;M3,INDIRECT(ADDRESS(729,39))-INDIRECT(ADDRESS(724,40))+INDIRECT(ADDRESS(725,40))-INDIRECT(ADDRESS(728,40)),INDIRECT(ADDRESS(729,39))-INDIRECT(ADDRESS(724,40))+INDIRECT(ADDRESS(727,40))-INDIRECT(ADDRESS(728,40)))</f>
        <v>0</v>
      </c>
      <c r="AO729">
        <f>IF(DAY(NOW())&lt;M3,INDIRECT(ADDRESS(729,40))-INDIRECT(ADDRESS(724,41))+INDIRECT(ADDRESS(725,41))-INDIRECT(ADDRESS(728,41)),INDIRECT(ADDRESS(729,40))-INDIRECT(ADDRESS(724,41))+INDIRECT(ADDRESS(727,41))-INDIRECT(ADDRESS(728,41)))</f>
        <v>0</v>
      </c>
      <c r="AP729">
        <f>IF(DAY(NOW())&lt;M3,INDIRECT(ADDRESS(729,41))-INDIRECT(ADDRESS(724,42))+INDIRECT(ADDRESS(725,42))-INDIRECT(ADDRESS(728,42)),INDIRECT(ADDRESS(729,41))-INDIRECT(ADDRESS(724,42))+INDIRECT(ADDRESS(727,42))-INDIRECT(ADDRESS(728,42)))</f>
        <v>0</v>
      </c>
      <c r="AQ729">
        <f>IF(DAY(NOW())&lt;M3,INDIRECT(ADDRESS(729,42))-INDIRECT(ADDRESS(724,43))+INDIRECT(ADDRESS(725,43))-INDIRECT(ADDRESS(728,43)),INDIRECT(ADDRESS(729,42))-INDIRECT(ADDRESS(724,43))+INDIRECT(ADDRESS(727,43))-INDIRECT(ADDRESS(728,43)))</f>
        <v>0</v>
      </c>
      <c r="AR729">
        <f>IF(DAY(NOW())&lt;M3,INDIRECT(ADDRESS(729,43))-INDIRECT(ADDRESS(724,44))+INDIRECT(ADDRESS(725,44))-INDIRECT(ADDRESS(728,44)),INDIRECT(ADDRESS(729,43))-INDIRECT(ADDRESS(724,44))+INDIRECT(ADDRESS(727,44))-INDIRECT(ADDRESS(728,44)))</f>
        <v>0</v>
      </c>
    </row>
    <row r="730" spans="1:76">
      <c r="A730" t="s">
        <v>31</v>
      </c>
      <c r="B730" t="s">
        <v>370</v>
      </c>
      <c r="C730" t="s">
        <v>371</v>
      </c>
      <c r="D730" t="s">
        <v>17</v>
      </c>
      <c r="E730">
        <v>1</v>
      </c>
      <c r="F730" t="s">
        <v>372</v>
      </c>
      <c r="K730" t="s">
        <v>308</v>
      </c>
      <c r="L730" t="s">
        <v>21</v>
      </c>
      <c r="M730">
        <f>sumifs(BOM!m:m,BOM!A:A,".1",BOM!B:B,"212-036700-000")</f>
        <v>0</v>
      </c>
      <c r="N730">
        <f>sumifs(BOM!n:n,BOM!A:A,".1",BOM!B:B,"212-036700-000")</f>
        <v>0</v>
      </c>
      <c r="O730">
        <f>sumifs(BOM!o:o,BOM!A:A,".1",BOM!B:B,"212-036700-000")</f>
        <v>0</v>
      </c>
      <c r="P730">
        <f>sumifs(BOM!p:p,BOM!A:A,".1",BOM!B:B,"212-036700-000")</f>
        <v>0</v>
      </c>
      <c r="Q730">
        <f>sumifs(BOM!q:q,BOM!A:A,".1",BOM!B:B,"212-036700-000")</f>
        <v>0</v>
      </c>
      <c r="R730">
        <f>sumifs(BOM!r:r,BOM!A:A,".1",BOM!B:B,"212-036700-000")</f>
        <v>0</v>
      </c>
      <c r="S730">
        <f>sumifs(BOM!s:s,BOM!A:A,".1",BOM!B:B,"212-036700-000")</f>
        <v>0</v>
      </c>
      <c r="T730">
        <f>sumifs(BOM!t:t,BOM!A:A,".1",BOM!B:B,"212-036700-000")</f>
        <v>0</v>
      </c>
      <c r="U730">
        <f>sumifs(BOM!u:u,BOM!A:A,".1",BOM!B:B,"212-036700-000")</f>
        <v>0</v>
      </c>
      <c r="V730">
        <f>sumifs(BOM!v:v,BOM!A:A,".1",BOM!B:B,"212-036700-000")</f>
        <v>0</v>
      </c>
      <c r="W730">
        <f>sumifs(BOM!w:w,BOM!A:A,".1",BOM!B:B,"212-036700-000")</f>
        <v>0</v>
      </c>
      <c r="X730">
        <f>sumifs(BOM!x:x,BOM!A:A,".1",BOM!B:B,"212-036700-000")</f>
        <v>0</v>
      </c>
      <c r="Y730">
        <f>sumifs(BOM!y:y,BOM!A:A,".1",BOM!B:B,"212-036700-000")</f>
        <v>0</v>
      </c>
      <c r="Z730">
        <f>sumifs(BOM!z:z,BOM!A:A,".1",BOM!B:B,"212-036700-000")</f>
        <v>0</v>
      </c>
      <c r="AA730">
        <f>sumifs(BOM!aa:aa,BOM!A:A,".1",BOM!B:B,"212-036700-000")</f>
        <v>0</v>
      </c>
      <c r="AB730">
        <f>sumifs(BOM!ab:ab,BOM!A:A,".1",BOM!B:B,"212-036700-000")</f>
        <v>0</v>
      </c>
      <c r="AC730">
        <f>sumifs(BOM!ac:ac,BOM!A:A,".1",BOM!B:B,"212-036700-000")</f>
        <v>0</v>
      </c>
      <c r="AD730">
        <f>sumifs(BOM!ad:ad,BOM!A:A,".1",BOM!B:B,"212-036700-000")</f>
        <v>0</v>
      </c>
      <c r="AE730">
        <f>sumifs(BOM!ae:ae,BOM!A:A,".1",BOM!B:B,"212-036700-000")</f>
        <v>0</v>
      </c>
      <c r="AF730">
        <f>sumifs(BOM!af:af,BOM!A:A,".1",BOM!B:B,"212-036700-000")</f>
        <v>0</v>
      </c>
      <c r="AG730">
        <f>sumifs(BOM!ag:ag,BOM!A:A,".1",BOM!B:B,"212-036700-000")</f>
        <v>0</v>
      </c>
      <c r="AH730">
        <f>sumifs(BOM!ah:ah,BOM!A:A,".1",BOM!B:B,"212-036700-000")</f>
        <v>0</v>
      </c>
      <c r="AI730">
        <f>sumifs(BOM!ai:ai,BOM!A:A,".1",BOM!B:B,"212-036700-000")</f>
        <v>0</v>
      </c>
      <c r="AJ730">
        <f>sumifs(BOM!aj:aj,BOM!A:A,".1",BOM!B:B,"212-036700-000")</f>
        <v>0</v>
      </c>
      <c r="AK730">
        <f>sumifs(BOM!ak:ak,BOM!A:A,".1",BOM!B:B,"212-036700-000")</f>
        <v>0</v>
      </c>
      <c r="AL730">
        <f>sumifs(BOM!al:al,BOM!A:A,".1",BOM!B:B,"212-036700-000")</f>
        <v>0</v>
      </c>
      <c r="AM730">
        <f>sumifs(BOM!am:am,BOM!A:A,".1",BOM!B:B,"212-036700-000")</f>
        <v>0</v>
      </c>
      <c r="AN730">
        <f>sumifs(BOM!an:an,BOM!A:A,".1",BOM!B:B,"212-036700-000")</f>
        <v>0</v>
      </c>
      <c r="AO730">
        <f>sumifs(BOM!ao:ao,BOM!A:A,".1",BOM!B:B,"212-036700-000")</f>
        <v>0</v>
      </c>
      <c r="AP730">
        <f>sumifs(BOM!ap:ap,BOM!A:A,".1",BOM!B:B,"212-036700-000")</f>
        <v>0</v>
      </c>
      <c r="AQ730">
        <f>sumifs(BOM!aq:aq,BOM!A:A,".1",BOM!B:B,"212-036700-000")</f>
        <v>0</v>
      </c>
      <c r="AR730">
        <f>sumifs(BOM!ar:ar,BOM!A:A,".1",BOM!B:B,"212-036700-000")</f>
        <v>0</v>
      </c>
      <c r="BX730">
        <f>sum(j730:an730)</f>
        <v>0</v>
      </c>
    </row>
    <row r="731" spans="1:76">
      <c r="A731" t="s">
        <v>31</v>
      </c>
      <c r="B731" t="s">
        <v>370</v>
      </c>
      <c r="C731" t="s">
        <v>371</v>
      </c>
      <c r="D731" t="s">
        <v>17</v>
      </c>
      <c r="E731">
        <v>1</v>
      </c>
      <c r="F731" t="s">
        <v>372</v>
      </c>
      <c r="K731" t="s">
        <v>308</v>
      </c>
      <c r="L731" t="s">
        <v>37</v>
      </c>
    </row>
    <row r="732" spans="1:76">
      <c r="L732" t="s">
        <v>662</v>
      </c>
    </row>
    <row r="733" spans="1:76">
      <c r="L733" t="s">
        <v>663</v>
      </c>
    </row>
    <row r="734" spans="1:76">
      <c r="L734" t="s">
        <v>664</v>
      </c>
    </row>
    <row r="735" spans="1:76">
      <c r="L735" t="s">
        <v>665</v>
      </c>
      <c r="M735">
        <f>IF(DAY(NOW())&lt;M3,INDIRECT(ADDRESS(735,7))-INDIRECT(ADDRESS(730,13))+INDIRECT(ADDRESS(731,13))-INDIRECT(ADDRESS(734,13)),INDIRECT(ADDRESS(735,7))-INDIRECT(ADDRESS(730,13))+INDIRECT(ADDRESS(733,13))-INDIRECT(ADDRESS(734,13)))</f>
        <v>0</v>
      </c>
      <c r="N735">
        <f>IF(DAY(NOW())&lt;M3,INDIRECT(ADDRESS(735,13))-INDIRECT(ADDRESS(730,14))+INDIRECT(ADDRESS(731,14))-INDIRECT(ADDRESS(734,14)),INDIRECT(ADDRESS(735,13))-INDIRECT(ADDRESS(730,14))+INDIRECT(ADDRESS(733,14))-INDIRECT(ADDRESS(734,14)))</f>
        <v>0</v>
      </c>
      <c r="O735">
        <f>IF(DAY(NOW())&lt;M3,INDIRECT(ADDRESS(735,14))-INDIRECT(ADDRESS(730,15))+INDIRECT(ADDRESS(731,15))-INDIRECT(ADDRESS(734,15)),INDIRECT(ADDRESS(735,14))-INDIRECT(ADDRESS(730,15))+INDIRECT(ADDRESS(733,15))-INDIRECT(ADDRESS(734,15)))</f>
        <v>0</v>
      </c>
      <c r="P735">
        <f>IF(DAY(NOW())&lt;M3,INDIRECT(ADDRESS(735,15))-INDIRECT(ADDRESS(730,16))+INDIRECT(ADDRESS(731,16))-INDIRECT(ADDRESS(734,16)),INDIRECT(ADDRESS(735,15))-INDIRECT(ADDRESS(730,16))+INDIRECT(ADDRESS(733,16))-INDIRECT(ADDRESS(734,16)))</f>
        <v>0</v>
      </c>
      <c r="Q735">
        <f>IF(DAY(NOW())&lt;M3,INDIRECT(ADDRESS(735,16))-INDIRECT(ADDRESS(730,17))+INDIRECT(ADDRESS(731,17))-INDIRECT(ADDRESS(734,17)),INDIRECT(ADDRESS(735,16))-INDIRECT(ADDRESS(730,17))+INDIRECT(ADDRESS(733,17))-INDIRECT(ADDRESS(734,17)))</f>
        <v>0</v>
      </c>
      <c r="R735">
        <f>IF(DAY(NOW())&lt;M3,INDIRECT(ADDRESS(735,17))-INDIRECT(ADDRESS(730,18))+INDIRECT(ADDRESS(731,18))-INDIRECT(ADDRESS(734,18)),INDIRECT(ADDRESS(735,17))-INDIRECT(ADDRESS(730,18))+INDIRECT(ADDRESS(733,18))-INDIRECT(ADDRESS(734,18)))</f>
        <v>0</v>
      </c>
      <c r="S735">
        <f>IF(DAY(NOW())&lt;M3,INDIRECT(ADDRESS(735,18))-INDIRECT(ADDRESS(730,19))+INDIRECT(ADDRESS(731,19))-INDIRECT(ADDRESS(734,19)),INDIRECT(ADDRESS(735,18))-INDIRECT(ADDRESS(730,19))+INDIRECT(ADDRESS(733,19))-INDIRECT(ADDRESS(734,19)))</f>
        <v>0</v>
      </c>
      <c r="T735">
        <f>IF(DAY(NOW())&lt;M3,INDIRECT(ADDRESS(735,19))-INDIRECT(ADDRESS(730,20))+INDIRECT(ADDRESS(731,20))-INDIRECT(ADDRESS(734,20)),INDIRECT(ADDRESS(735,19))-INDIRECT(ADDRESS(730,20))+INDIRECT(ADDRESS(733,20))-INDIRECT(ADDRESS(734,20)))</f>
        <v>0</v>
      </c>
      <c r="U735">
        <f>IF(DAY(NOW())&lt;M3,INDIRECT(ADDRESS(735,20))-INDIRECT(ADDRESS(730,21))+INDIRECT(ADDRESS(731,21))-INDIRECT(ADDRESS(734,21)),INDIRECT(ADDRESS(735,20))-INDIRECT(ADDRESS(730,21))+INDIRECT(ADDRESS(733,21))-INDIRECT(ADDRESS(734,21)))</f>
        <v>0</v>
      </c>
      <c r="V735">
        <f>IF(DAY(NOW())&lt;M3,INDIRECT(ADDRESS(735,21))-INDIRECT(ADDRESS(730,22))+INDIRECT(ADDRESS(731,22))-INDIRECT(ADDRESS(734,22)),INDIRECT(ADDRESS(735,21))-INDIRECT(ADDRESS(730,22))+INDIRECT(ADDRESS(733,22))-INDIRECT(ADDRESS(734,22)))</f>
        <v>0</v>
      </c>
      <c r="W735">
        <f>IF(DAY(NOW())&lt;M3,INDIRECT(ADDRESS(735,22))-INDIRECT(ADDRESS(730,23))+INDIRECT(ADDRESS(731,23))-INDIRECT(ADDRESS(734,23)),INDIRECT(ADDRESS(735,22))-INDIRECT(ADDRESS(730,23))+INDIRECT(ADDRESS(733,23))-INDIRECT(ADDRESS(734,23)))</f>
        <v>0</v>
      </c>
      <c r="X735">
        <f>IF(DAY(NOW())&lt;M3,INDIRECT(ADDRESS(735,23))-INDIRECT(ADDRESS(730,24))+INDIRECT(ADDRESS(731,24))-INDIRECT(ADDRESS(734,24)),INDIRECT(ADDRESS(735,23))-INDIRECT(ADDRESS(730,24))+INDIRECT(ADDRESS(733,24))-INDIRECT(ADDRESS(734,24)))</f>
        <v>0</v>
      </c>
      <c r="Y735">
        <f>IF(DAY(NOW())&lt;M3,INDIRECT(ADDRESS(735,24))-INDIRECT(ADDRESS(730,25))+INDIRECT(ADDRESS(731,25))-INDIRECT(ADDRESS(734,25)),INDIRECT(ADDRESS(735,24))-INDIRECT(ADDRESS(730,25))+INDIRECT(ADDRESS(733,25))-INDIRECT(ADDRESS(734,25)))</f>
        <v>0</v>
      </c>
      <c r="Z735">
        <f>IF(DAY(NOW())&lt;M3,INDIRECT(ADDRESS(735,25))-INDIRECT(ADDRESS(730,26))+INDIRECT(ADDRESS(731,26))-INDIRECT(ADDRESS(734,26)),INDIRECT(ADDRESS(735,25))-INDIRECT(ADDRESS(730,26))+INDIRECT(ADDRESS(733,26))-INDIRECT(ADDRESS(734,26)))</f>
        <v>0</v>
      </c>
      <c r="AA735">
        <f>IF(DAY(NOW())&lt;M3,INDIRECT(ADDRESS(735,26))-INDIRECT(ADDRESS(730,27))+INDIRECT(ADDRESS(731,27))-INDIRECT(ADDRESS(734,27)),INDIRECT(ADDRESS(735,26))-INDIRECT(ADDRESS(730,27))+INDIRECT(ADDRESS(733,27))-INDIRECT(ADDRESS(734,27)))</f>
        <v>0</v>
      </c>
      <c r="AB735">
        <f>IF(DAY(NOW())&lt;M3,INDIRECT(ADDRESS(735,27))-INDIRECT(ADDRESS(730,28))+INDIRECT(ADDRESS(731,28))-INDIRECT(ADDRESS(734,28)),INDIRECT(ADDRESS(735,27))-INDIRECT(ADDRESS(730,28))+INDIRECT(ADDRESS(733,28))-INDIRECT(ADDRESS(734,28)))</f>
        <v>0</v>
      </c>
      <c r="AC735">
        <f>IF(DAY(NOW())&lt;M3,INDIRECT(ADDRESS(735,28))-INDIRECT(ADDRESS(730,29))+INDIRECT(ADDRESS(731,29))-INDIRECT(ADDRESS(734,29)),INDIRECT(ADDRESS(735,28))-INDIRECT(ADDRESS(730,29))+INDIRECT(ADDRESS(733,29))-INDIRECT(ADDRESS(734,29)))</f>
        <v>0</v>
      </c>
      <c r="AD735">
        <f>IF(DAY(NOW())&lt;M3,INDIRECT(ADDRESS(735,29))-INDIRECT(ADDRESS(730,30))+INDIRECT(ADDRESS(731,30))-INDIRECT(ADDRESS(734,30)),INDIRECT(ADDRESS(735,29))-INDIRECT(ADDRESS(730,30))+INDIRECT(ADDRESS(733,30))-INDIRECT(ADDRESS(734,30)))</f>
        <v>0</v>
      </c>
      <c r="AE735">
        <f>IF(DAY(NOW())&lt;M3,INDIRECT(ADDRESS(735,30))-INDIRECT(ADDRESS(730,31))+INDIRECT(ADDRESS(731,31))-INDIRECT(ADDRESS(734,31)),INDIRECT(ADDRESS(735,30))-INDIRECT(ADDRESS(730,31))+INDIRECT(ADDRESS(733,31))-INDIRECT(ADDRESS(734,31)))</f>
        <v>0</v>
      </c>
      <c r="AF735">
        <f>IF(DAY(NOW())&lt;M3,INDIRECT(ADDRESS(735,31))-INDIRECT(ADDRESS(730,32))+INDIRECT(ADDRESS(731,32))-INDIRECT(ADDRESS(734,32)),INDIRECT(ADDRESS(735,31))-INDIRECT(ADDRESS(730,32))+INDIRECT(ADDRESS(733,32))-INDIRECT(ADDRESS(734,32)))</f>
        <v>0</v>
      </c>
      <c r="AG735">
        <f>IF(DAY(NOW())&lt;M3,INDIRECT(ADDRESS(735,32))-INDIRECT(ADDRESS(730,33))+INDIRECT(ADDRESS(731,33))-INDIRECT(ADDRESS(734,33)),INDIRECT(ADDRESS(735,32))-INDIRECT(ADDRESS(730,33))+INDIRECT(ADDRESS(733,33))-INDIRECT(ADDRESS(734,33)))</f>
        <v>0</v>
      </c>
      <c r="AH735">
        <f>IF(DAY(NOW())&lt;M3,INDIRECT(ADDRESS(735,33))-INDIRECT(ADDRESS(730,34))+INDIRECT(ADDRESS(731,34))-INDIRECT(ADDRESS(734,34)),INDIRECT(ADDRESS(735,33))-INDIRECT(ADDRESS(730,34))+INDIRECT(ADDRESS(733,34))-INDIRECT(ADDRESS(734,34)))</f>
        <v>0</v>
      </c>
      <c r="AI735">
        <f>IF(DAY(NOW())&lt;M3,INDIRECT(ADDRESS(735,34))-INDIRECT(ADDRESS(730,35))+INDIRECT(ADDRESS(731,35))-INDIRECT(ADDRESS(734,35)),INDIRECT(ADDRESS(735,34))-INDIRECT(ADDRESS(730,35))+INDIRECT(ADDRESS(733,35))-INDIRECT(ADDRESS(734,35)))</f>
        <v>0</v>
      </c>
      <c r="AJ735">
        <f>IF(DAY(NOW())&lt;M3,INDIRECT(ADDRESS(735,35))-INDIRECT(ADDRESS(730,36))+INDIRECT(ADDRESS(731,36))-INDIRECT(ADDRESS(734,36)),INDIRECT(ADDRESS(735,35))-INDIRECT(ADDRESS(730,36))+INDIRECT(ADDRESS(733,36))-INDIRECT(ADDRESS(734,36)))</f>
        <v>0</v>
      </c>
      <c r="AK735">
        <f>IF(DAY(NOW())&lt;M3,INDIRECT(ADDRESS(735,36))-INDIRECT(ADDRESS(730,37))+INDIRECT(ADDRESS(731,37))-INDIRECT(ADDRESS(734,37)),INDIRECT(ADDRESS(735,36))-INDIRECT(ADDRESS(730,37))+INDIRECT(ADDRESS(733,37))-INDIRECT(ADDRESS(734,37)))</f>
        <v>0</v>
      </c>
      <c r="AL735">
        <f>IF(DAY(NOW())&lt;M3,INDIRECT(ADDRESS(735,37))-INDIRECT(ADDRESS(730,38))+INDIRECT(ADDRESS(731,38))-INDIRECT(ADDRESS(734,38)),INDIRECT(ADDRESS(735,37))-INDIRECT(ADDRESS(730,38))+INDIRECT(ADDRESS(733,38))-INDIRECT(ADDRESS(734,38)))</f>
        <v>0</v>
      </c>
      <c r="AM735">
        <f>IF(DAY(NOW())&lt;M3,INDIRECT(ADDRESS(735,38))-INDIRECT(ADDRESS(730,39))+INDIRECT(ADDRESS(731,39))-INDIRECT(ADDRESS(734,39)),INDIRECT(ADDRESS(735,38))-INDIRECT(ADDRESS(730,39))+INDIRECT(ADDRESS(733,39))-INDIRECT(ADDRESS(734,39)))</f>
        <v>0</v>
      </c>
      <c r="AN735">
        <f>IF(DAY(NOW())&lt;M3,INDIRECT(ADDRESS(735,39))-INDIRECT(ADDRESS(730,40))+INDIRECT(ADDRESS(731,40))-INDIRECT(ADDRESS(734,40)),INDIRECT(ADDRESS(735,39))-INDIRECT(ADDRESS(730,40))+INDIRECT(ADDRESS(733,40))-INDIRECT(ADDRESS(734,40)))</f>
        <v>0</v>
      </c>
      <c r="AO735">
        <f>IF(DAY(NOW())&lt;M3,INDIRECT(ADDRESS(735,40))-INDIRECT(ADDRESS(730,41))+INDIRECT(ADDRESS(731,41))-INDIRECT(ADDRESS(734,41)),INDIRECT(ADDRESS(735,40))-INDIRECT(ADDRESS(730,41))+INDIRECT(ADDRESS(733,41))-INDIRECT(ADDRESS(734,41)))</f>
        <v>0</v>
      </c>
      <c r="AP735">
        <f>IF(DAY(NOW())&lt;M3,INDIRECT(ADDRESS(735,41))-INDIRECT(ADDRESS(730,42))+INDIRECT(ADDRESS(731,42))-INDIRECT(ADDRESS(734,42)),INDIRECT(ADDRESS(735,41))-INDIRECT(ADDRESS(730,42))+INDIRECT(ADDRESS(733,42))-INDIRECT(ADDRESS(734,42)))</f>
        <v>0</v>
      </c>
      <c r="AQ735">
        <f>IF(DAY(NOW())&lt;M3,INDIRECT(ADDRESS(735,42))-INDIRECT(ADDRESS(730,43))+INDIRECT(ADDRESS(731,43))-INDIRECT(ADDRESS(734,43)),INDIRECT(ADDRESS(735,42))-INDIRECT(ADDRESS(730,43))+INDIRECT(ADDRESS(733,43))-INDIRECT(ADDRESS(734,43)))</f>
        <v>0</v>
      </c>
      <c r="AR735">
        <f>IF(DAY(NOW())&lt;M3,INDIRECT(ADDRESS(735,43))-INDIRECT(ADDRESS(730,44))+INDIRECT(ADDRESS(731,44))-INDIRECT(ADDRESS(734,44)),INDIRECT(ADDRESS(735,43))-INDIRECT(ADDRESS(730,44))+INDIRECT(ADDRESS(733,44))-INDIRECT(ADDRESS(734,44)))</f>
        <v>0</v>
      </c>
    </row>
    <row r="736" spans="1:76">
      <c r="A736" t="s">
        <v>14</v>
      </c>
      <c r="B736" t="s">
        <v>127</v>
      </c>
      <c r="C736" t="s">
        <v>128</v>
      </c>
      <c r="D736" t="s">
        <v>256</v>
      </c>
      <c r="E736">
        <v>1</v>
      </c>
      <c r="F736" t="s">
        <v>129</v>
      </c>
      <c r="K736" t="s">
        <v>305</v>
      </c>
      <c r="L736" t="s">
        <v>21</v>
      </c>
      <c r="BX736">
        <f>sum(j736:an736)</f>
        <v>0</v>
      </c>
    </row>
    <row r="737" spans="1:76">
      <c r="A737" t="s">
        <v>14</v>
      </c>
      <c r="B737" t="s">
        <v>127</v>
      </c>
      <c r="C737" t="s">
        <v>128</v>
      </c>
      <c r="D737" t="s">
        <v>256</v>
      </c>
      <c r="E737">
        <v>1</v>
      </c>
      <c r="F737" t="s">
        <v>129</v>
      </c>
      <c r="K737" t="s">
        <v>305</v>
      </c>
      <c r="L737" t="s">
        <v>37</v>
      </c>
    </row>
    <row r="738" spans="1:76">
      <c r="L738" t="s">
        <v>662</v>
      </c>
    </row>
    <row r="739" spans="1:76">
      <c r="L739" t="s">
        <v>663</v>
      </c>
    </row>
    <row r="740" spans="1:76">
      <c r="L740" t="s">
        <v>664</v>
      </c>
    </row>
    <row r="741" spans="1:76">
      <c r="L741" t="s">
        <v>665</v>
      </c>
      <c r="M741">
        <f>IF(DAY(NOW())&lt;M3,INDIRECT(ADDRESS(741,7))-INDIRECT(ADDRESS(736,13))+INDIRECT(ADDRESS(737,13))-INDIRECT(ADDRESS(740,13)),INDIRECT(ADDRESS(741,7))-INDIRECT(ADDRESS(736,13))+INDIRECT(ADDRESS(739,13))-INDIRECT(ADDRESS(740,13)))</f>
        <v>0</v>
      </c>
      <c r="N741">
        <f>IF(DAY(NOW())&lt;M3,INDIRECT(ADDRESS(741,13))-INDIRECT(ADDRESS(736,14))+INDIRECT(ADDRESS(737,14))-INDIRECT(ADDRESS(740,14)),INDIRECT(ADDRESS(741,13))-INDIRECT(ADDRESS(736,14))+INDIRECT(ADDRESS(739,14))-INDIRECT(ADDRESS(740,14)))</f>
        <v>0</v>
      </c>
      <c r="O741">
        <f>IF(DAY(NOW())&lt;M3,INDIRECT(ADDRESS(741,14))-INDIRECT(ADDRESS(736,15))+INDIRECT(ADDRESS(737,15))-INDIRECT(ADDRESS(740,15)),INDIRECT(ADDRESS(741,14))-INDIRECT(ADDRESS(736,15))+INDIRECT(ADDRESS(739,15))-INDIRECT(ADDRESS(740,15)))</f>
        <v>0</v>
      </c>
      <c r="P741">
        <f>IF(DAY(NOW())&lt;M3,INDIRECT(ADDRESS(741,15))-INDIRECT(ADDRESS(736,16))+INDIRECT(ADDRESS(737,16))-INDIRECT(ADDRESS(740,16)),INDIRECT(ADDRESS(741,15))-INDIRECT(ADDRESS(736,16))+INDIRECT(ADDRESS(739,16))-INDIRECT(ADDRESS(740,16)))</f>
        <v>0</v>
      </c>
      <c r="Q741">
        <f>IF(DAY(NOW())&lt;M3,INDIRECT(ADDRESS(741,16))-INDIRECT(ADDRESS(736,17))+INDIRECT(ADDRESS(737,17))-INDIRECT(ADDRESS(740,17)),INDIRECT(ADDRESS(741,16))-INDIRECT(ADDRESS(736,17))+INDIRECT(ADDRESS(739,17))-INDIRECT(ADDRESS(740,17)))</f>
        <v>0</v>
      </c>
      <c r="R741">
        <f>IF(DAY(NOW())&lt;M3,INDIRECT(ADDRESS(741,17))-INDIRECT(ADDRESS(736,18))+INDIRECT(ADDRESS(737,18))-INDIRECT(ADDRESS(740,18)),INDIRECT(ADDRESS(741,17))-INDIRECT(ADDRESS(736,18))+INDIRECT(ADDRESS(739,18))-INDIRECT(ADDRESS(740,18)))</f>
        <v>0</v>
      </c>
      <c r="S741">
        <f>IF(DAY(NOW())&lt;M3,INDIRECT(ADDRESS(741,18))-INDIRECT(ADDRESS(736,19))+INDIRECT(ADDRESS(737,19))-INDIRECT(ADDRESS(740,19)),INDIRECT(ADDRESS(741,18))-INDIRECT(ADDRESS(736,19))+INDIRECT(ADDRESS(739,19))-INDIRECT(ADDRESS(740,19)))</f>
        <v>0</v>
      </c>
      <c r="T741">
        <f>IF(DAY(NOW())&lt;M3,INDIRECT(ADDRESS(741,19))-INDIRECT(ADDRESS(736,20))+INDIRECT(ADDRESS(737,20))-INDIRECT(ADDRESS(740,20)),INDIRECT(ADDRESS(741,19))-INDIRECT(ADDRESS(736,20))+INDIRECT(ADDRESS(739,20))-INDIRECT(ADDRESS(740,20)))</f>
        <v>0</v>
      </c>
      <c r="U741">
        <f>IF(DAY(NOW())&lt;M3,INDIRECT(ADDRESS(741,20))-INDIRECT(ADDRESS(736,21))+INDIRECT(ADDRESS(737,21))-INDIRECT(ADDRESS(740,21)),INDIRECT(ADDRESS(741,20))-INDIRECT(ADDRESS(736,21))+INDIRECT(ADDRESS(739,21))-INDIRECT(ADDRESS(740,21)))</f>
        <v>0</v>
      </c>
      <c r="V741">
        <f>IF(DAY(NOW())&lt;M3,INDIRECT(ADDRESS(741,21))-INDIRECT(ADDRESS(736,22))+INDIRECT(ADDRESS(737,22))-INDIRECT(ADDRESS(740,22)),INDIRECT(ADDRESS(741,21))-INDIRECT(ADDRESS(736,22))+INDIRECT(ADDRESS(739,22))-INDIRECT(ADDRESS(740,22)))</f>
        <v>0</v>
      </c>
      <c r="W741">
        <f>IF(DAY(NOW())&lt;M3,INDIRECT(ADDRESS(741,22))-INDIRECT(ADDRESS(736,23))+INDIRECT(ADDRESS(737,23))-INDIRECT(ADDRESS(740,23)),INDIRECT(ADDRESS(741,22))-INDIRECT(ADDRESS(736,23))+INDIRECT(ADDRESS(739,23))-INDIRECT(ADDRESS(740,23)))</f>
        <v>0</v>
      </c>
      <c r="X741">
        <f>IF(DAY(NOW())&lt;M3,INDIRECT(ADDRESS(741,23))-INDIRECT(ADDRESS(736,24))+INDIRECT(ADDRESS(737,24))-INDIRECT(ADDRESS(740,24)),INDIRECT(ADDRESS(741,23))-INDIRECT(ADDRESS(736,24))+INDIRECT(ADDRESS(739,24))-INDIRECT(ADDRESS(740,24)))</f>
        <v>0</v>
      </c>
      <c r="Y741">
        <f>IF(DAY(NOW())&lt;M3,INDIRECT(ADDRESS(741,24))-INDIRECT(ADDRESS(736,25))+INDIRECT(ADDRESS(737,25))-INDIRECT(ADDRESS(740,25)),INDIRECT(ADDRESS(741,24))-INDIRECT(ADDRESS(736,25))+INDIRECT(ADDRESS(739,25))-INDIRECT(ADDRESS(740,25)))</f>
        <v>0</v>
      </c>
      <c r="Z741">
        <f>IF(DAY(NOW())&lt;M3,INDIRECT(ADDRESS(741,25))-INDIRECT(ADDRESS(736,26))+INDIRECT(ADDRESS(737,26))-INDIRECT(ADDRESS(740,26)),INDIRECT(ADDRESS(741,25))-INDIRECT(ADDRESS(736,26))+INDIRECT(ADDRESS(739,26))-INDIRECT(ADDRESS(740,26)))</f>
        <v>0</v>
      </c>
      <c r="AA741">
        <f>IF(DAY(NOW())&lt;M3,INDIRECT(ADDRESS(741,26))-INDIRECT(ADDRESS(736,27))+INDIRECT(ADDRESS(737,27))-INDIRECT(ADDRESS(740,27)),INDIRECT(ADDRESS(741,26))-INDIRECT(ADDRESS(736,27))+INDIRECT(ADDRESS(739,27))-INDIRECT(ADDRESS(740,27)))</f>
        <v>0</v>
      </c>
      <c r="AB741">
        <f>IF(DAY(NOW())&lt;M3,INDIRECT(ADDRESS(741,27))-INDIRECT(ADDRESS(736,28))+INDIRECT(ADDRESS(737,28))-INDIRECT(ADDRESS(740,28)),INDIRECT(ADDRESS(741,27))-INDIRECT(ADDRESS(736,28))+INDIRECT(ADDRESS(739,28))-INDIRECT(ADDRESS(740,28)))</f>
        <v>0</v>
      </c>
      <c r="AC741">
        <f>IF(DAY(NOW())&lt;M3,INDIRECT(ADDRESS(741,28))-INDIRECT(ADDRESS(736,29))+INDIRECT(ADDRESS(737,29))-INDIRECT(ADDRESS(740,29)),INDIRECT(ADDRESS(741,28))-INDIRECT(ADDRESS(736,29))+INDIRECT(ADDRESS(739,29))-INDIRECT(ADDRESS(740,29)))</f>
        <v>0</v>
      </c>
      <c r="AD741">
        <f>IF(DAY(NOW())&lt;M3,INDIRECT(ADDRESS(741,29))-INDIRECT(ADDRESS(736,30))+INDIRECT(ADDRESS(737,30))-INDIRECT(ADDRESS(740,30)),INDIRECT(ADDRESS(741,29))-INDIRECT(ADDRESS(736,30))+INDIRECT(ADDRESS(739,30))-INDIRECT(ADDRESS(740,30)))</f>
        <v>0</v>
      </c>
      <c r="AE741">
        <f>IF(DAY(NOW())&lt;M3,INDIRECT(ADDRESS(741,30))-INDIRECT(ADDRESS(736,31))+INDIRECT(ADDRESS(737,31))-INDIRECT(ADDRESS(740,31)),INDIRECT(ADDRESS(741,30))-INDIRECT(ADDRESS(736,31))+INDIRECT(ADDRESS(739,31))-INDIRECT(ADDRESS(740,31)))</f>
        <v>0</v>
      </c>
      <c r="AF741">
        <f>IF(DAY(NOW())&lt;M3,INDIRECT(ADDRESS(741,31))-INDIRECT(ADDRESS(736,32))+INDIRECT(ADDRESS(737,32))-INDIRECT(ADDRESS(740,32)),INDIRECT(ADDRESS(741,31))-INDIRECT(ADDRESS(736,32))+INDIRECT(ADDRESS(739,32))-INDIRECT(ADDRESS(740,32)))</f>
        <v>0</v>
      </c>
      <c r="AG741">
        <f>IF(DAY(NOW())&lt;M3,INDIRECT(ADDRESS(741,32))-INDIRECT(ADDRESS(736,33))+INDIRECT(ADDRESS(737,33))-INDIRECT(ADDRESS(740,33)),INDIRECT(ADDRESS(741,32))-INDIRECT(ADDRESS(736,33))+INDIRECT(ADDRESS(739,33))-INDIRECT(ADDRESS(740,33)))</f>
        <v>0</v>
      </c>
      <c r="AH741">
        <f>IF(DAY(NOW())&lt;M3,INDIRECT(ADDRESS(741,33))-INDIRECT(ADDRESS(736,34))+INDIRECT(ADDRESS(737,34))-INDIRECT(ADDRESS(740,34)),INDIRECT(ADDRESS(741,33))-INDIRECT(ADDRESS(736,34))+INDIRECT(ADDRESS(739,34))-INDIRECT(ADDRESS(740,34)))</f>
        <v>0</v>
      </c>
      <c r="AI741">
        <f>IF(DAY(NOW())&lt;M3,INDIRECT(ADDRESS(741,34))-INDIRECT(ADDRESS(736,35))+INDIRECT(ADDRESS(737,35))-INDIRECT(ADDRESS(740,35)),INDIRECT(ADDRESS(741,34))-INDIRECT(ADDRESS(736,35))+INDIRECT(ADDRESS(739,35))-INDIRECT(ADDRESS(740,35)))</f>
        <v>0</v>
      </c>
      <c r="AJ741">
        <f>IF(DAY(NOW())&lt;M3,INDIRECT(ADDRESS(741,35))-INDIRECT(ADDRESS(736,36))+INDIRECT(ADDRESS(737,36))-INDIRECT(ADDRESS(740,36)),INDIRECT(ADDRESS(741,35))-INDIRECT(ADDRESS(736,36))+INDIRECT(ADDRESS(739,36))-INDIRECT(ADDRESS(740,36)))</f>
        <v>0</v>
      </c>
      <c r="AK741">
        <f>IF(DAY(NOW())&lt;M3,INDIRECT(ADDRESS(741,36))-INDIRECT(ADDRESS(736,37))+INDIRECT(ADDRESS(737,37))-INDIRECT(ADDRESS(740,37)),INDIRECT(ADDRESS(741,36))-INDIRECT(ADDRESS(736,37))+INDIRECT(ADDRESS(739,37))-INDIRECT(ADDRESS(740,37)))</f>
        <v>0</v>
      </c>
      <c r="AL741">
        <f>IF(DAY(NOW())&lt;M3,INDIRECT(ADDRESS(741,37))-INDIRECT(ADDRESS(736,38))+INDIRECT(ADDRESS(737,38))-INDIRECT(ADDRESS(740,38)),INDIRECT(ADDRESS(741,37))-INDIRECT(ADDRESS(736,38))+INDIRECT(ADDRESS(739,38))-INDIRECT(ADDRESS(740,38)))</f>
        <v>0</v>
      </c>
      <c r="AM741">
        <f>IF(DAY(NOW())&lt;M3,INDIRECT(ADDRESS(741,38))-INDIRECT(ADDRESS(736,39))+INDIRECT(ADDRESS(737,39))-INDIRECT(ADDRESS(740,39)),INDIRECT(ADDRESS(741,38))-INDIRECT(ADDRESS(736,39))+INDIRECT(ADDRESS(739,39))-INDIRECT(ADDRESS(740,39)))</f>
        <v>0</v>
      </c>
      <c r="AN741">
        <f>IF(DAY(NOW())&lt;M3,INDIRECT(ADDRESS(741,39))-INDIRECT(ADDRESS(736,40))+INDIRECT(ADDRESS(737,40))-INDIRECT(ADDRESS(740,40)),INDIRECT(ADDRESS(741,39))-INDIRECT(ADDRESS(736,40))+INDIRECT(ADDRESS(739,40))-INDIRECT(ADDRESS(740,40)))</f>
        <v>0</v>
      </c>
      <c r="AO741">
        <f>IF(DAY(NOW())&lt;M3,INDIRECT(ADDRESS(741,40))-INDIRECT(ADDRESS(736,41))+INDIRECT(ADDRESS(737,41))-INDIRECT(ADDRESS(740,41)),INDIRECT(ADDRESS(741,40))-INDIRECT(ADDRESS(736,41))+INDIRECT(ADDRESS(739,41))-INDIRECT(ADDRESS(740,41)))</f>
        <v>0</v>
      </c>
      <c r="AP741">
        <f>IF(DAY(NOW())&lt;M3,INDIRECT(ADDRESS(741,41))-INDIRECT(ADDRESS(736,42))+INDIRECT(ADDRESS(737,42))-INDIRECT(ADDRESS(740,42)),INDIRECT(ADDRESS(741,41))-INDIRECT(ADDRESS(736,42))+INDIRECT(ADDRESS(739,42))-INDIRECT(ADDRESS(740,42)))</f>
        <v>0</v>
      </c>
      <c r="AQ741">
        <f>IF(DAY(NOW())&lt;M3,INDIRECT(ADDRESS(741,42))-INDIRECT(ADDRESS(736,43))+INDIRECT(ADDRESS(737,43))-INDIRECT(ADDRESS(740,43)),INDIRECT(ADDRESS(741,42))-INDIRECT(ADDRESS(736,43))+INDIRECT(ADDRESS(739,43))-INDIRECT(ADDRESS(740,43)))</f>
        <v>0</v>
      </c>
      <c r="AR741">
        <f>IF(DAY(NOW())&lt;M3,INDIRECT(ADDRESS(741,43))-INDIRECT(ADDRESS(736,44))+INDIRECT(ADDRESS(737,44))-INDIRECT(ADDRESS(740,44)),INDIRECT(ADDRESS(741,43))-INDIRECT(ADDRESS(736,44))+INDIRECT(ADDRESS(739,44))-INDIRECT(ADDRESS(740,44)))</f>
        <v>0</v>
      </c>
    </row>
    <row r="742" spans="1:76">
      <c r="A742" t="s">
        <v>31</v>
      </c>
      <c r="B742" t="s">
        <v>370</v>
      </c>
      <c r="C742" t="s">
        <v>371</v>
      </c>
      <c r="D742" t="s">
        <v>17</v>
      </c>
      <c r="E742" t="s">
        <v>36</v>
      </c>
      <c r="F742" t="s">
        <v>372</v>
      </c>
      <c r="K742" t="s">
        <v>308</v>
      </c>
      <c r="L742" t="s">
        <v>21</v>
      </c>
      <c r="M742">
        <f>sumifs(BOM!m:m,BOM!A:A,".1",BOM!B:B,"212-036700-000")</f>
        <v>0</v>
      </c>
      <c r="N742">
        <f>sumifs(BOM!n:n,BOM!A:A,".1",BOM!B:B,"212-036700-000")</f>
        <v>0</v>
      </c>
      <c r="O742">
        <f>sumifs(BOM!o:o,BOM!A:A,".1",BOM!B:B,"212-036700-000")</f>
        <v>0</v>
      </c>
      <c r="P742">
        <f>sumifs(BOM!p:p,BOM!A:A,".1",BOM!B:B,"212-036700-000")</f>
        <v>0</v>
      </c>
      <c r="Q742">
        <f>sumifs(BOM!q:q,BOM!A:A,".1",BOM!B:B,"212-036700-000")</f>
        <v>0</v>
      </c>
      <c r="R742">
        <f>sumifs(BOM!r:r,BOM!A:A,".1",BOM!B:B,"212-036700-000")</f>
        <v>0</v>
      </c>
      <c r="S742">
        <f>sumifs(BOM!s:s,BOM!A:A,".1",BOM!B:B,"212-036700-000")</f>
        <v>0</v>
      </c>
      <c r="T742">
        <f>sumifs(BOM!t:t,BOM!A:A,".1",BOM!B:B,"212-036700-000")</f>
        <v>0</v>
      </c>
      <c r="U742">
        <f>sumifs(BOM!u:u,BOM!A:A,".1",BOM!B:B,"212-036700-000")</f>
        <v>0</v>
      </c>
      <c r="V742">
        <f>sumifs(BOM!v:v,BOM!A:A,".1",BOM!B:B,"212-036700-000")</f>
        <v>0</v>
      </c>
      <c r="W742">
        <f>sumifs(BOM!w:w,BOM!A:A,".1",BOM!B:B,"212-036700-000")</f>
        <v>0</v>
      </c>
      <c r="X742">
        <f>sumifs(BOM!x:x,BOM!A:A,".1",BOM!B:B,"212-036700-000")</f>
        <v>0</v>
      </c>
      <c r="Y742">
        <f>sumifs(BOM!y:y,BOM!A:A,".1",BOM!B:B,"212-036700-000")</f>
        <v>0</v>
      </c>
      <c r="Z742">
        <f>sumifs(BOM!z:z,BOM!A:A,".1",BOM!B:B,"212-036700-000")</f>
        <v>0</v>
      </c>
      <c r="AA742">
        <f>sumifs(BOM!aa:aa,BOM!A:A,".1",BOM!B:B,"212-036700-000")</f>
        <v>0</v>
      </c>
      <c r="AB742">
        <f>sumifs(BOM!ab:ab,BOM!A:A,".1",BOM!B:B,"212-036700-000")</f>
        <v>0</v>
      </c>
      <c r="AC742">
        <f>sumifs(BOM!ac:ac,BOM!A:A,".1",BOM!B:B,"212-036700-000")</f>
        <v>0</v>
      </c>
      <c r="AD742">
        <f>sumifs(BOM!ad:ad,BOM!A:A,".1",BOM!B:B,"212-036700-000")</f>
        <v>0</v>
      </c>
      <c r="AE742">
        <f>sumifs(BOM!ae:ae,BOM!A:A,".1",BOM!B:B,"212-036700-000")</f>
        <v>0</v>
      </c>
      <c r="AF742">
        <f>sumifs(BOM!af:af,BOM!A:A,".1",BOM!B:B,"212-036700-000")</f>
        <v>0</v>
      </c>
      <c r="AG742">
        <f>sumifs(BOM!ag:ag,BOM!A:A,".1",BOM!B:B,"212-036700-000")</f>
        <v>0</v>
      </c>
      <c r="AH742">
        <f>sumifs(BOM!ah:ah,BOM!A:A,".1",BOM!B:B,"212-036700-000")</f>
        <v>0</v>
      </c>
      <c r="AI742">
        <f>sumifs(BOM!ai:ai,BOM!A:A,".1",BOM!B:B,"212-036700-000")</f>
        <v>0</v>
      </c>
      <c r="AJ742">
        <f>sumifs(BOM!aj:aj,BOM!A:A,".1",BOM!B:B,"212-036700-000")</f>
        <v>0</v>
      </c>
      <c r="AK742">
        <f>sumifs(BOM!ak:ak,BOM!A:A,".1",BOM!B:B,"212-036700-000")</f>
        <v>0</v>
      </c>
      <c r="AL742">
        <f>sumifs(BOM!al:al,BOM!A:A,".1",BOM!B:B,"212-036700-000")</f>
        <v>0</v>
      </c>
      <c r="AM742">
        <f>sumifs(BOM!am:am,BOM!A:A,".1",BOM!B:B,"212-036700-000")</f>
        <v>0</v>
      </c>
      <c r="AN742">
        <f>sumifs(BOM!an:an,BOM!A:A,".1",BOM!B:B,"212-036700-000")</f>
        <v>0</v>
      </c>
      <c r="AO742">
        <f>sumifs(BOM!ao:ao,BOM!A:A,".1",BOM!B:B,"212-036700-000")</f>
        <v>0</v>
      </c>
      <c r="AP742">
        <f>sumifs(BOM!ap:ap,BOM!A:A,".1",BOM!B:B,"212-036700-000")</f>
        <v>0</v>
      </c>
      <c r="AQ742">
        <f>sumifs(BOM!aq:aq,BOM!A:A,".1",BOM!B:B,"212-036700-000")</f>
        <v>0</v>
      </c>
      <c r="AR742">
        <f>sumifs(BOM!ar:ar,BOM!A:A,".1",BOM!B:B,"212-036700-000")</f>
        <v>0</v>
      </c>
      <c r="BX742">
        <f>sum(j742:an742)</f>
        <v>0</v>
      </c>
    </row>
    <row r="743" spans="1:76">
      <c r="A743" t="s">
        <v>31</v>
      </c>
      <c r="B743" t="s">
        <v>370</v>
      </c>
      <c r="C743" t="s">
        <v>371</v>
      </c>
      <c r="D743" t="s">
        <v>17</v>
      </c>
      <c r="E743" t="s">
        <v>36</v>
      </c>
      <c r="F743" t="s">
        <v>372</v>
      </c>
      <c r="K743" t="s">
        <v>308</v>
      </c>
      <c r="L743" t="s">
        <v>37</v>
      </c>
    </row>
    <row r="744" spans="1:76">
      <c r="L744" t="s">
        <v>662</v>
      </c>
    </row>
    <row r="745" spans="1:76">
      <c r="L745" t="s">
        <v>663</v>
      </c>
    </row>
    <row r="746" spans="1:76">
      <c r="L746" t="s">
        <v>664</v>
      </c>
    </row>
    <row r="747" spans="1:76">
      <c r="L747" t="s">
        <v>665</v>
      </c>
      <c r="M747">
        <f>IF(DAY(NOW())&lt;M3,INDIRECT(ADDRESS(747,7))-INDIRECT(ADDRESS(742,13))+INDIRECT(ADDRESS(743,13))-INDIRECT(ADDRESS(746,13)),INDIRECT(ADDRESS(747,7))-INDIRECT(ADDRESS(742,13))+INDIRECT(ADDRESS(745,13))-INDIRECT(ADDRESS(746,13)))</f>
        <v>0</v>
      </c>
      <c r="N747">
        <f>IF(DAY(NOW())&lt;M3,INDIRECT(ADDRESS(747,13))-INDIRECT(ADDRESS(742,14))+INDIRECT(ADDRESS(743,14))-INDIRECT(ADDRESS(746,14)),INDIRECT(ADDRESS(747,13))-INDIRECT(ADDRESS(742,14))+INDIRECT(ADDRESS(745,14))-INDIRECT(ADDRESS(746,14)))</f>
        <v>0</v>
      </c>
      <c r="O747">
        <f>IF(DAY(NOW())&lt;M3,INDIRECT(ADDRESS(747,14))-INDIRECT(ADDRESS(742,15))+INDIRECT(ADDRESS(743,15))-INDIRECT(ADDRESS(746,15)),INDIRECT(ADDRESS(747,14))-INDIRECT(ADDRESS(742,15))+INDIRECT(ADDRESS(745,15))-INDIRECT(ADDRESS(746,15)))</f>
        <v>0</v>
      </c>
      <c r="P747">
        <f>IF(DAY(NOW())&lt;M3,INDIRECT(ADDRESS(747,15))-INDIRECT(ADDRESS(742,16))+INDIRECT(ADDRESS(743,16))-INDIRECT(ADDRESS(746,16)),INDIRECT(ADDRESS(747,15))-INDIRECT(ADDRESS(742,16))+INDIRECT(ADDRESS(745,16))-INDIRECT(ADDRESS(746,16)))</f>
        <v>0</v>
      </c>
      <c r="Q747">
        <f>IF(DAY(NOW())&lt;M3,INDIRECT(ADDRESS(747,16))-INDIRECT(ADDRESS(742,17))+INDIRECT(ADDRESS(743,17))-INDIRECT(ADDRESS(746,17)),INDIRECT(ADDRESS(747,16))-INDIRECT(ADDRESS(742,17))+INDIRECT(ADDRESS(745,17))-INDIRECT(ADDRESS(746,17)))</f>
        <v>0</v>
      </c>
      <c r="R747">
        <f>IF(DAY(NOW())&lt;M3,INDIRECT(ADDRESS(747,17))-INDIRECT(ADDRESS(742,18))+INDIRECT(ADDRESS(743,18))-INDIRECT(ADDRESS(746,18)),INDIRECT(ADDRESS(747,17))-INDIRECT(ADDRESS(742,18))+INDIRECT(ADDRESS(745,18))-INDIRECT(ADDRESS(746,18)))</f>
        <v>0</v>
      </c>
      <c r="S747">
        <f>IF(DAY(NOW())&lt;M3,INDIRECT(ADDRESS(747,18))-INDIRECT(ADDRESS(742,19))+INDIRECT(ADDRESS(743,19))-INDIRECT(ADDRESS(746,19)),INDIRECT(ADDRESS(747,18))-INDIRECT(ADDRESS(742,19))+INDIRECT(ADDRESS(745,19))-INDIRECT(ADDRESS(746,19)))</f>
        <v>0</v>
      </c>
      <c r="T747">
        <f>IF(DAY(NOW())&lt;M3,INDIRECT(ADDRESS(747,19))-INDIRECT(ADDRESS(742,20))+INDIRECT(ADDRESS(743,20))-INDIRECT(ADDRESS(746,20)),INDIRECT(ADDRESS(747,19))-INDIRECT(ADDRESS(742,20))+INDIRECT(ADDRESS(745,20))-INDIRECT(ADDRESS(746,20)))</f>
        <v>0</v>
      </c>
      <c r="U747">
        <f>IF(DAY(NOW())&lt;M3,INDIRECT(ADDRESS(747,20))-INDIRECT(ADDRESS(742,21))+INDIRECT(ADDRESS(743,21))-INDIRECT(ADDRESS(746,21)),INDIRECT(ADDRESS(747,20))-INDIRECT(ADDRESS(742,21))+INDIRECT(ADDRESS(745,21))-INDIRECT(ADDRESS(746,21)))</f>
        <v>0</v>
      </c>
      <c r="V747">
        <f>IF(DAY(NOW())&lt;M3,INDIRECT(ADDRESS(747,21))-INDIRECT(ADDRESS(742,22))+INDIRECT(ADDRESS(743,22))-INDIRECT(ADDRESS(746,22)),INDIRECT(ADDRESS(747,21))-INDIRECT(ADDRESS(742,22))+INDIRECT(ADDRESS(745,22))-INDIRECT(ADDRESS(746,22)))</f>
        <v>0</v>
      </c>
      <c r="W747">
        <f>IF(DAY(NOW())&lt;M3,INDIRECT(ADDRESS(747,22))-INDIRECT(ADDRESS(742,23))+INDIRECT(ADDRESS(743,23))-INDIRECT(ADDRESS(746,23)),INDIRECT(ADDRESS(747,22))-INDIRECT(ADDRESS(742,23))+INDIRECT(ADDRESS(745,23))-INDIRECT(ADDRESS(746,23)))</f>
        <v>0</v>
      </c>
      <c r="X747">
        <f>IF(DAY(NOW())&lt;M3,INDIRECT(ADDRESS(747,23))-INDIRECT(ADDRESS(742,24))+INDIRECT(ADDRESS(743,24))-INDIRECT(ADDRESS(746,24)),INDIRECT(ADDRESS(747,23))-INDIRECT(ADDRESS(742,24))+INDIRECT(ADDRESS(745,24))-INDIRECT(ADDRESS(746,24)))</f>
        <v>0</v>
      </c>
      <c r="Y747">
        <f>IF(DAY(NOW())&lt;M3,INDIRECT(ADDRESS(747,24))-INDIRECT(ADDRESS(742,25))+INDIRECT(ADDRESS(743,25))-INDIRECT(ADDRESS(746,25)),INDIRECT(ADDRESS(747,24))-INDIRECT(ADDRESS(742,25))+INDIRECT(ADDRESS(745,25))-INDIRECT(ADDRESS(746,25)))</f>
        <v>0</v>
      </c>
      <c r="Z747">
        <f>IF(DAY(NOW())&lt;M3,INDIRECT(ADDRESS(747,25))-INDIRECT(ADDRESS(742,26))+INDIRECT(ADDRESS(743,26))-INDIRECT(ADDRESS(746,26)),INDIRECT(ADDRESS(747,25))-INDIRECT(ADDRESS(742,26))+INDIRECT(ADDRESS(745,26))-INDIRECT(ADDRESS(746,26)))</f>
        <v>0</v>
      </c>
      <c r="AA747">
        <f>IF(DAY(NOW())&lt;M3,INDIRECT(ADDRESS(747,26))-INDIRECT(ADDRESS(742,27))+INDIRECT(ADDRESS(743,27))-INDIRECT(ADDRESS(746,27)),INDIRECT(ADDRESS(747,26))-INDIRECT(ADDRESS(742,27))+INDIRECT(ADDRESS(745,27))-INDIRECT(ADDRESS(746,27)))</f>
        <v>0</v>
      </c>
      <c r="AB747">
        <f>IF(DAY(NOW())&lt;M3,INDIRECT(ADDRESS(747,27))-INDIRECT(ADDRESS(742,28))+INDIRECT(ADDRESS(743,28))-INDIRECT(ADDRESS(746,28)),INDIRECT(ADDRESS(747,27))-INDIRECT(ADDRESS(742,28))+INDIRECT(ADDRESS(745,28))-INDIRECT(ADDRESS(746,28)))</f>
        <v>0</v>
      </c>
      <c r="AC747">
        <f>IF(DAY(NOW())&lt;M3,INDIRECT(ADDRESS(747,28))-INDIRECT(ADDRESS(742,29))+INDIRECT(ADDRESS(743,29))-INDIRECT(ADDRESS(746,29)),INDIRECT(ADDRESS(747,28))-INDIRECT(ADDRESS(742,29))+INDIRECT(ADDRESS(745,29))-INDIRECT(ADDRESS(746,29)))</f>
        <v>0</v>
      </c>
      <c r="AD747">
        <f>IF(DAY(NOW())&lt;M3,INDIRECT(ADDRESS(747,29))-INDIRECT(ADDRESS(742,30))+INDIRECT(ADDRESS(743,30))-INDIRECT(ADDRESS(746,30)),INDIRECT(ADDRESS(747,29))-INDIRECT(ADDRESS(742,30))+INDIRECT(ADDRESS(745,30))-INDIRECT(ADDRESS(746,30)))</f>
        <v>0</v>
      </c>
      <c r="AE747">
        <f>IF(DAY(NOW())&lt;M3,INDIRECT(ADDRESS(747,30))-INDIRECT(ADDRESS(742,31))+INDIRECT(ADDRESS(743,31))-INDIRECT(ADDRESS(746,31)),INDIRECT(ADDRESS(747,30))-INDIRECT(ADDRESS(742,31))+INDIRECT(ADDRESS(745,31))-INDIRECT(ADDRESS(746,31)))</f>
        <v>0</v>
      </c>
      <c r="AF747">
        <f>IF(DAY(NOW())&lt;M3,INDIRECT(ADDRESS(747,31))-INDIRECT(ADDRESS(742,32))+INDIRECT(ADDRESS(743,32))-INDIRECT(ADDRESS(746,32)),INDIRECT(ADDRESS(747,31))-INDIRECT(ADDRESS(742,32))+INDIRECT(ADDRESS(745,32))-INDIRECT(ADDRESS(746,32)))</f>
        <v>0</v>
      </c>
      <c r="AG747">
        <f>IF(DAY(NOW())&lt;M3,INDIRECT(ADDRESS(747,32))-INDIRECT(ADDRESS(742,33))+INDIRECT(ADDRESS(743,33))-INDIRECT(ADDRESS(746,33)),INDIRECT(ADDRESS(747,32))-INDIRECT(ADDRESS(742,33))+INDIRECT(ADDRESS(745,33))-INDIRECT(ADDRESS(746,33)))</f>
        <v>0</v>
      </c>
      <c r="AH747">
        <f>IF(DAY(NOW())&lt;M3,INDIRECT(ADDRESS(747,33))-INDIRECT(ADDRESS(742,34))+INDIRECT(ADDRESS(743,34))-INDIRECT(ADDRESS(746,34)),INDIRECT(ADDRESS(747,33))-INDIRECT(ADDRESS(742,34))+INDIRECT(ADDRESS(745,34))-INDIRECT(ADDRESS(746,34)))</f>
        <v>0</v>
      </c>
      <c r="AI747">
        <f>IF(DAY(NOW())&lt;M3,INDIRECT(ADDRESS(747,34))-INDIRECT(ADDRESS(742,35))+INDIRECT(ADDRESS(743,35))-INDIRECT(ADDRESS(746,35)),INDIRECT(ADDRESS(747,34))-INDIRECT(ADDRESS(742,35))+INDIRECT(ADDRESS(745,35))-INDIRECT(ADDRESS(746,35)))</f>
        <v>0</v>
      </c>
      <c r="AJ747">
        <f>IF(DAY(NOW())&lt;M3,INDIRECT(ADDRESS(747,35))-INDIRECT(ADDRESS(742,36))+INDIRECT(ADDRESS(743,36))-INDIRECT(ADDRESS(746,36)),INDIRECT(ADDRESS(747,35))-INDIRECT(ADDRESS(742,36))+INDIRECT(ADDRESS(745,36))-INDIRECT(ADDRESS(746,36)))</f>
        <v>0</v>
      </c>
      <c r="AK747">
        <f>IF(DAY(NOW())&lt;M3,INDIRECT(ADDRESS(747,36))-INDIRECT(ADDRESS(742,37))+INDIRECT(ADDRESS(743,37))-INDIRECT(ADDRESS(746,37)),INDIRECT(ADDRESS(747,36))-INDIRECT(ADDRESS(742,37))+INDIRECT(ADDRESS(745,37))-INDIRECT(ADDRESS(746,37)))</f>
        <v>0</v>
      </c>
      <c r="AL747">
        <f>IF(DAY(NOW())&lt;M3,INDIRECT(ADDRESS(747,37))-INDIRECT(ADDRESS(742,38))+INDIRECT(ADDRESS(743,38))-INDIRECT(ADDRESS(746,38)),INDIRECT(ADDRESS(747,37))-INDIRECT(ADDRESS(742,38))+INDIRECT(ADDRESS(745,38))-INDIRECT(ADDRESS(746,38)))</f>
        <v>0</v>
      </c>
      <c r="AM747">
        <f>IF(DAY(NOW())&lt;M3,INDIRECT(ADDRESS(747,38))-INDIRECT(ADDRESS(742,39))+INDIRECT(ADDRESS(743,39))-INDIRECT(ADDRESS(746,39)),INDIRECT(ADDRESS(747,38))-INDIRECT(ADDRESS(742,39))+INDIRECT(ADDRESS(745,39))-INDIRECT(ADDRESS(746,39)))</f>
        <v>0</v>
      </c>
      <c r="AN747">
        <f>IF(DAY(NOW())&lt;M3,INDIRECT(ADDRESS(747,39))-INDIRECT(ADDRESS(742,40))+INDIRECT(ADDRESS(743,40))-INDIRECT(ADDRESS(746,40)),INDIRECT(ADDRESS(747,39))-INDIRECT(ADDRESS(742,40))+INDIRECT(ADDRESS(745,40))-INDIRECT(ADDRESS(746,40)))</f>
        <v>0</v>
      </c>
      <c r="AO747">
        <f>IF(DAY(NOW())&lt;M3,INDIRECT(ADDRESS(747,40))-INDIRECT(ADDRESS(742,41))+INDIRECT(ADDRESS(743,41))-INDIRECT(ADDRESS(746,41)),INDIRECT(ADDRESS(747,40))-INDIRECT(ADDRESS(742,41))+INDIRECT(ADDRESS(745,41))-INDIRECT(ADDRESS(746,41)))</f>
        <v>0</v>
      </c>
      <c r="AP747">
        <f>IF(DAY(NOW())&lt;M3,INDIRECT(ADDRESS(747,41))-INDIRECT(ADDRESS(742,42))+INDIRECT(ADDRESS(743,42))-INDIRECT(ADDRESS(746,42)),INDIRECT(ADDRESS(747,41))-INDIRECT(ADDRESS(742,42))+INDIRECT(ADDRESS(745,42))-INDIRECT(ADDRESS(746,42)))</f>
        <v>0</v>
      </c>
      <c r="AQ747">
        <f>IF(DAY(NOW())&lt;M3,INDIRECT(ADDRESS(747,42))-INDIRECT(ADDRESS(742,43))+INDIRECT(ADDRESS(743,43))-INDIRECT(ADDRESS(746,43)),INDIRECT(ADDRESS(747,42))-INDIRECT(ADDRESS(742,43))+INDIRECT(ADDRESS(745,43))-INDIRECT(ADDRESS(746,43)))</f>
        <v>0</v>
      </c>
      <c r="AR747">
        <f>IF(DAY(NOW())&lt;M3,INDIRECT(ADDRESS(747,43))-INDIRECT(ADDRESS(742,44))+INDIRECT(ADDRESS(743,44))-INDIRECT(ADDRESS(746,44)),INDIRECT(ADDRESS(747,43))-INDIRECT(ADDRESS(742,44))+INDIRECT(ADDRESS(745,44))-INDIRECT(ADDRESS(746,44)))</f>
        <v>0</v>
      </c>
    </row>
    <row r="748" spans="1:76">
      <c r="A748" t="s">
        <v>14</v>
      </c>
      <c r="B748" t="s">
        <v>134</v>
      </c>
      <c r="C748" t="s">
        <v>135</v>
      </c>
      <c r="D748" t="s">
        <v>256</v>
      </c>
      <c r="E748">
        <v>1</v>
      </c>
      <c r="F748" t="s">
        <v>136</v>
      </c>
      <c r="K748" t="s">
        <v>305</v>
      </c>
      <c r="L748" t="s">
        <v>21</v>
      </c>
      <c r="BX748">
        <f>sum(j748:an748)</f>
        <v>0</v>
      </c>
    </row>
    <row r="749" spans="1:76">
      <c r="A749" t="s">
        <v>14</v>
      </c>
      <c r="B749" t="s">
        <v>134</v>
      </c>
      <c r="C749" t="s">
        <v>135</v>
      </c>
      <c r="D749" t="s">
        <v>256</v>
      </c>
      <c r="E749">
        <v>1</v>
      </c>
      <c r="F749" t="s">
        <v>136</v>
      </c>
      <c r="K749" t="s">
        <v>305</v>
      </c>
      <c r="L749" t="s">
        <v>37</v>
      </c>
    </row>
    <row r="750" spans="1:76">
      <c r="L750" t="s">
        <v>662</v>
      </c>
    </row>
    <row r="751" spans="1:76">
      <c r="L751" t="s">
        <v>663</v>
      </c>
    </row>
    <row r="752" spans="1:76">
      <c r="L752" t="s">
        <v>664</v>
      </c>
    </row>
    <row r="753" spans="1:76">
      <c r="L753" t="s">
        <v>665</v>
      </c>
      <c r="M753">
        <f>IF(DAY(NOW())&lt;M3,INDIRECT(ADDRESS(753,7))-INDIRECT(ADDRESS(748,13))+INDIRECT(ADDRESS(749,13))-INDIRECT(ADDRESS(752,13)),INDIRECT(ADDRESS(753,7))-INDIRECT(ADDRESS(748,13))+INDIRECT(ADDRESS(751,13))-INDIRECT(ADDRESS(752,13)))</f>
        <v>0</v>
      </c>
      <c r="N753">
        <f>IF(DAY(NOW())&lt;M3,INDIRECT(ADDRESS(753,13))-INDIRECT(ADDRESS(748,14))+INDIRECT(ADDRESS(749,14))-INDIRECT(ADDRESS(752,14)),INDIRECT(ADDRESS(753,13))-INDIRECT(ADDRESS(748,14))+INDIRECT(ADDRESS(751,14))-INDIRECT(ADDRESS(752,14)))</f>
        <v>0</v>
      </c>
      <c r="O753">
        <f>IF(DAY(NOW())&lt;M3,INDIRECT(ADDRESS(753,14))-INDIRECT(ADDRESS(748,15))+INDIRECT(ADDRESS(749,15))-INDIRECT(ADDRESS(752,15)),INDIRECT(ADDRESS(753,14))-INDIRECT(ADDRESS(748,15))+INDIRECT(ADDRESS(751,15))-INDIRECT(ADDRESS(752,15)))</f>
        <v>0</v>
      </c>
      <c r="P753">
        <f>IF(DAY(NOW())&lt;M3,INDIRECT(ADDRESS(753,15))-INDIRECT(ADDRESS(748,16))+INDIRECT(ADDRESS(749,16))-INDIRECT(ADDRESS(752,16)),INDIRECT(ADDRESS(753,15))-INDIRECT(ADDRESS(748,16))+INDIRECT(ADDRESS(751,16))-INDIRECT(ADDRESS(752,16)))</f>
        <v>0</v>
      </c>
      <c r="Q753">
        <f>IF(DAY(NOW())&lt;M3,INDIRECT(ADDRESS(753,16))-INDIRECT(ADDRESS(748,17))+INDIRECT(ADDRESS(749,17))-INDIRECT(ADDRESS(752,17)),INDIRECT(ADDRESS(753,16))-INDIRECT(ADDRESS(748,17))+INDIRECT(ADDRESS(751,17))-INDIRECT(ADDRESS(752,17)))</f>
        <v>0</v>
      </c>
      <c r="R753">
        <f>IF(DAY(NOW())&lt;M3,INDIRECT(ADDRESS(753,17))-INDIRECT(ADDRESS(748,18))+INDIRECT(ADDRESS(749,18))-INDIRECT(ADDRESS(752,18)),INDIRECT(ADDRESS(753,17))-INDIRECT(ADDRESS(748,18))+INDIRECT(ADDRESS(751,18))-INDIRECT(ADDRESS(752,18)))</f>
        <v>0</v>
      </c>
      <c r="S753">
        <f>IF(DAY(NOW())&lt;M3,INDIRECT(ADDRESS(753,18))-INDIRECT(ADDRESS(748,19))+INDIRECT(ADDRESS(749,19))-INDIRECT(ADDRESS(752,19)),INDIRECT(ADDRESS(753,18))-INDIRECT(ADDRESS(748,19))+INDIRECT(ADDRESS(751,19))-INDIRECT(ADDRESS(752,19)))</f>
        <v>0</v>
      </c>
      <c r="T753">
        <f>IF(DAY(NOW())&lt;M3,INDIRECT(ADDRESS(753,19))-INDIRECT(ADDRESS(748,20))+INDIRECT(ADDRESS(749,20))-INDIRECT(ADDRESS(752,20)),INDIRECT(ADDRESS(753,19))-INDIRECT(ADDRESS(748,20))+INDIRECT(ADDRESS(751,20))-INDIRECT(ADDRESS(752,20)))</f>
        <v>0</v>
      </c>
      <c r="U753">
        <f>IF(DAY(NOW())&lt;M3,INDIRECT(ADDRESS(753,20))-INDIRECT(ADDRESS(748,21))+INDIRECT(ADDRESS(749,21))-INDIRECT(ADDRESS(752,21)),INDIRECT(ADDRESS(753,20))-INDIRECT(ADDRESS(748,21))+INDIRECT(ADDRESS(751,21))-INDIRECT(ADDRESS(752,21)))</f>
        <v>0</v>
      </c>
      <c r="V753">
        <f>IF(DAY(NOW())&lt;M3,INDIRECT(ADDRESS(753,21))-INDIRECT(ADDRESS(748,22))+INDIRECT(ADDRESS(749,22))-INDIRECT(ADDRESS(752,22)),INDIRECT(ADDRESS(753,21))-INDIRECT(ADDRESS(748,22))+INDIRECT(ADDRESS(751,22))-INDIRECT(ADDRESS(752,22)))</f>
        <v>0</v>
      </c>
      <c r="W753">
        <f>IF(DAY(NOW())&lt;M3,INDIRECT(ADDRESS(753,22))-INDIRECT(ADDRESS(748,23))+INDIRECT(ADDRESS(749,23))-INDIRECT(ADDRESS(752,23)),INDIRECT(ADDRESS(753,22))-INDIRECT(ADDRESS(748,23))+INDIRECT(ADDRESS(751,23))-INDIRECT(ADDRESS(752,23)))</f>
        <v>0</v>
      </c>
      <c r="X753">
        <f>IF(DAY(NOW())&lt;M3,INDIRECT(ADDRESS(753,23))-INDIRECT(ADDRESS(748,24))+INDIRECT(ADDRESS(749,24))-INDIRECT(ADDRESS(752,24)),INDIRECT(ADDRESS(753,23))-INDIRECT(ADDRESS(748,24))+INDIRECT(ADDRESS(751,24))-INDIRECT(ADDRESS(752,24)))</f>
        <v>0</v>
      </c>
      <c r="Y753">
        <f>IF(DAY(NOW())&lt;M3,INDIRECT(ADDRESS(753,24))-INDIRECT(ADDRESS(748,25))+INDIRECT(ADDRESS(749,25))-INDIRECT(ADDRESS(752,25)),INDIRECT(ADDRESS(753,24))-INDIRECT(ADDRESS(748,25))+INDIRECT(ADDRESS(751,25))-INDIRECT(ADDRESS(752,25)))</f>
        <v>0</v>
      </c>
      <c r="Z753">
        <f>IF(DAY(NOW())&lt;M3,INDIRECT(ADDRESS(753,25))-INDIRECT(ADDRESS(748,26))+INDIRECT(ADDRESS(749,26))-INDIRECT(ADDRESS(752,26)),INDIRECT(ADDRESS(753,25))-INDIRECT(ADDRESS(748,26))+INDIRECT(ADDRESS(751,26))-INDIRECT(ADDRESS(752,26)))</f>
        <v>0</v>
      </c>
      <c r="AA753">
        <f>IF(DAY(NOW())&lt;M3,INDIRECT(ADDRESS(753,26))-INDIRECT(ADDRESS(748,27))+INDIRECT(ADDRESS(749,27))-INDIRECT(ADDRESS(752,27)),INDIRECT(ADDRESS(753,26))-INDIRECT(ADDRESS(748,27))+INDIRECT(ADDRESS(751,27))-INDIRECT(ADDRESS(752,27)))</f>
        <v>0</v>
      </c>
      <c r="AB753">
        <f>IF(DAY(NOW())&lt;M3,INDIRECT(ADDRESS(753,27))-INDIRECT(ADDRESS(748,28))+INDIRECT(ADDRESS(749,28))-INDIRECT(ADDRESS(752,28)),INDIRECT(ADDRESS(753,27))-INDIRECT(ADDRESS(748,28))+INDIRECT(ADDRESS(751,28))-INDIRECT(ADDRESS(752,28)))</f>
        <v>0</v>
      </c>
      <c r="AC753">
        <f>IF(DAY(NOW())&lt;M3,INDIRECT(ADDRESS(753,28))-INDIRECT(ADDRESS(748,29))+INDIRECT(ADDRESS(749,29))-INDIRECT(ADDRESS(752,29)),INDIRECT(ADDRESS(753,28))-INDIRECT(ADDRESS(748,29))+INDIRECT(ADDRESS(751,29))-INDIRECT(ADDRESS(752,29)))</f>
        <v>0</v>
      </c>
      <c r="AD753">
        <f>IF(DAY(NOW())&lt;M3,INDIRECT(ADDRESS(753,29))-INDIRECT(ADDRESS(748,30))+INDIRECT(ADDRESS(749,30))-INDIRECT(ADDRESS(752,30)),INDIRECT(ADDRESS(753,29))-INDIRECT(ADDRESS(748,30))+INDIRECT(ADDRESS(751,30))-INDIRECT(ADDRESS(752,30)))</f>
        <v>0</v>
      </c>
      <c r="AE753">
        <f>IF(DAY(NOW())&lt;M3,INDIRECT(ADDRESS(753,30))-INDIRECT(ADDRESS(748,31))+INDIRECT(ADDRESS(749,31))-INDIRECT(ADDRESS(752,31)),INDIRECT(ADDRESS(753,30))-INDIRECT(ADDRESS(748,31))+INDIRECT(ADDRESS(751,31))-INDIRECT(ADDRESS(752,31)))</f>
        <v>0</v>
      </c>
      <c r="AF753">
        <f>IF(DAY(NOW())&lt;M3,INDIRECT(ADDRESS(753,31))-INDIRECT(ADDRESS(748,32))+INDIRECT(ADDRESS(749,32))-INDIRECT(ADDRESS(752,32)),INDIRECT(ADDRESS(753,31))-INDIRECT(ADDRESS(748,32))+INDIRECT(ADDRESS(751,32))-INDIRECT(ADDRESS(752,32)))</f>
        <v>0</v>
      </c>
      <c r="AG753">
        <f>IF(DAY(NOW())&lt;M3,INDIRECT(ADDRESS(753,32))-INDIRECT(ADDRESS(748,33))+INDIRECT(ADDRESS(749,33))-INDIRECT(ADDRESS(752,33)),INDIRECT(ADDRESS(753,32))-INDIRECT(ADDRESS(748,33))+INDIRECT(ADDRESS(751,33))-INDIRECT(ADDRESS(752,33)))</f>
        <v>0</v>
      </c>
      <c r="AH753">
        <f>IF(DAY(NOW())&lt;M3,INDIRECT(ADDRESS(753,33))-INDIRECT(ADDRESS(748,34))+INDIRECT(ADDRESS(749,34))-INDIRECT(ADDRESS(752,34)),INDIRECT(ADDRESS(753,33))-INDIRECT(ADDRESS(748,34))+INDIRECT(ADDRESS(751,34))-INDIRECT(ADDRESS(752,34)))</f>
        <v>0</v>
      </c>
      <c r="AI753">
        <f>IF(DAY(NOW())&lt;M3,INDIRECT(ADDRESS(753,34))-INDIRECT(ADDRESS(748,35))+INDIRECT(ADDRESS(749,35))-INDIRECT(ADDRESS(752,35)),INDIRECT(ADDRESS(753,34))-INDIRECT(ADDRESS(748,35))+INDIRECT(ADDRESS(751,35))-INDIRECT(ADDRESS(752,35)))</f>
        <v>0</v>
      </c>
      <c r="AJ753">
        <f>IF(DAY(NOW())&lt;M3,INDIRECT(ADDRESS(753,35))-INDIRECT(ADDRESS(748,36))+INDIRECT(ADDRESS(749,36))-INDIRECT(ADDRESS(752,36)),INDIRECT(ADDRESS(753,35))-INDIRECT(ADDRESS(748,36))+INDIRECT(ADDRESS(751,36))-INDIRECT(ADDRESS(752,36)))</f>
        <v>0</v>
      </c>
      <c r="AK753">
        <f>IF(DAY(NOW())&lt;M3,INDIRECT(ADDRESS(753,36))-INDIRECT(ADDRESS(748,37))+INDIRECT(ADDRESS(749,37))-INDIRECT(ADDRESS(752,37)),INDIRECT(ADDRESS(753,36))-INDIRECT(ADDRESS(748,37))+INDIRECT(ADDRESS(751,37))-INDIRECT(ADDRESS(752,37)))</f>
        <v>0</v>
      </c>
      <c r="AL753">
        <f>IF(DAY(NOW())&lt;M3,INDIRECT(ADDRESS(753,37))-INDIRECT(ADDRESS(748,38))+INDIRECT(ADDRESS(749,38))-INDIRECT(ADDRESS(752,38)),INDIRECT(ADDRESS(753,37))-INDIRECT(ADDRESS(748,38))+INDIRECT(ADDRESS(751,38))-INDIRECT(ADDRESS(752,38)))</f>
        <v>0</v>
      </c>
      <c r="AM753">
        <f>IF(DAY(NOW())&lt;M3,INDIRECT(ADDRESS(753,38))-INDIRECT(ADDRESS(748,39))+INDIRECT(ADDRESS(749,39))-INDIRECT(ADDRESS(752,39)),INDIRECT(ADDRESS(753,38))-INDIRECT(ADDRESS(748,39))+INDIRECT(ADDRESS(751,39))-INDIRECT(ADDRESS(752,39)))</f>
        <v>0</v>
      </c>
      <c r="AN753">
        <f>IF(DAY(NOW())&lt;M3,INDIRECT(ADDRESS(753,39))-INDIRECT(ADDRESS(748,40))+INDIRECT(ADDRESS(749,40))-INDIRECT(ADDRESS(752,40)),INDIRECT(ADDRESS(753,39))-INDIRECT(ADDRESS(748,40))+INDIRECT(ADDRESS(751,40))-INDIRECT(ADDRESS(752,40)))</f>
        <v>0</v>
      </c>
      <c r="AO753">
        <f>IF(DAY(NOW())&lt;M3,INDIRECT(ADDRESS(753,40))-INDIRECT(ADDRESS(748,41))+INDIRECT(ADDRESS(749,41))-INDIRECT(ADDRESS(752,41)),INDIRECT(ADDRESS(753,40))-INDIRECT(ADDRESS(748,41))+INDIRECT(ADDRESS(751,41))-INDIRECT(ADDRESS(752,41)))</f>
        <v>0</v>
      </c>
      <c r="AP753">
        <f>IF(DAY(NOW())&lt;M3,INDIRECT(ADDRESS(753,41))-INDIRECT(ADDRESS(748,42))+INDIRECT(ADDRESS(749,42))-INDIRECT(ADDRESS(752,42)),INDIRECT(ADDRESS(753,41))-INDIRECT(ADDRESS(748,42))+INDIRECT(ADDRESS(751,42))-INDIRECT(ADDRESS(752,42)))</f>
        <v>0</v>
      </c>
      <c r="AQ753">
        <f>IF(DAY(NOW())&lt;M3,INDIRECT(ADDRESS(753,42))-INDIRECT(ADDRESS(748,43))+INDIRECT(ADDRESS(749,43))-INDIRECT(ADDRESS(752,43)),INDIRECT(ADDRESS(753,42))-INDIRECT(ADDRESS(748,43))+INDIRECT(ADDRESS(751,43))-INDIRECT(ADDRESS(752,43)))</f>
        <v>0</v>
      </c>
      <c r="AR753">
        <f>IF(DAY(NOW())&lt;M3,INDIRECT(ADDRESS(753,43))-INDIRECT(ADDRESS(748,44))+INDIRECT(ADDRESS(749,44))-INDIRECT(ADDRESS(752,44)),INDIRECT(ADDRESS(753,43))-INDIRECT(ADDRESS(748,44))+INDIRECT(ADDRESS(751,44))-INDIRECT(ADDRESS(752,44)))</f>
        <v>0</v>
      </c>
    </row>
    <row r="754" spans="1:76">
      <c r="A754" t="s">
        <v>31</v>
      </c>
      <c r="B754" t="s">
        <v>373</v>
      </c>
      <c r="C754" t="s">
        <v>365</v>
      </c>
      <c r="D754" t="s">
        <v>256</v>
      </c>
      <c r="E754">
        <v>4</v>
      </c>
      <c r="F754" t="s">
        <v>374</v>
      </c>
      <c r="K754" t="s">
        <v>308</v>
      </c>
      <c r="L754" t="s">
        <v>21</v>
      </c>
      <c r="M754">
        <f>sumifs(BOM!m:m,BOM!A:A,".1",BOM!B:B,"222-021000-000")</f>
        <v>0</v>
      </c>
      <c r="N754">
        <f>sumifs(BOM!n:n,BOM!A:A,".1",BOM!B:B,"222-021000-000")</f>
        <v>0</v>
      </c>
      <c r="O754">
        <f>sumifs(BOM!o:o,BOM!A:A,".1",BOM!B:B,"222-021000-000")</f>
        <v>0</v>
      </c>
      <c r="P754">
        <f>sumifs(BOM!p:p,BOM!A:A,".1",BOM!B:B,"222-021000-000")</f>
        <v>0</v>
      </c>
      <c r="Q754">
        <f>sumifs(BOM!q:q,BOM!A:A,".1",BOM!B:B,"222-021000-000")</f>
        <v>0</v>
      </c>
      <c r="R754">
        <f>sumifs(BOM!r:r,BOM!A:A,".1",BOM!B:B,"222-021000-000")</f>
        <v>0</v>
      </c>
      <c r="S754">
        <f>sumifs(BOM!s:s,BOM!A:A,".1",BOM!B:B,"222-021000-000")</f>
        <v>0</v>
      </c>
      <c r="T754">
        <f>sumifs(BOM!t:t,BOM!A:A,".1",BOM!B:B,"222-021000-000")</f>
        <v>0</v>
      </c>
      <c r="U754">
        <f>sumifs(BOM!u:u,BOM!A:A,".1",BOM!B:B,"222-021000-000")</f>
        <v>0</v>
      </c>
      <c r="V754">
        <f>sumifs(BOM!v:v,BOM!A:A,".1",BOM!B:B,"222-021000-000")</f>
        <v>0</v>
      </c>
      <c r="W754">
        <f>sumifs(BOM!w:w,BOM!A:A,".1",BOM!B:B,"222-021000-000")</f>
        <v>0</v>
      </c>
      <c r="X754">
        <f>sumifs(BOM!x:x,BOM!A:A,".1",BOM!B:B,"222-021000-000")</f>
        <v>0</v>
      </c>
      <c r="Y754">
        <f>sumifs(BOM!y:y,BOM!A:A,".1",BOM!B:B,"222-021000-000")</f>
        <v>0</v>
      </c>
      <c r="Z754">
        <f>sumifs(BOM!z:z,BOM!A:A,".1",BOM!B:B,"222-021000-000")</f>
        <v>0</v>
      </c>
      <c r="AA754">
        <f>sumifs(BOM!aa:aa,BOM!A:A,".1",BOM!B:B,"222-021000-000")</f>
        <v>0</v>
      </c>
      <c r="AB754">
        <f>sumifs(BOM!ab:ab,BOM!A:A,".1",BOM!B:B,"222-021000-000")</f>
        <v>0</v>
      </c>
      <c r="AC754">
        <f>sumifs(BOM!ac:ac,BOM!A:A,".1",BOM!B:B,"222-021000-000")</f>
        <v>0</v>
      </c>
      <c r="AD754">
        <f>sumifs(BOM!ad:ad,BOM!A:A,".1",BOM!B:B,"222-021000-000")</f>
        <v>0</v>
      </c>
      <c r="AE754">
        <f>sumifs(BOM!ae:ae,BOM!A:A,".1",BOM!B:B,"222-021000-000")</f>
        <v>0</v>
      </c>
      <c r="AF754">
        <f>sumifs(BOM!af:af,BOM!A:A,".1",BOM!B:B,"222-021000-000")</f>
        <v>0</v>
      </c>
      <c r="AG754">
        <f>sumifs(BOM!ag:ag,BOM!A:A,".1",BOM!B:B,"222-021000-000")</f>
        <v>0</v>
      </c>
      <c r="AH754">
        <f>sumifs(BOM!ah:ah,BOM!A:A,".1",BOM!B:B,"222-021000-000")</f>
        <v>0</v>
      </c>
      <c r="AI754">
        <f>sumifs(BOM!ai:ai,BOM!A:A,".1",BOM!B:B,"222-021000-000")</f>
        <v>0</v>
      </c>
      <c r="AJ754">
        <f>sumifs(BOM!aj:aj,BOM!A:A,".1",BOM!B:B,"222-021000-000")</f>
        <v>0</v>
      </c>
      <c r="AK754">
        <f>sumifs(BOM!ak:ak,BOM!A:A,".1",BOM!B:B,"222-021000-000")</f>
        <v>0</v>
      </c>
      <c r="AL754">
        <f>sumifs(BOM!al:al,BOM!A:A,".1",BOM!B:B,"222-021000-000")</f>
        <v>0</v>
      </c>
      <c r="AM754">
        <f>sumifs(BOM!am:am,BOM!A:A,".1",BOM!B:B,"222-021000-000")</f>
        <v>0</v>
      </c>
      <c r="AN754">
        <f>sumifs(BOM!an:an,BOM!A:A,".1",BOM!B:B,"222-021000-000")</f>
        <v>0</v>
      </c>
      <c r="AO754">
        <f>sumifs(BOM!ao:ao,BOM!A:A,".1",BOM!B:B,"222-021000-000")</f>
        <v>0</v>
      </c>
      <c r="AP754">
        <f>sumifs(BOM!ap:ap,BOM!A:A,".1",BOM!B:B,"222-021000-000")</f>
        <v>0</v>
      </c>
      <c r="AQ754">
        <f>sumifs(BOM!aq:aq,BOM!A:A,".1",BOM!B:B,"222-021000-000")</f>
        <v>0</v>
      </c>
      <c r="AR754">
        <f>sumifs(BOM!ar:ar,BOM!A:A,".1",BOM!B:B,"222-021000-000")</f>
        <v>0</v>
      </c>
      <c r="BX754">
        <f>sum(j754:an754)</f>
        <v>0</v>
      </c>
    </row>
    <row r="755" spans="1:76">
      <c r="A755" t="s">
        <v>31</v>
      </c>
      <c r="B755" t="s">
        <v>373</v>
      </c>
      <c r="C755" t="s">
        <v>365</v>
      </c>
      <c r="D755" t="s">
        <v>256</v>
      </c>
      <c r="E755">
        <v>4</v>
      </c>
      <c r="F755" t="s">
        <v>374</v>
      </c>
      <c r="K755" t="s">
        <v>308</v>
      </c>
      <c r="L755" t="s">
        <v>37</v>
      </c>
    </row>
    <row r="756" spans="1:76">
      <c r="L756" t="s">
        <v>662</v>
      </c>
    </row>
    <row r="757" spans="1:76">
      <c r="L757" t="s">
        <v>663</v>
      </c>
    </row>
    <row r="758" spans="1:76">
      <c r="L758" t="s">
        <v>664</v>
      </c>
    </row>
    <row r="759" spans="1:76">
      <c r="L759" t="s">
        <v>665</v>
      </c>
      <c r="M759">
        <f>IF(DAY(NOW())&lt;M3,INDIRECT(ADDRESS(759,7))-INDIRECT(ADDRESS(754,13))+INDIRECT(ADDRESS(755,13))-INDIRECT(ADDRESS(758,13)),INDIRECT(ADDRESS(759,7))-INDIRECT(ADDRESS(754,13))+INDIRECT(ADDRESS(757,13))-INDIRECT(ADDRESS(758,13)))</f>
        <v>0</v>
      </c>
      <c r="N759">
        <f>IF(DAY(NOW())&lt;M3,INDIRECT(ADDRESS(759,13))-INDIRECT(ADDRESS(754,14))+INDIRECT(ADDRESS(755,14))-INDIRECT(ADDRESS(758,14)),INDIRECT(ADDRESS(759,13))-INDIRECT(ADDRESS(754,14))+INDIRECT(ADDRESS(757,14))-INDIRECT(ADDRESS(758,14)))</f>
        <v>0</v>
      </c>
      <c r="O759">
        <f>IF(DAY(NOW())&lt;M3,INDIRECT(ADDRESS(759,14))-INDIRECT(ADDRESS(754,15))+INDIRECT(ADDRESS(755,15))-INDIRECT(ADDRESS(758,15)),INDIRECT(ADDRESS(759,14))-INDIRECT(ADDRESS(754,15))+INDIRECT(ADDRESS(757,15))-INDIRECT(ADDRESS(758,15)))</f>
        <v>0</v>
      </c>
      <c r="P759">
        <f>IF(DAY(NOW())&lt;M3,INDIRECT(ADDRESS(759,15))-INDIRECT(ADDRESS(754,16))+INDIRECT(ADDRESS(755,16))-INDIRECT(ADDRESS(758,16)),INDIRECT(ADDRESS(759,15))-INDIRECT(ADDRESS(754,16))+INDIRECT(ADDRESS(757,16))-INDIRECT(ADDRESS(758,16)))</f>
        <v>0</v>
      </c>
      <c r="Q759">
        <f>IF(DAY(NOW())&lt;M3,INDIRECT(ADDRESS(759,16))-INDIRECT(ADDRESS(754,17))+INDIRECT(ADDRESS(755,17))-INDIRECT(ADDRESS(758,17)),INDIRECT(ADDRESS(759,16))-INDIRECT(ADDRESS(754,17))+INDIRECT(ADDRESS(757,17))-INDIRECT(ADDRESS(758,17)))</f>
        <v>0</v>
      </c>
      <c r="R759">
        <f>IF(DAY(NOW())&lt;M3,INDIRECT(ADDRESS(759,17))-INDIRECT(ADDRESS(754,18))+INDIRECT(ADDRESS(755,18))-INDIRECT(ADDRESS(758,18)),INDIRECT(ADDRESS(759,17))-INDIRECT(ADDRESS(754,18))+INDIRECT(ADDRESS(757,18))-INDIRECT(ADDRESS(758,18)))</f>
        <v>0</v>
      </c>
      <c r="S759">
        <f>IF(DAY(NOW())&lt;M3,INDIRECT(ADDRESS(759,18))-INDIRECT(ADDRESS(754,19))+INDIRECT(ADDRESS(755,19))-INDIRECT(ADDRESS(758,19)),INDIRECT(ADDRESS(759,18))-INDIRECT(ADDRESS(754,19))+INDIRECT(ADDRESS(757,19))-INDIRECT(ADDRESS(758,19)))</f>
        <v>0</v>
      </c>
      <c r="T759">
        <f>IF(DAY(NOW())&lt;M3,INDIRECT(ADDRESS(759,19))-INDIRECT(ADDRESS(754,20))+INDIRECT(ADDRESS(755,20))-INDIRECT(ADDRESS(758,20)),INDIRECT(ADDRESS(759,19))-INDIRECT(ADDRESS(754,20))+INDIRECT(ADDRESS(757,20))-INDIRECT(ADDRESS(758,20)))</f>
        <v>0</v>
      </c>
      <c r="U759">
        <f>IF(DAY(NOW())&lt;M3,INDIRECT(ADDRESS(759,20))-INDIRECT(ADDRESS(754,21))+INDIRECT(ADDRESS(755,21))-INDIRECT(ADDRESS(758,21)),INDIRECT(ADDRESS(759,20))-INDIRECT(ADDRESS(754,21))+INDIRECT(ADDRESS(757,21))-INDIRECT(ADDRESS(758,21)))</f>
        <v>0</v>
      </c>
      <c r="V759">
        <f>IF(DAY(NOW())&lt;M3,INDIRECT(ADDRESS(759,21))-INDIRECT(ADDRESS(754,22))+INDIRECT(ADDRESS(755,22))-INDIRECT(ADDRESS(758,22)),INDIRECT(ADDRESS(759,21))-INDIRECT(ADDRESS(754,22))+INDIRECT(ADDRESS(757,22))-INDIRECT(ADDRESS(758,22)))</f>
        <v>0</v>
      </c>
      <c r="W759">
        <f>IF(DAY(NOW())&lt;M3,INDIRECT(ADDRESS(759,22))-INDIRECT(ADDRESS(754,23))+INDIRECT(ADDRESS(755,23))-INDIRECT(ADDRESS(758,23)),INDIRECT(ADDRESS(759,22))-INDIRECT(ADDRESS(754,23))+INDIRECT(ADDRESS(757,23))-INDIRECT(ADDRESS(758,23)))</f>
        <v>0</v>
      </c>
      <c r="X759">
        <f>IF(DAY(NOW())&lt;M3,INDIRECT(ADDRESS(759,23))-INDIRECT(ADDRESS(754,24))+INDIRECT(ADDRESS(755,24))-INDIRECT(ADDRESS(758,24)),INDIRECT(ADDRESS(759,23))-INDIRECT(ADDRESS(754,24))+INDIRECT(ADDRESS(757,24))-INDIRECT(ADDRESS(758,24)))</f>
        <v>0</v>
      </c>
      <c r="Y759">
        <f>IF(DAY(NOW())&lt;M3,INDIRECT(ADDRESS(759,24))-INDIRECT(ADDRESS(754,25))+INDIRECT(ADDRESS(755,25))-INDIRECT(ADDRESS(758,25)),INDIRECT(ADDRESS(759,24))-INDIRECT(ADDRESS(754,25))+INDIRECT(ADDRESS(757,25))-INDIRECT(ADDRESS(758,25)))</f>
        <v>0</v>
      </c>
      <c r="Z759">
        <f>IF(DAY(NOW())&lt;M3,INDIRECT(ADDRESS(759,25))-INDIRECT(ADDRESS(754,26))+INDIRECT(ADDRESS(755,26))-INDIRECT(ADDRESS(758,26)),INDIRECT(ADDRESS(759,25))-INDIRECT(ADDRESS(754,26))+INDIRECT(ADDRESS(757,26))-INDIRECT(ADDRESS(758,26)))</f>
        <v>0</v>
      </c>
      <c r="AA759">
        <f>IF(DAY(NOW())&lt;M3,INDIRECT(ADDRESS(759,26))-INDIRECT(ADDRESS(754,27))+INDIRECT(ADDRESS(755,27))-INDIRECT(ADDRESS(758,27)),INDIRECT(ADDRESS(759,26))-INDIRECT(ADDRESS(754,27))+INDIRECT(ADDRESS(757,27))-INDIRECT(ADDRESS(758,27)))</f>
        <v>0</v>
      </c>
      <c r="AB759">
        <f>IF(DAY(NOW())&lt;M3,INDIRECT(ADDRESS(759,27))-INDIRECT(ADDRESS(754,28))+INDIRECT(ADDRESS(755,28))-INDIRECT(ADDRESS(758,28)),INDIRECT(ADDRESS(759,27))-INDIRECT(ADDRESS(754,28))+INDIRECT(ADDRESS(757,28))-INDIRECT(ADDRESS(758,28)))</f>
        <v>0</v>
      </c>
      <c r="AC759">
        <f>IF(DAY(NOW())&lt;M3,INDIRECT(ADDRESS(759,28))-INDIRECT(ADDRESS(754,29))+INDIRECT(ADDRESS(755,29))-INDIRECT(ADDRESS(758,29)),INDIRECT(ADDRESS(759,28))-INDIRECT(ADDRESS(754,29))+INDIRECT(ADDRESS(757,29))-INDIRECT(ADDRESS(758,29)))</f>
        <v>0</v>
      </c>
      <c r="AD759">
        <f>IF(DAY(NOW())&lt;M3,INDIRECT(ADDRESS(759,29))-INDIRECT(ADDRESS(754,30))+INDIRECT(ADDRESS(755,30))-INDIRECT(ADDRESS(758,30)),INDIRECT(ADDRESS(759,29))-INDIRECT(ADDRESS(754,30))+INDIRECT(ADDRESS(757,30))-INDIRECT(ADDRESS(758,30)))</f>
        <v>0</v>
      </c>
      <c r="AE759">
        <f>IF(DAY(NOW())&lt;M3,INDIRECT(ADDRESS(759,30))-INDIRECT(ADDRESS(754,31))+INDIRECT(ADDRESS(755,31))-INDIRECT(ADDRESS(758,31)),INDIRECT(ADDRESS(759,30))-INDIRECT(ADDRESS(754,31))+INDIRECT(ADDRESS(757,31))-INDIRECT(ADDRESS(758,31)))</f>
        <v>0</v>
      </c>
      <c r="AF759">
        <f>IF(DAY(NOW())&lt;M3,INDIRECT(ADDRESS(759,31))-INDIRECT(ADDRESS(754,32))+INDIRECT(ADDRESS(755,32))-INDIRECT(ADDRESS(758,32)),INDIRECT(ADDRESS(759,31))-INDIRECT(ADDRESS(754,32))+INDIRECT(ADDRESS(757,32))-INDIRECT(ADDRESS(758,32)))</f>
        <v>0</v>
      </c>
      <c r="AG759">
        <f>IF(DAY(NOW())&lt;M3,INDIRECT(ADDRESS(759,32))-INDIRECT(ADDRESS(754,33))+INDIRECT(ADDRESS(755,33))-INDIRECT(ADDRESS(758,33)),INDIRECT(ADDRESS(759,32))-INDIRECT(ADDRESS(754,33))+INDIRECT(ADDRESS(757,33))-INDIRECT(ADDRESS(758,33)))</f>
        <v>0</v>
      </c>
      <c r="AH759">
        <f>IF(DAY(NOW())&lt;M3,INDIRECT(ADDRESS(759,33))-INDIRECT(ADDRESS(754,34))+INDIRECT(ADDRESS(755,34))-INDIRECT(ADDRESS(758,34)),INDIRECT(ADDRESS(759,33))-INDIRECT(ADDRESS(754,34))+INDIRECT(ADDRESS(757,34))-INDIRECT(ADDRESS(758,34)))</f>
        <v>0</v>
      </c>
      <c r="AI759">
        <f>IF(DAY(NOW())&lt;M3,INDIRECT(ADDRESS(759,34))-INDIRECT(ADDRESS(754,35))+INDIRECT(ADDRESS(755,35))-INDIRECT(ADDRESS(758,35)),INDIRECT(ADDRESS(759,34))-INDIRECT(ADDRESS(754,35))+INDIRECT(ADDRESS(757,35))-INDIRECT(ADDRESS(758,35)))</f>
        <v>0</v>
      </c>
      <c r="AJ759">
        <f>IF(DAY(NOW())&lt;M3,INDIRECT(ADDRESS(759,35))-INDIRECT(ADDRESS(754,36))+INDIRECT(ADDRESS(755,36))-INDIRECT(ADDRESS(758,36)),INDIRECT(ADDRESS(759,35))-INDIRECT(ADDRESS(754,36))+INDIRECT(ADDRESS(757,36))-INDIRECT(ADDRESS(758,36)))</f>
        <v>0</v>
      </c>
      <c r="AK759">
        <f>IF(DAY(NOW())&lt;M3,INDIRECT(ADDRESS(759,36))-INDIRECT(ADDRESS(754,37))+INDIRECT(ADDRESS(755,37))-INDIRECT(ADDRESS(758,37)),INDIRECT(ADDRESS(759,36))-INDIRECT(ADDRESS(754,37))+INDIRECT(ADDRESS(757,37))-INDIRECT(ADDRESS(758,37)))</f>
        <v>0</v>
      </c>
      <c r="AL759">
        <f>IF(DAY(NOW())&lt;M3,INDIRECT(ADDRESS(759,37))-INDIRECT(ADDRESS(754,38))+INDIRECT(ADDRESS(755,38))-INDIRECT(ADDRESS(758,38)),INDIRECT(ADDRESS(759,37))-INDIRECT(ADDRESS(754,38))+INDIRECT(ADDRESS(757,38))-INDIRECT(ADDRESS(758,38)))</f>
        <v>0</v>
      </c>
      <c r="AM759">
        <f>IF(DAY(NOW())&lt;M3,INDIRECT(ADDRESS(759,38))-INDIRECT(ADDRESS(754,39))+INDIRECT(ADDRESS(755,39))-INDIRECT(ADDRESS(758,39)),INDIRECT(ADDRESS(759,38))-INDIRECT(ADDRESS(754,39))+INDIRECT(ADDRESS(757,39))-INDIRECT(ADDRESS(758,39)))</f>
        <v>0</v>
      </c>
      <c r="AN759">
        <f>IF(DAY(NOW())&lt;M3,INDIRECT(ADDRESS(759,39))-INDIRECT(ADDRESS(754,40))+INDIRECT(ADDRESS(755,40))-INDIRECT(ADDRESS(758,40)),INDIRECT(ADDRESS(759,39))-INDIRECT(ADDRESS(754,40))+INDIRECT(ADDRESS(757,40))-INDIRECT(ADDRESS(758,40)))</f>
        <v>0</v>
      </c>
      <c r="AO759">
        <f>IF(DAY(NOW())&lt;M3,INDIRECT(ADDRESS(759,40))-INDIRECT(ADDRESS(754,41))+INDIRECT(ADDRESS(755,41))-INDIRECT(ADDRESS(758,41)),INDIRECT(ADDRESS(759,40))-INDIRECT(ADDRESS(754,41))+INDIRECT(ADDRESS(757,41))-INDIRECT(ADDRESS(758,41)))</f>
        <v>0</v>
      </c>
      <c r="AP759">
        <f>IF(DAY(NOW())&lt;M3,INDIRECT(ADDRESS(759,41))-INDIRECT(ADDRESS(754,42))+INDIRECT(ADDRESS(755,42))-INDIRECT(ADDRESS(758,42)),INDIRECT(ADDRESS(759,41))-INDIRECT(ADDRESS(754,42))+INDIRECT(ADDRESS(757,42))-INDIRECT(ADDRESS(758,42)))</f>
        <v>0</v>
      </c>
      <c r="AQ759">
        <f>IF(DAY(NOW())&lt;M3,INDIRECT(ADDRESS(759,42))-INDIRECT(ADDRESS(754,43))+INDIRECT(ADDRESS(755,43))-INDIRECT(ADDRESS(758,43)),INDIRECT(ADDRESS(759,42))-INDIRECT(ADDRESS(754,43))+INDIRECT(ADDRESS(757,43))-INDIRECT(ADDRESS(758,43)))</f>
        <v>0</v>
      </c>
      <c r="AR759">
        <f>IF(DAY(NOW())&lt;M3,INDIRECT(ADDRESS(759,43))-INDIRECT(ADDRESS(754,44))+INDIRECT(ADDRESS(755,44))-INDIRECT(ADDRESS(758,44)),INDIRECT(ADDRESS(759,43))-INDIRECT(ADDRESS(754,44))+INDIRECT(ADDRESS(757,44))-INDIRECT(ADDRESS(758,44)))</f>
        <v>0</v>
      </c>
    </row>
    <row r="760" spans="1:76">
      <c r="A760" t="s">
        <v>31</v>
      </c>
      <c r="B760" t="s">
        <v>375</v>
      </c>
      <c r="C760" t="s">
        <v>376</v>
      </c>
      <c r="D760" t="s">
        <v>256</v>
      </c>
      <c r="E760">
        <v>2</v>
      </c>
      <c r="F760" t="s">
        <v>377</v>
      </c>
      <c r="K760" t="s">
        <v>308</v>
      </c>
      <c r="L760" t="s">
        <v>21</v>
      </c>
      <c r="M760">
        <f>sumifs(BOM!m:m,BOM!A:A,".1",BOM!B:B,"212-022000-000")</f>
        <v>0</v>
      </c>
      <c r="N760">
        <f>sumifs(BOM!n:n,BOM!A:A,".1",BOM!B:B,"212-022000-000")</f>
        <v>0</v>
      </c>
      <c r="O760">
        <f>sumifs(BOM!o:o,BOM!A:A,".1",BOM!B:B,"212-022000-000")</f>
        <v>0</v>
      </c>
      <c r="P760">
        <f>sumifs(BOM!p:p,BOM!A:A,".1",BOM!B:B,"212-022000-000")</f>
        <v>0</v>
      </c>
      <c r="Q760">
        <f>sumifs(BOM!q:q,BOM!A:A,".1",BOM!B:B,"212-022000-000")</f>
        <v>0</v>
      </c>
      <c r="R760">
        <f>sumifs(BOM!r:r,BOM!A:A,".1",BOM!B:B,"212-022000-000")</f>
        <v>0</v>
      </c>
      <c r="S760">
        <f>sumifs(BOM!s:s,BOM!A:A,".1",BOM!B:B,"212-022000-000")</f>
        <v>0</v>
      </c>
      <c r="T760">
        <f>sumifs(BOM!t:t,BOM!A:A,".1",BOM!B:B,"212-022000-000")</f>
        <v>0</v>
      </c>
      <c r="U760">
        <f>sumifs(BOM!u:u,BOM!A:A,".1",BOM!B:B,"212-022000-000")</f>
        <v>0</v>
      </c>
      <c r="V760">
        <f>sumifs(BOM!v:v,BOM!A:A,".1",BOM!B:B,"212-022000-000")</f>
        <v>0</v>
      </c>
      <c r="W760">
        <f>sumifs(BOM!w:w,BOM!A:A,".1",BOM!B:B,"212-022000-000")</f>
        <v>0</v>
      </c>
      <c r="X760">
        <f>sumifs(BOM!x:x,BOM!A:A,".1",BOM!B:B,"212-022000-000")</f>
        <v>0</v>
      </c>
      <c r="Y760">
        <f>sumifs(BOM!y:y,BOM!A:A,".1",BOM!B:B,"212-022000-000")</f>
        <v>0</v>
      </c>
      <c r="Z760">
        <f>sumifs(BOM!z:z,BOM!A:A,".1",BOM!B:B,"212-022000-000")</f>
        <v>0</v>
      </c>
      <c r="AA760">
        <f>sumifs(BOM!aa:aa,BOM!A:A,".1",BOM!B:B,"212-022000-000")</f>
        <v>0</v>
      </c>
      <c r="AB760">
        <f>sumifs(BOM!ab:ab,BOM!A:A,".1",BOM!B:B,"212-022000-000")</f>
        <v>0</v>
      </c>
      <c r="AC760">
        <f>sumifs(BOM!ac:ac,BOM!A:A,".1",BOM!B:B,"212-022000-000")</f>
        <v>0</v>
      </c>
      <c r="AD760">
        <f>sumifs(BOM!ad:ad,BOM!A:A,".1",BOM!B:B,"212-022000-000")</f>
        <v>0</v>
      </c>
      <c r="AE760">
        <f>sumifs(BOM!ae:ae,BOM!A:A,".1",BOM!B:B,"212-022000-000")</f>
        <v>0</v>
      </c>
      <c r="AF760">
        <f>sumifs(BOM!af:af,BOM!A:A,".1",BOM!B:B,"212-022000-000")</f>
        <v>0</v>
      </c>
      <c r="AG760">
        <f>sumifs(BOM!ag:ag,BOM!A:A,".1",BOM!B:B,"212-022000-000")</f>
        <v>0</v>
      </c>
      <c r="AH760">
        <f>sumifs(BOM!ah:ah,BOM!A:A,".1",BOM!B:B,"212-022000-000")</f>
        <v>0</v>
      </c>
      <c r="AI760">
        <f>sumifs(BOM!ai:ai,BOM!A:A,".1",BOM!B:B,"212-022000-000")</f>
        <v>0</v>
      </c>
      <c r="AJ760">
        <f>sumifs(BOM!aj:aj,BOM!A:A,".1",BOM!B:B,"212-022000-000")</f>
        <v>0</v>
      </c>
      <c r="AK760">
        <f>sumifs(BOM!ak:ak,BOM!A:A,".1",BOM!B:B,"212-022000-000")</f>
        <v>0</v>
      </c>
      <c r="AL760">
        <f>sumifs(BOM!al:al,BOM!A:A,".1",BOM!B:B,"212-022000-000")</f>
        <v>0</v>
      </c>
      <c r="AM760">
        <f>sumifs(BOM!am:am,BOM!A:A,".1",BOM!B:B,"212-022000-000")</f>
        <v>0</v>
      </c>
      <c r="AN760">
        <f>sumifs(BOM!an:an,BOM!A:A,".1",BOM!B:B,"212-022000-000")</f>
        <v>0</v>
      </c>
      <c r="AO760">
        <f>sumifs(BOM!ao:ao,BOM!A:A,".1",BOM!B:B,"212-022000-000")</f>
        <v>0</v>
      </c>
      <c r="AP760">
        <f>sumifs(BOM!ap:ap,BOM!A:A,".1",BOM!B:B,"212-022000-000")</f>
        <v>0</v>
      </c>
      <c r="AQ760">
        <f>sumifs(BOM!aq:aq,BOM!A:A,".1",BOM!B:B,"212-022000-000")</f>
        <v>0</v>
      </c>
      <c r="AR760">
        <f>sumifs(BOM!ar:ar,BOM!A:A,".1",BOM!B:B,"212-022000-000")</f>
        <v>0</v>
      </c>
      <c r="BX760">
        <f>sum(j760:an760)</f>
        <v>0</v>
      </c>
    </row>
    <row r="761" spans="1:76">
      <c r="A761" t="s">
        <v>31</v>
      </c>
      <c r="B761" t="s">
        <v>375</v>
      </c>
      <c r="C761" t="s">
        <v>376</v>
      </c>
      <c r="D761" t="s">
        <v>256</v>
      </c>
      <c r="E761">
        <v>2</v>
      </c>
      <c r="F761" t="s">
        <v>377</v>
      </c>
      <c r="K761" t="s">
        <v>308</v>
      </c>
      <c r="L761" t="s">
        <v>37</v>
      </c>
    </row>
    <row r="762" spans="1:76">
      <c r="L762" t="s">
        <v>662</v>
      </c>
    </row>
    <row r="763" spans="1:76">
      <c r="L763" t="s">
        <v>663</v>
      </c>
    </row>
    <row r="764" spans="1:76">
      <c r="L764" t="s">
        <v>664</v>
      </c>
    </row>
    <row r="765" spans="1:76">
      <c r="L765" t="s">
        <v>665</v>
      </c>
      <c r="M765">
        <f>IF(DAY(NOW())&lt;M3,INDIRECT(ADDRESS(765,7))-INDIRECT(ADDRESS(760,13))+INDIRECT(ADDRESS(761,13))-INDIRECT(ADDRESS(764,13)),INDIRECT(ADDRESS(765,7))-INDIRECT(ADDRESS(760,13))+INDIRECT(ADDRESS(763,13))-INDIRECT(ADDRESS(764,13)))</f>
        <v>0</v>
      </c>
      <c r="N765">
        <f>IF(DAY(NOW())&lt;M3,INDIRECT(ADDRESS(765,13))-INDIRECT(ADDRESS(760,14))+INDIRECT(ADDRESS(761,14))-INDIRECT(ADDRESS(764,14)),INDIRECT(ADDRESS(765,13))-INDIRECT(ADDRESS(760,14))+INDIRECT(ADDRESS(763,14))-INDIRECT(ADDRESS(764,14)))</f>
        <v>0</v>
      </c>
      <c r="O765">
        <f>IF(DAY(NOW())&lt;M3,INDIRECT(ADDRESS(765,14))-INDIRECT(ADDRESS(760,15))+INDIRECT(ADDRESS(761,15))-INDIRECT(ADDRESS(764,15)),INDIRECT(ADDRESS(765,14))-INDIRECT(ADDRESS(760,15))+INDIRECT(ADDRESS(763,15))-INDIRECT(ADDRESS(764,15)))</f>
        <v>0</v>
      </c>
      <c r="P765">
        <f>IF(DAY(NOW())&lt;M3,INDIRECT(ADDRESS(765,15))-INDIRECT(ADDRESS(760,16))+INDIRECT(ADDRESS(761,16))-INDIRECT(ADDRESS(764,16)),INDIRECT(ADDRESS(765,15))-INDIRECT(ADDRESS(760,16))+INDIRECT(ADDRESS(763,16))-INDIRECT(ADDRESS(764,16)))</f>
        <v>0</v>
      </c>
      <c r="Q765">
        <f>IF(DAY(NOW())&lt;M3,INDIRECT(ADDRESS(765,16))-INDIRECT(ADDRESS(760,17))+INDIRECT(ADDRESS(761,17))-INDIRECT(ADDRESS(764,17)),INDIRECT(ADDRESS(765,16))-INDIRECT(ADDRESS(760,17))+INDIRECT(ADDRESS(763,17))-INDIRECT(ADDRESS(764,17)))</f>
        <v>0</v>
      </c>
      <c r="R765">
        <f>IF(DAY(NOW())&lt;M3,INDIRECT(ADDRESS(765,17))-INDIRECT(ADDRESS(760,18))+INDIRECT(ADDRESS(761,18))-INDIRECT(ADDRESS(764,18)),INDIRECT(ADDRESS(765,17))-INDIRECT(ADDRESS(760,18))+INDIRECT(ADDRESS(763,18))-INDIRECT(ADDRESS(764,18)))</f>
        <v>0</v>
      </c>
      <c r="S765">
        <f>IF(DAY(NOW())&lt;M3,INDIRECT(ADDRESS(765,18))-INDIRECT(ADDRESS(760,19))+INDIRECT(ADDRESS(761,19))-INDIRECT(ADDRESS(764,19)),INDIRECT(ADDRESS(765,18))-INDIRECT(ADDRESS(760,19))+INDIRECT(ADDRESS(763,19))-INDIRECT(ADDRESS(764,19)))</f>
        <v>0</v>
      </c>
      <c r="T765">
        <f>IF(DAY(NOW())&lt;M3,INDIRECT(ADDRESS(765,19))-INDIRECT(ADDRESS(760,20))+INDIRECT(ADDRESS(761,20))-INDIRECT(ADDRESS(764,20)),INDIRECT(ADDRESS(765,19))-INDIRECT(ADDRESS(760,20))+INDIRECT(ADDRESS(763,20))-INDIRECT(ADDRESS(764,20)))</f>
        <v>0</v>
      </c>
      <c r="U765">
        <f>IF(DAY(NOW())&lt;M3,INDIRECT(ADDRESS(765,20))-INDIRECT(ADDRESS(760,21))+INDIRECT(ADDRESS(761,21))-INDIRECT(ADDRESS(764,21)),INDIRECT(ADDRESS(765,20))-INDIRECT(ADDRESS(760,21))+INDIRECT(ADDRESS(763,21))-INDIRECT(ADDRESS(764,21)))</f>
        <v>0</v>
      </c>
      <c r="V765">
        <f>IF(DAY(NOW())&lt;M3,INDIRECT(ADDRESS(765,21))-INDIRECT(ADDRESS(760,22))+INDIRECT(ADDRESS(761,22))-INDIRECT(ADDRESS(764,22)),INDIRECT(ADDRESS(765,21))-INDIRECT(ADDRESS(760,22))+INDIRECT(ADDRESS(763,22))-INDIRECT(ADDRESS(764,22)))</f>
        <v>0</v>
      </c>
      <c r="W765">
        <f>IF(DAY(NOW())&lt;M3,INDIRECT(ADDRESS(765,22))-INDIRECT(ADDRESS(760,23))+INDIRECT(ADDRESS(761,23))-INDIRECT(ADDRESS(764,23)),INDIRECT(ADDRESS(765,22))-INDIRECT(ADDRESS(760,23))+INDIRECT(ADDRESS(763,23))-INDIRECT(ADDRESS(764,23)))</f>
        <v>0</v>
      </c>
      <c r="X765">
        <f>IF(DAY(NOW())&lt;M3,INDIRECT(ADDRESS(765,23))-INDIRECT(ADDRESS(760,24))+INDIRECT(ADDRESS(761,24))-INDIRECT(ADDRESS(764,24)),INDIRECT(ADDRESS(765,23))-INDIRECT(ADDRESS(760,24))+INDIRECT(ADDRESS(763,24))-INDIRECT(ADDRESS(764,24)))</f>
        <v>0</v>
      </c>
      <c r="Y765">
        <f>IF(DAY(NOW())&lt;M3,INDIRECT(ADDRESS(765,24))-INDIRECT(ADDRESS(760,25))+INDIRECT(ADDRESS(761,25))-INDIRECT(ADDRESS(764,25)),INDIRECT(ADDRESS(765,24))-INDIRECT(ADDRESS(760,25))+INDIRECT(ADDRESS(763,25))-INDIRECT(ADDRESS(764,25)))</f>
        <v>0</v>
      </c>
      <c r="Z765">
        <f>IF(DAY(NOW())&lt;M3,INDIRECT(ADDRESS(765,25))-INDIRECT(ADDRESS(760,26))+INDIRECT(ADDRESS(761,26))-INDIRECT(ADDRESS(764,26)),INDIRECT(ADDRESS(765,25))-INDIRECT(ADDRESS(760,26))+INDIRECT(ADDRESS(763,26))-INDIRECT(ADDRESS(764,26)))</f>
        <v>0</v>
      </c>
      <c r="AA765">
        <f>IF(DAY(NOW())&lt;M3,INDIRECT(ADDRESS(765,26))-INDIRECT(ADDRESS(760,27))+INDIRECT(ADDRESS(761,27))-INDIRECT(ADDRESS(764,27)),INDIRECT(ADDRESS(765,26))-INDIRECT(ADDRESS(760,27))+INDIRECT(ADDRESS(763,27))-INDIRECT(ADDRESS(764,27)))</f>
        <v>0</v>
      </c>
      <c r="AB765">
        <f>IF(DAY(NOW())&lt;M3,INDIRECT(ADDRESS(765,27))-INDIRECT(ADDRESS(760,28))+INDIRECT(ADDRESS(761,28))-INDIRECT(ADDRESS(764,28)),INDIRECT(ADDRESS(765,27))-INDIRECT(ADDRESS(760,28))+INDIRECT(ADDRESS(763,28))-INDIRECT(ADDRESS(764,28)))</f>
        <v>0</v>
      </c>
      <c r="AC765">
        <f>IF(DAY(NOW())&lt;M3,INDIRECT(ADDRESS(765,28))-INDIRECT(ADDRESS(760,29))+INDIRECT(ADDRESS(761,29))-INDIRECT(ADDRESS(764,29)),INDIRECT(ADDRESS(765,28))-INDIRECT(ADDRESS(760,29))+INDIRECT(ADDRESS(763,29))-INDIRECT(ADDRESS(764,29)))</f>
        <v>0</v>
      </c>
      <c r="AD765">
        <f>IF(DAY(NOW())&lt;M3,INDIRECT(ADDRESS(765,29))-INDIRECT(ADDRESS(760,30))+INDIRECT(ADDRESS(761,30))-INDIRECT(ADDRESS(764,30)),INDIRECT(ADDRESS(765,29))-INDIRECT(ADDRESS(760,30))+INDIRECT(ADDRESS(763,30))-INDIRECT(ADDRESS(764,30)))</f>
        <v>0</v>
      </c>
      <c r="AE765">
        <f>IF(DAY(NOW())&lt;M3,INDIRECT(ADDRESS(765,30))-INDIRECT(ADDRESS(760,31))+INDIRECT(ADDRESS(761,31))-INDIRECT(ADDRESS(764,31)),INDIRECT(ADDRESS(765,30))-INDIRECT(ADDRESS(760,31))+INDIRECT(ADDRESS(763,31))-INDIRECT(ADDRESS(764,31)))</f>
        <v>0</v>
      </c>
      <c r="AF765">
        <f>IF(DAY(NOW())&lt;M3,INDIRECT(ADDRESS(765,31))-INDIRECT(ADDRESS(760,32))+INDIRECT(ADDRESS(761,32))-INDIRECT(ADDRESS(764,32)),INDIRECT(ADDRESS(765,31))-INDIRECT(ADDRESS(760,32))+INDIRECT(ADDRESS(763,32))-INDIRECT(ADDRESS(764,32)))</f>
        <v>0</v>
      </c>
      <c r="AG765">
        <f>IF(DAY(NOW())&lt;M3,INDIRECT(ADDRESS(765,32))-INDIRECT(ADDRESS(760,33))+INDIRECT(ADDRESS(761,33))-INDIRECT(ADDRESS(764,33)),INDIRECT(ADDRESS(765,32))-INDIRECT(ADDRESS(760,33))+INDIRECT(ADDRESS(763,33))-INDIRECT(ADDRESS(764,33)))</f>
        <v>0</v>
      </c>
      <c r="AH765">
        <f>IF(DAY(NOW())&lt;M3,INDIRECT(ADDRESS(765,33))-INDIRECT(ADDRESS(760,34))+INDIRECT(ADDRESS(761,34))-INDIRECT(ADDRESS(764,34)),INDIRECT(ADDRESS(765,33))-INDIRECT(ADDRESS(760,34))+INDIRECT(ADDRESS(763,34))-INDIRECT(ADDRESS(764,34)))</f>
        <v>0</v>
      </c>
      <c r="AI765">
        <f>IF(DAY(NOW())&lt;M3,INDIRECT(ADDRESS(765,34))-INDIRECT(ADDRESS(760,35))+INDIRECT(ADDRESS(761,35))-INDIRECT(ADDRESS(764,35)),INDIRECT(ADDRESS(765,34))-INDIRECT(ADDRESS(760,35))+INDIRECT(ADDRESS(763,35))-INDIRECT(ADDRESS(764,35)))</f>
        <v>0</v>
      </c>
      <c r="AJ765">
        <f>IF(DAY(NOW())&lt;M3,INDIRECT(ADDRESS(765,35))-INDIRECT(ADDRESS(760,36))+INDIRECT(ADDRESS(761,36))-INDIRECT(ADDRESS(764,36)),INDIRECT(ADDRESS(765,35))-INDIRECT(ADDRESS(760,36))+INDIRECT(ADDRESS(763,36))-INDIRECT(ADDRESS(764,36)))</f>
        <v>0</v>
      </c>
      <c r="AK765">
        <f>IF(DAY(NOW())&lt;M3,INDIRECT(ADDRESS(765,36))-INDIRECT(ADDRESS(760,37))+INDIRECT(ADDRESS(761,37))-INDIRECT(ADDRESS(764,37)),INDIRECT(ADDRESS(765,36))-INDIRECT(ADDRESS(760,37))+INDIRECT(ADDRESS(763,37))-INDIRECT(ADDRESS(764,37)))</f>
        <v>0</v>
      </c>
      <c r="AL765">
        <f>IF(DAY(NOW())&lt;M3,INDIRECT(ADDRESS(765,37))-INDIRECT(ADDRESS(760,38))+INDIRECT(ADDRESS(761,38))-INDIRECT(ADDRESS(764,38)),INDIRECT(ADDRESS(765,37))-INDIRECT(ADDRESS(760,38))+INDIRECT(ADDRESS(763,38))-INDIRECT(ADDRESS(764,38)))</f>
        <v>0</v>
      </c>
      <c r="AM765">
        <f>IF(DAY(NOW())&lt;M3,INDIRECT(ADDRESS(765,38))-INDIRECT(ADDRESS(760,39))+INDIRECT(ADDRESS(761,39))-INDIRECT(ADDRESS(764,39)),INDIRECT(ADDRESS(765,38))-INDIRECT(ADDRESS(760,39))+INDIRECT(ADDRESS(763,39))-INDIRECT(ADDRESS(764,39)))</f>
        <v>0</v>
      </c>
      <c r="AN765">
        <f>IF(DAY(NOW())&lt;M3,INDIRECT(ADDRESS(765,39))-INDIRECT(ADDRESS(760,40))+INDIRECT(ADDRESS(761,40))-INDIRECT(ADDRESS(764,40)),INDIRECT(ADDRESS(765,39))-INDIRECT(ADDRESS(760,40))+INDIRECT(ADDRESS(763,40))-INDIRECT(ADDRESS(764,40)))</f>
        <v>0</v>
      </c>
      <c r="AO765">
        <f>IF(DAY(NOW())&lt;M3,INDIRECT(ADDRESS(765,40))-INDIRECT(ADDRESS(760,41))+INDIRECT(ADDRESS(761,41))-INDIRECT(ADDRESS(764,41)),INDIRECT(ADDRESS(765,40))-INDIRECT(ADDRESS(760,41))+INDIRECT(ADDRESS(763,41))-INDIRECT(ADDRESS(764,41)))</f>
        <v>0</v>
      </c>
      <c r="AP765">
        <f>IF(DAY(NOW())&lt;M3,INDIRECT(ADDRESS(765,41))-INDIRECT(ADDRESS(760,42))+INDIRECT(ADDRESS(761,42))-INDIRECT(ADDRESS(764,42)),INDIRECT(ADDRESS(765,41))-INDIRECT(ADDRESS(760,42))+INDIRECT(ADDRESS(763,42))-INDIRECT(ADDRESS(764,42)))</f>
        <v>0</v>
      </c>
      <c r="AQ765">
        <f>IF(DAY(NOW())&lt;M3,INDIRECT(ADDRESS(765,42))-INDIRECT(ADDRESS(760,43))+INDIRECT(ADDRESS(761,43))-INDIRECT(ADDRESS(764,43)),INDIRECT(ADDRESS(765,42))-INDIRECT(ADDRESS(760,43))+INDIRECT(ADDRESS(763,43))-INDIRECT(ADDRESS(764,43)))</f>
        <v>0</v>
      </c>
      <c r="AR765">
        <f>IF(DAY(NOW())&lt;M3,INDIRECT(ADDRESS(765,43))-INDIRECT(ADDRESS(760,44))+INDIRECT(ADDRESS(761,44))-INDIRECT(ADDRESS(764,44)),INDIRECT(ADDRESS(765,43))-INDIRECT(ADDRESS(760,44))+INDIRECT(ADDRESS(763,44))-INDIRECT(ADDRESS(764,44)))</f>
        <v>0</v>
      </c>
    </row>
    <row r="766" spans="1:76">
      <c r="A766" t="s">
        <v>31</v>
      </c>
      <c r="B766" t="s">
        <v>378</v>
      </c>
      <c r="C766" t="s">
        <v>379</v>
      </c>
      <c r="D766" t="s">
        <v>256</v>
      </c>
      <c r="E766">
        <v>1</v>
      </c>
      <c r="F766" t="s">
        <v>380</v>
      </c>
      <c r="K766" t="s">
        <v>308</v>
      </c>
      <c r="L766" t="s">
        <v>21</v>
      </c>
      <c r="M766">
        <f>sumifs(BOM!m:m,BOM!A:A,".1",BOM!B:B,"212-039000-000")</f>
        <v>0</v>
      </c>
      <c r="N766">
        <f>sumifs(BOM!n:n,BOM!A:A,".1",BOM!B:B,"212-039000-000")</f>
        <v>0</v>
      </c>
      <c r="O766">
        <f>sumifs(BOM!o:o,BOM!A:A,".1",BOM!B:B,"212-039000-000")</f>
        <v>0</v>
      </c>
      <c r="P766">
        <f>sumifs(BOM!p:p,BOM!A:A,".1",BOM!B:B,"212-039000-000")</f>
        <v>0</v>
      </c>
      <c r="Q766">
        <f>sumifs(BOM!q:q,BOM!A:A,".1",BOM!B:B,"212-039000-000")</f>
        <v>0</v>
      </c>
      <c r="R766">
        <f>sumifs(BOM!r:r,BOM!A:A,".1",BOM!B:B,"212-039000-000")</f>
        <v>0</v>
      </c>
      <c r="S766">
        <f>sumifs(BOM!s:s,BOM!A:A,".1",BOM!B:B,"212-039000-000")</f>
        <v>0</v>
      </c>
      <c r="T766">
        <f>sumifs(BOM!t:t,BOM!A:A,".1",BOM!B:B,"212-039000-000")</f>
        <v>0</v>
      </c>
      <c r="U766">
        <f>sumifs(BOM!u:u,BOM!A:A,".1",BOM!B:B,"212-039000-000")</f>
        <v>0</v>
      </c>
      <c r="V766">
        <f>sumifs(BOM!v:v,BOM!A:A,".1",BOM!B:B,"212-039000-000")</f>
        <v>0</v>
      </c>
      <c r="W766">
        <f>sumifs(BOM!w:w,BOM!A:A,".1",BOM!B:B,"212-039000-000")</f>
        <v>0</v>
      </c>
      <c r="X766">
        <f>sumifs(BOM!x:x,BOM!A:A,".1",BOM!B:B,"212-039000-000")</f>
        <v>0</v>
      </c>
      <c r="Y766">
        <f>sumifs(BOM!y:y,BOM!A:A,".1",BOM!B:B,"212-039000-000")</f>
        <v>0</v>
      </c>
      <c r="Z766">
        <f>sumifs(BOM!z:z,BOM!A:A,".1",BOM!B:B,"212-039000-000")</f>
        <v>0</v>
      </c>
      <c r="AA766">
        <f>sumifs(BOM!aa:aa,BOM!A:A,".1",BOM!B:B,"212-039000-000")</f>
        <v>0</v>
      </c>
      <c r="AB766">
        <f>sumifs(BOM!ab:ab,BOM!A:A,".1",BOM!B:B,"212-039000-000")</f>
        <v>0</v>
      </c>
      <c r="AC766">
        <f>sumifs(BOM!ac:ac,BOM!A:A,".1",BOM!B:B,"212-039000-000")</f>
        <v>0</v>
      </c>
      <c r="AD766">
        <f>sumifs(BOM!ad:ad,BOM!A:A,".1",BOM!B:B,"212-039000-000")</f>
        <v>0</v>
      </c>
      <c r="AE766">
        <f>sumifs(BOM!ae:ae,BOM!A:A,".1",BOM!B:B,"212-039000-000")</f>
        <v>0</v>
      </c>
      <c r="AF766">
        <f>sumifs(BOM!af:af,BOM!A:A,".1",BOM!B:B,"212-039000-000")</f>
        <v>0</v>
      </c>
      <c r="AG766">
        <f>sumifs(BOM!ag:ag,BOM!A:A,".1",BOM!B:B,"212-039000-000")</f>
        <v>0</v>
      </c>
      <c r="AH766">
        <f>sumifs(BOM!ah:ah,BOM!A:A,".1",BOM!B:B,"212-039000-000")</f>
        <v>0</v>
      </c>
      <c r="AI766">
        <f>sumifs(BOM!ai:ai,BOM!A:A,".1",BOM!B:B,"212-039000-000")</f>
        <v>0</v>
      </c>
      <c r="AJ766">
        <f>sumifs(BOM!aj:aj,BOM!A:A,".1",BOM!B:B,"212-039000-000")</f>
        <v>0</v>
      </c>
      <c r="AK766">
        <f>sumifs(BOM!ak:ak,BOM!A:A,".1",BOM!B:B,"212-039000-000")</f>
        <v>0</v>
      </c>
      <c r="AL766">
        <f>sumifs(BOM!al:al,BOM!A:A,".1",BOM!B:B,"212-039000-000")</f>
        <v>0</v>
      </c>
      <c r="AM766">
        <f>sumifs(BOM!am:am,BOM!A:A,".1",BOM!B:B,"212-039000-000")</f>
        <v>0</v>
      </c>
      <c r="AN766">
        <f>sumifs(BOM!an:an,BOM!A:A,".1",BOM!B:B,"212-039000-000")</f>
        <v>0</v>
      </c>
      <c r="AO766">
        <f>sumifs(BOM!ao:ao,BOM!A:A,".1",BOM!B:B,"212-039000-000")</f>
        <v>0</v>
      </c>
      <c r="AP766">
        <f>sumifs(BOM!ap:ap,BOM!A:A,".1",BOM!B:B,"212-039000-000")</f>
        <v>0</v>
      </c>
      <c r="AQ766">
        <f>sumifs(BOM!aq:aq,BOM!A:A,".1",BOM!B:B,"212-039000-000")</f>
        <v>0</v>
      </c>
      <c r="AR766">
        <f>sumifs(BOM!ar:ar,BOM!A:A,".1",BOM!B:B,"212-039000-000")</f>
        <v>0</v>
      </c>
      <c r="BX766">
        <f>sum(j766:an766)</f>
        <v>0</v>
      </c>
    </row>
    <row r="767" spans="1:76">
      <c r="A767" t="s">
        <v>31</v>
      </c>
      <c r="B767" t="s">
        <v>378</v>
      </c>
      <c r="C767" t="s">
        <v>379</v>
      </c>
      <c r="D767" t="s">
        <v>256</v>
      </c>
      <c r="E767">
        <v>1</v>
      </c>
      <c r="F767" t="s">
        <v>380</v>
      </c>
      <c r="K767" t="s">
        <v>308</v>
      </c>
      <c r="L767" t="s">
        <v>37</v>
      </c>
    </row>
    <row r="768" spans="1:76">
      <c r="L768" t="s">
        <v>662</v>
      </c>
    </row>
    <row r="769" spans="1:76">
      <c r="L769" t="s">
        <v>663</v>
      </c>
    </row>
    <row r="770" spans="1:76">
      <c r="L770" t="s">
        <v>664</v>
      </c>
    </row>
    <row r="771" spans="1:76">
      <c r="L771" t="s">
        <v>665</v>
      </c>
      <c r="M771">
        <f>IF(DAY(NOW())&lt;M3,INDIRECT(ADDRESS(771,7))-INDIRECT(ADDRESS(766,13))+INDIRECT(ADDRESS(767,13))-INDIRECT(ADDRESS(770,13)),INDIRECT(ADDRESS(771,7))-INDIRECT(ADDRESS(766,13))+INDIRECT(ADDRESS(769,13))-INDIRECT(ADDRESS(770,13)))</f>
        <v>0</v>
      </c>
      <c r="N771">
        <f>IF(DAY(NOW())&lt;M3,INDIRECT(ADDRESS(771,13))-INDIRECT(ADDRESS(766,14))+INDIRECT(ADDRESS(767,14))-INDIRECT(ADDRESS(770,14)),INDIRECT(ADDRESS(771,13))-INDIRECT(ADDRESS(766,14))+INDIRECT(ADDRESS(769,14))-INDIRECT(ADDRESS(770,14)))</f>
        <v>0</v>
      </c>
      <c r="O771">
        <f>IF(DAY(NOW())&lt;M3,INDIRECT(ADDRESS(771,14))-INDIRECT(ADDRESS(766,15))+INDIRECT(ADDRESS(767,15))-INDIRECT(ADDRESS(770,15)),INDIRECT(ADDRESS(771,14))-INDIRECT(ADDRESS(766,15))+INDIRECT(ADDRESS(769,15))-INDIRECT(ADDRESS(770,15)))</f>
        <v>0</v>
      </c>
      <c r="P771">
        <f>IF(DAY(NOW())&lt;M3,INDIRECT(ADDRESS(771,15))-INDIRECT(ADDRESS(766,16))+INDIRECT(ADDRESS(767,16))-INDIRECT(ADDRESS(770,16)),INDIRECT(ADDRESS(771,15))-INDIRECT(ADDRESS(766,16))+INDIRECT(ADDRESS(769,16))-INDIRECT(ADDRESS(770,16)))</f>
        <v>0</v>
      </c>
      <c r="Q771">
        <f>IF(DAY(NOW())&lt;M3,INDIRECT(ADDRESS(771,16))-INDIRECT(ADDRESS(766,17))+INDIRECT(ADDRESS(767,17))-INDIRECT(ADDRESS(770,17)),INDIRECT(ADDRESS(771,16))-INDIRECT(ADDRESS(766,17))+INDIRECT(ADDRESS(769,17))-INDIRECT(ADDRESS(770,17)))</f>
        <v>0</v>
      </c>
      <c r="R771">
        <f>IF(DAY(NOW())&lt;M3,INDIRECT(ADDRESS(771,17))-INDIRECT(ADDRESS(766,18))+INDIRECT(ADDRESS(767,18))-INDIRECT(ADDRESS(770,18)),INDIRECT(ADDRESS(771,17))-INDIRECT(ADDRESS(766,18))+INDIRECT(ADDRESS(769,18))-INDIRECT(ADDRESS(770,18)))</f>
        <v>0</v>
      </c>
      <c r="S771">
        <f>IF(DAY(NOW())&lt;M3,INDIRECT(ADDRESS(771,18))-INDIRECT(ADDRESS(766,19))+INDIRECT(ADDRESS(767,19))-INDIRECT(ADDRESS(770,19)),INDIRECT(ADDRESS(771,18))-INDIRECT(ADDRESS(766,19))+INDIRECT(ADDRESS(769,19))-INDIRECT(ADDRESS(770,19)))</f>
        <v>0</v>
      </c>
      <c r="T771">
        <f>IF(DAY(NOW())&lt;M3,INDIRECT(ADDRESS(771,19))-INDIRECT(ADDRESS(766,20))+INDIRECT(ADDRESS(767,20))-INDIRECT(ADDRESS(770,20)),INDIRECT(ADDRESS(771,19))-INDIRECT(ADDRESS(766,20))+INDIRECT(ADDRESS(769,20))-INDIRECT(ADDRESS(770,20)))</f>
        <v>0</v>
      </c>
      <c r="U771">
        <f>IF(DAY(NOW())&lt;M3,INDIRECT(ADDRESS(771,20))-INDIRECT(ADDRESS(766,21))+INDIRECT(ADDRESS(767,21))-INDIRECT(ADDRESS(770,21)),INDIRECT(ADDRESS(771,20))-INDIRECT(ADDRESS(766,21))+INDIRECT(ADDRESS(769,21))-INDIRECT(ADDRESS(770,21)))</f>
        <v>0</v>
      </c>
      <c r="V771">
        <f>IF(DAY(NOW())&lt;M3,INDIRECT(ADDRESS(771,21))-INDIRECT(ADDRESS(766,22))+INDIRECT(ADDRESS(767,22))-INDIRECT(ADDRESS(770,22)),INDIRECT(ADDRESS(771,21))-INDIRECT(ADDRESS(766,22))+INDIRECT(ADDRESS(769,22))-INDIRECT(ADDRESS(770,22)))</f>
        <v>0</v>
      </c>
      <c r="W771">
        <f>IF(DAY(NOW())&lt;M3,INDIRECT(ADDRESS(771,22))-INDIRECT(ADDRESS(766,23))+INDIRECT(ADDRESS(767,23))-INDIRECT(ADDRESS(770,23)),INDIRECT(ADDRESS(771,22))-INDIRECT(ADDRESS(766,23))+INDIRECT(ADDRESS(769,23))-INDIRECT(ADDRESS(770,23)))</f>
        <v>0</v>
      </c>
      <c r="X771">
        <f>IF(DAY(NOW())&lt;M3,INDIRECT(ADDRESS(771,23))-INDIRECT(ADDRESS(766,24))+INDIRECT(ADDRESS(767,24))-INDIRECT(ADDRESS(770,24)),INDIRECT(ADDRESS(771,23))-INDIRECT(ADDRESS(766,24))+INDIRECT(ADDRESS(769,24))-INDIRECT(ADDRESS(770,24)))</f>
        <v>0</v>
      </c>
      <c r="Y771">
        <f>IF(DAY(NOW())&lt;M3,INDIRECT(ADDRESS(771,24))-INDIRECT(ADDRESS(766,25))+INDIRECT(ADDRESS(767,25))-INDIRECT(ADDRESS(770,25)),INDIRECT(ADDRESS(771,24))-INDIRECT(ADDRESS(766,25))+INDIRECT(ADDRESS(769,25))-INDIRECT(ADDRESS(770,25)))</f>
        <v>0</v>
      </c>
      <c r="Z771">
        <f>IF(DAY(NOW())&lt;M3,INDIRECT(ADDRESS(771,25))-INDIRECT(ADDRESS(766,26))+INDIRECT(ADDRESS(767,26))-INDIRECT(ADDRESS(770,26)),INDIRECT(ADDRESS(771,25))-INDIRECT(ADDRESS(766,26))+INDIRECT(ADDRESS(769,26))-INDIRECT(ADDRESS(770,26)))</f>
        <v>0</v>
      </c>
      <c r="AA771">
        <f>IF(DAY(NOW())&lt;M3,INDIRECT(ADDRESS(771,26))-INDIRECT(ADDRESS(766,27))+INDIRECT(ADDRESS(767,27))-INDIRECT(ADDRESS(770,27)),INDIRECT(ADDRESS(771,26))-INDIRECT(ADDRESS(766,27))+INDIRECT(ADDRESS(769,27))-INDIRECT(ADDRESS(770,27)))</f>
        <v>0</v>
      </c>
      <c r="AB771">
        <f>IF(DAY(NOW())&lt;M3,INDIRECT(ADDRESS(771,27))-INDIRECT(ADDRESS(766,28))+INDIRECT(ADDRESS(767,28))-INDIRECT(ADDRESS(770,28)),INDIRECT(ADDRESS(771,27))-INDIRECT(ADDRESS(766,28))+INDIRECT(ADDRESS(769,28))-INDIRECT(ADDRESS(770,28)))</f>
        <v>0</v>
      </c>
      <c r="AC771">
        <f>IF(DAY(NOW())&lt;M3,INDIRECT(ADDRESS(771,28))-INDIRECT(ADDRESS(766,29))+INDIRECT(ADDRESS(767,29))-INDIRECT(ADDRESS(770,29)),INDIRECT(ADDRESS(771,28))-INDIRECT(ADDRESS(766,29))+INDIRECT(ADDRESS(769,29))-INDIRECT(ADDRESS(770,29)))</f>
        <v>0</v>
      </c>
      <c r="AD771">
        <f>IF(DAY(NOW())&lt;M3,INDIRECT(ADDRESS(771,29))-INDIRECT(ADDRESS(766,30))+INDIRECT(ADDRESS(767,30))-INDIRECT(ADDRESS(770,30)),INDIRECT(ADDRESS(771,29))-INDIRECT(ADDRESS(766,30))+INDIRECT(ADDRESS(769,30))-INDIRECT(ADDRESS(770,30)))</f>
        <v>0</v>
      </c>
      <c r="AE771">
        <f>IF(DAY(NOW())&lt;M3,INDIRECT(ADDRESS(771,30))-INDIRECT(ADDRESS(766,31))+INDIRECT(ADDRESS(767,31))-INDIRECT(ADDRESS(770,31)),INDIRECT(ADDRESS(771,30))-INDIRECT(ADDRESS(766,31))+INDIRECT(ADDRESS(769,31))-INDIRECT(ADDRESS(770,31)))</f>
        <v>0</v>
      </c>
      <c r="AF771">
        <f>IF(DAY(NOW())&lt;M3,INDIRECT(ADDRESS(771,31))-INDIRECT(ADDRESS(766,32))+INDIRECT(ADDRESS(767,32))-INDIRECT(ADDRESS(770,32)),INDIRECT(ADDRESS(771,31))-INDIRECT(ADDRESS(766,32))+INDIRECT(ADDRESS(769,32))-INDIRECT(ADDRESS(770,32)))</f>
        <v>0</v>
      </c>
      <c r="AG771">
        <f>IF(DAY(NOW())&lt;M3,INDIRECT(ADDRESS(771,32))-INDIRECT(ADDRESS(766,33))+INDIRECT(ADDRESS(767,33))-INDIRECT(ADDRESS(770,33)),INDIRECT(ADDRESS(771,32))-INDIRECT(ADDRESS(766,33))+INDIRECT(ADDRESS(769,33))-INDIRECT(ADDRESS(770,33)))</f>
        <v>0</v>
      </c>
      <c r="AH771">
        <f>IF(DAY(NOW())&lt;M3,INDIRECT(ADDRESS(771,33))-INDIRECT(ADDRESS(766,34))+INDIRECT(ADDRESS(767,34))-INDIRECT(ADDRESS(770,34)),INDIRECT(ADDRESS(771,33))-INDIRECT(ADDRESS(766,34))+INDIRECT(ADDRESS(769,34))-INDIRECT(ADDRESS(770,34)))</f>
        <v>0</v>
      </c>
      <c r="AI771">
        <f>IF(DAY(NOW())&lt;M3,INDIRECT(ADDRESS(771,34))-INDIRECT(ADDRESS(766,35))+INDIRECT(ADDRESS(767,35))-INDIRECT(ADDRESS(770,35)),INDIRECT(ADDRESS(771,34))-INDIRECT(ADDRESS(766,35))+INDIRECT(ADDRESS(769,35))-INDIRECT(ADDRESS(770,35)))</f>
        <v>0</v>
      </c>
      <c r="AJ771">
        <f>IF(DAY(NOW())&lt;M3,INDIRECT(ADDRESS(771,35))-INDIRECT(ADDRESS(766,36))+INDIRECT(ADDRESS(767,36))-INDIRECT(ADDRESS(770,36)),INDIRECT(ADDRESS(771,35))-INDIRECT(ADDRESS(766,36))+INDIRECT(ADDRESS(769,36))-INDIRECT(ADDRESS(770,36)))</f>
        <v>0</v>
      </c>
      <c r="AK771">
        <f>IF(DAY(NOW())&lt;M3,INDIRECT(ADDRESS(771,36))-INDIRECT(ADDRESS(766,37))+INDIRECT(ADDRESS(767,37))-INDIRECT(ADDRESS(770,37)),INDIRECT(ADDRESS(771,36))-INDIRECT(ADDRESS(766,37))+INDIRECT(ADDRESS(769,37))-INDIRECT(ADDRESS(770,37)))</f>
        <v>0</v>
      </c>
      <c r="AL771">
        <f>IF(DAY(NOW())&lt;M3,INDIRECT(ADDRESS(771,37))-INDIRECT(ADDRESS(766,38))+INDIRECT(ADDRESS(767,38))-INDIRECT(ADDRESS(770,38)),INDIRECT(ADDRESS(771,37))-INDIRECT(ADDRESS(766,38))+INDIRECT(ADDRESS(769,38))-INDIRECT(ADDRESS(770,38)))</f>
        <v>0</v>
      </c>
      <c r="AM771">
        <f>IF(DAY(NOW())&lt;M3,INDIRECT(ADDRESS(771,38))-INDIRECT(ADDRESS(766,39))+INDIRECT(ADDRESS(767,39))-INDIRECT(ADDRESS(770,39)),INDIRECT(ADDRESS(771,38))-INDIRECT(ADDRESS(766,39))+INDIRECT(ADDRESS(769,39))-INDIRECT(ADDRESS(770,39)))</f>
        <v>0</v>
      </c>
      <c r="AN771">
        <f>IF(DAY(NOW())&lt;M3,INDIRECT(ADDRESS(771,39))-INDIRECT(ADDRESS(766,40))+INDIRECT(ADDRESS(767,40))-INDIRECT(ADDRESS(770,40)),INDIRECT(ADDRESS(771,39))-INDIRECT(ADDRESS(766,40))+INDIRECT(ADDRESS(769,40))-INDIRECT(ADDRESS(770,40)))</f>
        <v>0</v>
      </c>
      <c r="AO771">
        <f>IF(DAY(NOW())&lt;M3,INDIRECT(ADDRESS(771,40))-INDIRECT(ADDRESS(766,41))+INDIRECT(ADDRESS(767,41))-INDIRECT(ADDRESS(770,41)),INDIRECT(ADDRESS(771,40))-INDIRECT(ADDRESS(766,41))+INDIRECT(ADDRESS(769,41))-INDIRECT(ADDRESS(770,41)))</f>
        <v>0</v>
      </c>
      <c r="AP771">
        <f>IF(DAY(NOW())&lt;M3,INDIRECT(ADDRESS(771,41))-INDIRECT(ADDRESS(766,42))+INDIRECT(ADDRESS(767,42))-INDIRECT(ADDRESS(770,42)),INDIRECT(ADDRESS(771,41))-INDIRECT(ADDRESS(766,42))+INDIRECT(ADDRESS(769,42))-INDIRECT(ADDRESS(770,42)))</f>
        <v>0</v>
      </c>
      <c r="AQ771">
        <f>IF(DAY(NOW())&lt;M3,INDIRECT(ADDRESS(771,42))-INDIRECT(ADDRESS(766,43))+INDIRECT(ADDRESS(767,43))-INDIRECT(ADDRESS(770,43)),INDIRECT(ADDRESS(771,42))-INDIRECT(ADDRESS(766,43))+INDIRECT(ADDRESS(769,43))-INDIRECT(ADDRESS(770,43)))</f>
        <v>0</v>
      </c>
      <c r="AR771">
        <f>IF(DAY(NOW())&lt;M3,INDIRECT(ADDRESS(771,43))-INDIRECT(ADDRESS(766,44))+INDIRECT(ADDRESS(767,44))-INDIRECT(ADDRESS(770,44)),INDIRECT(ADDRESS(771,43))-INDIRECT(ADDRESS(766,44))+INDIRECT(ADDRESS(769,44))-INDIRECT(ADDRESS(770,44)))</f>
        <v>0</v>
      </c>
    </row>
    <row r="772" spans="1:76">
      <c r="A772" t="s">
        <v>31</v>
      </c>
      <c r="B772" t="s">
        <v>381</v>
      </c>
      <c r="C772" t="s">
        <v>382</v>
      </c>
      <c r="D772" t="s">
        <v>256</v>
      </c>
      <c r="E772">
        <v>1</v>
      </c>
      <c r="F772" t="s">
        <v>383</v>
      </c>
      <c r="K772" t="s">
        <v>308</v>
      </c>
      <c r="L772" t="s">
        <v>21</v>
      </c>
      <c r="M772">
        <f>sumifs(BOM!m:m,BOM!A:A,".1",BOM!B:B,"212-040000-000")</f>
        <v>0</v>
      </c>
      <c r="N772">
        <f>sumifs(BOM!n:n,BOM!A:A,".1",BOM!B:B,"212-040000-000")</f>
        <v>0</v>
      </c>
      <c r="O772">
        <f>sumifs(BOM!o:o,BOM!A:A,".1",BOM!B:B,"212-040000-000")</f>
        <v>0</v>
      </c>
      <c r="P772">
        <f>sumifs(BOM!p:p,BOM!A:A,".1",BOM!B:B,"212-040000-000")</f>
        <v>0</v>
      </c>
      <c r="Q772">
        <f>sumifs(BOM!q:q,BOM!A:A,".1",BOM!B:B,"212-040000-000")</f>
        <v>0</v>
      </c>
      <c r="R772">
        <f>sumifs(BOM!r:r,BOM!A:A,".1",BOM!B:B,"212-040000-000")</f>
        <v>0</v>
      </c>
      <c r="S772">
        <f>sumifs(BOM!s:s,BOM!A:A,".1",BOM!B:B,"212-040000-000")</f>
        <v>0</v>
      </c>
      <c r="T772">
        <f>sumifs(BOM!t:t,BOM!A:A,".1",BOM!B:B,"212-040000-000")</f>
        <v>0</v>
      </c>
      <c r="U772">
        <f>sumifs(BOM!u:u,BOM!A:A,".1",BOM!B:B,"212-040000-000")</f>
        <v>0</v>
      </c>
      <c r="V772">
        <f>sumifs(BOM!v:v,BOM!A:A,".1",BOM!B:B,"212-040000-000")</f>
        <v>0</v>
      </c>
      <c r="W772">
        <f>sumifs(BOM!w:w,BOM!A:A,".1",BOM!B:B,"212-040000-000")</f>
        <v>0</v>
      </c>
      <c r="X772">
        <f>sumifs(BOM!x:x,BOM!A:A,".1",BOM!B:B,"212-040000-000")</f>
        <v>0</v>
      </c>
      <c r="Y772">
        <f>sumifs(BOM!y:y,BOM!A:A,".1",BOM!B:B,"212-040000-000")</f>
        <v>0</v>
      </c>
      <c r="Z772">
        <f>sumifs(BOM!z:z,BOM!A:A,".1",BOM!B:B,"212-040000-000")</f>
        <v>0</v>
      </c>
      <c r="AA772">
        <f>sumifs(BOM!aa:aa,BOM!A:A,".1",BOM!B:B,"212-040000-000")</f>
        <v>0</v>
      </c>
      <c r="AB772">
        <f>sumifs(BOM!ab:ab,BOM!A:A,".1",BOM!B:B,"212-040000-000")</f>
        <v>0</v>
      </c>
      <c r="AC772">
        <f>sumifs(BOM!ac:ac,BOM!A:A,".1",BOM!B:B,"212-040000-000")</f>
        <v>0</v>
      </c>
      <c r="AD772">
        <f>sumifs(BOM!ad:ad,BOM!A:A,".1",BOM!B:B,"212-040000-000")</f>
        <v>0</v>
      </c>
      <c r="AE772">
        <f>sumifs(BOM!ae:ae,BOM!A:A,".1",BOM!B:B,"212-040000-000")</f>
        <v>0</v>
      </c>
      <c r="AF772">
        <f>sumifs(BOM!af:af,BOM!A:A,".1",BOM!B:B,"212-040000-000")</f>
        <v>0</v>
      </c>
      <c r="AG772">
        <f>sumifs(BOM!ag:ag,BOM!A:A,".1",BOM!B:B,"212-040000-000")</f>
        <v>0</v>
      </c>
      <c r="AH772">
        <f>sumifs(BOM!ah:ah,BOM!A:A,".1",BOM!B:B,"212-040000-000")</f>
        <v>0</v>
      </c>
      <c r="AI772">
        <f>sumifs(BOM!ai:ai,BOM!A:A,".1",BOM!B:B,"212-040000-000")</f>
        <v>0</v>
      </c>
      <c r="AJ772">
        <f>sumifs(BOM!aj:aj,BOM!A:A,".1",BOM!B:B,"212-040000-000")</f>
        <v>0</v>
      </c>
      <c r="AK772">
        <f>sumifs(BOM!ak:ak,BOM!A:A,".1",BOM!B:B,"212-040000-000")</f>
        <v>0</v>
      </c>
      <c r="AL772">
        <f>sumifs(BOM!al:al,BOM!A:A,".1",BOM!B:B,"212-040000-000")</f>
        <v>0</v>
      </c>
      <c r="AM772">
        <f>sumifs(BOM!am:am,BOM!A:A,".1",BOM!B:B,"212-040000-000")</f>
        <v>0</v>
      </c>
      <c r="AN772">
        <f>sumifs(BOM!an:an,BOM!A:A,".1",BOM!B:B,"212-040000-000")</f>
        <v>0</v>
      </c>
      <c r="AO772">
        <f>sumifs(BOM!ao:ao,BOM!A:A,".1",BOM!B:B,"212-040000-000")</f>
        <v>0</v>
      </c>
      <c r="AP772">
        <f>sumifs(BOM!ap:ap,BOM!A:A,".1",BOM!B:B,"212-040000-000")</f>
        <v>0</v>
      </c>
      <c r="AQ772">
        <f>sumifs(BOM!aq:aq,BOM!A:A,".1",BOM!B:B,"212-040000-000")</f>
        <v>0</v>
      </c>
      <c r="AR772">
        <f>sumifs(BOM!ar:ar,BOM!A:A,".1",BOM!B:B,"212-040000-000")</f>
        <v>0</v>
      </c>
      <c r="BX772">
        <f>sum(j772:an772)</f>
        <v>0</v>
      </c>
    </row>
    <row r="773" spans="1:76">
      <c r="A773" t="s">
        <v>31</v>
      </c>
      <c r="B773" t="s">
        <v>381</v>
      </c>
      <c r="C773" t="s">
        <v>382</v>
      </c>
      <c r="D773" t="s">
        <v>256</v>
      </c>
      <c r="E773">
        <v>1</v>
      </c>
      <c r="F773" t="s">
        <v>383</v>
      </c>
      <c r="K773" t="s">
        <v>308</v>
      </c>
      <c r="L773" t="s">
        <v>37</v>
      </c>
    </row>
    <row r="774" spans="1:76">
      <c r="L774" t="s">
        <v>662</v>
      </c>
    </row>
    <row r="775" spans="1:76">
      <c r="L775" t="s">
        <v>663</v>
      </c>
    </row>
    <row r="776" spans="1:76">
      <c r="L776" t="s">
        <v>664</v>
      </c>
    </row>
    <row r="777" spans="1:76">
      <c r="L777" t="s">
        <v>665</v>
      </c>
      <c r="M777">
        <f>IF(DAY(NOW())&lt;M3,INDIRECT(ADDRESS(777,7))-INDIRECT(ADDRESS(772,13))+INDIRECT(ADDRESS(773,13))-INDIRECT(ADDRESS(776,13)),INDIRECT(ADDRESS(777,7))-INDIRECT(ADDRESS(772,13))+INDIRECT(ADDRESS(775,13))-INDIRECT(ADDRESS(776,13)))</f>
        <v>0</v>
      </c>
      <c r="N777">
        <f>IF(DAY(NOW())&lt;M3,INDIRECT(ADDRESS(777,13))-INDIRECT(ADDRESS(772,14))+INDIRECT(ADDRESS(773,14))-INDIRECT(ADDRESS(776,14)),INDIRECT(ADDRESS(777,13))-INDIRECT(ADDRESS(772,14))+INDIRECT(ADDRESS(775,14))-INDIRECT(ADDRESS(776,14)))</f>
        <v>0</v>
      </c>
      <c r="O777">
        <f>IF(DAY(NOW())&lt;M3,INDIRECT(ADDRESS(777,14))-INDIRECT(ADDRESS(772,15))+INDIRECT(ADDRESS(773,15))-INDIRECT(ADDRESS(776,15)),INDIRECT(ADDRESS(777,14))-INDIRECT(ADDRESS(772,15))+INDIRECT(ADDRESS(775,15))-INDIRECT(ADDRESS(776,15)))</f>
        <v>0</v>
      </c>
      <c r="P777">
        <f>IF(DAY(NOW())&lt;M3,INDIRECT(ADDRESS(777,15))-INDIRECT(ADDRESS(772,16))+INDIRECT(ADDRESS(773,16))-INDIRECT(ADDRESS(776,16)),INDIRECT(ADDRESS(777,15))-INDIRECT(ADDRESS(772,16))+INDIRECT(ADDRESS(775,16))-INDIRECT(ADDRESS(776,16)))</f>
        <v>0</v>
      </c>
      <c r="Q777">
        <f>IF(DAY(NOW())&lt;M3,INDIRECT(ADDRESS(777,16))-INDIRECT(ADDRESS(772,17))+INDIRECT(ADDRESS(773,17))-INDIRECT(ADDRESS(776,17)),INDIRECT(ADDRESS(777,16))-INDIRECT(ADDRESS(772,17))+INDIRECT(ADDRESS(775,17))-INDIRECT(ADDRESS(776,17)))</f>
        <v>0</v>
      </c>
      <c r="R777">
        <f>IF(DAY(NOW())&lt;M3,INDIRECT(ADDRESS(777,17))-INDIRECT(ADDRESS(772,18))+INDIRECT(ADDRESS(773,18))-INDIRECT(ADDRESS(776,18)),INDIRECT(ADDRESS(777,17))-INDIRECT(ADDRESS(772,18))+INDIRECT(ADDRESS(775,18))-INDIRECT(ADDRESS(776,18)))</f>
        <v>0</v>
      </c>
      <c r="S777">
        <f>IF(DAY(NOW())&lt;M3,INDIRECT(ADDRESS(777,18))-INDIRECT(ADDRESS(772,19))+INDIRECT(ADDRESS(773,19))-INDIRECT(ADDRESS(776,19)),INDIRECT(ADDRESS(777,18))-INDIRECT(ADDRESS(772,19))+INDIRECT(ADDRESS(775,19))-INDIRECT(ADDRESS(776,19)))</f>
        <v>0</v>
      </c>
      <c r="T777">
        <f>IF(DAY(NOW())&lt;M3,INDIRECT(ADDRESS(777,19))-INDIRECT(ADDRESS(772,20))+INDIRECT(ADDRESS(773,20))-INDIRECT(ADDRESS(776,20)),INDIRECT(ADDRESS(777,19))-INDIRECT(ADDRESS(772,20))+INDIRECT(ADDRESS(775,20))-INDIRECT(ADDRESS(776,20)))</f>
        <v>0</v>
      </c>
      <c r="U777">
        <f>IF(DAY(NOW())&lt;M3,INDIRECT(ADDRESS(777,20))-INDIRECT(ADDRESS(772,21))+INDIRECT(ADDRESS(773,21))-INDIRECT(ADDRESS(776,21)),INDIRECT(ADDRESS(777,20))-INDIRECT(ADDRESS(772,21))+INDIRECT(ADDRESS(775,21))-INDIRECT(ADDRESS(776,21)))</f>
        <v>0</v>
      </c>
      <c r="V777">
        <f>IF(DAY(NOW())&lt;M3,INDIRECT(ADDRESS(777,21))-INDIRECT(ADDRESS(772,22))+INDIRECT(ADDRESS(773,22))-INDIRECT(ADDRESS(776,22)),INDIRECT(ADDRESS(777,21))-INDIRECT(ADDRESS(772,22))+INDIRECT(ADDRESS(775,22))-INDIRECT(ADDRESS(776,22)))</f>
        <v>0</v>
      </c>
      <c r="W777">
        <f>IF(DAY(NOW())&lt;M3,INDIRECT(ADDRESS(777,22))-INDIRECT(ADDRESS(772,23))+INDIRECT(ADDRESS(773,23))-INDIRECT(ADDRESS(776,23)),INDIRECT(ADDRESS(777,22))-INDIRECT(ADDRESS(772,23))+INDIRECT(ADDRESS(775,23))-INDIRECT(ADDRESS(776,23)))</f>
        <v>0</v>
      </c>
      <c r="X777">
        <f>IF(DAY(NOW())&lt;M3,INDIRECT(ADDRESS(777,23))-INDIRECT(ADDRESS(772,24))+INDIRECT(ADDRESS(773,24))-INDIRECT(ADDRESS(776,24)),INDIRECT(ADDRESS(777,23))-INDIRECT(ADDRESS(772,24))+INDIRECT(ADDRESS(775,24))-INDIRECT(ADDRESS(776,24)))</f>
        <v>0</v>
      </c>
      <c r="Y777">
        <f>IF(DAY(NOW())&lt;M3,INDIRECT(ADDRESS(777,24))-INDIRECT(ADDRESS(772,25))+INDIRECT(ADDRESS(773,25))-INDIRECT(ADDRESS(776,25)),INDIRECT(ADDRESS(777,24))-INDIRECT(ADDRESS(772,25))+INDIRECT(ADDRESS(775,25))-INDIRECT(ADDRESS(776,25)))</f>
        <v>0</v>
      </c>
      <c r="Z777">
        <f>IF(DAY(NOW())&lt;M3,INDIRECT(ADDRESS(777,25))-INDIRECT(ADDRESS(772,26))+INDIRECT(ADDRESS(773,26))-INDIRECT(ADDRESS(776,26)),INDIRECT(ADDRESS(777,25))-INDIRECT(ADDRESS(772,26))+INDIRECT(ADDRESS(775,26))-INDIRECT(ADDRESS(776,26)))</f>
        <v>0</v>
      </c>
      <c r="AA777">
        <f>IF(DAY(NOW())&lt;M3,INDIRECT(ADDRESS(777,26))-INDIRECT(ADDRESS(772,27))+INDIRECT(ADDRESS(773,27))-INDIRECT(ADDRESS(776,27)),INDIRECT(ADDRESS(777,26))-INDIRECT(ADDRESS(772,27))+INDIRECT(ADDRESS(775,27))-INDIRECT(ADDRESS(776,27)))</f>
        <v>0</v>
      </c>
      <c r="AB777">
        <f>IF(DAY(NOW())&lt;M3,INDIRECT(ADDRESS(777,27))-INDIRECT(ADDRESS(772,28))+INDIRECT(ADDRESS(773,28))-INDIRECT(ADDRESS(776,28)),INDIRECT(ADDRESS(777,27))-INDIRECT(ADDRESS(772,28))+INDIRECT(ADDRESS(775,28))-INDIRECT(ADDRESS(776,28)))</f>
        <v>0</v>
      </c>
      <c r="AC777">
        <f>IF(DAY(NOW())&lt;M3,INDIRECT(ADDRESS(777,28))-INDIRECT(ADDRESS(772,29))+INDIRECT(ADDRESS(773,29))-INDIRECT(ADDRESS(776,29)),INDIRECT(ADDRESS(777,28))-INDIRECT(ADDRESS(772,29))+INDIRECT(ADDRESS(775,29))-INDIRECT(ADDRESS(776,29)))</f>
        <v>0</v>
      </c>
      <c r="AD777">
        <f>IF(DAY(NOW())&lt;M3,INDIRECT(ADDRESS(777,29))-INDIRECT(ADDRESS(772,30))+INDIRECT(ADDRESS(773,30))-INDIRECT(ADDRESS(776,30)),INDIRECT(ADDRESS(777,29))-INDIRECT(ADDRESS(772,30))+INDIRECT(ADDRESS(775,30))-INDIRECT(ADDRESS(776,30)))</f>
        <v>0</v>
      </c>
      <c r="AE777">
        <f>IF(DAY(NOW())&lt;M3,INDIRECT(ADDRESS(777,30))-INDIRECT(ADDRESS(772,31))+INDIRECT(ADDRESS(773,31))-INDIRECT(ADDRESS(776,31)),INDIRECT(ADDRESS(777,30))-INDIRECT(ADDRESS(772,31))+INDIRECT(ADDRESS(775,31))-INDIRECT(ADDRESS(776,31)))</f>
        <v>0</v>
      </c>
      <c r="AF777">
        <f>IF(DAY(NOW())&lt;M3,INDIRECT(ADDRESS(777,31))-INDIRECT(ADDRESS(772,32))+INDIRECT(ADDRESS(773,32))-INDIRECT(ADDRESS(776,32)),INDIRECT(ADDRESS(777,31))-INDIRECT(ADDRESS(772,32))+INDIRECT(ADDRESS(775,32))-INDIRECT(ADDRESS(776,32)))</f>
        <v>0</v>
      </c>
      <c r="AG777">
        <f>IF(DAY(NOW())&lt;M3,INDIRECT(ADDRESS(777,32))-INDIRECT(ADDRESS(772,33))+INDIRECT(ADDRESS(773,33))-INDIRECT(ADDRESS(776,33)),INDIRECT(ADDRESS(777,32))-INDIRECT(ADDRESS(772,33))+INDIRECT(ADDRESS(775,33))-INDIRECT(ADDRESS(776,33)))</f>
        <v>0</v>
      </c>
      <c r="AH777">
        <f>IF(DAY(NOW())&lt;M3,INDIRECT(ADDRESS(777,33))-INDIRECT(ADDRESS(772,34))+INDIRECT(ADDRESS(773,34))-INDIRECT(ADDRESS(776,34)),INDIRECT(ADDRESS(777,33))-INDIRECT(ADDRESS(772,34))+INDIRECT(ADDRESS(775,34))-INDIRECT(ADDRESS(776,34)))</f>
        <v>0</v>
      </c>
      <c r="AI777">
        <f>IF(DAY(NOW())&lt;M3,INDIRECT(ADDRESS(777,34))-INDIRECT(ADDRESS(772,35))+INDIRECT(ADDRESS(773,35))-INDIRECT(ADDRESS(776,35)),INDIRECT(ADDRESS(777,34))-INDIRECT(ADDRESS(772,35))+INDIRECT(ADDRESS(775,35))-INDIRECT(ADDRESS(776,35)))</f>
        <v>0</v>
      </c>
      <c r="AJ777">
        <f>IF(DAY(NOW())&lt;M3,INDIRECT(ADDRESS(777,35))-INDIRECT(ADDRESS(772,36))+INDIRECT(ADDRESS(773,36))-INDIRECT(ADDRESS(776,36)),INDIRECT(ADDRESS(777,35))-INDIRECT(ADDRESS(772,36))+INDIRECT(ADDRESS(775,36))-INDIRECT(ADDRESS(776,36)))</f>
        <v>0</v>
      </c>
      <c r="AK777">
        <f>IF(DAY(NOW())&lt;M3,INDIRECT(ADDRESS(777,36))-INDIRECT(ADDRESS(772,37))+INDIRECT(ADDRESS(773,37))-INDIRECT(ADDRESS(776,37)),INDIRECT(ADDRESS(777,36))-INDIRECT(ADDRESS(772,37))+INDIRECT(ADDRESS(775,37))-INDIRECT(ADDRESS(776,37)))</f>
        <v>0</v>
      </c>
      <c r="AL777">
        <f>IF(DAY(NOW())&lt;M3,INDIRECT(ADDRESS(777,37))-INDIRECT(ADDRESS(772,38))+INDIRECT(ADDRESS(773,38))-INDIRECT(ADDRESS(776,38)),INDIRECT(ADDRESS(777,37))-INDIRECT(ADDRESS(772,38))+INDIRECT(ADDRESS(775,38))-INDIRECT(ADDRESS(776,38)))</f>
        <v>0</v>
      </c>
      <c r="AM777">
        <f>IF(DAY(NOW())&lt;M3,INDIRECT(ADDRESS(777,38))-INDIRECT(ADDRESS(772,39))+INDIRECT(ADDRESS(773,39))-INDIRECT(ADDRESS(776,39)),INDIRECT(ADDRESS(777,38))-INDIRECT(ADDRESS(772,39))+INDIRECT(ADDRESS(775,39))-INDIRECT(ADDRESS(776,39)))</f>
        <v>0</v>
      </c>
      <c r="AN777">
        <f>IF(DAY(NOW())&lt;M3,INDIRECT(ADDRESS(777,39))-INDIRECT(ADDRESS(772,40))+INDIRECT(ADDRESS(773,40))-INDIRECT(ADDRESS(776,40)),INDIRECT(ADDRESS(777,39))-INDIRECT(ADDRESS(772,40))+INDIRECT(ADDRESS(775,40))-INDIRECT(ADDRESS(776,40)))</f>
        <v>0</v>
      </c>
      <c r="AO777">
        <f>IF(DAY(NOW())&lt;M3,INDIRECT(ADDRESS(777,40))-INDIRECT(ADDRESS(772,41))+INDIRECT(ADDRESS(773,41))-INDIRECT(ADDRESS(776,41)),INDIRECT(ADDRESS(777,40))-INDIRECT(ADDRESS(772,41))+INDIRECT(ADDRESS(775,41))-INDIRECT(ADDRESS(776,41)))</f>
        <v>0</v>
      </c>
      <c r="AP777">
        <f>IF(DAY(NOW())&lt;M3,INDIRECT(ADDRESS(777,41))-INDIRECT(ADDRESS(772,42))+INDIRECT(ADDRESS(773,42))-INDIRECT(ADDRESS(776,42)),INDIRECT(ADDRESS(777,41))-INDIRECT(ADDRESS(772,42))+INDIRECT(ADDRESS(775,42))-INDIRECT(ADDRESS(776,42)))</f>
        <v>0</v>
      </c>
      <c r="AQ777">
        <f>IF(DAY(NOW())&lt;M3,INDIRECT(ADDRESS(777,42))-INDIRECT(ADDRESS(772,43))+INDIRECT(ADDRESS(773,43))-INDIRECT(ADDRESS(776,43)),INDIRECT(ADDRESS(777,42))-INDIRECT(ADDRESS(772,43))+INDIRECT(ADDRESS(775,43))-INDIRECT(ADDRESS(776,43)))</f>
        <v>0</v>
      </c>
      <c r="AR777">
        <f>IF(DAY(NOW())&lt;M3,INDIRECT(ADDRESS(777,43))-INDIRECT(ADDRESS(772,44))+INDIRECT(ADDRESS(773,44))-INDIRECT(ADDRESS(776,44)),INDIRECT(ADDRESS(777,43))-INDIRECT(ADDRESS(772,44))+INDIRECT(ADDRESS(775,44))-INDIRECT(ADDRESS(776,44)))</f>
        <v>0</v>
      </c>
    </row>
    <row r="778" spans="1:76">
      <c r="A778" t="s">
        <v>31</v>
      </c>
      <c r="B778" t="s">
        <v>384</v>
      </c>
      <c r="C778" t="s">
        <v>385</v>
      </c>
      <c r="D778" t="s">
        <v>256</v>
      </c>
      <c r="E778">
        <v>1</v>
      </c>
      <c r="K778" t="s">
        <v>308</v>
      </c>
      <c r="L778" t="s">
        <v>21</v>
      </c>
      <c r="M778">
        <f>sumifs(BOM!m:m,BOM!A:A,".1",BOM!B:B,"212-048000-000 ")</f>
        <v>0</v>
      </c>
      <c r="N778">
        <f>sumifs(BOM!n:n,BOM!A:A,".1",BOM!B:B,"212-048000-000 ")</f>
        <v>0</v>
      </c>
      <c r="O778">
        <f>sumifs(BOM!o:o,BOM!A:A,".1",BOM!B:B,"212-048000-000 ")</f>
        <v>0</v>
      </c>
      <c r="P778">
        <f>sumifs(BOM!p:p,BOM!A:A,".1",BOM!B:B,"212-048000-000 ")</f>
        <v>0</v>
      </c>
      <c r="Q778">
        <f>sumifs(BOM!q:q,BOM!A:A,".1",BOM!B:B,"212-048000-000 ")</f>
        <v>0</v>
      </c>
      <c r="R778">
        <f>sumifs(BOM!r:r,BOM!A:A,".1",BOM!B:B,"212-048000-000 ")</f>
        <v>0</v>
      </c>
      <c r="S778">
        <f>sumifs(BOM!s:s,BOM!A:A,".1",BOM!B:B,"212-048000-000 ")</f>
        <v>0</v>
      </c>
      <c r="T778">
        <f>sumifs(BOM!t:t,BOM!A:A,".1",BOM!B:B,"212-048000-000 ")</f>
        <v>0</v>
      </c>
      <c r="U778">
        <f>sumifs(BOM!u:u,BOM!A:A,".1",BOM!B:B,"212-048000-000 ")</f>
        <v>0</v>
      </c>
      <c r="V778">
        <f>sumifs(BOM!v:v,BOM!A:A,".1",BOM!B:B,"212-048000-000 ")</f>
        <v>0</v>
      </c>
      <c r="W778">
        <f>sumifs(BOM!w:w,BOM!A:A,".1",BOM!B:B,"212-048000-000 ")</f>
        <v>0</v>
      </c>
      <c r="X778">
        <f>sumifs(BOM!x:x,BOM!A:A,".1",BOM!B:B,"212-048000-000 ")</f>
        <v>0</v>
      </c>
      <c r="Y778">
        <f>sumifs(BOM!y:y,BOM!A:A,".1",BOM!B:B,"212-048000-000 ")</f>
        <v>0</v>
      </c>
      <c r="Z778">
        <f>sumifs(BOM!z:z,BOM!A:A,".1",BOM!B:B,"212-048000-000 ")</f>
        <v>0</v>
      </c>
      <c r="AA778">
        <f>sumifs(BOM!aa:aa,BOM!A:A,".1",BOM!B:B,"212-048000-000 ")</f>
        <v>0</v>
      </c>
      <c r="AB778">
        <f>sumifs(BOM!ab:ab,BOM!A:A,".1",BOM!B:B,"212-048000-000 ")</f>
        <v>0</v>
      </c>
      <c r="AC778">
        <f>sumifs(BOM!ac:ac,BOM!A:A,".1",BOM!B:B,"212-048000-000 ")</f>
        <v>0</v>
      </c>
      <c r="AD778">
        <f>sumifs(BOM!ad:ad,BOM!A:A,".1",BOM!B:B,"212-048000-000 ")</f>
        <v>0</v>
      </c>
      <c r="AE778">
        <f>sumifs(BOM!ae:ae,BOM!A:A,".1",BOM!B:B,"212-048000-000 ")</f>
        <v>0</v>
      </c>
      <c r="AF778">
        <f>sumifs(BOM!af:af,BOM!A:A,".1",BOM!B:B,"212-048000-000 ")</f>
        <v>0</v>
      </c>
      <c r="AG778">
        <f>sumifs(BOM!ag:ag,BOM!A:A,".1",BOM!B:B,"212-048000-000 ")</f>
        <v>0</v>
      </c>
      <c r="AH778">
        <f>sumifs(BOM!ah:ah,BOM!A:A,".1",BOM!B:B,"212-048000-000 ")</f>
        <v>0</v>
      </c>
      <c r="AI778">
        <f>sumifs(BOM!ai:ai,BOM!A:A,".1",BOM!B:B,"212-048000-000 ")</f>
        <v>0</v>
      </c>
      <c r="AJ778">
        <f>sumifs(BOM!aj:aj,BOM!A:A,".1",BOM!B:B,"212-048000-000 ")</f>
        <v>0</v>
      </c>
      <c r="AK778">
        <f>sumifs(BOM!ak:ak,BOM!A:A,".1",BOM!B:B,"212-048000-000 ")</f>
        <v>0</v>
      </c>
      <c r="AL778">
        <f>sumifs(BOM!al:al,BOM!A:A,".1",BOM!B:B,"212-048000-000 ")</f>
        <v>0</v>
      </c>
      <c r="AM778">
        <f>sumifs(BOM!am:am,BOM!A:A,".1",BOM!B:B,"212-048000-000 ")</f>
        <v>0</v>
      </c>
      <c r="AN778">
        <f>sumifs(BOM!an:an,BOM!A:A,".1",BOM!B:B,"212-048000-000 ")</f>
        <v>0</v>
      </c>
      <c r="AO778">
        <f>sumifs(BOM!ao:ao,BOM!A:A,".1",BOM!B:B,"212-048000-000 ")</f>
        <v>0</v>
      </c>
      <c r="AP778">
        <f>sumifs(BOM!ap:ap,BOM!A:A,".1",BOM!B:B,"212-048000-000 ")</f>
        <v>0</v>
      </c>
      <c r="AQ778">
        <f>sumifs(BOM!aq:aq,BOM!A:A,".1",BOM!B:B,"212-048000-000 ")</f>
        <v>0</v>
      </c>
      <c r="AR778">
        <f>sumifs(BOM!ar:ar,BOM!A:A,".1",BOM!B:B,"212-048000-000 ")</f>
        <v>0</v>
      </c>
      <c r="BX778">
        <f>sum(j778:an778)</f>
        <v>0</v>
      </c>
    </row>
    <row r="779" spans="1:76">
      <c r="A779" t="s">
        <v>31</v>
      </c>
      <c r="B779" t="s">
        <v>384</v>
      </c>
      <c r="C779" t="s">
        <v>385</v>
      </c>
      <c r="D779" t="s">
        <v>256</v>
      </c>
      <c r="E779">
        <v>1</v>
      </c>
      <c r="K779" t="s">
        <v>308</v>
      </c>
      <c r="L779" t="s">
        <v>37</v>
      </c>
    </row>
    <row r="780" spans="1:76">
      <c r="L780" t="s">
        <v>662</v>
      </c>
    </row>
    <row r="781" spans="1:76">
      <c r="L781" t="s">
        <v>663</v>
      </c>
    </row>
    <row r="782" spans="1:76">
      <c r="L782" t="s">
        <v>664</v>
      </c>
    </row>
    <row r="783" spans="1:76">
      <c r="L783" t="s">
        <v>665</v>
      </c>
      <c r="M783">
        <f>IF(DAY(NOW())&lt;M3,INDIRECT(ADDRESS(783,7))-INDIRECT(ADDRESS(778,13))+INDIRECT(ADDRESS(779,13))-INDIRECT(ADDRESS(782,13)),INDIRECT(ADDRESS(783,7))-INDIRECT(ADDRESS(778,13))+INDIRECT(ADDRESS(781,13))-INDIRECT(ADDRESS(782,13)))</f>
        <v>0</v>
      </c>
      <c r="N783">
        <f>IF(DAY(NOW())&lt;M3,INDIRECT(ADDRESS(783,13))-INDIRECT(ADDRESS(778,14))+INDIRECT(ADDRESS(779,14))-INDIRECT(ADDRESS(782,14)),INDIRECT(ADDRESS(783,13))-INDIRECT(ADDRESS(778,14))+INDIRECT(ADDRESS(781,14))-INDIRECT(ADDRESS(782,14)))</f>
        <v>0</v>
      </c>
      <c r="O783">
        <f>IF(DAY(NOW())&lt;M3,INDIRECT(ADDRESS(783,14))-INDIRECT(ADDRESS(778,15))+INDIRECT(ADDRESS(779,15))-INDIRECT(ADDRESS(782,15)),INDIRECT(ADDRESS(783,14))-INDIRECT(ADDRESS(778,15))+INDIRECT(ADDRESS(781,15))-INDIRECT(ADDRESS(782,15)))</f>
        <v>0</v>
      </c>
      <c r="P783">
        <f>IF(DAY(NOW())&lt;M3,INDIRECT(ADDRESS(783,15))-INDIRECT(ADDRESS(778,16))+INDIRECT(ADDRESS(779,16))-INDIRECT(ADDRESS(782,16)),INDIRECT(ADDRESS(783,15))-INDIRECT(ADDRESS(778,16))+INDIRECT(ADDRESS(781,16))-INDIRECT(ADDRESS(782,16)))</f>
        <v>0</v>
      </c>
      <c r="Q783">
        <f>IF(DAY(NOW())&lt;M3,INDIRECT(ADDRESS(783,16))-INDIRECT(ADDRESS(778,17))+INDIRECT(ADDRESS(779,17))-INDIRECT(ADDRESS(782,17)),INDIRECT(ADDRESS(783,16))-INDIRECT(ADDRESS(778,17))+INDIRECT(ADDRESS(781,17))-INDIRECT(ADDRESS(782,17)))</f>
        <v>0</v>
      </c>
      <c r="R783">
        <f>IF(DAY(NOW())&lt;M3,INDIRECT(ADDRESS(783,17))-INDIRECT(ADDRESS(778,18))+INDIRECT(ADDRESS(779,18))-INDIRECT(ADDRESS(782,18)),INDIRECT(ADDRESS(783,17))-INDIRECT(ADDRESS(778,18))+INDIRECT(ADDRESS(781,18))-INDIRECT(ADDRESS(782,18)))</f>
        <v>0</v>
      </c>
      <c r="S783">
        <f>IF(DAY(NOW())&lt;M3,INDIRECT(ADDRESS(783,18))-INDIRECT(ADDRESS(778,19))+INDIRECT(ADDRESS(779,19))-INDIRECT(ADDRESS(782,19)),INDIRECT(ADDRESS(783,18))-INDIRECT(ADDRESS(778,19))+INDIRECT(ADDRESS(781,19))-INDIRECT(ADDRESS(782,19)))</f>
        <v>0</v>
      </c>
      <c r="T783">
        <f>IF(DAY(NOW())&lt;M3,INDIRECT(ADDRESS(783,19))-INDIRECT(ADDRESS(778,20))+INDIRECT(ADDRESS(779,20))-INDIRECT(ADDRESS(782,20)),INDIRECT(ADDRESS(783,19))-INDIRECT(ADDRESS(778,20))+INDIRECT(ADDRESS(781,20))-INDIRECT(ADDRESS(782,20)))</f>
        <v>0</v>
      </c>
      <c r="U783">
        <f>IF(DAY(NOW())&lt;M3,INDIRECT(ADDRESS(783,20))-INDIRECT(ADDRESS(778,21))+INDIRECT(ADDRESS(779,21))-INDIRECT(ADDRESS(782,21)),INDIRECT(ADDRESS(783,20))-INDIRECT(ADDRESS(778,21))+INDIRECT(ADDRESS(781,21))-INDIRECT(ADDRESS(782,21)))</f>
        <v>0</v>
      </c>
      <c r="V783">
        <f>IF(DAY(NOW())&lt;M3,INDIRECT(ADDRESS(783,21))-INDIRECT(ADDRESS(778,22))+INDIRECT(ADDRESS(779,22))-INDIRECT(ADDRESS(782,22)),INDIRECT(ADDRESS(783,21))-INDIRECT(ADDRESS(778,22))+INDIRECT(ADDRESS(781,22))-INDIRECT(ADDRESS(782,22)))</f>
        <v>0</v>
      </c>
      <c r="W783">
        <f>IF(DAY(NOW())&lt;M3,INDIRECT(ADDRESS(783,22))-INDIRECT(ADDRESS(778,23))+INDIRECT(ADDRESS(779,23))-INDIRECT(ADDRESS(782,23)),INDIRECT(ADDRESS(783,22))-INDIRECT(ADDRESS(778,23))+INDIRECT(ADDRESS(781,23))-INDIRECT(ADDRESS(782,23)))</f>
        <v>0</v>
      </c>
      <c r="X783">
        <f>IF(DAY(NOW())&lt;M3,INDIRECT(ADDRESS(783,23))-INDIRECT(ADDRESS(778,24))+INDIRECT(ADDRESS(779,24))-INDIRECT(ADDRESS(782,24)),INDIRECT(ADDRESS(783,23))-INDIRECT(ADDRESS(778,24))+INDIRECT(ADDRESS(781,24))-INDIRECT(ADDRESS(782,24)))</f>
        <v>0</v>
      </c>
      <c r="Y783">
        <f>IF(DAY(NOW())&lt;M3,INDIRECT(ADDRESS(783,24))-INDIRECT(ADDRESS(778,25))+INDIRECT(ADDRESS(779,25))-INDIRECT(ADDRESS(782,25)),INDIRECT(ADDRESS(783,24))-INDIRECT(ADDRESS(778,25))+INDIRECT(ADDRESS(781,25))-INDIRECT(ADDRESS(782,25)))</f>
        <v>0</v>
      </c>
      <c r="Z783">
        <f>IF(DAY(NOW())&lt;M3,INDIRECT(ADDRESS(783,25))-INDIRECT(ADDRESS(778,26))+INDIRECT(ADDRESS(779,26))-INDIRECT(ADDRESS(782,26)),INDIRECT(ADDRESS(783,25))-INDIRECT(ADDRESS(778,26))+INDIRECT(ADDRESS(781,26))-INDIRECT(ADDRESS(782,26)))</f>
        <v>0</v>
      </c>
      <c r="AA783">
        <f>IF(DAY(NOW())&lt;M3,INDIRECT(ADDRESS(783,26))-INDIRECT(ADDRESS(778,27))+INDIRECT(ADDRESS(779,27))-INDIRECT(ADDRESS(782,27)),INDIRECT(ADDRESS(783,26))-INDIRECT(ADDRESS(778,27))+INDIRECT(ADDRESS(781,27))-INDIRECT(ADDRESS(782,27)))</f>
        <v>0</v>
      </c>
      <c r="AB783">
        <f>IF(DAY(NOW())&lt;M3,INDIRECT(ADDRESS(783,27))-INDIRECT(ADDRESS(778,28))+INDIRECT(ADDRESS(779,28))-INDIRECT(ADDRESS(782,28)),INDIRECT(ADDRESS(783,27))-INDIRECT(ADDRESS(778,28))+INDIRECT(ADDRESS(781,28))-INDIRECT(ADDRESS(782,28)))</f>
        <v>0</v>
      </c>
      <c r="AC783">
        <f>IF(DAY(NOW())&lt;M3,INDIRECT(ADDRESS(783,28))-INDIRECT(ADDRESS(778,29))+INDIRECT(ADDRESS(779,29))-INDIRECT(ADDRESS(782,29)),INDIRECT(ADDRESS(783,28))-INDIRECT(ADDRESS(778,29))+INDIRECT(ADDRESS(781,29))-INDIRECT(ADDRESS(782,29)))</f>
        <v>0</v>
      </c>
      <c r="AD783">
        <f>IF(DAY(NOW())&lt;M3,INDIRECT(ADDRESS(783,29))-INDIRECT(ADDRESS(778,30))+INDIRECT(ADDRESS(779,30))-INDIRECT(ADDRESS(782,30)),INDIRECT(ADDRESS(783,29))-INDIRECT(ADDRESS(778,30))+INDIRECT(ADDRESS(781,30))-INDIRECT(ADDRESS(782,30)))</f>
        <v>0</v>
      </c>
      <c r="AE783">
        <f>IF(DAY(NOW())&lt;M3,INDIRECT(ADDRESS(783,30))-INDIRECT(ADDRESS(778,31))+INDIRECT(ADDRESS(779,31))-INDIRECT(ADDRESS(782,31)),INDIRECT(ADDRESS(783,30))-INDIRECT(ADDRESS(778,31))+INDIRECT(ADDRESS(781,31))-INDIRECT(ADDRESS(782,31)))</f>
        <v>0</v>
      </c>
      <c r="AF783">
        <f>IF(DAY(NOW())&lt;M3,INDIRECT(ADDRESS(783,31))-INDIRECT(ADDRESS(778,32))+INDIRECT(ADDRESS(779,32))-INDIRECT(ADDRESS(782,32)),INDIRECT(ADDRESS(783,31))-INDIRECT(ADDRESS(778,32))+INDIRECT(ADDRESS(781,32))-INDIRECT(ADDRESS(782,32)))</f>
        <v>0</v>
      </c>
      <c r="AG783">
        <f>IF(DAY(NOW())&lt;M3,INDIRECT(ADDRESS(783,32))-INDIRECT(ADDRESS(778,33))+INDIRECT(ADDRESS(779,33))-INDIRECT(ADDRESS(782,33)),INDIRECT(ADDRESS(783,32))-INDIRECT(ADDRESS(778,33))+INDIRECT(ADDRESS(781,33))-INDIRECT(ADDRESS(782,33)))</f>
        <v>0</v>
      </c>
      <c r="AH783">
        <f>IF(DAY(NOW())&lt;M3,INDIRECT(ADDRESS(783,33))-INDIRECT(ADDRESS(778,34))+INDIRECT(ADDRESS(779,34))-INDIRECT(ADDRESS(782,34)),INDIRECT(ADDRESS(783,33))-INDIRECT(ADDRESS(778,34))+INDIRECT(ADDRESS(781,34))-INDIRECT(ADDRESS(782,34)))</f>
        <v>0</v>
      </c>
      <c r="AI783">
        <f>IF(DAY(NOW())&lt;M3,INDIRECT(ADDRESS(783,34))-INDIRECT(ADDRESS(778,35))+INDIRECT(ADDRESS(779,35))-INDIRECT(ADDRESS(782,35)),INDIRECT(ADDRESS(783,34))-INDIRECT(ADDRESS(778,35))+INDIRECT(ADDRESS(781,35))-INDIRECT(ADDRESS(782,35)))</f>
        <v>0</v>
      </c>
      <c r="AJ783">
        <f>IF(DAY(NOW())&lt;M3,INDIRECT(ADDRESS(783,35))-INDIRECT(ADDRESS(778,36))+INDIRECT(ADDRESS(779,36))-INDIRECT(ADDRESS(782,36)),INDIRECT(ADDRESS(783,35))-INDIRECT(ADDRESS(778,36))+INDIRECT(ADDRESS(781,36))-INDIRECT(ADDRESS(782,36)))</f>
        <v>0</v>
      </c>
      <c r="AK783">
        <f>IF(DAY(NOW())&lt;M3,INDIRECT(ADDRESS(783,36))-INDIRECT(ADDRESS(778,37))+INDIRECT(ADDRESS(779,37))-INDIRECT(ADDRESS(782,37)),INDIRECT(ADDRESS(783,36))-INDIRECT(ADDRESS(778,37))+INDIRECT(ADDRESS(781,37))-INDIRECT(ADDRESS(782,37)))</f>
        <v>0</v>
      </c>
      <c r="AL783">
        <f>IF(DAY(NOW())&lt;M3,INDIRECT(ADDRESS(783,37))-INDIRECT(ADDRESS(778,38))+INDIRECT(ADDRESS(779,38))-INDIRECT(ADDRESS(782,38)),INDIRECT(ADDRESS(783,37))-INDIRECT(ADDRESS(778,38))+INDIRECT(ADDRESS(781,38))-INDIRECT(ADDRESS(782,38)))</f>
        <v>0</v>
      </c>
      <c r="AM783">
        <f>IF(DAY(NOW())&lt;M3,INDIRECT(ADDRESS(783,38))-INDIRECT(ADDRESS(778,39))+INDIRECT(ADDRESS(779,39))-INDIRECT(ADDRESS(782,39)),INDIRECT(ADDRESS(783,38))-INDIRECT(ADDRESS(778,39))+INDIRECT(ADDRESS(781,39))-INDIRECT(ADDRESS(782,39)))</f>
        <v>0</v>
      </c>
      <c r="AN783">
        <f>IF(DAY(NOW())&lt;M3,INDIRECT(ADDRESS(783,39))-INDIRECT(ADDRESS(778,40))+INDIRECT(ADDRESS(779,40))-INDIRECT(ADDRESS(782,40)),INDIRECT(ADDRESS(783,39))-INDIRECT(ADDRESS(778,40))+INDIRECT(ADDRESS(781,40))-INDIRECT(ADDRESS(782,40)))</f>
        <v>0</v>
      </c>
      <c r="AO783">
        <f>IF(DAY(NOW())&lt;M3,INDIRECT(ADDRESS(783,40))-INDIRECT(ADDRESS(778,41))+INDIRECT(ADDRESS(779,41))-INDIRECT(ADDRESS(782,41)),INDIRECT(ADDRESS(783,40))-INDIRECT(ADDRESS(778,41))+INDIRECT(ADDRESS(781,41))-INDIRECT(ADDRESS(782,41)))</f>
        <v>0</v>
      </c>
      <c r="AP783">
        <f>IF(DAY(NOW())&lt;M3,INDIRECT(ADDRESS(783,41))-INDIRECT(ADDRESS(778,42))+INDIRECT(ADDRESS(779,42))-INDIRECT(ADDRESS(782,42)),INDIRECT(ADDRESS(783,41))-INDIRECT(ADDRESS(778,42))+INDIRECT(ADDRESS(781,42))-INDIRECT(ADDRESS(782,42)))</f>
        <v>0</v>
      </c>
      <c r="AQ783">
        <f>IF(DAY(NOW())&lt;M3,INDIRECT(ADDRESS(783,42))-INDIRECT(ADDRESS(778,43))+INDIRECT(ADDRESS(779,43))-INDIRECT(ADDRESS(782,43)),INDIRECT(ADDRESS(783,42))-INDIRECT(ADDRESS(778,43))+INDIRECT(ADDRESS(781,43))-INDIRECT(ADDRESS(782,43)))</f>
        <v>0</v>
      </c>
      <c r="AR783">
        <f>IF(DAY(NOW())&lt;M3,INDIRECT(ADDRESS(783,43))-INDIRECT(ADDRESS(778,44))+INDIRECT(ADDRESS(779,44))-INDIRECT(ADDRESS(782,44)),INDIRECT(ADDRESS(783,43))-INDIRECT(ADDRESS(778,44))+INDIRECT(ADDRESS(781,44))-INDIRECT(ADDRESS(782,44)))</f>
        <v>0</v>
      </c>
    </row>
    <row r="784" spans="1:76">
      <c r="A784" t="s">
        <v>31</v>
      </c>
      <c r="B784" t="s">
        <v>352</v>
      </c>
      <c r="C784" t="s">
        <v>353</v>
      </c>
      <c r="D784" t="s">
        <v>17</v>
      </c>
      <c r="E784" t="s">
        <v>36</v>
      </c>
      <c r="K784" t="s">
        <v>308</v>
      </c>
      <c r="L784" t="s">
        <v>21</v>
      </c>
      <c r="M784">
        <f>sumifs(BOM!m:m,BOM!A:A,".1",BOM!B:B,"262-000200-000")</f>
        <v>0</v>
      </c>
      <c r="N784">
        <f>sumifs(BOM!n:n,BOM!A:A,".1",BOM!B:B,"262-000200-000")</f>
        <v>0</v>
      </c>
      <c r="O784">
        <f>sumifs(BOM!o:o,BOM!A:A,".1",BOM!B:B,"262-000200-000")</f>
        <v>0</v>
      </c>
      <c r="P784">
        <f>sumifs(BOM!p:p,BOM!A:A,".1",BOM!B:B,"262-000200-000")</f>
        <v>0</v>
      </c>
      <c r="Q784">
        <f>sumifs(BOM!q:q,BOM!A:A,".1",BOM!B:B,"262-000200-000")</f>
        <v>0</v>
      </c>
      <c r="R784">
        <f>sumifs(BOM!r:r,BOM!A:A,".1",BOM!B:B,"262-000200-000")</f>
        <v>0</v>
      </c>
      <c r="S784">
        <f>sumifs(BOM!s:s,BOM!A:A,".1",BOM!B:B,"262-000200-000")</f>
        <v>0</v>
      </c>
      <c r="T784">
        <f>sumifs(BOM!t:t,BOM!A:A,".1",BOM!B:B,"262-000200-000")</f>
        <v>0</v>
      </c>
      <c r="U784">
        <f>sumifs(BOM!u:u,BOM!A:A,".1",BOM!B:B,"262-000200-000")</f>
        <v>0</v>
      </c>
      <c r="V784">
        <f>sumifs(BOM!v:v,BOM!A:A,".1",BOM!B:B,"262-000200-000")</f>
        <v>0</v>
      </c>
      <c r="W784">
        <f>sumifs(BOM!w:w,BOM!A:A,".1",BOM!B:B,"262-000200-000")</f>
        <v>0</v>
      </c>
      <c r="X784">
        <f>sumifs(BOM!x:x,BOM!A:A,".1",BOM!B:B,"262-000200-000")</f>
        <v>0</v>
      </c>
      <c r="Y784">
        <f>sumifs(BOM!y:y,BOM!A:A,".1",BOM!B:B,"262-000200-000")</f>
        <v>0</v>
      </c>
      <c r="Z784">
        <f>sumifs(BOM!z:z,BOM!A:A,".1",BOM!B:B,"262-000200-000")</f>
        <v>0</v>
      </c>
      <c r="AA784">
        <f>sumifs(BOM!aa:aa,BOM!A:A,".1",BOM!B:B,"262-000200-000")</f>
        <v>0</v>
      </c>
      <c r="AB784">
        <f>sumifs(BOM!ab:ab,BOM!A:A,".1",BOM!B:B,"262-000200-000")</f>
        <v>0</v>
      </c>
      <c r="AC784">
        <f>sumifs(BOM!ac:ac,BOM!A:A,".1",BOM!B:B,"262-000200-000")</f>
        <v>0</v>
      </c>
      <c r="AD784">
        <f>sumifs(BOM!ad:ad,BOM!A:A,".1",BOM!B:B,"262-000200-000")</f>
        <v>0</v>
      </c>
      <c r="AE784">
        <f>sumifs(BOM!ae:ae,BOM!A:A,".1",BOM!B:B,"262-000200-000")</f>
        <v>0</v>
      </c>
      <c r="AF784">
        <f>sumifs(BOM!af:af,BOM!A:A,".1",BOM!B:B,"262-000200-000")</f>
        <v>0</v>
      </c>
      <c r="AG784">
        <f>sumifs(BOM!ag:ag,BOM!A:A,".1",BOM!B:B,"262-000200-000")</f>
        <v>0</v>
      </c>
      <c r="AH784">
        <f>sumifs(BOM!ah:ah,BOM!A:A,".1",BOM!B:B,"262-000200-000")</f>
        <v>0</v>
      </c>
      <c r="AI784">
        <f>sumifs(BOM!ai:ai,BOM!A:A,".1",BOM!B:B,"262-000200-000")</f>
        <v>0</v>
      </c>
      <c r="AJ784">
        <f>sumifs(BOM!aj:aj,BOM!A:A,".1",BOM!B:B,"262-000200-000")</f>
        <v>0</v>
      </c>
      <c r="AK784">
        <f>sumifs(BOM!ak:ak,BOM!A:A,".1",BOM!B:B,"262-000200-000")</f>
        <v>0</v>
      </c>
      <c r="AL784">
        <f>sumifs(BOM!al:al,BOM!A:A,".1",BOM!B:B,"262-000200-000")</f>
        <v>0</v>
      </c>
      <c r="AM784">
        <f>sumifs(BOM!am:am,BOM!A:A,".1",BOM!B:B,"262-000200-000")</f>
        <v>0</v>
      </c>
      <c r="AN784">
        <f>sumifs(BOM!an:an,BOM!A:A,".1",BOM!B:B,"262-000200-000")</f>
        <v>0</v>
      </c>
      <c r="AO784">
        <f>sumifs(BOM!ao:ao,BOM!A:A,".1",BOM!B:B,"262-000200-000")</f>
        <v>0</v>
      </c>
      <c r="AP784">
        <f>sumifs(BOM!ap:ap,BOM!A:A,".1",BOM!B:B,"262-000200-000")</f>
        <v>0</v>
      </c>
      <c r="AQ784">
        <f>sumifs(BOM!aq:aq,BOM!A:A,".1",BOM!B:B,"262-000200-000")</f>
        <v>0</v>
      </c>
      <c r="AR784">
        <f>sumifs(BOM!ar:ar,BOM!A:A,".1",BOM!B:B,"262-000200-000")</f>
        <v>0</v>
      </c>
      <c r="BX784">
        <f>sum(j784:an784)</f>
        <v>0</v>
      </c>
    </row>
    <row r="785" spans="1:76">
      <c r="A785" t="s">
        <v>31</v>
      </c>
      <c r="B785" t="s">
        <v>352</v>
      </c>
      <c r="C785" t="s">
        <v>353</v>
      </c>
      <c r="D785" t="s">
        <v>17</v>
      </c>
      <c r="E785" t="s">
        <v>36</v>
      </c>
      <c r="K785" t="s">
        <v>308</v>
      </c>
      <c r="L785" t="s">
        <v>37</v>
      </c>
    </row>
    <row r="786" spans="1:76">
      <c r="L786" t="s">
        <v>662</v>
      </c>
    </row>
    <row r="787" spans="1:76">
      <c r="L787" t="s">
        <v>663</v>
      </c>
    </row>
    <row r="788" spans="1:76">
      <c r="L788" t="s">
        <v>664</v>
      </c>
    </row>
    <row r="789" spans="1:76">
      <c r="L789" t="s">
        <v>665</v>
      </c>
      <c r="M789">
        <f>IF(DAY(NOW())&lt;M3,INDIRECT(ADDRESS(789,7))-INDIRECT(ADDRESS(784,13))+INDIRECT(ADDRESS(785,13))-INDIRECT(ADDRESS(788,13)),INDIRECT(ADDRESS(789,7))-INDIRECT(ADDRESS(784,13))+INDIRECT(ADDRESS(787,13))-INDIRECT(ADDRESS(788,13)))</f>
        <v>0</v>
      </c>
      <c r="N789">
        <f>IF(DAY(NOW())&lt;M3,INDIRECT(ADDRESS(789,13))-INDIRECT(ADDRESS(784,14))+INDIRECT(ADDRESS(785,14))-INDIRECT(ADDRESS(788,14)),INDIRECT(ADDRESS(789,13))-INDIRECT(ADDRESS(784,14))+INDIRECT(ADDRESS(787,14))-INDIRECT(ADDRESS(788,14)))</f>
        <v>0</v>
      </c>
      <c r="O789">
        <f>IF(DAY(NOW())&lt;M3,INDIRECT(ADDRESS(789,14))-INDIRECT(ADDRESS(784,15))+INDIRECT(ADDRESS(785,15))-INDIRECT(ADDRESS(788,15)),INDIRECT(ADDRESS(789,14))-INDIRECT(ADDRESS(784,15))+INDIRECT(ADDRESS(787,15))-INDIRECT(ADDRESS(788,15)))</f>
        <v>0</v>
      </c>
      <c r="P789">
        <f>IF(DAY(NOW())&lt;M3,INDIRECT(ADDRESS(789,15))-INDIRECT(ADDRESS(784,16))+INDIRECT(ADDRESS(785,16))-INDIRECT(ADDRESS(788,16)),INDIRECT(ADDRESS(789,15))-INDIRECT(ADDRESS(784,16))+INDIRECT(ADDRESS(787,16))-INDIRECT(ADDRESS(788,16)))</f>
        <v>0</v>
      </c>
      <c r="Q789">
        <f>IF(DAY(NOW())&lt;M3,INDIRECT(ADDRESS(789,16))-INDIRECT(ADDRESS(784,17))+INDIRECT(ADDRESS(785,17))-INDIRECT(ADDRESS(788,17)),INDIRECT(ADDRESS(789,16))-INDIRECT(ADDRESS(784,17))+INDIRECT(ADDRESS(787,17))-INDIRECT(ADDRESS(788,17)))</f>
        <v>0</v>
      </c>
      <c r="R789">
        <f>IF(DAY(NOW())&lt;M3,INDIRECT(ADDRESS(789,17))-INDIRECT(ADDRESS(784,18))+INDIRECT(ADDRESS(785,18))-INDIRECT(ADDRESS(788,18)),INDIRECT(ADDRESS(789,17))-INDIRECT(ADDRESS(784,18))+INDIRECT(ADDRESS(787,18))-INDIRECT(ADDRESS(788,18)))</f>
        <v>0</v>
      </c>
      <c r="S789">
        <f>IF(DAY(NOW())&lt;M3,INDIRECT(ADDRESS(789,18))-INDIRECT(ADDRESS(784,19))+INDIRECT(ADDRESS(785,19))-INDIRECT(ADDRESS(788,19)),INDIRECT(ADDRESS(789,18))-INDIRECT(ADDRESS(784,19))+INDIRECT(ADDRESS(787,19))-INDIRECT(ADDRESS(788,19)))</f>
        <v>0</v>
      </c>
      <c r="T789">
        <f>IF(DAY(NOW())&lt;M3,INDIRECT(ADDRESS(789,19))-INDIRECT(ADDRESS(784,20))+INDIRECT(ADDRESS(785,20))-INDIRECT(ADDRESS(788,20)),INDIRECT(ADDRESS(789,19))-INDIRECT(ADDRESS(784,20))+INDIRECT(ADDRESS(787,20))-INDIRECT(ADDRESS(788,20)))</f>
        <v>0</v>
      </c>
      <c r="U789">
        <f>IF(DAY(NOW())&lt;M3,INDIRECT(ADDRESS(789,20))-INDIRECT(ADDRESS(784,21))+INDIRECT(ADDRESS(785,21))-INDIRECT(ADDRESS(788,21)),INDIRECT(ADDRESS(789,20))-INDIRECT(ADDRESS(784,21))+INDIRECT(ADDRESS(787,21))-INDIRECT(ADDRESS(788,21)))</f>
        <v>0</v>
      </c>
      <c r="V789">
        <f>IF(DAY(NOW())&lt;M3,INDIRECT(ADDRESS(789,21))-INDIRECT(ADDRESS(784,22))+INDIRECT(ADDRESS(785,22))-INDIRECT(ADDRESS(788,22)),INDIRECT(ADDRESS(789,21))-INDIRECT(ADDRESS(784,22))+INDIRECT(ADDRESS(787,22))-INDIRECT(ADDRESS(788,22)))</f>
        <v>0</v>
      </c>
      <c r="W789">
        <f>IF(DAY(NOW())&lt;M3,INDIRECT(ADDRESS(789,22))-INDIRECT(ADDRESS(784,23))+INDIRECT(ADDRESS(785,23))-INDIRECT(ADDRESS(788,23)),INDIRECT(ADDRESS(789,22))-INDIRECT(ADDRESS(784,23))+INDIRECT(ADDRESS(787,23))-INDIRECT(ADDRESS(788,23)))</f>
        <v>0</v>
      </c>
      <c r="X789">
        <f>IF(DAY(NOW())&lt;M3,INDIRECT(ADDRESS(789,23))-INDIRECT(ADDRESS(784,24))+INDIRECT(ADDRESS(785,24))-INDIRECT(ADDRESS(788,24)),INDIRECT(ADDRESS(789,23))-INDIRECT(ADDRESS(784,24))+INDIRECT(ADDRESS(787,24))-INDIRECT(ADDRESS(788,24)))</f>
        <v>0</v>
      </c>
      <c r="Y789">
        <f>IF(DAY(NOW())&lt;M3,INDIRECT(ADDRESS(789,24))-INDIRECT(ADDRESS(784,25))+INDIRECT(ADDRESS(785,25))-INDIRECT(ADDRESS(788,25)),INDIRECT(ADDRESS(789,24))-INDIRECT(ADDRESS(784,25))+INDIRECT(ADDRESS(787,25))-INDIRECT(ADDRESS(788,25)))</f>
        <v>0</v>
      </c>
      <c r="Z789">
        <f>IF(DAY(NOW())&lt;M3,INDIRECT(ADDRESS(789,25))-INDIRECT(ADDRESS(784,26))+INDIRECT(ADDRESS(785,26))-INDIRECT(ADDRESS(788,26)),INDIRECT(ADDRESS(789,25))-INDIRECT(ADDRESS(784,26))+INDIRECT(ADDRESS(787,26))-INDIRECT(ADDRESS(788,26)))</f>
        <v>0</v>
      </c>
      <c r="AA789">
        <f>IF(DAY(NOW())&lt;M3,INDIRECT(ADDRESS(789,26))-INDIRECT(ADDRESS(784,27))+INDIRECT(ADDRESS(785,27))-INDIRECT(ADDRESS(788,27)),INDIRECT(ADDRESS(789,26))-INDIRECT(ADDRESS(784,27))+INDIRECT(ADDRESS(787,27))-INDIRECT(ADDRESS(788,27)))</f>
        <v>0</v>
      </c>
      <c r="AB789">
        <f>IF(DAY(NOW())&lt;M3,INDIRECT(ADDRESS(789,27))-INDIRECT(ADDRESS(784,28))+INDIRECT(ADDRESS(785,28))-INDIRECT(ADDRESS(788,28)),INDIRECT(ADDRESS(789,27))-INDIRECT(ADDRESS(784,28))+INDIRECT(ADDRESS(787,28))-INDIRECT(ADDRESS(788,28)))</f>
        <v>0</v>
      </c>
      <c r="AC789">
        <f>IF(DAY(NOW())&lt;M3,INDIRECT(ADDRESS(789,28))-INDIRECT(ADDRESS(784,29))+INDIRECT(ADDRESS(785,29))-INDIRECT(ADDRESS(788,29)),INDIRECT(ADDRESS(789,28))-INDIRECT(ADDRESS(784,29))+INDIRECT(ADDRESS(787,29))-INDIRECT(ADDRESS(788,29)))</f>
        <v>0</v>
      </c>
      <c r="AD789">
        <f>IF(DAY(NOW())&lt;M3,INDIRECT(ADDRESS(789,29))-INDIRECT(ADDRESS(784,30))+INDIRECT(ADDRESS(785,30))-INDIRECT(ADDRESS(788,30)),INDIRECT(ADDRESS(789,29))-INDIRECT(ADDRESS(784,30))+INDIRECT(ADDRESS(787,30))-INDIRECT(ADDRESS(788,30)))</f>
        <v>0</v>
      </c>
      <c r="AE789">
        <f>IF(DAY(NOW())&lt;M3,INDIRECT(ADDRESS(789,30))-INDIRECT(ADDRESS(784,31))+INDIRECT(ADDRESS(785,31))-INDIRECT(ADDRESS(788,31)),INDIRECT(ADDRESS(789,30))-INDIRECT(ADDRESS(784,31))+INDIRECT(ADDRESS(787,31))-INDIRECT(ADDRESS(788,31)))</f>
        <v>0</v>
      </c>
      <c r="AF789">
        <f>IF(DAY(NOW())&lt;M3,INDIRECT(ADDRESS(789,31))-INDIRECT(ADDRESS(784,32))+INDIRECT(ADDRESS(785,32))-INDIRECT(ADDRESS(788,32)),INDIRECT(ADDRESS(789,31))-INDIRECT(ADDRESS(784,32))+INDIRECT(ADDRESS(787,32))-INDIRECT(ADDRESS(788,32)))</f>
        <v>0</v>
      </c>
      <c r="AG789">
        <f>IF(DAY(NOW())&lt;M3,INDIRECT(ADDRESS(789,32))-INDIRECT(ADDRESS(784,33))+INDIRECT(ADDRESS(785,33))-INDIRECT(ADDRESS(788,33)),INDIRECT(ADDRESS(789,32))-INDIRECT(ADDRESS(784,33))+INDIRECT(ADDRESS(787,33))-INDIRECT(ADDRESS(788,33)))</f>
        <v>0</v>
      </c>
      <c r="AH789">
        <f>IF(DAY(NOW())&lt;M3,INDIRECT(ADDRESS(789,33))-INDIRECT(ADDRESS(784,34))+INDIRECT(ADDRESS(785,34))-INDIRECT(ADDRESS(788,34)),INDIRECT(ADDRESS(789,33))-INDIRECT(ADDRESS(784,34))+INDIRECT(ADDRESS(787,34))-INDIRECT(ADDRESS(788,34)))</f>
        <v>0</v>
      </c>
      <c r="AI789">
        <f>IF(DAY(NOW())&lt;M3,INDIRECT(ADDRESS(789,34))-INDIRECT(ADDRESS(784,35))+INDIRECT(ADDRESS(785,35))-INDIRECT(ADDRESS(788,35)),INDIRECT(ADDRESS(789,34))-INDIRECT(ADDRESS(784,35))+INDIRECT(ADDRESS(787,35))-INDIRECT(ADDRESS(788,35)))</f>
        <v>0</v>
      </c>
      <c r="AJ789">
        <f>IF(DAY(NOW())&lt;M3,INDIRECT(ADDRESS(789,35))-INDIRECT(ADDRESS(784,36))+INDIRECT(ADDRESS(785,36))-INDIRECT(ADDRESS(788,36)),INDIRECT(ADDRESS(789,35))-INDIRECT(ADDRESS(784,36))+INDIRECT(ADDRESS(787,36))-INDIRECT(ADDRESS(788,36)))</f>
        <v>0</v>
      </c>
      <c r="AK789">
        <f>IF(DAY(NOW())&lt;M3,INDIRECT(ADDRESS(789,36))-INDIRECT(ADDRESS(784,37))+INDIRECT(ADDRESS(785,37))-INDIRECT(ADDRESS(788,37)),INDIRECT(ADDRESS(789,36))-INDIRECT(ADDRESS(784,37))+INDIRECT(ADDRESS(787,37))-INDIRECT(ADDRESS(788,37)))</f>
        <v>0</v>
      </c>
      <c r="AL789">
        <f>IF(DAY(NOW())&lt;M3,INDIRECT(ADDRESS(789,37))-INDIRECT(ADDRESS(784,38))+INDIRECT(ADDRESS(785,38))-INDIRECT(ADDRESS(788,38)),INDIRECT(ADDRESS(789,37))-INDIRECT(ADDRESS(784,38))+INDIRECT(ADDRESS(787,38))-INDIRECT(ADDRESS(788,38)))</f>
        <v>0</v>
      </c>
      <c r="AM789">
        <f>IF(DAY(NOW())&lt;M3,INDIRECT(ADDRESS(789,38))-INDIRECT(ADDRESS(784,39))+INDIRECT(ADDRESS(785,39))-INDIRECT(ADDRESS(788,39)),INDIRECT(ADDRESS(789,38))-INDIRECT(ADDRESS(784,39))+INDIRECT(ADDRESS(787,39))-INDIRECT(ADDRESS(788,39)))</f>
        <v>0</v>
      </c>
      <c r="AN789">
        <f>IF(DAY(NOW())&lt;M3,INDIRECT(ADDRESS(789,39))-INDIRECT(ADDRESS(784,40))+INDIRECT(ADDRESS(785,40))-INDIRECT(ADDRESS(788,40)),INDIRECT(ADDRESS(789,39))-INDIRECT(ADDRESS(784,40))+INDIRECT(ADDRESS(787,40))-INDIRECT(ADDRESS(788,40)))</f>
        <v>0</v>
      </c>
      <c r="AO789">
        <f>IF(DAY(NOW())&lt;M3,INDIRECT(ADDRESS(789,40))-INDIRECT(ADDRESS(784,41))+INDIRECT(ADDRESS(785,41))-INDIRECT(ADDRESS(788,41)),INDIRECT(ADDRESS(789,40))-INDIRECT(ADDRESS(784,41))+INDIRECT(ADDRESS(787,41))-INDIRECT(ADDRESS(788,41)))</f>
        <v>0</v>
      </c>
      <c r="AP789">
        <f>IF(DAY(NOW())&lt;M3,INDIRECT(ADDRESS(789,41))-INDIRECT(ADDRESS(784,42))+INDIRECT(ADDRESS(785,42))-INDIRECT(ADDRESS(788,42)),INDIRECT(ADDRESS(789,41))-INDIRECT(ADDRESS(784,42))+INDIRECT(ADDRESS(787,42))-INDIRECT(ADDRESS(788,42)))</f>
        <v>0</v>
      </c>
      <c r="AQ789">
        <f>IF(DAY(NOW())&lt;M3,INDIRECT(ADDRESS(789,42))-INDIRECT(ADDRESS(784,43))+INDIRECT(ADDRESS(785,43))-INDIRECT(ADDRESS(788,43)),INDIRECT(ADDRESS(789,42))-INDIRECT(ADDRESS(784,43))+INDIRECT(ADDRESS(787,43))-INDIRECT(ADDRESS(788,43)))</f>
        <v>0</v>
      </c>
      <c r="AR789">
        <f>IF(DAY(NOW())&lt;M3,INDIRECT(ADDRESS(789,43))-INDIRECT(ADDRESS(784,44))+INDIRECT(ADDRESS(785,44))-INDIRECT(ADDRESS(788,44)),INDIRECT(ADDRESS(789,43))-INDIRECT(ADDRESS(784,44))+INDIRECT(ADDRESS(787,44))-INDIRECT(ADDRESS(788,44)))</f>
        <v>0</v>
      </c>
    </row>
    <row r="790" spans="1:76">
      <c r="A790" t="s">
        <v>14</v>
      </c>
      <c r="B790" t="s">
        <v>140</v>
      </c>
      <c r="C790" t="s">
        <v>141</v>
      </c>
      <c r="D790" t="s">
        <v>256</v>
      </c>
      <c r="E790">
        <v>1</v>
      </c>
      <c r="F790" t="s">
        <v>142</v>
      </c>
      <c r="K790" t="s">
        <v>305</v>
      </c>
      <c r="L790" t="s">
        <v>21</v>
      </c>
      <c r="BX790">
        <f>sum(j790:an790)</f>
        <v>0</v>
      </c>
    </row>
    <row r="791" spans="1:76">
      <c r="A791" t="s">
        <v>14</v>
      </c>
      <c r="B791" t="s">
        <v>140</v>
      </c>
      <c r="C791" t="s">
        <v>141</v>
      </c>
      <c r="D791" t="s">
        <v>256</v>
      </c>
      <c r="E791">
        <v>1</v>
      </c>
      <c r="F791" t="s">
        <v>142</v>
      </c>
      <c r="K791" t="s">
        <v>305</v>
      </c>
      <c r="L791" t="s">
        <v>37</v>
      </c>
    </row>
    <row r="792" spans="1:76">
      <c r="L792" t="s">
        <v>662</v>
      </c>
    </row>
    <row r="793" spans="1:76">
      <c r="L793" t="s">
        <v>663</v>
      </c>
    </row>
    <row r="794" spans="1:76">
      <c r="L794" t="s">
        <v>664</v>
      </c>
    </row>
    <row r="795" spans="1:76">
      <c r="L795" t="s">
        <v>665</v>
      </c>
      <c r="M795">
        <f>IF(DAY(NOW())&lt;M3,INDIRECT(ADDRESS(795,7))-INDIRECT(ADDRESS(790,13))+INDIRECT(ADDRESS(791,13))-INDIRECT(ADDRESS(794,13)),INDIRECT(ADDRESS(795,7))-INDIRECT(ADDRESS(790,13))+INDIRECT(ADDRESS(793,13))-INDIRECT(ADDRESS(794,13)))</f>
        <v>0</v>
      </c>
      <c r="N795">
        <f>IF(DAY(NOW())&lt;M3,INDIRECT(ADDRESS(795,13))-INDIRECT(ADDRESS(790,14))+INDIRECT(ADDRESS(791,14))-INDIRECT(ADDRESS(794,14)),INDIRECT(ADDRESS(795,13))-INDIRECT(ADDRESS(790,14))+INDIRECT(ADDRESS(793,14))-INDIRECT(ADDRESS(794,14)))</f>
        <v>0</v>
      </c>
      <c r="O795">
        <f>IF(DAY(NOW())&lt;M3,INDIRECT(ADDRESS(795,14))-INDIRECT(ADDRESS(790,15))+INDIRECT(ADDRESS(791,15))-INDIRECT(ADDRESS(794,15)),INDIRECT(ADDRESS(795,14))-INDIRECT(ADDRESS(790,15))+INDIRECT(ADDRESS(793,15))-INDIRECT(ADDRESS(794,15)))</f>
        <v>0</v>
      </c>
      <c r="P795">
        <f>IF(DAY(NOW())&lt;M3,INDIRECT(ADDRESS(795,15))-INDIRECT(ADDRESS(790,16))+INDIRECT(ADDRESS(791,16))-INDIRECT(ADDRESS(794,16)),INDIRECT(ADDRESS(795,15))-INDIRECT(ADDRESS(790,16))+INDIRECT(ADDRESS(793,16))-INDIRECT(ADDRESS(794,16)))</f>
        <v>0</v>
      </c>
      <c r="Q795">
        <f>IF(DAY(NOW())&lt;M3,INDIRECT(ADDRESS(795,16))-INDIRECT(ADDRESS(790,17))+INDIRECT(ADDRESS(791,17))-INDIRECT(ADDRESS(794,17)),INDIRECT(ADDRESS(795,16))-INDIRECT(ADDRESS(790,17))+INDIRECT(ADDRESS(793,17))-INDIRECT(ADDRESS(794,17)))</f>
        <v>0</v>
      </c>
      <c r="R795">
        <f>IF(DAY(NOW())&lt;M3,INDIRECT(ADDRESS(795,17))-INDIRECT(ADDRESS(790,18))+INDIRECT(ADDRESS(791,18))-INDIRECT(ADDRESS(794,18)),INDIRECT(ADDRESS(795,17))-INDIRECT(ADDRESS(790,18))+INDIRECT(ADDRESS(793,18))-INDIRECT(ADDRESS(794,18)))</f>
        <v>0</v>
      </c>
      <c r="S795">
        <f>IF(DAY(NOW())&lt;M3,INDIRECT(ADDRESS(795,18))-INDIRECT(ADDRESS(790,19))+INDIRECT(ADDRESS(791,19))-INDIRECT(ADDRESS(794,19)),INDIRECT(ADDRESS(795,18))-INDIRECT(ADDRESS(790,19))+INDIRECT(ADDRESS(793,19))-INDIRECT(ADDRESS(794,19)))</f>
        <v>0</v>
      </c>
      <c r="T795">
        <f>IF(DAY(NOW())&lt;M3,INDIRECT(ADDRESS(795,19))-INDIRECT(ADDRESS(790,20))+INDIRECT(ADDRESS(791,20))-INDIRECT(ADDRESS(794,20)),INDIRECT(ADDRESS(795,19))-INDIRECT(ADDRESS(790,20))+INDIRECT(ADDRESS(793,20))-INDIRECT(ADDRESS(794,20)))</f>
        <v>0</v>
      </c>
      <c r="U795">
        <f>IF(DAY(NOW())&lt;M3,INDIRECT(ADDRESS(795,20))-INDIRECT(ADDRESS(790,21))+INDIRECT(ADDRESS(791,21))-INDIRECT(ADDRESS(794,21)),INDIRECT(ADDRESS(795,20))-INDIRECT(ADDRESS(790,21))+INDIRECT(ADDRESS(793,21))-INDIRECT(ADDRESS(794,21)))</f>
        <v>0</v>
      </c>
      <c r="V795">
        <f>IF(DAY(NOW())&lt;M3,INDIRECT(ADDRESS(795,21))-INDIRECT(ADDRESS(790,22))+INDIRECT(ADDRESS(791,22))-INDIRECT(ADDRESS(794,22)),INDIRECT(ADDRESS(795,21))-INDIRECT(ADDRESS(790,22))+INDIRECT(ADDRESS(793,22))-INDIRECT(ADDRESS(794,22)))</f>
        <v>0</v>
      </c>
      <c r="W795">
        <f>IF(DAY(NOW())&lt;M3,INDIRECT(ADDRESS(795,22))-INDIRECT(ADDRESS(790,23))+INDIRECT(ADDRESS(791,23))-INDIRECT(ADDRESS(794,23)),INDIRECT(ADDRESS(795,22))-INDIRECT(ADDRESS(790,23))+INDIRECT(ADDRESS(793,23))-INDIRECT(ADDRESS(794,23)))</f>
        <v>0</v>
      </c>
      <c r="X795">
        <f>IF(DAY(NOW())&lt;M3,INDIRECT(ADDRESS(795,23))-INDIRECT(ADDRESS(790,24))+INDIRECT(ADDRESS(791,24))-INDIRECT(ADDRESS(794,24)),INDIRECT(ADDRESS(795,23))-INDIRECT(ADDRESS(790,24))+INDIRECT(ADDRESS(793,24))-INDIRECT(ADDRESS(794,24)))</f>
        <v>0</v>
      </c>
      <c r="Y795">
        <f>IF(DAY(NOW())&lt;M3,INDIRECT(ADDRESS(795,24))-INDIRECT(ADDRESS(790,25))+INDIRECT(ADDRESS(791,25))-INDIRECT(ADDRESS(794,25)),INDIRECT(ADDRESS(795,24))-INDIRECT(ADDRESS(790,25))+INDIRECT(ADDRESS(793,25))-INDIRECT(ADDRESS(794,25)))</f>
        <v>0</v>
      </c>
      <c r="Z795">
        <f>IF(DAY(NOW())&lt;M3,INDIRECT(ADDRESS(795,25))-INDIRECT(ADDRESS(790,26))+INDIRECT(ADDRESS(791,26))-INDIRECT(ADDRESS(794,26)),INDIRECT(ADDRESS(795,25))-INDIRECT(ADDRESS(790,26))+INDIRECT(ADDRESS(793,26))-INDIRECT(ADDRESS(794,26)))</f>
        <v>0</v>
      </c>
      <c r="AA795">
        <f>IF(DAY(NOW())&lt;M3,INDIRECT(ADDRESS(795,26))-INDIRECT(ADDRESS(790,27))+INDIRECT(ADDRESS(791,27))-INDIRECT(ADDRESS(794,27)),INDIRECT(ADDRESS(795,26))-INDIRECT(ADDRESS(790,27))+INDIRECT(ADDRESS(793,27))-INDIRECT(ADDRESS(794,27)))</f>
        <v>0</v>
      </c>
      <c r="AB795">
        <f>IF(DAY(NOW())&lt;M3,INDIRECT(ADDRESS(795,27))-INDIRECT(ADDRESS(790,28))+INDIRECT(ADDRESS(791,28))-INDIRECT(ADDRESS(794,28)),INDIRECT(ADDRESS(795,27))-INDIRECT(ADDRESS(790,28))+INDIRECT(ADDRESS(793,28))-INDIRECT(ADDRESS(794,28)))</f>
        <v>0</v>
      </c>
      <c r="AC795">
        <f>IF(DAY(NOW())&lt;M3,INDIRECT(ADDRESS(795,28))-INDIRECT(ADDRESS(790,29))+INDIRECT(ADDRESS(791,29))-INDIRECT(ADDRESS(794,29)),INDIRECT(ADDRESS(795,28))-INDIRECT(ADDRESS(790,29))+INDIRECT(ADDRESS(793,29))-INDIRECT(ADDRESS(794,29)))</f>
        <v>0</v>
      </c>
      <c r="AD795">
        <f>IF(DAY(NOW())&lt;M3,INDIRECT(ADDRESS(795,29))-INDIRECT(ADDRESS(790,30))+INDIRECT(ADDRESS(791,30))-INDIRECT(ADDRESS(794,30)),INDIRECT(ADDRESS(795,29))-INDIRECT(ADDRESS(790,30))+INDIRECT(ADDRESS(793,30))-INDIRECT(ADDRESS(794,30)))</f>
        <v>0</v>
      </c>
      <c r="AE795">
        <f>IF(DAY(NOW())&lt;M3,INDIRECT(ADDRESS(795,30))-INDIRECT(ADDRESS(790,31))+INDIRECT(ADDRESS(791,31))-INDIRECT(ADDRESS(794,31)),INDIRECT(ADDRESS(795,30))-INDIRECT(ADDRESS(790,31))+INDIRECT(ADDRESS(793,31))-INDIRECT(ADDRESS(794,31)))</f>
        <v>0</v>
      </c>
      <c r="AF795">
        <f>IF(DAY(NOW())&lt;M3,INDIRECT(ADDRESS(795,31))-INDIRECT(ADDRESS(790,32))+INDIRECT(ADDRESS(791,32))-INDIRECT(ADDRESS(794,32)),INDIRECT(ADDRESS(795,31))-INDIRECT(ADDRESS(790,32))+INDIRECT(ADDRESS(793,32))-INDIRECT(ADDRESS(794,32)))</f>
        <v>0</v>
      </c>
      <c r="AG795">
        <f>IF(DAY(NOW())&lt;M3,INDIRECT(ADDRESS(795,32))-INDIRECT(ADDRESS(790,33))+INDIRECT(ADDRESS(791,33))-INDIRECT(ADDRESS(794,33)),INDIRECT(ADDRESS(795,32))-INDIRECT(ADDRESS(790,33))+INDIRECT(ADDRESS(793,33))-INDIRECT(ADDRESS(794,33)))</f>
        <v>0</v>
      </c>
      <c r="AH795">
        <f>IF(DAY(NOW())&lt;M3,INDIRECT(ADDRESS(795,33))-INDIRECT(ADDRESS(790,34))+INDIRECT(ADDRESS(791,34))-INDIRECT(ADDRESS(794,34)),INDIRECT(ADDRESS(795,33))-INDIRECT(ADDRESS(790,34))+INDIRECT(ADDRESS(793,34))-INDIRECT(ADDRESS(794,34)))</f>
        <v>0</v>
      </c>
      <c r="AI795">
        <f>IF(DAY(NOW())&lt;M3,INDIRECT(ADDRESS(795,34))-INDIRECT(ADDRESS(790,35))+INDIRECT(ADDRESS(791,35))-INDIRECT(ADDRESS(794,35)),INDIRECT(ADDRESS(795,34))-INDIRECT(ADDRESS(790,35))+INDIRECT(ADDRESS(793,35))-INDIRECT(ADDRESS(794,35)))</f>
        <v>0</v>
      </c>
      <c r="AJ795">
        <f>IF(DAY(NOW())&lt;M3,INDIRECT(ADDRESS(795,35))-INDIRECT(ADDRESS(790,36))+INDIRECT(ADDRESS(791,36))-INDIRECT(ADDRESS(794,36)),INDIRECT(ADDRESS(795,35))-INDIRECT(ADDRESS(790,36))+INDIRECT(ADDRESS(793,36))-INDIRECT(ADDRESS(794,36)))</f>
        <v>0</v>
      </c>
      <c r="AK795">
        <f>IF(DAY(NOW())&lt;M3,INDIRECT(ADDRESS(795,36))-INDIRECT(ADDRESS(790,37))+INDIRECT(ADDRESS(791,37))-INDIRECT(ADDRESS(794,37)),INDIRECT(ADDRESS(795,36))-INDIRECT(ADDRESS(790,37))+INDIRECT(ADDRESS(793,37))-INDIRECT(ADDRESS(794,37)))</f>
        <v>0</v>
      </c>
      <c r="AL795">
        <f>IF(DAY(NOW())&lt;M3,INDIRECT(ADDRESS(795,37))-INDIRECT(ADDRESS(790,38))+INDIRECT(ADDRESS(791,38))-INDIRECT(ADDRESS(794,38)),INDIRECT(ADDRESS(795,37))-INDIRECT(ADDRESS(790,38))+INDIRECT(ADDRESS(793,38))-INDIRECT(ADDRESS(794,38)))</f>
        <v>0</v>
      </c>
      <c r="AM795">
        <f>IF(DAY(NOW())&lt;M3,INDIRECT(ADDRESS(795,38))-INDIRECT(ADDRESS(790,39))+INDIRECT(ADDRESS(791,39))-INDIRECT(ADDRESS(794,39)),INDIRECT(ADDRESS(795,38))-INDIRECT(ADDRESS(790,39))+INDIRECT(ADDRESS(793,39))-INDIRECT(ADDRESS(794,39)))</f>
        <v>0</v>
      </c>
      <c r="AN795">
        <f>IF(DAY(NOW())&lt;M3,INDIRECT(ADDRESS(795,39))-INDIRECT(ADDRESS(790,40))+INDIRECT(ADDRESS(791,40))-INDIRECT(ADDRESS(794,40)),INDIRECT(ADDRESS(795,39))-INDIRECT(ADDRESS(790,40))+INDIRECT(ADDRESS(793,40))-INDIRECT(ADDRESS(794,40)))</f>
        <v>0</v>
      </c>
      <c r="AO795">
        <f>IF(DAY(NOW())&lt;M3,INDIRECT(ADDRESS(795,40))-INDIRECT(ADDRESS(790,41))+INDIRECT(ADDRESS(791,41))-INDIRECT(ADDRESS(794,41)),INDIRECT(ADDRESS(795,40))-INDIRECT(ADDRESS(790,41))+INDIRECT(ADDRESS(793,41))-INDIRECT(ADDRESS(794,41)))</f>
        <v>0</v>
      </c>
      <c r="AP795">
        <f>IF(DAY(NOW())&lt;M3,INDIRECT(ADDRESS(795,41))-INDIRECT(ADDRESS(790,42))+INDIRECT(ADDRESS(791,42))-INDIRECT(ADDRESS(794,42)),INDIRECT(ADDRESS(795,41))-INDIRECT(ADDRESS(790,42))+INDIRECT(ADDRESS(793,42))-INDIRECT(ADDRESS(794,42)))</f>
        <v>0</v>
      </c>
      <c r="AQ795">
        <f>IF(DAY(NOW())&lt;M3,INDIRECT(ADDRESS(795,42))-INDIRECT(ADDRESS(790,43))+INDIRECT(ADDRESS(791,43))-INDIRECT(ADDRESS(794,43)),INDIRECT(ADDRESS(795,42))-INDIRECT(ADDRESS(790,43))+INDIRECT(ADDRESS(793,43))-INDIRECT(ADDRESS(794,43)))</f>
        <v>0</v>
      </c>
      <c r="AR795">
        <f>IF(DAY(NOW())&lt;M3,INDIRECT(ADDRESS(795,43))-INDIRECT(ADDRESS(790,44))+INDIRECT(ADDRESS(791,44))-INDIRECT(ADDRESS(794,44)),INDIRECT(ADDRESS(795,43))-INDIRECT(ADDRESS(790,44))+INDIRECT(ADDRESS(793,44))-INDIRECT(ADDRESS(794,44)))</f>
        <v>0</v>
      </c>
    </row>
    <row r="796" spans="1:76">
      <c r="A796" t="s">
        <v>14</v>
      </c>
      <c r="B796" t="s">
        <v>147</v>
      </c>
      <c r="C796" t="s">
        <v>148</v>
      </c>
      <c r="D796" t="s">
        <v>256</v>
      </c>
      <c r="E796">
        <v>1</v>
      </c>
      <c r="F796" t="s">
        <v>149</v>
      </c>
      <c r="K796" t="s">
        <v>305</v>
      </c>
      <c r="L796" t="s">
        <v>21</v>
      </c>
      <c r="BX796">
        <f>sum(j796:an796)</f>
        <v>0</v>
      </c>
    </row>
    <row r="797" spans="1:76">
      <c r="A797" t="s">
        <v>14</v>
      </c>
      <c r="B797" t="s">
        <v>147</v>
      </c>
      <c r="C797" t="s">
        <v>148</v>
      </c>
      <c r="D797" t="s">
        <v>256</v>
      </c>
      <c r="E797">
        <v>1</v>
      </c>
      <c r="F797" t="s">
        <v>149</v>
      </c>
      <c r="K797" t="s">
        <v>305</v>
      </c>
      <c r="L797" t="s">
        <v>37</v>
      </c>
    </row>
    <row r="798" spans="1:76">
      <c r="L798" t="s">
        <v>662</v>
      </c>
    </row>
    <row r="799" spans="1:76">
      <c r="L799" t="s">
        <v>663</v>
      </c>
    </row>
    <row r="800" spans="1:76">
      <c r="L800" t="s">
        <v>664</v>
      </c>
    </row>
    <row r="801" spans="1:76">
      <c r="L801" t="s">
        <v>665</v>
      </c>
      <c r="M801">
        <f>IF(DAY(NOW())&lt;M3,INDIRECT(ADDRESS(801,7))-INDIRECT(ADDRESS(796,13))+INDIRECT(ADDRESS(797,13))-INDIRECT(ADDRESS(800,13)),INDIRECT(ADDRESS(801,7))-INDIRECT(ADDRESS(796,13))+INDIRECT(ADDRESS(799,13))-INDIRECT(ADDRESS(800,13)))</f>
        <v>0</v>
      </c>
      <c r="N801">
        <f>IF(DAY(NOW())&lt;M3,INDIRECT(ADDRESS(801,13))-INDIRECT(ADDRESS(796,14))+INDIRECT(ADDRESS(797,14))-INDIRECT(ADDRESS(800,14)),INDIRECT(ADDRESS(801,13))-INDIRECT(ADDRESS(796,14))+INDIRECT(ADDRESS(799,14))-INDIRECT(ADDRESS(800,14)))</f>
        <v>0</v>
      </c>
      <c r="O801">
        <f>IF(DAY(NOW())&lt;M3,INDIRECT(ADDRESS(801,14))-INDIRECT(ADDRESS(796,15))+INDIRECT(ADDRESS(797,15))-INDIRECT(ADDRESS(800,15)),INDIRECT(ADDRESS(801,14))-INDIRECT(ADDRESS(796,15))+INDIRECT(ADDRESS(799,15))-INDIRECT(ADDRESS(800,15)))</f>
        <v>0</v>
      </c>
      <c r="P801">
        <f>IF(DAY(NOW())&lt;M3,INDIRECT(ADDRESS(801,15))-INDIRECT(ADDRESS(796,16))+INDIRECT(ADDRESS(797,16))-INDIRECT(ADDRESS(800,16)),INDIRECT(ADDRESS(801,15))-INDIRECT(ADDRESS(796,16))+INDIRECT(ADDRESS(799,16))-INDIRECT(ADDRESS(800,16)))</f>
        <v>0</v>
      </c>
      <c r="Q801">
        <f>IF(DAY(NOW())&lt;M3,INDIRECT(ADDRESS(801,16))-INDIRECT(ADDRESS(796,17))+INDIRECT(ADDRESS(797,17))-INDIRECT(ADDRESS(800,17)),INDIRECT(ADDRESS(801,16))-INDIRECT(ADDRESS(796,17))+INDIRECT(ADDRESS(799,17))-INDIRECT(ADDRESS(800,17)))</f>
        <v>0</v>
      </c>
      <c r="R801">
        <f>IF(DAY(NOW())&lt;M3,INDIRECT(ADDRESS(801,17))-INDIRECT(ADDRESS(796,18))+INDIRECT(ADDRESS(797,18))-INDIRECT(ADDRESS(800,18)),INDIRECT(ADDRESS(801,17))-INDIRECT(ADDRESS(796,18))+INDIRECT(ADDRESS(799,18))-INDIRECT(ADDRESS(800,18)))</f>
        <v>0</v>
      </c>
      <c r="S801">
        <f>IF(DAY(NOW())&lt;M3,INDIRECT(ADDRESS(801,18))-INDIRECT(ADDRESS(796,19))+INDIRECT(ADDRESS(797,19))-INDIRECT(ADDRESS(800,19)),INDIRECT(ADDRESS(801,18))-INDIRECT(ADDRESS(796,19))+INDIRECT(ADDRESS(799,19))-INDIRECT(ADDRESS(800,19)))</f>
        <v>0</v>
      </c>
      <c r="T801">
        <f>IF(DAY(NOW())&lt;M3,INDIRECT(ADDRESS(801,19))-INDIRECT(ADDRESS(796,20))+INDIRECT(ADDRESS(797,20))-INDIRECT(ADDRESS(800,20)),INDIRECT(ADDRESS(801,19))-INDIRECT(ADDRESS(796,20))+INDIRECT(ADDRESS(799,20))-INDIRECT(ADDRESS(800,20)))</f>
        <v>0</v>
      </c>
      <c r="U801">
        <f>IF(DAY(NOW())&lt;M3,INDIRECT(ADDRESS(801,20))-INDIRECT(ADDRESS(796,21))+INDIRECT(ADDRESS(797,21))-INDIRECT(ADDRESS(800,21)),INDIRECT(ADDRESS(801,20))-INDIRECT(ADDRESS(796,21))+INDIRECT(ADDRESS(799,21))-INDIRECT(ADDRESS(800,21)))</f>
        <v>0</v>
      </c>
      <c r="V801">
        <f>IF(DAY(NOW())&lt;M3,INDIRECT(ADDRESS(801,21))-INDIRECT(ADDRESS(796,22))+INDIRECT(ADDRESS(797,22))-INDIRECT(ADDRESS(800,22)),INDIRECT(ADDRESS(801,21))-INDIRECT(ADDRESS(796,22))+INDIRECT(ADDRESS(799,22))-INDIRECT(ADDRESS(800,22)))</f>
        <v>0</v>
      </c>
      <c r="W801">
        <f>IF(DAY(NOW())&lt;M3,INDIRECT(ADDRESS(801,22))-INDIRECT(ADDRESS(796,23))+INDIRECT(ADDRESS(797,23))-INDIRECT(ADDRESS(800,23)),INDIRECT(ADDRESS(801,22))-INDIRECT(ADDRESS(796,23))+INDIRECT(ADDRESS(799,23))-INDIRECT(ADDRESS(800,23)))</f>
        <v>0</v>
      </c>
      <c r="X801">
        <f>IF(DAY(NOW())&lt;M3,INDIRECT(ADDRESS(801,23))-INDIRECT(ADDRESS(796,24))+INDIRECT(ADDRESS(797,24))-INDIRECT(ADDRESS(800,24)),INDIRECT(ADDRESS(801,23))-INDIRECT(ADDRESS(796,24))+INDIRECT(ADDRESS(799,24))-INDIRECT(ADDRESS(800,24)))</f>
        <v>0</v>
      </c>
      <c r="Y801">
        <f>IF(DAY(NOW())&lt;M3,INDIRECT(ADDRESS(801,24))-INDIRECT(ADDRESS(796,25))+INDIRECT(ADDRESS(797,25))-INDIRECT(ADDRESS(800,25)),INDIRECT(ADDRESS(801,24))-INDIRECT(ADDRESS(796,25))+INDIRECT(ADDRESS(799,25))-INDIRECT(ADDRESS(800,25)))</f>
        <v>0</v>
      </c>
      <c r="Z801">
        <f>IF(DAY(NOW())&lt;M3,INDIRECT(ADDRESS(801,25))-INDIRECT(ADDRESS(796,26))+INDIRECT(ADDRESS(797,26))-INDIRECT(ADDRESS(800,26)),INDIRECT(ADDRESS(801,25))-INDIRECT(ADDRESS(796,26))+INDIRECT(ADDRESS(799,26))-INDIRECT(ADDRESS(800,26)))</f>
        <v>0</v>
      </c>
      <c r="AA801">
        <f>IF(DAY(NOW())&lt;M3,INDIRECT(ADDRESS(801,26))-INDIRECT(ADDRESS(796,27))+INDIRECT(ADDRESS(797,27))-INDIRECT(ADDRESS(800,27)),INDIRECT(ADDRESS(801,26))-INDIRECT(ADDRESS(796,27))+INDIRECT(ADDRESS(799,27))-INDIRECT(ADDRESS(800,27)))</f>
        <v>0</v>
      </c>
      <c r="AB801">
        <f>IF(DAY(NOW())&lt;M3,INDIRECT(ADDRESS(801,27))-INDIRECT(ADDRESS(796,28))+INDIRECT(ADDRESS(797,28))-INDIRECT(ADDRESS(800,28)),INDIRECT(ADDRESS(801,27))-INDIRECT(ADDRESS(796,28))+INDIRECT(ADDRESS(799,28))-INDIRECT(ADDRESS(800,28)))</f>
        <v>0</v>
      </c>
      <c r="AC801">
        <f>IF(DAY(NOW())&lt;M3,INDIRECT(ADDRESS(801,28))-INDIRECT(ADDRESS(796,29))+INDIRECT(ADDRESS(797,29))-INDIRECT(ADDRESS(800,29)),INDIRECT(ADDRESS(801,28))-INDIRECT(ADDRESS(796,29))+INDIRECT(ADDRESS(799,29))-INDIRECT(ADDRESS(800,29)))</f>
        <v>0</v>
      </c>
      <c r="AD801">
        <f>IF(DAY(NOW())&lt;M3,INDIRECT(ADDRESS(801,29))-INDIRECT(ADDRESS(796,30))+INDIRECT(ADDRESS(797,30))-INDIRECT(ADDRESS(800,30)),INDIRECT(ADDRESS(801,29))-INDIRECT(ADDRESS(796,30))+INDIRECT(ADDRESS(799,30))-INDIRECT(ADDRESS(800,30)))</f>
        <v>0</v>
      </c>
      <c r="AE801">
        <f>IF(DAY(NOW())&lt;M3,INDIRECT(ADDRESS(801,30))-INDIRECT(ADDRESS(796,31))+INDIRECT(ADDRESS(797,31))-INDIRECT(ADDRESS(800,31)),INDIRECT(ADDRESS(801,30))-INDIRECT(ADDRESS(796,31))+INDIRECT(ADDRESS(799,31))-INDIRECT(ADDRESS(800,31)))</f>
        <v>0</v>
      </c>
      <c r="AF801">
        <f>IF(DAY(NOW())&lt;M3,INDIRECT(ADDRESS(801,31))-INDIRECT(ADDRESS(796,32))+INDIRECT(ADDRESS(797,32))-INDIRECT(ADDRESS(800,32)),INDIRECT(ADDRESS(801,31))-INDIRECT(ADDRESS(796,32))+INDIRECT(ADDRESS(799,32))-INDIRECT(ADDRESS(800,32)))</f>
        <v>0</v>
      </c>
      <c r="AG801">
        <f>IF(DAY(NOW())&lt;M3,INDIRECT(ADDRESS(801,32))-INDIRECT(ADDRESS(796,33))+INDIRECT(ADDRESS(797,33))-INDIRECT(ADDRESS(800,33)),INDIRECT(ADDRESS(801,32))-INDIRECT(ADDRESS(796,33))+INDIRECT(ADDRESS(799,33))-INDIRECT(ADDRESS(800,33)))</f>
        <v>0</v>
      </c>
      <c r="AH801">
        <f>IF(DAY(NOW())&lt;M3,INDIRECT(ADDRESS(801,33))-INDIRECT(ADDRESS(796,34))+INDIRECT(ADDRESS(797,34))-INDIRECT(ADDRESS(800,34)),INDIRECT(ADDRESS(801,33))-INDIRECT(ADDRESS(796,34))+INDIRECT(ADDRESS(799,34))-INDIRECT(ADDRESS(800,34)))</f>
        <v>0</v>
      </c>
      <c r="AI801">
        <f>IF(DAY(NOW())&lt;M3,INDIRECT(ADDRESS(801,34))-INDIRECT(ADDRESS(796,35))+INDIRECT(ADDRESS(797,35))-INDIRECT(ADDRESS(800,35)),INDIRECT(ADDRESS(801,34))-INDIRECT(ADDRESS(796,35))+INDIRECT(ADDRESS(799,35))-INDIRECT(ADDRESS(800,35)))</f>
        <v>0</v>
      </c>
      <c r="AJ801">
        <f>IF(DAY(NOW())&lt;M3,INDIRECT(ADDRESS(801,35))-INDIRECT(ADDRESS(796,36))+INDIRECT(ADDRESS(797,36))-INDIRECT(ADDRESS(800,36)),INDIRECT(ADDRESS(801,35))-INDIRECT(ADDRESS(796,36))+INDIRECT(ADDRESS(799,36))-INDIRECT(ADDRESS(800,36)))</f>
        <v>0</v>
      </c>
      <c r="AK801">
        <f>IF(DAY(NOW())&lt;M3,INDIRECT(ADDRESS(801,36))-INDIRECT(ADDRESS(796,37))+INDIRECT(ADDRESS(797,37))-INDIRECT(ADDRESS(800,37)),INDIRECT(ADDRESS(801,36))-INDIRECT(ADDRESS(796,37))+INDIRECT(ADDRESS(799,37))-INDIRECT(ADDRESS(800,37)))</f>
        <v>0</v>
      </c>
      <c r="AL801">
        <f>IF(DAY(NOW())&lt;M3,INDIRECT(ADDRESS(801,37))-INDIRECT(ADDRESS(796,38))+INDIRECT(ADDRESS(797,38))-INDIRECT(ADDRESS(800,38)),INDIRECT(ADDRESS(801,37))-INDIRECT(ADDRESS(796,38))+INDIRECT(ADDRESS(799,38))-INDIRECT(ADDRESS(800,38)))</f>
        <v>0</v>
      </c>
      <c r="AM801">
        <f>IF(DAY(NOW())&lt;M3,INDIRECT(ADDRESS(801,38))-INDIRECT(ADDRESS(796,39))+INDIRECT(ADDRESS(797,39))-INDIRECT(ADDRESS(800,39)),INDIRECT(ADDRESS(801,38))-INDIRECT(ADDRESS(796,39))+INDIRECT(ADDRESS(799,39))-INDIRECT(ADDRESS(800,39)))</f>
        <v>0</v>
      </c>
      <c r="AN801">
        <f>IF(DAY(NOW())&lt;M3,INDIRECT(ADDRESS(801,39))-INDIRECT(ADDRESS(796,40))+INDIRECT(ADDRESS(797,40))-INDIRECT(ADDRESS(800,40)),INDIRECT(ADDRESS(801,39))-INDIRECT(ADDRESS(796,40))+INDIRECT(ADDRESS(799,40))-INDIRECT(ADDRESS(800,40)))</f>
        <v>0</v>
      </c>
      <c r="AO801">
        <f>IF(DAY(NOW())&lt;M3,INDIRECT(ADDRESS(801,40))-INDIRECT(ADDRESS(796,41))+INDIRECT(ADDRESS(797,41))-INDIRECT(ADDRESS(800,41)),INDIRECT(ADDRESS(801,40))-INDIRECT(ADDRESS(796,41))+INDIRECT(ADDRESS(799,41))-INDIRECT(ADDRESS(800,41)))</f>
        <v>0</v>
      </c>
      <c r="AP801">
        <f>IF(DAY(NOW())&lt;M3,INDIRECT(ADDRESS(801,41))-INDIRECT(ADDRESS(796,42))+INDIRECT(ADDRESS(797,42))-INDIRECT(ADDRESS(800,42)),INDIRECT(ADDRESS(801,41))-INDIRECT(ADDRESS(796,42))+INDIRECT(ADDRESS(799,42))-INDIRECT(ADDRESS(800,42)))</f>
        <v>0</v>
      </c>
      <c r="AQ801">
        <f>IF(DAY(NOW())&lt;M3,INDIRECT(ADDRESS(801,42))-INDIRECT(ADDRESS(796,43))+INDIRECT(ADDRESS(797,43))-INDIRECT(ADDRESS(800,43)),INDIRECT(ADDRESS(801,42))-INDIRECT(ADDRESS(796,43))+INDIRECT(ADDRESS(799,43))-INDIRECT(ADDRESS(800,43)))</f>
        <v>0</v>
      </c>
      <c r="AR801">
        <f>IF(DAY(NOW())&lt;M3,INDIRECT(ADDRESS(801,43))-INDIRECT(ADDRESS(796,44))+INDIRECT(ADDRESS(797,44))-INDIRECT(ADDRESS(800,44)),INDIRECT(ADDRESS(801,43))-INDIRECT(ADDRESS(796,44))+INDIRECT(ADDRESS(799,44))-INDIRECT(ADDRESS(800,44)))</f>
        <v>0</v>
      </c>
    </row>
    <row r="802" spans="1:76">
      <c r="A802" t="s">
        <v>31</v>
      </c>
      <c r="B802" t="s">
        <v>364</v>
      </c>
      <c r="C802" t="s">
        <v>365</v>
      </c>
      <c r="D802" t="s">
        <v>256</v>
      </c>
      <c r="E802">
        <v>5</v>
      </c>
      <c r="F802" t="s">
        <v>386</v>
      </c>
      <c r="K802" t="s">
        <v>308</v>
      </c>
      <c r="L802" t="s">
        <v>21</v>
      </c>
      <c r="M802">
        <f>sumifs(BOM!m:m,BOM!A:A,".1",BOM!B:B,"222-020800-000")</f>
        <v>0</v>
      </c>
      <c r="N802">
        <f>sumifs(BOM!n:n,BOM!A:A,".1",BOM!B:B,"222-020800-000")</f>
        <v>0</v>
      </c>
      <c r="O802">
        <f>sumifs(BOM!o:o,BOM!A:A,".1",BOM!B:B,"222-020800-000")</f>
        <v>0</v>
      </c>
      <c r="P802">
        <f>sumifs(BOM!p:p,BOM!A:A,".1",BOM!B:B,"222-020800-000")</f>
        <v>0</v>
      </c>
      <c r="Q802">
        <f>sumifs(BOM!q:q,BOM!A:A,".1",BOM!B:B,"222-020800-000")</f>
        <v>0</v>
      </c>
      <c r="R802">
        <f>sumifs(BOM!r:r,BOM!A:A,".1",BOM!B:B,"222-020800-000")</f>
        <v>0</v>
      </c>
      <c r="S802">
        <f>sumifs(BOM!s:s,BOM!A:A,".1",BOM!B:B,"222-020800-000")</f>
        <v>0</v>
      </c>
      <c r="T802">
        <f>sumifs(BOM!t:t,BOM!A:A,".1",BOM!B:B,"222-020800-000")</f>
        <v>0</v>
      </c>
      <c r="U802">
        <f>sumifs(BOM!u:u,BOM!A:A,".1",BOM!B:B,"222-020800-000")</f>
        <v>0</v>
      </c>
      <c r="V802">
        <f>sumifs(BOM!v:v,BOM!A:A,".1",BOM!B:B,"222-020800-000")</f>
        <v>0</v>
      </c>
      <c r="W802">
        <f>sumifs(BOM!w:w,BOM!A:A,".1",BOM!B:B,"222-020800-000")</f>
        <v>0</v>
      </c>
      <c r="X802">
        <f>sumifs(BOM!x:x,BOM!A:A,".1",BOM!B:B,"222-020800-000")</f>
        <v>0</v>
      </c>
      <c r="Y802">
        <f>sumifs(BOM!y:y,BOM!A:A,".1",BOM!B:B,"222-020800-000")</f>
        <v>0</v>
      </c>
      <c r="Z802">
        <f>sumifs(BOM!z:z,BOM!A:A,".1",BOM!B:B,"222-020800-000")</f>
        <v>0</v>
      </c>
      <c r="AA802">
        <f>sumifs(BOM!aa:aa,BOM!A:A,".1",BOM!B:B,"222-020800-000")</f>
        <v>0</v>
      </c>
      <c r="AB802">
        <f>sumifs(BOM!ab:ab,BOM!A:A,".1",BOM!B:B,"222-020800-000")</f>
        <v>0</v>
      </c>
      <c r="AC802">
        <f>sumifs(BOM!ac:ac,BOM!A:A,".1",BOM!B:B,"222-020800-000")</f>
        <v>0</v>
      </c>
      <c r="AD802">
        <f>sumifs(BOM!ad:ad,BOM!A:A,".1",BOM!B:B,"222-020800-000")</f>
        <v>0</v>
      </c>
      <c r="AE802">
        <f>sumifs(BOM!ae:ae,BOM!A:A,".1",BOM!B:B,"222-020800-000")</f>
        <v>0</v>
      </c>
      <c r="AF802">
        <f>sumifs(BOM!af:af,BOM!A:A,".1",BOM!B:B,"222-020800-000")</f>
        <v>0</v>
      </c>
      <c r="AG802">
        <f>sumifs(BOM!ag:ag,BOM!A:A,".1",BOM!B:B,"222-020800-000")</f>
        <v>0</v>
      </c>
      <c r="AH802">
        <f>sumifs(BOM!ah:ah,BOM!A:A,".1",BOM!B:B,"222-020800-000")</f>
        <v>0</v>
      </c>
      <c r="AI802">
        <f>sumifs(BOM!ai:ai,BOM!A:A,".1",BOM!B:B,"222-020800-000")</f>
        <v>0</v>
      </c>
      <c r="AJ802">
        <f>sumifs(BOM!aj:aj,BOM!A:A,".1",BOM!B:B,"222-020800-000")</f>
        <v>0</v>
      </c>
      <c r="AK802">
        <f>sumifs(BOM!ak:ak,BOM!A:A,".1",BOM!B:B,"222-020800-000")</f>
        <v>0</v>
      </c>
      <c r="AL802">
        <f>sumifs(BOM!al:al,BOM!A:A,".1",BOM!B:B,"222-020800-000")</f>
        <v>0</v>
      </c>
      <c r="AM802">
        <f>sumifs(BOM!am:am,BOM!A:A,".1",BOM!B:B,"222-020800-000")</f>
        <v>0</v>
      </c>
      <c r="AN802">
        <f>sumifs(BOM!an:an,BOM!A:A,".1",BOM!B:B,"222-020800-000")</f>
        <v>0</v>
      </c>
      <c r="AO802">
        <f>sumifs(BOM!ao:ao,BOM!A:A,".1",BOM!B:B,"222-020800-000")</f>
        <v>0</v>
      </c>
      <c r="AP802">
        <f>sumifs(BOM!ap:ap,BOM!A:A,".1",BOM!B:B,"222-020800-000")</f>
        <v>0</v>
      </c>
      <c r="AQ802">
        <f>sumifs(BOM!aq:aq,BOM!A:A,".1",BOM!B:B,"222-020800-000")</f>
        <v>0</v>
      </c>
      <c r="AR802">
        <f>sumifs(BOM!ar:ar,BOM!A:A,".1",BOM!B:B,"222-020800-000")</f>
        <v>0</v>
      </c>
      <c r="BX802">
        <f>sum(j802:an802)</f>
        <v>0</v>
      </c>
    </row>
    <row r="803" spans="1:76">
      <c r="A803" t="s">
        <v>31</v>
      </c>
      <c r="B803" t="s">
        <v>364</v>
      </c>
      <c r="C803" t="s">
        <v>365</v>
      </c>
      <c r="D803" t="s">
        <v>256</v>
      </c>
      <c r="E803">
        <v>5</v>
      </c>
      <c r="F803" t="s">
        <v>386</v>
      </c>
      <c r="K803" t="s">
        <v>308</v>
      </c>
      <c r="L803" t="s">
        <v>37</v>
      </c>
    </row>
    <row r="804" spans="1:76">
      <c r="L804" t="s">
        <v>662</v>
      </c>
    </row>
    <row r="805" spans="1:76">
      <c r="L805" t="s">
        <v>663</v>
      </c>
    </row>
    <row r="806" spans="1:76">
      <c r="L806" t="s">
        <v>664</v>
      </c>
    </row>
    <row r="807" spans="1:76">
      <c r="L807" t="s">
        <v>665</v>
      </c>
      <c r="M807">
        <f>IF(DAY(NOW())&lt;M3,INDIRECT(ADDRESS(807,7))-INDIRECT(ADDRESS(802,13))+INDIRECT(ADDRESS(803,13))-INDIRECT(ADDRESS(806,13)),INDIRECT(ADDRESS(807,7))-INDIRECT(ADDRESS(802,13))+INDIRECT(ADDRESS(805,13))-INDIRECT(ADDRESS(806,13)))</f>
        <v>0</v>
      </c>
      <c r="N807">
        <f>IF(DAY(NOW())&lt;M3,INDIRECT(ADDRESS(807,13))-INDIRECT(ADDRESS(802,14))+INDIRECT(ADDRESS(803,14))-INDIRECT(ADDRESS(806,14)),INDIRECT(ADDRESS(807,13))-INDIRECT(ADDRESS(802,14))+INDIRECT(ADDRESS(805,14))-INDIRECT(ADDRESS(806,14)))</f>
        <v>0</v>
      </c>
      <c r="O807">
        <f>IF(DAY(NOW())&lt;M3,INDIRECT(ADDRESS(807,14))-INDIRECT(ADDRESS(802,15))+INDIRECT(ADDRESS(803,15))-INDIRECT(ADDRESS(806,15)),INDIRECT(ADDRESS(807,14))-INDIRECT(ADDRESS(802,15))+INDIRECT(ADDRESS(805,15))-INDIRECT(ADDRESS(806,15)))</f>
        <v>0</v>
      </c>
      <c r="P807">
        <f>IF(DAY(NOW())&lt;M3,INDIRECT(ADDRESS(807,15))-INDIRECT(ADDRESS(802,16))+INDIRECT(ADDRESS(803,16))-INDIRECT(ADDRESS(806,16)),INDIRECT(ADDRESS(807,15))-INDIRECT(ADDRESS(802,16))+INDIRECT(ADDRESS(805,16))-INDIRECT(ADDRESS(806,16)))</f>
        <v>0</v>
      </c>
      <c r="Q807">
        <f>IF(DAY(NOW())&lt;M3,INDIRECT(ADDRESS(807,16))-INDIRECT(ADDRESS(802,17))+INDIRECT(ADDRESS(803,17))-INDIRECT(ADDRESS(806,17)),INDIRECT(ADDRESS(807,16))-INDIRECT(ADDRESS(802,17))+INDIRECT(ADDRESS(805,17))-INDIRECT(ADDRESS(806,17)))</f>
        <v>0</v>
      </c>
      <c r="R807">
        <f>IF(DAY(NOW())&lt;M3,INDIRECT(ADDRESS(807,17))-INDIRECT(ADDRESS(802,18))+INDIRECT(ADDRESS(803,18))-INDIRECT(ADDRESS(806,18)),INDIRECT(ADDRESS(807,17))-INDIRECT(ADDRESS(802,18))+INDIRECT(ADDRESS(805,18))-INDIRECT(ADDRESS(806,18)))</f>
        <v>0</v>
      </c>
      <c r="S807">
        <f>IF(DAY(NOW())&lt;M3,INDIRECT(ADDRESS(807,18))-INDIRECT(ADDRESS(802,19))+INDIRECT(ADDRESS(803,19))-INDIRECT(ADDRESS(806,19)),INDIRECT(ADDRESS(807,18))-INDIRECT(ADDRESS(802,19))+INDIRECT(ADDRESS(805,19))-INDIRECT(ADDRESS(806,19)))</f>
        <v>0</v>
      </c>
      <c r="T807">
        <f>IF(DAY(NOW())&lt;M3,INDIRECT(ADDRESS(807,19))-INDIRECT(ADDRESS(802,20))+INDIRECT(ADDRESS(803,20))-INDIRECT(ADDRESS(806,20)),INDIRECT(ADDRESS(807,19))-INDIRECT(ADDRESS(802,20))+INDIRECT(ADDRESS(805,20))-INDIRECT(ADDRESS(806,20)))</f>
        <v>0</v>
      </c>
      <c r="U807">
        <f>IF(DAY(NOW())&lt;M3,INDIRECT(ADDRESS(807,20))-INDIRECT(ADDRESS(802,21))+INDIRECT(ADDRESS(803,21))-INDIRECT(ADDRESS(806,21)),INDIRECT(ADDRESS(807,20))-INDIRECT(ADDRESS(802,21))+INDIRECT(ADDRESS(805,21))-INDIRECT(ADDRESS(806,21)))</f>
        <v>0</v>
      </c>
      <c r="V807">
        <f>IF(DAY(NOW())&lt;M3,INDIRECT(ADDRESS(807,21))-INDIRECT(ADDRESS(802,22))+INDIRECT(ADDRESS(803,22))-INDIRECT(ADDRESS(806,22)),INDIRECT(ADDRESS(807,21))-INDIRECT(ADDRESS(802,22))+INDIRECT(ADDRESS(805,22))-INDIRECT(ADDRESS(806,22)))</f>
        <v>0</v>
      </c>
      <c r="W807">
        <f>IF(DAY(NOW())&lt;M3,INDIRECT(ADDRESS(807,22))-INDIRECT(ADDRESS(802,23))+INDIRECT(ADDRESS(803,23))-INDIRECT(ADDRESS(806,23)),INDIRECT(ADDRESS(807,22))-INDIRECT(ADDRESS(802,23))+INDIRECT(ADDRESS(805,23))-INDIRECT(ADDRESS(806,23)))</f>
        <v>0</v>
      </c>
      <c r="X807">
        <f>IF(DAY(NOW())&lt;M3,INDIRECT(ADDRESS(807,23))-INDIRECT(ADDRESS(802,24))+INDIRECT(ADDRESS(803,24))-INDIRECT(ADDRESS(806,24)),INDIRECT(ADDRESS(807,23))-INDIRECT(ADDRESS(802,24))+INDIRECT(ADDRESS(805,24))-INDIRECT(ADDRESS(806,24)))</f>
        <v>0</v>
      </c>
      <c r="Y807">
        <f>IF(DAY(NOW())&lt;M3,INDIRECT(ADDRESS(807,24))-INDIRECT(ADDRESS(802,25))+INDIRECT(ADDRESS(803,25))-INDIRECT(ADDRESS(806,25)),INDIRECT(ADDRESS(807,24))-INDIRECT(ADDRESS(802,25))+INDIRECT(ADDRESS(805,25))-INDIRECT(ADDRESS(806,25)))</f>
        <v>0</v>
      </c>
      <c r="Z807">
        <f>IF(DAY(NOW())&lt;M3,INDIRECT(ADDRESS(807,25))-INDIRECT(ADDRESS(802,26))+INDIRECT(ADDRESS(803,26))-INDIRECT(ADDRESS(806,26)),INDIRECT(ADDRESS(807,25))-INDIRECT(ADDRESS(802,26))+INDIRECT(ADDRESS(805,26))-INDIRECT(ADDRESS(806,26)))</f>
        <v>0</v>
      </c>
      <c r="AA807">
        <f>IF(DAY(NOW())&lt;M3,INDIRECT(ADDRESS(807,26))-INDIRECT(ADDRESS(802,27))+INDIRECT(ADDRESS(803,27))-INDIRECT(ADDRESS(806,27)),INDIRECT(ADDRESS(807,26))-INDIRECT(ADDRESS(802,27))+INDIRECT(ADDRESS(805,27))-INDIRECT(ADDRESS(806,27)))</f>
        <v>0</v>
      </c>
      <c r="AB807">
        <f>IF(DAY(NOW())&lt;M3,INDIRECT(ADDRESS(807,27))-INDIRECT(ADDRESS(802,28))+INDIRECT(ADDRESS(803,28))-INDIRECT(ADDRESS(806,28)),INDIRECT(ADDRESS(807,27))-INDIRECT(ADDRESS(802,28))+INDIRECT(ADDRESS(805,28))-INDIRECT(ADDRESS(806,28)))</f>
        <v>0</v>
      </c>
      <c r="AC807">
        <f>IF(DAY(NOW())&lt;M3,INDIRECT(ADDRESS(807,28))-INDIRECT(ADDRESS(802,29))+INDIRECT(ADDRESS(803,29))-INDIRECT(ADDRESS(806,29)),INDIRECT(ADDRESS(807,28))-INDIRECT(ADDRESS(802,29))+INDIRECT(ADDRESS(805,29))-INDIRECT(ADDRESS(806,29)))</f>
        <v>0</v>
      </c>
      <c r="AD807">
        <f>IF(DAY(NOW())&lt;M3,INDIRECT(ADDRESS(807,29))-INDIRECT(ADDRESS(802,30))+INDIRECT(ADDRESS(803,30))-INDIRECT(ADDRESS(806,30)),INDIRECT(ADDRESS(807,29))-INDIRECT(ADDRESS(802,30))+INDIRECT(ADDRESS(805,30))-INDIRECT(ADDRESS(806,30)))</f>
        <v>0</v>
      </c>
      <c r="AE807">
        <f>IF(DAY(NOW())&lt;M3,INDIRECT(ADDRESS(807,30))-INDIRECT(ADDRESS(802,31))+INDIRECT(ADDRESS(803,31))-INDIRECT(ADDRESS(806,31)),INDIRECT(ADDRESS(807,30))-INDIRECT(ADDRESS(802,31))+INDIRECT(ADDRESS(805,31))-INDIRECT(ADDRESS(806,31)))</f>
        <v>0</v>
      </c>
      <c r="AF807">
        <f>IF(DAY(NOW())&lt;M3,INDIRECT(ADDRESS(807,31))-INDIRECT(ADDRESS(802,32))+INDIRECT(ADDRESS(803,32))-INDIRECT(ADDRESS(806,32)),INDIRECT(ADDRESS(807,31))-INDIRECT(ADDRESS(802,32))+INDIRECT(ADDRESS(805,32))-INDIRECT(ADDRESS(806,32)))</f>
        <v>0</v>
      </c>
      <c r="AG807">
        <f>IF(DAY(NOW())&lt;M3,INDIRECT(ADDRESS(807,32))-INDIRECT(ADDRESS(802,33))+INDIRECT(ADDRESS(803,33))-INDIRECT(ADDRESS(806,33)),INDIRECT(ADDRESS(807,32))-INDIRECT(ADDRESS(802,33))+INDIRECT(ADDRESS(805,33))-INDIRECT(ADDRESS(806,33)))</f>
        <v>0</v>
      </c>
      <c r="AH807">
        <f>IF(DAY(NOW())&lt;M3,INDIRECT(ADDRESS(807,33))-INDIRECT(ADDRESS(802,34))+INDIRECT(ADDRESS(803,34))-INDIRECT(ADDRESS(806,34)),INDIRECT(ADDRESS(807,33))-INDIRECT(ADDRESS(802,34))+INDIRECT(ADDRESS(805,34))-INDIRECT(ADDRESS(806,34)))</f>
        <v>0</v>
      </c>
      <c r="AI807">
        <f>IF(DAY(NOW())&lt;M3,INDIRECT(ADDRESS(807,34))-INDIRECT(ADDRESS(802,35))+INDIRECT(ADDRESS(803,35))-INDIRECT(ADDRESS(806,35)),INDIRECT(ADDRESS(807,34))-INDIRECT(ADDRESS(802,35))+INDIRECT(ADDRESS(805,35))-INDIRECT(ADDRESS(806,35)))</f>
        <v>0</v>
      </c>
      <c r="AJ807">
        <f>IF(DAY(NOW())&lt;M3,INDIRECT(ADDRESS(807,35))-INDIRECT(ADDRESS(802,36))+INDIRECT(ADDRESS(803,36))-INDIRECT(ADDRESS(806,36)),INDIRECT(ADDRESS(807,35))-INDIRECT(ADDRESS(802,36))+INDIRECT(ADDRESS(805,36))-INDIRECT(ADDRESS(806,36)))</f>
        <v>0</v>
      </c>
      <c r="AK807">
        <f>IF(DAY(NOW())&lt;M3,INDIRECT(ADDRESS(807,36))-INDIRECT(ADDRESS(802,37))+INDIRECT(ADDRESS(803,37))-INDIRECT(ADDRESS(806,37)),INDIRECT(ADDRESS(807,36))-INDIRECT(ADDRESS(802,37))+INDIRECT(ADDRESS(805,37))-INDIRECT(ADDRESS(806,37)))</f>
        <v>0</v>
      </c>
      <c r="AL807">
        <f>IF(DAY(NOW())&lt;M3,INDIRECT(ADDRESS(807,37))-INDIRECT(ADDRESS(802,38))+INDIRECT(ADDRESS(803,38))-INDIRECT(ADDRESS(806,38)),INDIRECT(ADDRESS(807,37))-INDIRECT(ADDRESS(802,38))+INDIRECT(ADDRESS(805,38))-INDIRECT(ADDRESS(806,38)))</f>
        <v>0</v>
      </c>
      <c r="AM807">
        <f>IF(DAY(NOW())&lt;M3,INDIRECT(ADDRESS(807,38))-INDIRECT(ADDRESS(802,39))+INDIRECT(ADDRESS(803,39))-INDIRECT(ADDRESS(806,39)),INDIRECT(ADDRESS(807,38))-INDIRECT(ADDRESS(802,39))+INDIRECT(ADDRESS(805,39))-INDIRECT(ADDRESS(806,39)))</f>
        <v>0</v>
      </c>
      <c r="AN807">
        <f>IF(DAY(NOW())&lt;M3,INDIRECT(ADDRESS(807,39))-INDIRECT(ADDRESS(802,40))+INDIRECT(ADDRESS(803,40))-INDIRECT(ADDRESS(806,40)),INDIRECT(ADDRESS(807,39))-INDIRECT(ADDRESS(802,40))+INDIRECT(ADDRESS(805,40))-INDIRECT(ADDRESS(806,40)))</f>
        <v>0</v>
      </c>
      <c r="AO807">
        <f>IF(DAY(NOW())&lt;M3,INDIRECT(ADDRESS(807,40))-INDIRECT(ADDRESS(802,41))+INDIRECT(ADDRESS(803,41))-INDIRECT(ADDRESS(806,41)),INDIRECT(ADDRESS(807,40))-INDIRECT(ADDRESS(802,41))+INDIRECT(ADDRESS(805,41))-INDIRECT(ADDRESS(806,41)))</f>
        <v>0</v>
      </c>
      <c r="AP807">
        <f>IF(DAY(NOW())&lt;M3,INDIRECT(ADDRESS(807,41))-INDIRECT(ADDRESS(802,42))+INDIRECT(ADDRESS(803,42))-INDIRECT(ADDRESS(806,42)),INDIRECT(ADDRESS(807,41))-INDIRECT(ADDRESS(802,42))+INDIRECT(ADDRESS(805,42))-INDIRECT(ADDRESS(806,42)))</f>
        <v>0</v>
      </c>
      <c r="AQ807">
        <f>IF(DAY(NOW())&lt;M3,INDIRECT(ADDRESS(807,42))-INDIRECT(ADDRESS(802,43))+INDIRECT(ADDRESS(803,43))-INDIRECT(ADDRESS(806,43)),INDIRECT(ADDRESS(807,42))-INDIRECT(ADDRESS(802,43))+INDIRECT(ADDRESS(805,43))-INDIRECT(ADDRESS(806,43)))</f>
        <v>0</v>
      </c>
      <c r="AR807">
        <f>IF(DAY(NOW())&lt;M3,INDIRECT(ADDRESS(807,43))-INDIRECT(ADDRESS(802,44))+INDIRECT(ADDRESS(803,44))-INDIRECT(ADDRESS(806,44)),INDIRECT(ADDRESS(807,43))-INDIRECT(ADDRESS(802,44))+INDIRECT(ADDRESS(805,44))-INDIRECT(ADDRESS(806,44)))</f>
        <v>0</v>
      </c>
    </row>
    <row r="808" spans="1:76">
      <c r="A808" t="s">
        <v>31</v>
      </c>
      <c r="B808" t="s">
        <v>367</v>
      </c>
      <c r="C808" t="s">
        <v>368</v>
      </c>
      <c r="D808" t="s">
        <v>256</v>
      </c>
      <c r="E808">
        <v>2</v>
      </c>
      <c r="F808" t="s">
        <v>369</v>
      </c>
      <c r="K808" t="s">
        <v>308</v>
      </c>
      <c r="L808" t="s">
        <v>21</v>
      </c>
      <c r="M808">
        <f>sumifs(BOM!m:m,BOM!A:A,".1",BOM!B:B,"232-008400-000")</f>
        <v>0</v>
      </c>
      <c r="N808">
        <f>sumifs(BOM!n:n,BOM!A:A,".1",BOM!B:B,"232-008400-000")</f>
        <v>0</v>
      </c>
      <c r="O808">
        <f>sumifs(BOM!o:o,BOM!A:A,".1",BOM!B:B,"232-008400-000")</f>
        <v>0</v>
      </c>
      <c r="P808">
        <f>sumifs(BOM!p:p,BOM!A:A,".1",BOM!B:B,"232-008400-000")</f>
        <v>0</v>
      </c>
      <c r="Q808">
        <f>sumifs(BOM!q:q,BOM!A:A,".1",BOM!B:B,"232-008400-000")</f>
        <v>0</v>
      </c>
      <c r="R808">
        <f>sumifs(BOM!r:r,BOM!A:A,".1",BOM!B:B,"232-008400-000")</f>
        <v>0</v>
      </c>
      <c r="S808">
        <f>sumifs(BOM!s:s,BOM!A:A,".1",BOM!B:B,"232-008400-000")</f>
        <v>0</v>
      </c>
      <c r="T808">
        <f>sumifs(BOM!t:t,BOM!A:A,".1",BOM!B:B,"232-008400-000")</f>
        <v>0</v>
      </c>
      <c r="U808">
        <f>sumifs(BOM!u:u,BOM!A:A,".1",BOM!B:B,"232-008400-000")</f>
        <v>0</v>
      </c>
      <c r="V808">
        <f>sumifs(BOM!v:v,BOM!A:A,".1",BOM!B:B,"232-008400-000")</f>
        <v>0</v>
      </c>
      <c r="W808">
        <f>sumifs(BOM!w:w,BOM!A:A,".1",BOM!B:B,"232-008400-000")</f>
        <v>0</v>
      </c>
      <c r="X808">
        <f>sumifs(BOM!x:x,BOM!A:A,".1",BOM!B:B,"232-008400-000")</f>
        <v>0</v>
      </c>
      <c r="Y808">
        <f>sumifs(BOM!y:y,BOM!A:A,".1",BOM!B:B,"232-008400-000")</f>
        <v>0</v>
      </c>
      <c r="Z808">
        <f>sumifs(BOM!z:z,BOM!A:A,".1",BOM!B:B,"232-008400-000")</f>
        <v>0</v>
      </c>
      <c r="AA808">
        <f>sumifs(BOM!aa:aa,BOM!A:A,".1",BOM!B:B,"232-008400-000")</f>
        <v>0</v>
      </c>
      <c r="AB808">
        <f>sumifs(BOM!ab:ab,BOM!A:A,".1",BOM!B:B,"232-008400-000")</f>
        <v>0</v>
      </c>
      <c r="AC808">
        <f>sumifs(BOM!ac:ac,BOM!A:A,".1",BOM!B:B,"232-008400-000")</f>
        <v>0</v>
      </c>
      <c r="AD808">
        <f>sumifs(BOM!ad:ad,BOM!A:A,".1",BOM!B:B,"232-008400-000")</f>
        <v>0</v>
      </c>
      <c r="AE808">
        <f>sumifs(BOM!ae:ae,BOM!A:A,".1",BOM!B:B,"232-008400-000")</f>
        <v>0</v>
      </c>
      <c r="AF808">
        <f>sumifs(BOM!af:af,BOM!A:A,".1",BOM!B:B,"232-008400-000")</f>
        <v>0</v>
      </c>
      <c r="AG808">
        <f>sumifs(BOM!ag:ag,BOM!A:A,".1",BOM!B:B,"232-008400-000")</f>
        <v>0</v>
      </c>
      <c r="AH808">
        <f>sumifs(BOM!ah:ah,BOM!A:A,".1",BOM!B:B,"232-008400-000")</f>
        <v>0</v>
      </c>
      <c r="AI808">
        <f>sumifs(BOM!ai:ai,BOM!A:A,".1",BOM!B:B,"232-008400-000")</f>
        <v>0</v>
      </c>
      <c r="AJ808">
        <f>sumifs(BOM!aj:aj,BOM!A:A,".1",BOM!B:B,"232-008400-000")</f>
        <v>0</v>
      </c>
      <c r="AK808">
        <f>sumifs(BOM!ak:ak,BOM!A:A,".1",BOM!B:B,"232-008400-000")</f>
        <v>0</v>
      </c>
      <c r="AL808">
        <f>sumifs(BOM!al:al,BOM!A:A,".1",BOM!B:B,"232-008400-000")</f>
        <v>0</v>
      </c>
      <c r="AM808">
        <f>sumifs(BOM!am:am,BOM!A:A,".1",BOM!B:B,"232-008400-000")</f>
        <v>0</v>
      </c>
      <c r="AN808">
        <f>sumifs(BOM!an:an,BOM!A:A,".1",BOM!B:B,"232-008400-000")</f>
        <v>0</v>
      </c>
      <c r="AO808">
        <f>sumifs(BOM!ao:ao,BOM!A:A,".1",BOM!B:B,"232-008400-000")</f>
        <v>0</v>
      </c>
      <c r="AP808">
        <f>sumifs(BOM!ap:ap,BOM!A:A,".1",BOM!B:B,"232-008400-000")</f>
        <v>0</v>
      </c>
      <c r="AQ808">
        <f>sumifs(BOM!aq:aq,BOM!A:A,".1",BOM!B:B,"232-008400-000")</f>
        <v>0</v>
      </c>
      <c r="AR808">
        <f>sumifs(BOM!ar:ar,BOM!A:A,".1",BOM!B:B,"232-008400-000")</f>
        <v>0</v>
      </c>
      <c r="BX808">
        <f>sum(j808:an808)</f>
        <v>0</v>
      </c>
    </row>
    <row r="809" spans="1:76">
      <c r="A809" t="s">
        <v>31</v>
      </c>
      <c r="B809" t="s">
        <v>367</v>
      </c>
      <c r="C809" t="s">
        <v>368</v>
      </c>
      <c r="D809" t="s">
        <v>256</v>
      </c>
      <c r="E809">
        <v>2</v>
      </c>
      <c r="F809" t="s">
        <v>369</v>
      </c>
      <c r="K809" t="s">
        <v>308</v>
      </c>
      <c r="L809" t="s">
        <v>37</v>
      </c>
    </row>
    <row r="810" spans="1:76">
      <c r="L810" t="s">
        <v>662</v>
      </c>
    </row>
    <row r="811" spans="1:76">
      <c r="L811" t="s">
        <v>663</v>
      </c>
    </row>
    <row r="812" spans="1:76">
      <c r="L812" t="s">
        <v>664</v>
      </c>
    </row>
    <row r="813" spans="1:76">
      <c r="L813" t="s">
        <v>665</v>
      </c>
      <c r="M813">
        <f>IF(DAY(NOW())&lt;M3,INDIRECT(ADDRESS(813,7))-INDIRECT(ADDRESS(808,13))+INDIRECT(ADDRESS(809,13))-INDIRECT(ADDRESS(812,13)),INDIRECT(ADDRESS(813,7))-INDIRECT(ADDRESS(808,13))+INDIRECT(ADDRESS(811,13))-INDIRECT(ADDRESS(812,13)))</f>
        <v>0</v>
      </c>
      <c r="N813">
        <f>IF(DAY(NOW())&lt;M3,INDIRECT(ADDRESS(813,13))-INDIRECT(ADDRESS(808,14))+INDIRECT(ADDRESS(809,14))-INDIRECT(ADDRESS(812,14)),INDIRECT(ADDRESS(813,13))-INDIRECT(ADDRESS(808,14))+INDIRECT(ADDRESS(811,14))-INDIRECT(ADDRESS(812,14)))</f>
        <v>0</v>
      </c>
      <c r="O813">
        <f>IF(DAY(NOW())&lt;M3,INDIRECT(ADDRESS(813,14))-INDIRECT(ADDRESS(808,15))+INDIRECT(ADDRESS(809,15))-INDIRECT(ADDRESS(812,15)),INDIRECT(ADDRESS(813,14))-INDIRECT(ADDRESS(808,15))+INDIRECT(ADDRESS(811,15))-INDIRECT(ADDRESS(812,15)))</f>
        <v>0</v>
      </c>
      <c r="P813">
        <f>IF(DAY(NOW())&lt;M3,INDIRECT(ADDRESS(813,15))-INDIRECT(ADDRESS(808,16))+INDIRECT(ADDRESS(809,16))-INDIRECT(ADDRESS(812,16)),INDIRECT(ADDRESS(813,15))-INDIRECT(ADDRESS(808,16))+INDIRECT(ADDRESS(811,16))-INDIRECT(ADDRESS(812,16)))</f>
        <v>0</v>
      </c>
      <c r="Q813">
        <f>IF(DAY(NOW())&lt;M3,INDIRECT(ADDRESS(813,16))-INDIRECT(ADDRESS(808,17))+INDIRECT(ADDRESS(809,17))-INDIRECT(ADDRESS(812,17)),INDIRECT(ADDRESS(813,16))-INDIRECT(ADDRESS(808,17))+INDIRECT(ADDRESS(811,17))-INDIRECT(ADDRESS(812,17)))</f>
        <v>0</v>
      </c>
      <c r="R813">
        <f>IF(DAY(NOW())&lt;M3,INDIRECT(ADDRESS(813,17))-INDIRECT(ADDRESS(808,18))+INDIRECT(ADDRESS(809,18))-INDIRECT(ADDRESS(812,18)),INDIRECT(ADDRESS(813,17))-INDIRECT(ADDRESS(808,18))+INDIRECT(ADDRESS(811,18))-INDIRECT(ADDRESS(812,18)))</f>
        <v>0</v>
      </c>
      <c r="S813">
        <f>IF(DAY(NOW())&lt;M3,INDIRECT(ADDRESS(813,18))-INDIRECT(ADDRESS(808,19))+INDIRECT(ADDRESS(809,19))-INDIRECT(ADDRESS(812,19)),INDIRECT(ADDRESS(813,18))-INDIRECT(ADDRESS(808,19))+INDIRECT(ADDRESS(811,19))-INDIRECT(ADDRESS(812,19)))</f>
        <v>0</v>
      </c>
      <c r="T813">
        <f>IF(DAY(NOW())&lt;M3,INDIRECT(ADDRESS(813,19))-INDIRECT(ADDRESS(808,20))+INDIRECT(ADDRESS(809,20))-INDIRECT(ADDRESS(812,20)),INDIRECT(ADDRESS(813,19))-INDIRECT(ADDRESS(808,20))+INDIRECT(ADDRESS(811,20))-INDIRECT(ADDRESS(812,20)))</f>
        <v>0</v>
      </c>
      <c r="U813">
        <f>IF(DAY(NOW())&lt;M3,INDIRECT(ADDRESS(813,20))-INDIRECT(ADDRESS(808,21))+INDIRECT(ADDRESS(809,21))-INDIRECT(ADDRESS(812,21)),INDIRECT(ADDRESS(813,20))-INDIRECT(ADDRESS(808,21))+INDIRECT(ADDRESS(811,21))-INDIRECT(ADDRESS(812,21)))</f>
        <v>0</v>
      </c>
      <c r="V813">
        <f>IF(DAY(NOW())&lt;M3,INDIRECT(ADDRESS(813,21))-INDIRECT(ADDRESS(808,22))+INDIRECT(ADDRESS(809,22))-INDIRECT(ADDRESS(812,22)),INDIRECT(ADDRESS(813,21))-INDIRECT(ADDRESS(808,22))+INDIRECT(ADDRESS(811,22))-INDIRECT(ADDRESS(812,22)))</f>
        <v>0</v>
      </c>
      <c r="W813">
        <f>IF(DAY(NOW())&lt;M3,INDIRECT(ADDRESS(813,22))-INDIRECT(ADDRESS(808,23))+INDIRECT(ADDRESS(809,23))-INDIRECT(ADDRESS(812,23)),INDIRECT(ADDRESS(813,22))-INDIRECT(ADDRESS(808,23))+INDIRECT(ADDRESS(811,23))-INDIRECT(ADDRESS(812,23)))</f>
        <v>0</v>
      </c>
      <c r="X813">
        <f>IF(DAY(NOW())&lt;M3,INDIRECT(ADDRESS(813,23))-INDIRECT(ADDRESS(808,24))+INDIRECT(ADDRESS(809,24))-INDIRECT(ADDRESS(812,24)),INDIRECT(ADDRESS(813,23))-INDIRECT(ADDRESS(808,24))+INDIRECT(ADDRESS(811,24))-INDIRECT(ADDRESS(812,24)))</f>
        <v>0</v>
      </c>
      <c r="Y813">
        <f>IF(DAY(NOW())&lt;M3,INDIRECT(ADDRESS(813,24))-INDIRECT(ADDRESS(808,25))+INDIRECT(ADDRESS(809,25))-INDIRECT(ADDRESS(812,25)),INDIRECT(ADDRESS(813,24))-INDIRECT(ADDRESS(808,25))+INDIRECT(ADDRESS(811,25))-INDIRECT(ADDRESS(812,25)))</f>
        <v>0</v>
      </c>
      <c r="Z813">
        <f>IF(DAY(NOW())&lt;M3,INDIRECT(ADDRESS(813,25))-INDIRECT(ADDRESS(808,26))+INDIRECT(ADDRESS(809,26))-INDIRECT(ADDRESS(812,26)),INDIRECT(ADDRESS(813,25))-INDIRECT(ADDRESS(808,26))+INDIRECT(ADDRESS(811,26))-INDIRECT(ADDRESS(812,26)))</f>
        <v>0</v>
      </c>
      <c r="AA813">
        <f>IF(DAY(NOW())&lt;M3,INDIRECT(ADDRESS(813,26))-INDIRECT(ADDRESS(808,27))+INDIRECT(ADDRESS(809,27))-INDIRECT(ADDRESS(812,27)),INDIRECT(ADDRESS(813,26))-INDIRECT(ADDRESS(808,27))+INDIRECT(ADDRESS(811,27))-INDIRECT(ADDRESS(812,27)))</f>
        <v>0</v>
      </c>
      <c r="AB813">
        <f>IF(DAY(NOW())&lt;M3,INDIRECT(ADDRESS(813,27))-INDIRECT(ADDRESS(808,28))+INDIRECT(ADDRESS(809,28))-INDIRECT(ADDRESS(812,28)),INDIRECT(ADDRESS(813,27))-INDIRECT(ADDRESS(808,28))+INDIRECT(ADDRESS(811,28))-INDIRECT(ADDRESS(812,28)))</f>
        <v>0</v>
      </c>
      <c r="AC813">
        <f>IF(DAY(NOW())&lt;M3,INDIRECT(ADDRESS(813,28))-INDIRECT(ADDRESS(808,29))+INDIRECT(ADDRESS(809,29))-INDIRECT(ADDRESS(812,29)),INDIRECT(ADDRESS(813,28))-INDIRECT(ADDRESS(808,29))+INDIRECT(ADDRESS(811,29))-INDIRECT(ADDRESS(812,29)))</f>
        <v>0</v>
      </c>
      <c r="AD813">
        <f>IF(DAY(NOW())&lt;M3,INDIRECT(ADDRESS(813,29))-INDIRECT(ADDRESS(808,30))+INDIRECT(ADDRESS(809,30))-INDIRECT(ADDRESS(812,30)),INDIRECT(ADDRESS(813,29))-INDIRECT(ADDRESS(808,30))+INDIRECT(ADDRESS(811,30))-INDIRECT(ADDRESS(812,30)))</f>
        <v>0</v>
      </c>
      <c r="AE813">
        <f>IF(DAY(NOW())&lt;M3,INDIRECT(ADDRESS(813,30))-INDIRECT(ADDRESS(808,31))+INDIRECT(ADDRESS(809,31))-INDIRECT(ADDRESS(812,31)),INDIRECT(ADDRESS(813,30))-INDIRECT(ADDRESS(808,31))+INDIRECT(ADDRESS(811,31))-INDIRECT(ADDRESS(812,31)))</f>
        <v>0</v>
      </c>
      <c r="AF813">
        <f>IF(DAY(NOW())&lt;M3,INDIRECT(ADDRESS(813,31))-INDIRECT(ADDRESS(808,32))+INDIRECT(ADDRESS(809,32))-INDIRECT(ADDRESS(812,32)),INDIRECT(ADDRESS(813,31))-INDIRECT(ADDRESS(808,32))+INDIRECT(ADDRESS(811,32))-INDIRECT(ADDRESS(812,32)))</f>
        <v>0</v>
      </c>
      <c r="AG813">
        <f>IF(DAY(NOW())&lt;M3,INDIRECT(ADDRESS(813,32))-INDIRECT(ADDRESS(808,33))+INDIRECT(ADDRESS(809,33))-INDIRECT(ADDRESS(812,33)),INDIRECT(ADDRESS(813,32))-INDIRECT(ADDRESS(808,33))+INDIRECT(ADDRESS(811,33))-INDIRECT(ADDRESS(812,33)))</f>
        <v>0</v>
      </c>
      <c r="AH813">
        <f>IF(DAY(NOW())&lt;M3,INDIRECT(ADDRESS(813,33))-INDIRECT(ADDRESS(808,34))+INDIRECT(ADDRESS(809,34))-INDIRECT(ADDRESS(812,34)),INDIRECT(ADDRESS(813,33))-INDIRECT(ADDRESS(808,34))+INDIRECT(ADDRESS(811,34))-INDIRECT(ADDRESS(812,34)))</f>
        <v>0</v>
      </c>
      <c r="AI813">
        <f>IF(DAY(NOW())&lt;M3,INDIRECT(ADDRESS(813,34))-INDIRECT(ADDRESS(808,35))+INDIRECT(ADDRESS(809,35))-INDIRECT(ADDRESS(812,35)),INDIRECT(ADDRESS(813,34))-INDIRECT(ADDRESS(808,35))+INDIRECT(ADDRESS(811,35))-INDIRECT(ADDRESS(812,35)))</f>
        <v>0</v>
      </c>
      <c r="AJ813">
        <f>IF(DAY(NOW())&lt;M3,INDIRECT(ADDRESS(813,35))-INDIRECT(ADDRESS(808,36))+INDIRECT(ADDRESS(809,36))-INDIRECT(ADDRESS(812,36)),INDIRECT(ADDRESS(813,35))-INDIRECT(ADDRESS(808,36))+INDIRECT(ADDRESS(811,36))-INDIRECT(ADDRESS(812,36)))</f>
        <v>0</v>
      </c>
      <c r="AK813">
        <f>IF(DAY(NOW())&lt;M3,INDIRECT(ADDRESS(813,36))-INDIRECT(ADDRESS(808,37))+INDIRECT(ADDRESS(809,37))-INDIRECT(ADDRESS(812,37)),INDIRECT(ADDRESS(813,36))-INDIRECT(ADDRESS(808,37))+INDIRECT(ADDRESS(811,37))-INDIRECT(ADDRESS(812,37)))</f>
        <v>0</v>
      </c>
      <c r="AL813">
        <f>IF(DAY(NOW())&lt;M3,INDIRECT(ADDRESS(813,37))-INDIRECT(ADDRESS(808,38))+INDIRECT(ADDRESS(809,38))-INDIRECT(ADDRESS(812,38)),INDIRECT(ADDRESS(813,37))-INDIRECT(ADDRESS(808,38))+INDIRECT(ADDRESS(811,38))-INDIRECT(ADDRESS(812,38)))</f>
        <v>0</v>
      </c>
      <c r="AM813">
        <f>IF(DAY(NOW())&lt;M3,INDIRECT(ADDRESS(813,38))-INDIRECT(ADDRESS(808,39))+INDIRECT(ADDRESS(809,39))-INDIRECT(ADDRESS(812,39)),INDIRECT(ADDRESS(813,38))-INDIRECT(ADDRESS(808,39))+INDIRECT(ADDRESS(811,39))-INDIRECT(ADDRESS(812,39)))</f>
        <v>0</v>
      </c>
      <c r="AN813">
        <f>IF(DAY(NOW())&lt;M3,INDIRECT(ADDRESS(813,39))-INDIRECT(ADDRESS(808,40))+INDIRECT(ADDRESS(809,40))-INDIRECT(ADDRESS(812,40)),INDIRECT(ADDRESS(813,39))-INDIRECT(ADDRESS(808,40))+INDIRECT(ADDRESS(811,40))-INDIRECT(ADDRESS(812,40)))</f>
        <v>0</v>
      </c>
      <c r="AO813">
        <f>IF(DAY(NOW())&lt;M3,INDIRECT(ADDRESS(813,40))-INDIRECT(ADDRESS(808,41))+INDIRECT(ADDRESS(809,41))-INDIRECT(ADDRESS(812,41)),INDIRECT(ADDRESS(813,40))-INDIRECT(ADDRESS(808,41))+INDIRECT(ADDRESS(811,41))-INDIRECT(ADDRESS(812,41)))</f>
        <v>0</v>
      </c>
      <c r="AP813">
        <f>IF(DAY(NOW())&lt;M3,INDIRECT(ADDRESS(813,41))-INDIRECT(ADDRESS(808,42))+INDIRECT(ADDRESS(809,42))-INDIRECT(ADDRESS(812,42)),INDIRECT(ADDRESS(813,41))-INDIRECT(ADDRESS(808,42))+INDIRECT(ADDRESS(811,42))-INDIRECT(ADDRESS(812,42)))</f>
        <v>0</v>
      </c>
      <c r="AQ813">
        <f>IF(DAY(NOW())&lt;M3,INDIRECT(ADDRESS(813,42))-INDIRECT(ADDRESS(808,43))+INDIRECT(ADDRESS(809,43))-INDIRECT(ADDRESS(812,43)),INDIRECT(ADDRESS(813,42))-INDIRECT(ADDRESS(808,43))+INDIRECT(ADDRESS(811,43))-INDIRECT(ADDRESS(812,43)))</f>
        <v>0</v>
      </c>
      <c r="AR813">
        <f>IF(DAY(NOW())&lt;M3,INDIRECT(ADDRESS(813,43))-INDIRECT(ADDRESS(808,44))+INDIRECT(ADDRESS(809,44))-INDIRECT(ADDRESS(812,44)),INDIRECT(ADDRESS(813,43))-INDIRECT(ADDRESS(808,44))+INDIRECT(ADDRESS(811,44))-INDIRECT(ADDRESS(812,44)))</f>
        <v>0</v>
      </c>
    </row>
    <row r="814" spans="1:76">
      <c r="A814" t="s">
        <v>31</v>
      </c>
      <c r="B814" t="s">
        <v>375</v>
      </c>
      <c r="C814" t="s">
        <v>376</v>
      </c>
      <c r="D814" t="s">
        <v>256</v>
      </c>
      <c r="E814">
        <v>1</v>
      </c>
      <c r="F814" t="s">
        <v>377</v>
      </c>
      <c r="K814" t="s">
        <v>308</v>
      </c>
      <c r="L814" t="s">
        <v>21</v>
      </c>
      <c r="M814">
        <f>sumifs(BOM!m:m,BOM!A:A,".1",BOM!B:B,"212-022000-000")</f>
        <v>0</v>
      </c>
      <c r="N814">
        <f>sumifs(BOM!n:n,BOM!A:A,".1",BOM!B:B,"212-022000-000")</f>
        <v>0</v>
      </c>
      <c r="O814">
        <f>sumifs(BOM!o:o,BOM!A:A,".1",BOM!B:B,"212-022000-000")</f>
        <v>0</v>
      </c>
      <c r="P814">
        <f>sumifs(BOM!p:p,BOM!A:A,".1",BOM!B:B,"212-022000-000")</f>
        <v>0</v>
      </c>
      <c r="Q814">
        <f>sumifs(BOM!q:q,BOM!A:A,".1",BOM!B:B,"212-022000-000")</f>
        <v>0</v>
      </c>
      <c r="R814">
        <f>sumifs(BOM!r:r,BOM!A:A,".1",BOM!B:B,"212-022000-000")</f>
        <v>0</v>
      </c>
      <c r="S814">
        <f>sumifs(BOM!s:s,BOM!A:A,".1",BOM!B:B,"212-022000-000")</f>
        <v>0</v>
      </c>
      <c r="T814">
        <f>sumifs(BOM!t:t,BOM!A:A,".1",BOM!B:B,"212-022000-000")</f>
        <v>0</v>
      </c>
      <c r="U814">
        <f>sumifs(BOM!u:u,BOM!A:A,".1",BOM!B:B,"212-022000-000")</f>
        <v>0</v>
      </c>
      <c r="V814">
        <f>sumifs(BOM!v:v,BOM!A:A,".1",BOM!B:B,"212-022000-000")</f>
        <v>0</v>
      </c>
      <c r="W814">
        <f>sumifs(BOM!w:w,BOM!A:A,".1",BOM!B:B,"212-022000-000")</f>
        <v>0</v>
      </c>
      <c r="X814">
        <f>sumifs(BOM!x:x,BOM!A:A,".1",BOM!B:B,"212-022000-000")</f>
        <v>0</v>
      </c>
      <c r="Y814">
        <f>sumifs(BOM!y:y,BOM!A:A,".1",BOM!B:B,"212-022000-000")</f>
        <v>0</v>
      </c>
      <c r="Z814">
        <f>sumifs(BOM!z:z,BOM!A:A,".1",BOM!B:B,"212-022000-000")</f>
        <v>0</v>
      </c>
      <c r="AA814">
        <f>sumifs(BOM!aa:aa,BOM!A:A,".1",BOM!B:B,"212-022000-000")</f>
        <v>0</v>
      </c>
      <c r="AB814">
        <f>sumifs(BOM!ab:ab,BOM!A:A,".1",BOM!B:B,"212-022000-000")</f>
        <v>0</v>
      </c>
      <c r="AC814">
        <f>sumifs(BOM!ac:ac,BOM!A:A,".1",BOM!B:B,"212-022000-000")</f>
        <v>0</v>
      </c>
      <c r="AD814">
        <f>sumifs(BOM!ad:ad,BOM!A:A,".1",BOM!B:B,"212-022000-000")</f>
        <v>0</v>
      </c>
      <c r="AE814">
        <f>sumifs(BOM!ae:ae,BOM!A:A,".1",BOM!B:B,"212-022000-000")</f>
        <v>0</v>
      </c>
      <c r="AF814">
        <f>sumifs(BOM!af:af,BOM!A:A,".1",BOM!B:B,"212-022000-000")</f>
        <v>0</v>
      </c>
      <c r="AG814">
        <f>sumifs(BOM!ag:ag,BOM!A:A,".1",BOM!B:B,"212-022000-000")</f>
        <v>0</v>
      </c>
      <c r="AH814">
        <f>sumifs(BOM!ah:ah,BOM!A:A,".1",BOM!B:B,"212-022000-000")</f>
        <v>0</v>
      </c>
      <c r="AI814">
        <f>sumifs(BOM!ai:ai,BOM!A:A,".1",BOM!B:B,"212-022000-000")</f>
        <v>0</v>
      </c>
      <c r="AJ814">
        <f>sumifs(BOM!aj:aj,BOM!A:A,".1",BOM!B:B,"212-022000-000")</f>
        <v>0</v>
      </c>
      <c r="AK814">
        <f>sumifs(BOM!ak:ak,BOM!A:A,".1",BOM!B:B,"212-022000-000")</f>
        <v>0</v>
      </c>
      <c r="AL814">
        <f>sumifs(BOM!al:al,BOM!A:A,".1",BOM!B:B,"212-022000-000")</f>
        <v>0</v>
      </c>
      <c r="AM814">
        <f>sumifs(BOM!am:am,BOM!A:A,".1",BOM!B:B,"212-022000-000")</f>
        <v>0</v>
      </c>
      <c r="AN814">
        <f>sumifs(BOM!an:an,BOM!A:A,".1",BOM!B:B,"212-022000-000")</f>
        <v>0</v>
      </c>
      <c r="AO814">
        <f>sumifs(BOM!ao:ao,BOM!A:A,".1",BOM!B:B,"212-022000-000")</f>
        <v>0</v>
      </c>
      <c r="AP814">
        <f>sumifs(BOM!ap:ap,BOM!A:A,".1",BOM!B:B,"212-022000-000")</f>
        <v>0</v>
      </c>
      <c r="AQ814">
        <f>sumifs(BOM!aq:aq,BOM!A:A,".1",BOM!B:B,"212-022000-000")</f>
        <v>0</v>
      </c>
      <c r="AR814">
        <f>sumifs(BOM!ar:ar,BOM!A:A,".1",BOM!B:B,"212-022000-000")</f>
        <v>0</v>
      </c>
      <c r="BX814">
        <f>sum(j814:an814)</f>
        <v>0</v>
      </c>
    </row>
    <row r="815" spans="1:76">
      <c r="A815" t="s">
        <v>31</v>
      </c>
      <c r="B815" t="s">
        <v>375</v>
      </c>
      <c r="C815" t="s">
        <v>376</v>
      </c>
      <c r="D815" t="s">
        <v>256</v>
      </c>
      <c r="E815">
        <v>1</v>
      </c>
      <c r="F815" t="s">
        <v>377</v>
      </c>
      <c r="K815" t="s">
        <v>308</v>
      </c>
      <c r="L815" t="s">
        <v>37</v>
      </c>
    </row>
    <row r="816" spans="1:76">
      <c r="L816" t="s">
        <v>662</v>
      </c>
    </row>
    <row r="817" spans="1:76">
      <c r="L817" t="s">
        <v>663</v>
      </c>
    </row>
    <row r="818" spans="1:76">
      <c r="L818" t="s">
        <v>664</v>
      </c>
    </row>
    <row r="819" spans="1:76">
      <c r="L819" t="s">
        <v>665</v>
      </c>
      <c r="M819">
        <f>IF(DAY(NOW())&lt;M3,INDIRECT(ADDRESS(819,7))-INDIRECT(ADDRESS(814,13))+INDIRECT(ADDRESS(815,13))-INDIRECT(ADDRESS(818,13)),INDIRECT(ADDRESS(819,7))-INDIRECT(ADDRESS(814,13))+INDIRECT(ADDRESS(817,13))-INDIRECT(ADDRESS(818,13)))</f>
        <v>0</v>
      </c>
      <c r="N819">
        <f>IF(DAY(NOW())&lt;M3,INDIRECT(ADDRESS(819,13))-INDIRECT(ADDRESS(814,14))+INDIRECT(ADDRESS(815,14))-INDIRECT(ADDRESS(818,14)),INDIRECT(ADDRESS(819,13))-INDIRECT(ADDRESS(814,14))+INDIRECT(ADDRESS(817,14))-INDIRECT(ADDRESS(818,14)))</f>
        <v>0</v>
      </c>
      <c r="O819">
        <f>IF(DAY(NOW())&lt;M3,INDIRECT(ADDRESS(819,14))-INDIRECT(ADDRESS(814,15))+INDIRECT(ADDRESS(815,15))-INDIRECT(ADDRESS(818,15)),INDIRECT(ADDRESS(819,14))-INDIRECT(ADDRESS(814,15))+INDIRECT(ADDRESS(817,15))-INDIRECT(ADDRESS(818,15)))</f>
        <v>0</v>
      </c>
      <c r="P819">
        <f>IF(DAY(NOW())&lt;M3,INDIRECT(ADDRESS(819,15))-INDIRECT(ADDRESS(814,16))+INDIRECT(ADDRESS(815,16))-INDIRECT(ADDRESS(818,16)),INDIRECT(ADDRESS(819,15))-INDIRECT(ADDRESS(814,16))+INDIRECT(ADDRESS(817,16))-INDIRECT(ADDRESS(818,16)))</f>
        <v>0</v>
      </c>
      <c r="Q819">
        <f>IF(DAY(NOW())&lt;M3,INDIRECT(ADDRESS(819,16))-INDIRECT(ADDRESS(814,17))+INDIRECT(ADDRESS(815,17))-INDIRECT(ADDRESS(818,17)),INDIRECT(ADDRESS(819,16))-INDIRECT(ADDRESS(814,17))+INDIRECT(ADDRESS(817,17))-INDIRECT(ADDRESS(818,17)))</f>
        <v>0</v>
      </c>
      <c r="R819">
        <f>IF(DAY(NOW())&lt;M3,INDIRECT(ADDRESS(819,17))-INDIRECT(ADDRESS(814,18))+INDIRECT(ADDRESS(815,18))-INDIRECT(ADDRESS(818,18)),INDIRECT(ADDRESS(819,17))-INDIRECT(ADDRESS(814,18))+INDIRECT(ADDRESS(817,18))-INDIRECT(ADDRESS(818,18)))</f>
        <v>0</v>
      </c>
      <c r="S819">
        <f>IF(DAY(NOW())&lt;M3,INDIRECT(ADDRESS(819,18))-INDIRECT(ADDRESS(814,19))+INDIRECT(ADDRESS(815,19))-INDIRECT(ADDRESS(818,19)),INDIRECT(ADDRESS(819,18))-INDIRECT(ADDRESS(814,19))+INDIRECT(ADDRESS(817,19))-INDIRECT(ADDRESS(818,19)))</f>
        <v>0</v>
      </c>
      <c r="T819">
        <f>IF(DAY(NOW())&lt;M3,INDIRECT(ADDRESS(819,19))-INDIRECT(ADDRESS(814,20))+INDIRECT(ADDRESS(815,20))-INDIRECT(ADDRESS(818,20)),INDIRECT(ADDRESS(819,19))-INDIRECT(ADDRESS(814,20))+INDIRECT(ADDRESS(817,20))-INDIRECT(ADDRESS(818,20)))</f>
        <v>0</v>
      </c>
      <c r="U819">
        <f>IF(DAY(NOW())&lt;M3,INDIRECT(ADDRESS(819,20))-INDIRECT(ADDRESS(814,21))+INDIRECT(ADDRESS(815,21))-INDIRECT(ADDRESS(818,21)),INDIRECT(ADDRESS(819,20))-INDIRECT(ADDRESS(814,21))+INDIRECT(ADDRESS(817,21))-INDIRECT(ADDRESS(818,21)))</f>
        <v>0</v>
      </c>
      <c r="V819">
        <f>IF(DAY(NOW())&lt;M3,INDIRECT(ADDRESS(819,21))-INDIRECT(ADDRESS(814,22))+INDIRECT(ADDRESS(815,22))-INDIRECT(ADDRESS(818,22)),INDIRECT(ADDRESS(819,21))-INDIRECT(ADDRESS(814,22))+INDIRECT(ADDRESS(817,22))-INDIRECT(ADDRESS(818,22)))</f>
        <v>0</v>
      </c>
      <c r="W819">
        <f>IF(DAY(NOW())&lt;M3,INDIRECT(ADDRESS(819,22))-INDIRECT(ADDRESS(814,23))+INDIRECT(ADDRESS(815,23))-INDIRECT(ADDRESS(818,23)),INDIRECT(ADDRESS(819,22))-INDIRECT(ADDRESS(814,23))+INDIRECT(ADDRESS(817,23))-INDIRECT(ADDRESS(818,23)))</f>
        <v>0</v>
      </c>
      <c r="X819">
        <f>IF(DAY(NOW())&lt;M3,INDIRECT(ADDRESS(819,23))-INDIRECT(ADDRESS(814,24))+INDIRECT(ADDRESS(815,24))-INDIRECT(ADDRESS(818,24)),INDIRECT(ADDRESS(819,23))-INDIRECT(ADDRESS(814,24))+INDIRECT(ADDRESS(817,24))-INDIRECT(ADDRESS(818,24)))</f>
        <v>0</v>
      </c>
      <c r="Y819">
        <f>IF(DAY(NOW())&lt;M3,INDIRECT(ADDRESS(819,24))-INDIRECT(ADDRESS(814,25))+INDIRECT(ADDRESS(815,25))-INDIRECT(ADDRESS(818,25)),INDIRECT(ADDRESS(819,24))-INDIRECT(ADDRESS(814,25))+INDIRECT(ADDRESS(817,25))-INDIRECT(ADDRESS(818,25)))</f>
        <v>0</v>
      </c>
      <c r="Z819">
        <f>IF(DAY(NOW())&lt;M3,INDIRECT(ADDRESS(819,25))-INDIRECT(ADDRESS(814,26))+INDIRECT(ADDRESS(815,26))-INDIRECT(ADDRESS(818,26)),INDIRECT(ADDRESS(819,25))-INDIRECT(ADDRESS(814,26))+INDIRECT(ADDRESS(817,26))-INDIRECT(ADDRESS(818,26)))</f>
        <v>0</v>
      </c>
      <c r="AA819">
        <f>IF(DAY(NOW())&lt;M3,INDIRECT(ADDRESS(819,26))-INDIRECT(ADDRESS(814,27))+INDIRECT(ADDRESS(815,27))-INDIRECT(ADDRESS(818,27)),INDIRECT(ADDRESS(819,26))-INDIRECT(ADDRESS(814,27))+INDIRECT(ADDRESS(817,27))-INDIRECT(ADDRESS(818,27)))</f>
        <v>0</v>
      </c>
      <c r="AB819">
        <f>IF(DAY(NOW())&lt;M3,INDIRECT(ADDRESS(819,27))-INDIRECT(ADDRESS(814,28))+INDIRECT(ADDRESS(815,28))-INDIRECT(ADDRESS(818,28)),INDIRECT(ADDRESS(819,27))-INDIRECT(ADDRESS(814,28))+INDIRECT(ADDRESS(817,28))-INDIRECT(ADDRESS(818,28)))</f>
        <v>0</v>
      </c>
      <c r="AC819">
        <f>IF(DAY(NOW())&lt;M3,INDIRECT(ADDRESS(819,28))-INDIRECT(ADDRESS(814,29))+INDIRECT(ADDRESS(815,29))-INDIRECT(ADDRESS(818,29)),INDIRECT(ADDRESS(819,28))-INDIRECT(ADDRESS(814,29))+INDIRECT(ADDRESS(817,29))-INDIRECT(ADDRESS(818,29)))</f>
        <v>0</v>
      </c>
      <c r="AD819">
        <f>IF(DAY(NOW())&lt;M3,INDIRECT(ADDRESS(819,29))-INDIRECT(ADDRESS(814,30))+INDIRECT(ADDRESS(815,30))-INDIRECT(ADDRESS(818,30)),INDIRECT(ADDRESS(819,29))-INDIRECT(ADDRESS(814,30))+INDIRECT(ADDRESS(817,30))-INDIRECT(ADDRESS(818,30)))</f>
        <v>0</v>
      </c>
      <c r="AE819">
        <f>IF(DAY(NOW())&lt;M3,INDIRECT(ADDRESS(819,30))-INDIRECT(ADDRESS(814,31))+INDIRECT(ADDRESS(815,31))-INDIRECT(ADDRESS(818,31)),INDIRECT(ADDRESS(819,30))-INDIRECT(ADDRESS(814,31))+INDIRECT(ADDRESS(817,31))-INDIRECT(ADDRESS(818,31)))</f>
        <v>0</v>
      </c>
      <c r="AF819">
        <f>IF(DAY(NOW())&lt;M3,INDIRECT(ADDRESS(819,31))-INDIRECT(ADDRESS(814,32))+INDIRECT(ADDRESS(815,32))-INDIRECT(ADDRESS(818,32)),INDIRECT(ADDRESS(819,31))-INDIRECT(ADDRESS(814,32))+INDIRECT(ADDRESS(817,32))-INDIRECT(ADDRESS(818,32)))</f>
        <v>0</v>
      </c>
      <c r="AG819">
        <f>IF(DAY(NOW())&lt;M3,INDIRECT(ADDRESS(819,32))-INDIRECT(ADDRESS(814,33))+INDIRECT(ADDRESS(815,33))-INDIRECT(ADDRESS(818,33)),INDIRECT(ADDRESS(819,32))-INDIRECT(ADDRESS(814,33))+INDIRECT(ADDRESS(817,33))-INDIRECT(ADDRESS(818,33)))</f>
        <v>0</v>
      </c>
      <c r="AH819">
        <f>IF(DAY(NOW())&lt;M3,INDIRECT(ADDRESS(819,33))-INDIRECT(ADDRESS(814,34))+INDIRECT(ADDRESS(815,34))-INDIRECT(ADDRESS(818,34)),INDIRECT(ADDRESS(819,33))-INDIRECT(ADDRESS(814,34))+INDIRECT(ADDRESS(817,34))-INDIRECT(ADDRESS(818,34)))</f>
        <v>0</v>
      </c>
      <c r="AI819">
        <f>IF(DAY(NOW())&lt;M3,INDIRECT(ADDRESS(819,34))-INDIRECT(ADDRESS(814,35))+INDIRECT(ADDRESS(815,35))-INDIRECT(ADDRESS(818,35)),INDIRECT(ADDRESS(819,34))-INDIRECT(ADDRESS(814,35))+INDIRECT(ADDRESS(817,35))-INDIRECT(ADDRESS(818,35)))</f>
        <v>0</v>
      </c>
      <c r="AJ819">
        <f>IF(DAY(NOW())&lt;M3,INDIRECT(ADDRESS(819,35))-INDIRECT(ADDRESS(814,36))+INDIRECT(ADDRESS(815,36))-INDIRECT(ADDRESS(818,36)),INDIRECT(ADDRESS(819,35))-INDIRECT(ADDRESS(814,36))+INDIRECT(ADDRESS(817,36))-INDIRECT(ADDRESS(818,36)))</f>
        <v>0</v>
      </c>
      <c r="AK819">
        <f>IF(DAY(NOW())&lt;M3,INDIRECT(ADDRESS(819,36))-INDIRECT(ADDRESS(814,37))+INDIRECT(ADDRESS(815,37))-INDIRECT(ADDRESS(818,37)),INDIRECT(ADDRESS(819,36))-INDIRECT(ADDRESS(814,37))+INDIRECT(ADDRESS(817,37))-INDIRECT(ADDRESS(818,37)))</f>
        <v>0</v>
      </c>
      <c r="AL819">
        <f>IF(DAY(NOW())&lt;M3,INDIRECT(ADDRESS(819,37))-INDIRECT(ADDRESS(814,38))+INDIRECT(ADDRESS(815,38))-INDIRECT(ADDRESS(818,38)),INDIRECT(ADDRESS(819,37))-INDIRECT(ADDRESS(814,38))+INDIRECT(ADDRESS(817,38))-INDIRECT(ADDRESS(818,38)))</f>
        <v>0</v>
      </c>
      <c r="AM819">
        <f>IF(DAY(NOW())&lt;M3,INDIRECT(ADDRESS(819,38))-INDIRECT(ADDRESS(814,39))+INDIRECT(ADDRESS(815,39))-INDIRECT(ADDRESS(818,39)),INDIRECT(ADDRESS(819,38))-INDIRECT(ADDRESS(814,39))+INDIRECT(ADDRESS(817,39))-INDIRECT(ADDRESS(818,39)))</f>
        <v>0</v>
      </c>
      <c r="AN819">
        <f>IF(DAY(NOW())&lt;M3,INDIRECT(ADDRESS(819,39))-INDIRECT(ADDRESS(814,40))+INDIRECT(ADDRESS(815,40))-INDIRECT(ADDRESS(818,40)),INDIRECT(ADDRESS(819,39))-INDIRECT(ADDRESS(814,40))+INDIRECT(ADDRESS(817,40))-INDIRECT(ADDRESS(818,40)))</f>
        <v>0</v>
      </c>
      <c r="AO819">
        <f>IF(DAY(NOW())&lt;M3,INDIRECT(ADDRESS(819,40))-INDIRECT(ADDRESS(814,41))+INDIRECT(ADDRESS(815,41))-INDIRECT(ADDRESS(818,41)),INDIRECT(ADDRESS(819,40))-INDIRECT(ADDRESS(814,41))+INDIRECT(ADDRESS(817,41))-INDIRECT(ADDRESS(818,41)))</f>
        <v>0</v>
      </c>
      <c r="AP819">
        <f>IF(DAY(NOW())&lt;M3,INDIRECT(ADDRESS(819,41))-INDIRECT(ADDRESS(814,42))+INDIRECT(ADDRESS(815,42))-INDIRECT(ADDRESS(818,42)),INDIRECT(ADDRESS(819,41))-INDIRECT(ADDRESS(814,42))+INDIRECT(ADDRESS(817,42))-INDIRECT(ADDRESS(818,42)))</f>
        <v>0</v>
      </c>
      <c r="AQ819">
        <f>IF(DAY(NOW())&lt;M3,INDIRECT(ADDRESS(819,42))-INDIRECT(ADDRESS(814,43))+INDIRECT(ADDRESS(815,43))-INDIRECT(ADDRESS(818,43)),INDIRECT(ADDRESS(819,42))-INDIRECT(ADDRESS(814,43))+INDIRECT(ADDRESS(817,43))-INDIRECT(ADDRESS(818,43)))</f>
        <v>0</v>
      </c>
      <c r="AR819">
        <f>IF(DAY(NOW())&lt;M3,INDIRECT(ADDRESS(819,43))-INDIRECT(ADDRESS(814,44))+INDIRECT(ADDRESS(815,44))-INDIRECT(ADDRESS(818,44)),INDIRECT(ADDRESS(819,43))-INDIRECT(ADDRESS(814,44))+INDIRECT(ADDRESS(817,44))-INDIRECT(ADDRESS(818,44)))</f>
        <v>0</v>
      </c>
    </row>
    <row r="820" spans="1:76">
      <c r="A820" t="s">
        <v>31</v>
      </c>
      <c r="B820" t="s">
        <v>387</v>
      </c>
      <c r="C820" t="s">
        <v>388</v>
      </c>
      <c r="D820" t="s">
        <v>17</v>
      </c>
      <c r="E820">
        <v>1</v>
      </c>
      <c r="F820" t="s">
        <v>389</v>
      </c>
      <c r="K820" t="s">
        <v>308</v>
      </c>
      <c r="L820" t="s">
        <v>21</v>
      </c>
      <c r="M820">
        <f>sumifs(BOM!m:m,BOM!A:A,".1",BOM!B:B,"212-041000-000")</f>
        <v>0</v>
      </c>
      <c r="N820">
        <f>sumifs(BOM!n:n,BOM!A:A,".1",BOM!B:B,"212-041000-000")</f>
        <v>0</v>
      </c>
      <c r="O820">
        <f>sumifs(BOM!o:o,BOM!A:A,".1",BOM!B:B,"212-041000-000")</f>
        <v>0</v>
      </c>
      <c r="P820">
        <f>sumifs(BOM!p:p,BOM!A:A,".1",BOM!B:B,"212-041000-000")</f>
        <v>0</v>
      </c>
      <c r="Q820">
        <f>sumifs(BOM!q:q,BOM!A:A,".1",BOM!B:B,"212-041000-000")</f>
        <v>0</v>
      </c>
      <c r="R820">
        <f>sumifs(BOM!r:r,BOM!A:A,".1",BOM!B:B,"212-041000-000")</f>
        <v>0</v>
      </c>
      <c r="S820">
        <f>sumifs(BOM!s:s,BOM!A:A,".1",BOM!B:B,"212-041000-000")</f>
        <v>0</v>
      </c>
      <c r="T820">
        <f>sumifs(BOM!t:t,BOM!A:A,".1",BOM!B:B,"212-041000-000")</f>
        <v>0</v>
      </c>
      <c r="U820">
        <f>sumifs(BOM!u:u,BOM!A:A,".1",BOM!B:B,"212-041000-000")</f>
        <v>0</v>
      </c>
      <c r="V820">
        <f>sumifs(BOM!v:v,BOM!A:A,".1",BOM!B:B,"212-041000-000")</f>
        <v>0</v>
      </c>
      <c r="W820">
        <f>sumifs(BOM!w:w,BOM!A:A,".1",BOM!B:B,"212-041000-000")</f>
        <v>0</v>
      </c>
      <c r="X820">
        <f>sumifs(BOM!x:x,BOM!A:A,".1",BOM!B:B,"212-041000-000")</f>
        <v>0</v>
      </c>
      <c r="Y820">
        <f>sumifs(BOM!y:y,BOM!A:A,".1",BOM!B:B,"212-041000-000")</f>
        <v>0</v>
      </c>
      <c r="Z820">
        <f>sumifs(BOM!z:z,BOM!A:A,".1",BOM!B:B,"212-041000-000")</f>
        <v>0</v>
      </c>
      <c r="AA820">
        <f>sumifs(BOM!aa:aa,BOM!A:A,".1",BOM!B:B,"212-041000-000")</f>
        <v>0</v>
      </c>
      <c r="AB820">
        <f>sumifs(BOM!ab:ab,BOM!A:A,".1",BOM!B:B,"212-041000-000")</f>
        <v>0</v>
      </c>
      <c r="AC820">
        <f>sumifs(BOM!ac:ac,BOM!A:A,".1",BOM!B:B,"212-041000-000")</f>
        <v>0</v>
      </c>
      <c r="AD820">
        <f>sumifs(BOM!ad:ad,BOM!A:A,".1",BOM!B:B,"212-041000-000")</f>
        <v>0</v>
      </c>
      <c r="AE820">
        <f>sumifs(BOM!ae:ae,BOM!A:A,".1",BOM!B:B,"212-041000-000")</f>
        <v>0</v>
      </c>
      <c r="AF820">
        <f>sumifs(BOM!af:af,BOM!A:A,".1",BOM!B:B,"212-041000-000")</f>
        <v>0</v>
      </c>
      <c r="AG820">
        <f>sumifs(BOM!ag:ag,BOM!A:A,".1",BOM!B:B,"212-041000-000")</f>
        <v>0</v>
      </c>
      <c r="AH820">
        <f>sumifs(BOM!ah:ah,BOM!A:A,".1",BOM!B:B,"212-041000-000")</f>
        <v>0</v>
      </c>
      <c r="AI820">
        <f>sumifs(BOM!ai:ai,BOM!A:A,".1",BOM!B:B,"212-041000-000")</f>
        <v>0</v>
      </c>
      <c r="AJ820">
        <f>sumifs(BOM!aj:aj,BOM!A:A,".1",BOM!B:B,"212-041000-000")</f>
        <v>0</v>
      </c>
      <c r="AK820">
        <f>sumifs(BOM!ak:ak,BOM!A:A,".1",BOM!B:B,"212-041000-000")</f>
        <v>0</v>
      </c>
      <c r="AL820">
        <f>sumifs(BOM!al:al,BOM!A:A,".1",BOM!B:B,"212-041000-000")</f>
        <v>0</v>
      </c>
      <c r="AM820">
        <f>sumifs(BOM!am:am,BOM!A:A,".1",BOM!B:B,"212-041000-000")</f>
        <v>0</v>
      </c>
      <c r="AN820">
        <f>sumifs(BOM!an:an,BOM!A:A,".1",BOM!B:B,"212-041000-000")</f>
        <v>0</v>
      </c>
      <c r="AO820">
        <f>sumifs(BOM!ao:ao,BOM!A:A,".1",BOM!B:B,"212-041000-000")</f>
        <v>0</v>
      </c>
      <c r="AP820">
        <f>sumifs(BOM!ap:ap,BOM!A:A,".1",BOM!B:B,"212-041000-000")</f>
        <v>0</v>
      </c>
      <c r="AQ820">
        <f>sumifs(BOM!aq:aq,BOM!A:A,".1",BOM!B:B,"212-041000-000")</f>
        <v>0</v>
      </c>
      <c r="AR820">
        <f>sumifs(BOM!ar:ar,BOM!A:A,".1",BOM!B:B,"212-041000-000")</f>
        <v>0</v>
      </c>
      <c r="BX820">
        <f>sum(j820:an820)</f>
        <v>0</v>
      </c>
    </row>
    <row r="821" spans="1:76">
      <c r="A821" t="s">
        <v>31</v>
      </c>
      <c r="B821" t="s">
        <v>387</v>
      </c>
      <c r="C821" t="s">
        <v>388</v>
      </c>
      <c r="D821" t="s">
        <v>17</v>
      </c>
      <c r="E821">
        <v>1</v>
      </c>
      <c r="F821" t="s">
        <v>389</v>
      </c>
      <c r="K821" t="s">
        <v>308</v>
      </c>
      <c r="L821" t="s">
        <v>37</v>
      </c>
    </row>
    <row r="822" spans="1:76">
      <c r="L822" t="s">
        <v>662</v>
      </c>
    </row>
    <row r="823" spans="1:76">
      <c r="L823" t="s">
        <v>663</v>
      </c>
    </row>
    <row r="824" spans="1:76">
      <c r="L824" t="s">
        <v>664</v>
      </c>
    </row>
    <row r="825" spans="1:76">
      <c r="L825" t="s">
        <v>665</v>
      </c>
      <c r="M825">
        <f>IF(DAY(NOW())&lt;M3,INDIRECT(ADDRESS(825,7))-INDIRECT(ADDRESS(820,13))+INDIRECT(ADDRESS(821,13))-INDIRECT(ADDRESS(824,13)),INDIRECT(ADDRESS(825,7))-INDIRECT(ADDRESS(820,13))+INDIRECT(ADDRESS(823,13))-INDIRECT(ADDRESS(824,13)))</f>
        <v>0</v>
      </c>
      <c r="N825">
        <f>IF(DAY(NOW())&lt;M3,INDIRECT(ADDRESS(825,13))-INDIRECT(ADDRESS(820,14))+INDIRECT(ADDRESS(821,14))-INDIRECT(ADDRESS(824,14)),INDIRECT(ADDRESS(825,13))-INDIRECT(ADDRESS(820,14))+INDIRECT(ADDRESS(823,14))-INDIRECT(ADDRESS(824,14)))</f>
        <v>0</v>
      </c>
      <c r="O825">
        <f>IF(DAY(NOW())&lt;M3,INDIRECT(ADDRESS(825,14))-INDIRECT(ADDRESS(820,15))+INDIRECT(ADDRESS(821,15))-INDIRECT(ADDRESS(824,15)),INDIRECT(ADDRESS(825,14))-INDIRECT(ADDRESS(820,15))+INDIRECT(ADDRESS(823,15))-INDIRECT(ADDRESS(824,15)))</f>
        <v>0</v>
      </c>
      <c r="P825">
        <f>IF(DAY(NOW())&lt;M3,INDIRECT(ADDRESS(825,15))-INDIRECT(ADDRESS(820,16))+INDIRECT(ADDRESS(821,16))-INDIRECT(ADDRESS(824,16)),INDIRECT(ADDRESS(825,15))-INDIRECT(ADDRESS(820,16))+INDIRECT(ADDRESS(823,16))-INDIRECT(ADDRESS(824,16)))</f>
        <v>0</v>
      </c>
      <c r="Q825">
        <f>IF(DAY(NOW())&lt;M3,INDIRECT(ADDRESS(825,16))-INDIRECT(ADDRESS(820,17))+INDIRECT(ADDRESS(821,17))-INDIRECT(ADDRESS(824,17)),INDIRECT(ADDRESS(825,16))-INDIRECT(ADDRESS(820,17))+INDIRECT(ADDRESS(823,17))-INDIRECT(ADDRESS(824,17)))</f>
        <v>0</v>
      </c>
      <c r="R825">
        <f>IF(DAY(NOW())&lt;M3,INDIRECT(ADDRESS(825,17))-INDIRECT(ADDRESS(820,18))+INDIRECT(ADDRESS(821,18))-INDIRECT(ADDRESS(824,18)),INDIRECT(ADDRESS(825,17))-INDIRECT(ADDRESS(820,18))+INDIRECT(ADDRESS(823,18))-INDIRECT(ADDRESS(824,18)))</f>
        <v>0</v>
      </c>
      <c r="S825">
        <f>IF(DAY(NOW())&lt;M3,INDIRECT(ADDRESS(825,18))-INDIRECT(ADDRESS(820,19))+INDIRECT(ADDRESS(821,19))-INDIRECT(ADDRESS(824,19)),INDIRECT(ADDRESS(825,18))-INDIRECT(ADDRESS(820,19))+INDIRECT(ADDRESS(823,19))-INDIRECT(ADDRESS(824,19)))</f>
        <v>0</v>
      </c>
      <c r="T825">
        <f>IF(DAY(NOW())&lt;M3,INDIRECT(ADDRESS(825,19))-INDIRECT(ADDRESS(820,20))+INDIRECT(ADDRESS(821,20))-INDIRECT(ADDRESS(824,20)),INDIRECT(ADDRESS(825,19))-INDIRECT(ADDRESS(820,20))+INDIRECT(ADDRESS(823,20))-INDIRECT(ADDRESS(824,20)))</f>
        <v>0</v>
      </c>
      <c r="U825">
        <f>IF(DAY(NOW())&lt;M3,INDIRECT(ADDRESS(825,20))-INDIRECT(ADDRESS(820,21))+INDIRECT(ADDRESS(821,21))-INDIRECT(ADDRESS(824,21)),INDIRECT(ADDRESS(825,20))-INDIRECT(ADDRESS(820,21))+INDIRECT(ADDRESS(823,21))-INDIRECT(ADDRESS(824,21)))</f>
        <v>0</v>
      </c>
      <c r="V825">
        <f>IF(DAY(NOW())&lt;M3,INDIRECT(ADDRESS(825,21))-INDIRECT(ADDRESS(820,22))+INDIRECT(ADDRESS(821,22))-INDIRECT(ADDRESS(824,22)),INDIRECT(ADDRESS(825,21))-INDIRECT(ADDRESS(820,22))+INDIRECT(ADDRESS(823,22))-INDIRECT(ADDRESS(824,22)))</f>
        <v>0</v>
      </c>
      <c r="W825">
        <f>IF(DAY(NOW())&lt;M3,INDIRECT(ADDRESS(825,22))-INDIRECT(ADDRESS(820,23))+INDIRECT(ADDRESS(821,23))-INDIRECT(ADDRESS(824,23)),INDIRECT(ADDRESS(825,22))-INDIRECT(ADDRESS(820,23))+INDIRECT(ADDRESS(823,23))-INDIRECT(ADDRESS(824,23)))</f>
        <v>0</v>
      </c>
      <c r="X825">
        <f>IF(DAY(NOW())&lt;M3,INDIRECT(ADDRESS(825,23))-INDIRECT(ADDRESS(820,24))+INDIRECT(ADDRESS(821,24))-INDIRECT(ADDRESS(824,24)),INDIRECT(ADDRESS(825,23))-INDIRECT(ADDRESS(820,24))+INDIRECT(ADDRESS(823,24))-INDIRECT(ADDRESS(824,24)))</f>
        <v>0</v>
      </c>
      <c r="Y825">
        <f>IF(DAY(NOW())&lt;M3,INDIRECT(ADDRESS(825,24))-INDIRECT(ADDRESS(820,25))+INDIRECT(ADDRESS(821,25))-INDIRECT(ADDRESS(824,25)),INDIRECT(ADDRESS(825,24))-INDIRECT(ADDRESS(820,25))+INDIRECT(ADDRESS(823,25))-INDIRECT(ADDRESS(824,25)))</f>
        <v>0</v>
      </c>
      <c r="Z825">
        <f>IF(DAY(NOW())&lt;M3,INDIRECT(ADDRESS(825,25))-INDIRECT(ADDRESS(820,26))+INDIRECT(ADDRESS(821,26))-INDIRECT(ADDRESS(824,26)),INDIRECT(ADDRESS(825,25))-INDIRECT(ADDRESS(820,26))+INDIRECT(ADDRESS(823,26))-INDIRECT(ADDRESS(824,26)))</f>
        <v>0</v>
      </c>
      <c r="AA825">
        <f>IF(DAY(NOW())&lt;M3,INDIRECT(ADDRESS(825,26))-INDIRECT(ADDRESS(820,27))+INDIRECT(ADDRESS(821,27))-INDIRECT(ADDRESS(824,27)),INDIRECT(ADDRESS(825,26))-INDIRECT(ADDRESS(820,27))+INDIRECT(ADDRESS(823,27))-INDIRECT(ADDRESS(824,27)))</f>
        <v>0</v>
      </c>
      <c r="AB825">
        <f>IF(DAY(NOW())&lt;M3,INDIRECT(ADDRESS(825,27))-INDIRECT(ADDRESS(820,28))+INDIRECT(ADDRESS(821,28))-INDIRECT(ADDRESS(824,28)),INDIRECT(ADDRESS(825,27))-INDIRECT(ADDRESS(820,28))+INDIRECT(ADDRESS(823,28))-INDIRECT(ADDRESS(824,28)))</f>
        <v>0</v>
      </c>
      <c r="AC825">
        <f>IF(DAY(NOW())&lt;M3,INDIRECT(ADDRESS(825,28))-INDIRECT(ADDRESS(820,29))+INDIRECT(ADDRESS(821,29))-INDIRECT(ADDRESS(824,29)),INDIRECT(ADDRESS(825,28))-INDIRECT(ADDRESS(820,29))+INDIRECT(ADDRESS(823,29))-INDIRECT(ADDRESS(824,29)))</f>
        <v>0</v>
      </c>
      <c r="AD825">
        <f>IF(DAY(NOW())&lt;M3,INDIRECT(ADDRESS(825,29))-INDIRECT(ADDRESS(820,30))+INDIRECT(ADDRESS(821,30))-INDIRECT(ADDRESS(824,30)),INDIRECT(ADDRESS(825,29))-INDIRECT(ADDRESS(820,30))+INDIRECT(ADDRESS(823,30))-INDIRECT(ADDRESS(824,30)))</f>
        <v>0</v>
      </c>
      <c r="AE825">
        <f>IF(DAY(NOW())&lt;M3,INDIRECT(ADDRESS(825,30))-INDIRECT(ADDRESS(820,31))+INDIRECT(ADDRESS(821,31))-INDIRECT(ADDRESS(824,31)),INDIRECT(ADDRESS(825,30))-INDIRECT(ADDRESS(820,31))+INDIRECT(ADDRESS(823,31))-INDIRECT(ADDRESS(824,31)))</f>
        <v>0</v>
      </c>
      <c r="AF825">
        <f>IF(DAY(NOW())&lt;M3,INDIRECT(ADDRESS(825,31))-INDIRECT(ADDRESS(820,32))+INDIRECT(ADDRESS(821,32))-INDIRECT(ADDRESS(824,32)),INDIRECT(ADDRESS(825,31))-INDIRECT(ADDRESS(820,32))+INDIRECT(ADDRESS(823,32))-INDIRECT(ADDRESS(824,32)))</f>
        <v>0</v>
      </c>
      <c r="AG825">
        <f>IF(DAY(NOW())&lt;M3,INDIRECT(ADDRESS(825,32))-INDIRECT(ADDRESS(820,33))+INDIRECT(ADDRESS(821,33))-INDIRECT(ADDRESS(824,33)),INDIRECT(ADDRESS(825,32))-INDIRECT(ADDRESS(820,33))+INDIRECT(ADDRESS(823,33))-INDIRECT(ADDRESS(824,33)))</f>
        <v>0</v>
      </c>
      <c r="AH825">
        <f>IF(DAY(NOW())&lt;M3,INDIRECT(ADDRESS(825,33))-INDIRECT(ADDRESS(820,34))+INDIRECT(ADDRESS(821,34))-INDIRECT(ADDRESS(824,34)),INDIRECT(ADDRESS(825,33))-INDIRECT(ADDRESS(820,34))+INDIRECT(ADDRESS(823,34))-INDIRECT(ADDRESS(824,34)))</f>
        <v>0</v>
      </c>
      <c r="AI825">
        <f>IF(DAY(NOW())&lt;M3,INDIRECT(ADDRESS(825,34))-INDIRECT(ADDRESS(820,35))+INDIRECT(ADDRESS(821,35))-INDIRECT(ADDRESS(824,35)),INDIRECT(ADDRESS(825,34))-INDIRECT(ADDRESS(820,35))+INDIRECT(ADDRESS(823,35))-INDIRECT(ADDRESS(824,35)))</f>
        <v>0</v>
      </c>
      <c r="AJ825">
        <f>IF(DAY(NOW())&lt;M3,INDIRECT(ADDRESS(825,35))-INDIRECT(ADDRESS(820,36))+INDIRECT(ADDRESS(821,36))-INDIRECT(ADDRESS(824,36)),INDIRECT(ADDRESS(825,35))-INDIRECT(ADDRESS(820,36))+INDIRECT(ADDRESS(823,36))-INDIRECT(ADDRESS(824,36)))</f>
        <v>0</v>
      </c>
      <c r="AK825">
        <f>IF(DAY(NOW())&lt;M3,INDIRECT(ADDRESS(825,36))-INDIRECT(ADDRESS(820,37))+INDIRECT(ADDRESS(821,37))-INDIRECT(ADDRESS(824,37)),INDIRECT(ADDRESS(825,36))-INDIRECT(ADDRESS(820,37))+INDIRECT(ADDRESS(823,37))-INDIRECT(ADDRESS(824,37)))</f>
        <v>0</v>
      </c>
      <c r="AL825">
        <f>IF(DAY(NOW())&lt;M3,INDIRECT(ADDRESS(825,37))-INDIRECT(ADDRESS(820,38))+INDIRECT(ADDRESS(821,38))-INDIRECT(ADDRESS(824,38)),INDIRECT(ADDRESS(825,37))-INDIRECT(ADDRESS(820,38))+INDIRECT(ADDRESS(823,38))-INDIRECT(ADDRESS(824,38)))</f>
        <v>0</v>
      </c>
      <c r="AM825">
        <f>IF(DAY(NOW())&lt;M3,INDIRECT(ADDRESS(825,38))-INDIRECT(ADDRESS(820,39))+INDIRECT(ADDRESS(821,39))-INDIRECT(ADDRESS(824,39)),INDIRECT(ADDRESS(825,38))-INDIRECT(ADDRESS(820,39))+INDIRECT(ADDRESS(823,39))-INDIRECT(ADDRESS(824,39)))</f>
        <v>0</v>
      </c>
      <c r="AN825">
        <f>IF(DAY(NOW())&lt;M3,INDIRECT(ADDRESS(825,39))-INDIRECT(ADDRESS(820,40))+INDIRECT(ADDRESS(821,40))-INDIRECT(ADDRESS(824,40)),INDIRECT(ADDRESS(825,39))-INDIRECT(ADDRESS(820,40))+INDIRECT(ADDRESS(823,40))-INDIRECT(ADDRESS(824,40)))</f>
        <v>0</v>
      </c>
      <c r="AO825">
        <f>IF(DAY(NOW())&lt;M3,INDIRECT(ADDRESS(825,40))-INDIRECT(ADDRESS(820,41))+INDIRECT(ADDRESS(821,41))-INDIRECT(ADDRESS(824,41)),INDIRECT(ADDRESS(825,40))-INDIRECT(ADDRESS(820,41))+INDIRECT(ADDRESS(823,41))-INDIRECT(ADDRESS(824,41)))</f>
        <v>0</v>
      </c>
      <c r="AP825">
        <f>IF(DAY(NOW())&lt;M3,INDIRECT(ADDRESS(825,41))-INDIRECT(ADDRESS(820,42))+INDIRECT(ADDRESS(821,42))-INDIRECT(ADDRESS(824,42)),INDIRECT(ADDRESS(825,41))-INDIRECT(ADDRESS(820,42))+INDIRECT(ADDRESS(823,42))-INDIRECT(ADDRESS(824,42)))</f>
        <v>0</v>
      </c>
      <c r="AQ825">
        <f>IF(DAY(NOW())&lt;M3,INDIRECT(ADDRESS(825,42))-INDIRECT(ADDRESS(820,43))+INDIRECT(ADDRESS(821,43))-INDIRECT(ADDRESS(824,43)),INDIRECT(ADDRESS(825,42))-INDIRECT(ADDRESS(820,43))+INDIRECT(ADDRESS(823,43))-INDIRECT(ADDRESS(824,43)))</f>
        <v>0</v>
      </c>
      <c r="AR825">
        <f>IF(DAY(NOW())&lt;M3,INDIRECT(ADDRESS(825,43))-INDIRECT(ADDRESS(820,44))+INDIRECT(ADDRESS(821,44))-INDIRECT(ADDRESS(824,44)),INDIRECT(ADDRESS(825,43))-INDIRECT(ADDRESS(820,44))+INDIRECT(ADDRESS(823,44))-INDIRECT(ADDRESS(824,44)))</f>
        <v>0</v>
      </c>
    </row>
    <row r="826" spans="1:76">
      <c r="A826" t="s">
        <v>14</v>
      </c>
      <c r="B826" t="s">
        <v>154</v>
      </c>
      <c r="C826" t="s">
        <v>155</v>
      </c>
      <c r="D826" t="s">
        <v>256</v>
      </c>
      <c r="E826">
        <v>1</v>
      </c>
      <c r="F826" t="s">
        <v>156</v>
      </c>
      <c r="K826" t="s">
        <v>305</v>
      </c>
      <c r="L826" t="s">
        <v>21</v>
      </c>
      <c r="BX826">
        <f>sum(j826:an826)</f>
        <v>0</v>
      </c>
    </row>
    <row r="827" spans="1:76">
      <c r="A827" t="s">
        <v>14</v>
      </c>
      <c r="B827" t="s">
        <v>154</v>
      </c>
      <c r="C827" t="s">
        <v>155</v>
      </c>
      <c r="D827" t="s">
        <v>256</v>
      </c>
      <c r="E827">
        <v>1</v>
      </c>
      <c r="F827" t="s">
        <v>156</v>
      </c>
      <c r="K827" t="s">
        <v>305</v>
      </c>
      <c r="L827" t="s">
        <v>37</v>
      </c>
    </row>
    <row r="828" spans="1:76">
      <c r="L828" t="s">
        <v>662</v>
      </c>
    </row>
    <row r="829" spans="1:76">
      <c r="L829" t="s">
        <v>663</v>
      </c>
    </row>
    <row r="830" spans="1:76">
      <c r="L830" t="s">
        <v>664</v>
      </c>
    </row>
    <row r="831" spans="1:76">
      <c r="L831" t="s">
        <v>665</v>
      </c>
      <c r="M831">
        <f>IF(DAY(NOW())&lt;M3,INDIRECT(ADDRESS(831,7))-INDIRECT(ADDRESS(826,13))+INDIRECT(ADDRESS(827,13))-INDIRECT(ADDRESS(830,13)),INDIRECT(ADDRESS(831,7))-INDIRECT(ADDRESS(826,13))+INDIRECT(ADDRESS(829,13))-INDIRECT(ADDRESS(830,13)))</f>
        <v>0</v>
      </c>
      <c r="N831">
        <f>IF(DAY(NOW())&lt;M3,INDIRECT(ADDRESS(831,13))-INDIRECT(ADDRESS(826,14))+INDIRECT(ADDRESS(827,14))-INDIRECT(ADDRESS(830,14)),INDIRECT(ADDRESS(831,13))-INDIRECT(ADDRESS(826,14))+INDIRECT(ADDRESS(829,14))-INDIRECT(ADDRESS(830,14)))</f>
        <v>0</v>
      </c>
      <c r="O831">
        <f>IF(DAY(NOW())&lt;M3,INDIRECT(ADDRESS(831,14))-INDIRECT(ADDRESS(826,15))+INDIRECT(ADDRESS(827,15))-INDIRECT(ADDRESS(830,15)),INDIRECT(ADDRESS(831,14))-INDIRECT(ADDRESS(826,15))+INDIRECT(ADDRESS(829,15))-INDIRECT(ADDRESS(830,15)))</f>
        <v>0</v>
      </c>
      <c r="P831">
        <f>IF(DAY(NOW())&lt;M3,INDIRECT(ADDRESS(831,15))-INDIRECT(ADDRESS(826,16))+INDIRECT(ADDRESS(827,16))-INDIRECT(ADDRESS(830,16)),INDIRECT(ADDRESS(831,15))-INDIRECT(ADDRESS(826,16))+INDIRECT(ADDRESS(829,16))-INDIRECT(ADDRESS(830,16)))</f>
        <v>0</v>
      </c>
      <c r="Q831">
        <f>IF(DAY(NOW())&lt;M3,INDIRECT(ADDRESS(831,16))-INDIRECT(ADDRESS(826,17))+INDIRECT(ADDRESS(827,17))-INDIRECT(ADDRESS(830,17)),INDIRECT(ADDRESS(831,16))-INDIRECT(ADDRESS(826,17))+INDIRECT(ADDRESS(829,17))-INDIRECT(ADDRESS(830,17)))</f>
        <v>0</v>
      </c>
      <c r="R831">
        <f>IF(DAY(NOW())&lt;M3,INDIRECT(ADDRESS(831,17))-INDIRECT(ADDRESS(826,18))+INDIRECT(ADDRESS(827,18))-INDIRECT(ADDRESS(830,18)),INDIRECT(ADDRESS(831,17))-INDIRECT(ADDRESS(826,18))+INDIRECT(ADDRESS(829,18))-INDIRECT(ADDRESS(830,18)))</f>
        <v>0</v>
      </c>
      <c r="S831">
        <f>IF(DAY(NOW())&lt;M3,INDIRECT(ADDRESS(831,18))-INDIRECT(ADDRESS(826,19))+INDIRECT(ADDRESS(827,19))-INDIRECT(ADDRESS(830,19)),INDIRECT(ADDRESS(831,18))-INDIRECT(ADDRESS(826,19))+INDIRECT(ADDRESS(829,19))-INDIRECT(ADDRESS(830,19)))</f>
        <v>0</v>
      </c>
      <c r="T831">
        <f>IF(DAY(NOW())&lt;M3,INDIRECT(ADDRESS(831,19))-INDIRECT(ADDRESS(826,20))+INDIRECT(ADDRESS(827,20))-INDIRECT(ADDRESS(830,20)),INDIRECT(ADDRESS(831,19))-INDIRECT(ADDRESS(826,20))+INDIRECT(ADDRESS(829,20))-INDIRECT(ADDRESS(830,20)))</f>
        <v>0</v>
      </c>
      <c r="U831">
        <f>IF(DAY(NOW())&lt;M3,INDIRECT(ADDRESS(831,20))-INDIRECT(ADDRESS(826,21))+INDIRECT(ADDRESS(827,21))-INDIRECT(ADDRESS(830,21)),INDIRECT(ADDRESS(831,20))-INDIRECT(ADDRESS(826,21))+INDIRECT(ADDRESS(829,21))-INDIRECT(ADDRESS(830,21)))</f>
        <v>0</v>
      </c>
      <c r="V831">
        <f>IF(DAY(NOW())&lt;M3,INDIRECT(ADDRESS(831,21))-INDIRECT(ADDRESS(826,22))+INDIRECT(ADDRESS(827,22))-INDIRECT(ADDRESS(830,22)),INDIRECT(ADDRESS(831,21))-INDIRECT(ADDRESS(826,22))+INDIRECT(ADDRESS(829,22))-INDIRECT(ADDRESS(830,22)))</f>
        <v>0</v>
      </c>
      <c r="W831">
        <f>IF(DAY(NOW())&lt;M3,INDIRECT(ADDRESS(831,22))-INDIRECT(ADDRESS(826,23))+INDIRECT(ADDRESS(827,23))-INDIRECT(ADDRESS(830,23)),INDIRECT(ADDRESS(831,22))-INDIRECT(ADDRESS(826,23))+INDIRECT(ADDRESS(829,23))-INDIRECT(ADDRESS(830,23)))</f>
        <v>0</v>
      </c>
      <c r="X831">
        <f>IF(DAY(NOW())&lt;M3,INDIRECT(ADDRESS(831,23))-INDIRECT(ADDRESS(826,24))+INDIRECT(ADDRESS(827,24))-INDIRECT(ADDRESS(830,24)),INDIRECT(ADDRESS(831,23))-INDIRECT(ADDRESS(826,24))+INDIRECT(ADDRESS(829,24))-INDIRECT(ADDRESS(830,24)))</f>
        <v>0</v>
      </c>
      <c r="Y831">
        <f>IF(DAY(NOW())&lt;M3,INDIRECT(ADDRESS(831,24))-INDIRECT(ADDRESS(826,25))+INDIRECT(ADDRESS(827,25))-INDIRECT(ADDRESS(830,25)),INDIRECT(ADDRESS(831,24))-INDIRECT(ADDRESS(826,25))+INDIRECT(ADDRESS(829,25))-INDIRECT(ADDRESS(830,25)))</f>
        <v>0</v>
      </c>
      <c r="Z831">
        <f>IF(DAY(NOW())&lt;M3,INDIRECT(ADDRESS(831,25))-INDIRECT(ADDRESS(826,26))+INDIRECT(ADDRESS(827,26))-INDIRECT(ADDRESS(830,26)),INDIRECT(ADDRESS(831,25))-INDIRECT(ADDRESS(826,26))+INDIRECT(ADDRESS(829,26))-INDIRECT(ADDRESS(830,26)))</f>
        <v>0</v>
      </c>
      <c r="AA831">
        <f>IF(DAY(NOW())&lt;M3,INDIRECT(ADDRESS(831,26))-INDIRECT(ADDRESS(826,27))+INDIRECT(ADDRESS(827,27))-INDIRECT(ADDRESS(830,27)),INDIRECT(ADDRESS(831,26))-INDIRECT(ADDRESS(826,27))+INDIRECT(ADDRESS(829,27))-INDIRECT(ADDRESS(830,27)))</f>
        <v>0</v>
      </c>
      <c r="AB831">
        <f>IF(DAY(NOW())&lt;M3,INDIRECT(ADDRESS(831,27))-INDIRECT(ADDRESS(826,28))+INDIRECT(ADDRESS(827,28))-INDIRECT(ADDRESS(830,28)),INDIRECT(ADDRESS(831,27))-INDIRECT(ADDRESS(826,28))+INDIRECT(ADDRESS(829,28))-INDIRECT(ADDRESS(830,28)))</f>
        <v>0</v>
      </c>
      <c r="AC831">
        <f>IF(DAY(NOW())&lt;M3,INDIRECT(ADDRESS(831,28))-INDIRECT(ADDRESS(826,29))+INDIRECT(ADDRESS(827,29))-INDIRECT(ADDRESS(830,29)),INDIRECT(ADDRESS(831,28))-INDIRECT(ADDRESS(826,29))+INDIRECT(ADDRESS(829,29))-INDIRECT(ADDRESS(830,29)))</f>
        <v>0</v>
      </c>
      <c r="AD831">
        <f>IF(DAY(NOW())&lt;M3,INDIRECT(ADDRESS(831,29))-INDIRECT(ADDRESS(826,30))+INDIRECT(ADDRESS(827,30))-INDIRECT(ADDRESS(830,30)),INDIRECT(ADDRESS(831,29))-INDIRECT(ADDRESS(826,30))+INDIRECT(ADDRESS(829,30))-INDIRECT(ADDRESS(830,30)))</f>
        <v>0</v>
      </c>
      <c r="AE831">
        <f>IF(DAY(NOW())&lt;M3,INDIRECT(ADDRESS(831,30))-INDIRECT(ADDRESS(826,31))+INDIRECT(ADDRESS(827,31))-INDIRECT(ADDRESS(830,31)),INDIRECT(ADDRESS(831,30))-INDIRECT(ADDRESS(826,31))+INDIRECT(ADDRESS(829,31))-INDIRECT(ADDRESS(830,31)))</f>
        <v>0</v>
      </c>
      <c r="AF831">
        <f>IF(DAY(NOW())&lt;M3,INDIRECT(ADDRESS(831,31))-INDIRECT(ADDRESS(826,32))+INDIRECT(ADDRESS(827,32))-INDIRECT(ADDRESS(830,32)),INDIRECT(ADDRESS(831,31))-INDIRECT(ADDRESS(826,32))+INDIRECT(ADDRESS(829,32))-INDIRECT(ADDRESS(830,32)))</f>
        <v>0</v>
      </c>
      <c r="AG831">
        <f>IF(DAY(NOW())&lt;M3,INDIRECT(ADDRESS(831,32))-INDIRECT(ADDRESS(826,33))+INDIRECT(ADDRESS(827,33))-INDIRECT(ADDRESS(830,33)),INDIRECT(ADDRESS(831,32))-INDIRECT(ADDRESS(826,33))+INDIRECT(ADDRESS(829,33))-INDIRECT(ADDRESS(830,33)))</f>
        <v>0</v>
      </c>
      <c r="AH831">
        <f>IF(DAY(NOW())&lt;M3,INDIRECT(ADDRESS(831,33))-INDIRECT(ADDRESS(826,34))+INDIRECT(ADDRESS(827,34))-INDIRECT(ADDRESS(830,34)),INDIRECT(ADDRESS(831,33))-INDIRECT(ADDRESS(826,34))+INDIRECT(ADDRESS(829,34))-INDIRECT(ADDRESS(830,34)))</f>
        <v>0</v>
      </c>
      <c r="AI831">
        <f>IF(DAY(NOW())&lt;M3,INDIRECT(ADDRESS(831,34))-INDIRECT(ADDRESS(826,35))+INDIRECT(ADDRESS(827,35))-INDIRECT(ADDRESS(830,35)),INDIRECT(ADDRESS(831,34))-INDIRECT(ADDRESS(826,35))+INDIRECT(ADDRESS(829,35))-INDIRECT(ADDRESS(830,35)))</f>
        <v>0</v>
      </c>
      <c r="AJ831">
        <f>IF(DAY(NOW())&lt;M3,INDIRECT(ADDRESS(831,35))-INDIRECT(ADDRESS(826,36))+INDIRECT(ADDRESS(827,36))-INDIRECT(ADDRESS(830,36)),INDIRECT(ADDRESS(831,35))-INDIRECT(ADDRESS(826,36))+INDIRECT(ADDRESS(829,36))-INDIRECT(ADDRESS(830,36)))</f>
        <v>0</v>
      </c>
      <c r="AK831">
        <f>IF(DAY(NOW())&lt;M3,INDIRECT(ADDRESS(831,36))-INDIRECT(ADDRESS(826,37))+INDIRECT(ADDRESS(827,37))-INDIRECT(ADDRESS(830,37)),INDIRECT(ADDRESS(831,36))-INDIRECT(ADDRESS(826,37))+INDIRECT(ADDRESS(829,37))-INDIRECT(ADDRESS(830,37)))</f>
        <v>0</v>
      </c>
      <c r="AL831">
        <f>IF(DAY(NOW())&lt;M3,INDIRECT(ADDRESS(831,37))-INDIRECT(ADDRESS(826,38))+INDIRECT(ADDRESS(827,38))-INDIRECT(ADDRESS(830,38)),INDIRECT(ADDRESS(831,37))-INDIRECT(ADDRESS(826,38))+INDIRECT(ADDRESS(829,38))-INDIRECT(ADDRESS(830,38)))</f>
        <v>0</v>
      </c>
      <c r="AM831">
        <f>IF(DAY(NOW())&lt;M3,INDIRECT(ADDRESS(831,38))-INDIRECT(ADDRESS(826,39))+INDIRECT(ADDRESS(827,39))-INDIRECT(ADDRESS(830,39)),INDIRECT(ADDRESS(831,38))-INDIRECT(ADDRESS(826,39))+INDIRECT(ADDRESS(829,39))-INDIRECT(ADDRESS(830,39)))</f>
        <v>0</v>
      </c>
      <c r="AN831">
        <f>IF(DAY(NOW())&lt;M3,INDIRECT(ADDRESS(831,39))-INDIRECT(ADDRESS(826,40))+INDIRECT(ADDRESS(827,40))-INDIRECT(ADDRESS(830,40)),INDIRECT(ADDRESS(831,39))-INDIRECT(ADDRESS(826,40))+INDIRECT(ADDRESS(829,40))-INDIRECT(ADDRESS(830,40)))</f>
        <v>0</v>
      </c>
      <c r="AO831">
        <f>IF(DAY(NOW())&lt;M3,INDIRECT(ADDRESS(831,40))-INDIRECT(ADDRESS(826,41))+INDIRECT(ADDRESS(827,41))-INDIRECT(ADDRESS(830,41)),INDIRECT(ADDRESS(831,40))-INDIRECT(ADDRESS(826,41))+INDIRECT(ADDRESS(829,41))-INDIRECT(ADDRESS(830,41)))</f>
        <v>0</v>
      </c>
      <c r="AP831">
        <f>IF(DAY(NOW())&lt;M3,INDIRECT(ADDRESS(831,41))-INDIRECT(ADDRESS(826,42))+INDIRECT(ADDRESS(827,42))-INDIRECT(ADDRESS(830,42)),INDIRECT(ADDRESS(831,41))-INDIRECT(ADDRESS(826,42))+INDIRECT(ADDRESS(829,42))-INDIRECT(ADDRESS(830,42)))</f>
        <v>0</v>
      </c>
      <c r="AQ831">
        <f>IF(DAY(NOW())&lt;M3,INDIRECT(ADDRESS(831,42))-INDIRECT(ADDRESS(826,43))+INDIRECT(ADDRESS(827,43))-INDIRECT(ADDRESS(830,43)),INDIRECT(ADDRESS(831,42))-INDIRECT(ADDRESS(826,43))+INDIRECT(ADDRESS(829,43))-INDIRECT(ADDRESS(830,43)))</f>
        <v>0</v>
      </c>
      <c r="AR831">
        <f>IF(DAY(NOW())&lt;M3,INDIRECT(ADDRESS(831,43))-INDIRECT(ADDRESS(826,44))+INDIRECT(ADDRESS(827,44))-INDIRECT(ADDRESS(830,44)),INDIRECT(ADDRESS(831,43))-INDIRECT(ADDRESS(826,44))+INDIRECT(ADDRESS(829,44))-INDIRECT(ADDRESS(830,44)))</f>
        <v>0</v>
      </c>
    </row>
    <row r="832" spans="1:76">
      <c r="A832" t="s">
        <v>14</v>
      </c>
      <c r="B832" t="s">
        <v>167</v>
      </c>
      <c r="C832" t="s">
        <v>168</v>
      </c>
      <c r="D832" t="s">
        <v>256</v>
      </c>
      <c r="E832">
        <v>1</v>
      </c>
      <c r="F832" t="s">
        <v>169</v>
      </c>
      <c r="K832" t="s">
        <v>305</v>
      </c>
      <c r="L832" t="s">
        <v>21</v>
      </c>
      <c r="BX832">
        <f>sum(j832:an832)</f>
        <v>0</v>
      </c>
    </row>
    <row r="833" spans="1:76">
      <c r="A833" t="s">
        <v>14</v>
      </c>
      <c r="B833" t="s">
        <v>167</v>
      </c>
      <c r="C833" t="s">
        <v>168</v>
      </c>
      <c r="D833" t="s">
        <v>256</v>
      </c>
      <c r="E833">
        <v>1</v>
      </c>
      <c r="F833" t="s">
        <v>169</v>
      </c>
      <c r="K833" t="s">
        <v>305</v>
      </c>
      <c r="L833" t="s">
        <v>37</v>
      </c>
    </row>
    <row r="834" spans="1:76">
      <c r="L834" t="s">
        <v>662</v>
      </c>
    </row>
    <row r="835" spans="1:76">
      <c r="L835" t="s">
        <v>663</v>
      </c>
    </row>
    <row r="836" spans="1:76">
      <c r="L836" t="s">
        <v>664</v>
      </c>
    </row>
    <row r="837" spans="1:76">
      <c r="L837" t="s">
        <v>665</v>
      </c>
      <c r="M837">
        <f>IF(DAY(NOW())&lt;M3,INDIRECT(ADDRESS(837,7))-INDIRECT(ADDRESS(832,13))+INDIRECT(ADDRESS(833,13))-INDIRECT(ADDRESS(836,13)),INDIRECT(ADDRESS(837,7))-INDIRECT(ADDRESS(832,13))+INDIRECT(ADDRESS(835,13))-INDIRECT(ADDRESS(836,13)))</f>
        <v>0</v>
      </c>
      <c r="N837">
        <f>IF(DAY(NOW())&lt;M3,INDIRECT(ADDRESS(837,13))-INDIRECT(ADDRESS(832,14))+INDIRECT(ADDRESS(833,14))-INDIRECT(ADDRESS(836,14)),INDIRECT(ADDRESS(837,13))-INDIRECT(ADDRESS(832,14))+INDIRECT(ADDRESS(835,14))-INDIRECT(ADDRESS(836,14)))</f>
        <v>0</v>
      </c>
      <c r="O837">
        <f>IF(DAY(NOW())&lt;M3,INDIRECT(ADDRESS(837,14))-INDIRECT(ADDRESS(832,15))+INDIRECT(ADDRESS(833,15))-INDIRECT(ADDRESS(836,15)),INDIRECT(ADDRESS(837,14))-INDIRECT(ADDRESS(832,15))+INDIRECT(ADDRESS(835,15))-INDIRECT(ADDRESS(836,15)))</f>
        <v>0</v>
      </c>
      <c r="P837">
        <f>IF(DAY(NOW())&lt;M3,INDIRECT(ADDRESS(837,15))-INDIRECT(ADDRESS(832,16))+INDIRECT(ADDRESS(833,16))-INDIRECT(ADDRESS(836,16)),INDIRECT(ADDRESS(837,15))-INDIRECT(ADDRESS(832,16))+INDIRECT(ADDRESS(835,16))-INDIRECT(ADDRESS(836,16)))</f>
        <v>0</v>
      </c>
      <c r="Q837">
        <f>IF(DAY(NOW())&lt;M3,INDIRECT(ADDRESS(837,16))-INDIRECT(ADDRESS(832,17))+INDIRECT(ADDRESS(833,17))-INDIRECT(ADDRESS(836,17)),INDIRECT(ADDRESS(837,16))-INDIRECT(ADDRESS(832,17))+INDIRECT(ADDRESS(835,17))-INDIRECT(ADDRESS(836,17)))</f>
        <v>0</v>
      </c>
      <c r="R837">
        <f>IF(DAY(NOW())&lt;M3,INDIRECT(ADDRESS(837,17))-INDIRECT(ADDRESS(832,18))+INDIRECT(ADDRESS(833,18))-INDIRECT(ADDRESS(836,18)),INDIRECT(ADDRESS(837,17))-INDIRECT(ADDRESS(832,18))+INDIRECT(ADDRESS(835,18))-INDIRECT(ADDRESS(836,18)))</f>
        <v>0</v>
      </c>
      <c r="S837">
        <f>IF(DAY(NOW())&lt;M3,INDIRECT(ADDRESS(837,18))-INDIRECT(ADDRESS(832,19))+INDIRECT(ADDRESS(833,19))-INDIRECT(ADDRESS(836,19)),INDIRECT(ADDRESS(837,18))-INDIRECT(ADDRESS(832,19))+INDIRECT(ADDRESS(835,19))-INDIRECT(ADDRESS(836,19)))</f>
        <v>0</v>
      </c>
      <c r="T837">
        <f>IF(DAY(NOW())&lt;M3,INDIRECT(ADDRESS(837,19))-INDIRECT(ADDRESS(832,20))+INDIRECT(ADDRESS(833,20))-INDIRECT(ADDRESS(836,20)),INDIRECT(ADDRESS(837,19))-INDIRECT(ADDRESS(832,20))+INDIRECT(ADDRESS(835,20))-INDIRECT(ADDRESS(836,20)))</f>
        <v>0</v>
      </c>
      <c r="U837">
        <f>IF(DAY(NOW())&lt;M3,INDIRECT(ADDRESS(837,20))-INDIRECT(ADDRESS(832,21))+INDIRECT(ADDRESS(833,21))-INDIRECT(ADDRESS(836,21)),INDIRECT(ADDRESS(837,20))-INDIRECT(ADDRESS(832,21))+INDIRECT(ADDRESS(835,21))-INDIRECT(ADDRESS(836,21)))</f>
        <v>0</v>
      </c>
      <c r="V837">
        <f>IF(DAY(NOW())&lt;M3,INDIRECT(ADDRESS(837,21))-INDIRECT(ADDRESS(832,22))+INDIRECT(ADDRESS(833,22))-INDIRECT(ADDRESS(836,22)),INDIRECT(ADDRESS(837,21))-INDIRECT(ADDRESS(832,22))+INDIRECT(ADDRESS(835,22))-INDIRECT(ADDRESS(836,22)))</f>
        <v>0</v>
      </c>
      <c r="W837">
        <f>IF(DAY(NOW())&lt;M3,INDIRECT(ADDRESS(837,22))-INDIRECT(ADDRESS(832,23))+INDIRECT(ADDRESS(833,23))-INDIRECT(ADDRESS(836,23)),INDIRECT(ADDRESS(837,22))-INDIRECT(ADDRESS(832,23))+INDIRECT(ADDRESS(835,23))-INDIRECT(ADDRESS(836,23)))</f>
        <v>0</v>
      </c>
      <c r="X837">
        <f>IF(DAY(NOW())&lt;M3,INDIRECT(ADDRESS(837,23))-INDIRECT(ADDRESS(832,24))+INDIRECT(ADDRESS(833,24))-INDIRECT(ADDRESS(836,24)),INDIRECT(ADDRESS(837,23))-INDIRECT(ADDRESS(832,24))+INDIRECT(ADDRESS(835,24))-INDIRECT(ADDRESS(836,24)))</f>
        <v>0</v>
      </c>
      <c r="Y837">
        <f>IF(DAY(NOW())&lt;M3,INDIRECT(ADDRESS(837,24))-INDIRECT(ADDRESS(832,25))+INDIRECT(ADDRESS(833,25))-INDIRECT(ADDRESS(836,25)),INDIRECT(ADDRESS(837,24))-INDIRECT(ADDRESS(832,25))+INDIRECT(ADDRESS(835,25))-INDIRECT(ADDRESS(836,25)))</f>
        <v>0</v>
      </c>
      <c r="Z837">
        <f>IF(DAY(NOW())&lt;M3,INDIRECT(ADDRESS(837,25))-INDIRECT(ADDRESS(832,26))+INDIRECT(ADDRESS(833,26))-INDIRECT(ADDRESS(836,26)),INDIRECT(ADDRESS(837,25))-INDIRECT(ADDRESS(832,26))+INDIRECT(ADDRESS(835,26))-INDIRECT(ADDRESS(836,26)))</f>
        <v>0</v>
      </c>
      <c r="AA837">
        <f>IF(DAY(NOW())&lt;M3,INDIRECT(ADDRESS(837,26))-INDIRECT(ADDRESS(832,27))+INDIRECT(ADDRESS(833,27))-INDIRECT(ADDRESS(836,27)),INDIRECT(ADDRESS(837,26))-INDIRECT(ADDRESS(832,27))+INDIRECT(ADDRESS(835,27))-INDIRECT(ADDRESS(836,27)))</f>
        <v>0</v>
      </c>
      <c r="AB837">
        <f>IF(DAY(NOW())&lt;M3,INDIRECT(ADDRESS(837,27))-INDIRECT(ADDRESS(832,28))+INDIRECT(ADDRESS(833,28))-INDIRECT(ADDRESS(836,28)),INDIRECT(ADDRESS(837,27))-INDIRECT(ADDRESS(832,28))+INDIRECT(ADDRESS(835,28))-INDIRECT(ADDRESS(836,28)))</f>
        <v>0</v>
      </c>
      <c r="AC837">
        <f>IF(DAY(NOW())&lt;M3,INDIRECT(ADDRESS(837,28))-INDIRECT(ADDRESS(832,29))+INDIRECT(ADDRESS(833,29))-INDIRECT(ADDRESS(836,29)),INDIRECT(ADDRESS(837,28))-INDIRECT(ADDRESS(832,29))+INDIRECT(ADDRESS(835,29))-INDIRECT(ADDRESS(836,29)))</f>
        <v>0</v>
      </c>
      <c r="AD837">
        <f>IF(DAY(NOW())&lt;M3,INDIRECT(ADDRESS(837,29))-INDIRECT(ADDRESS(832,30))+INDIRECT(ADDRESS(833,30))-INDIRECT(ADDRESS(836,30)),INDIRECT(ADDRESS(837,29))-INDIRECT(ADDRESS(832,30))+INDIRECT(ADDRESS(835,30))-INDIRECT(ADDRESS(836,30)))</f>
        <v>0</v>
      </c>
      <c r="AE837">
        <f>IF(DAY(NOW())&lt;M3,INDIRECT(ADDRESS(837,30))-INDIRECT(ADDRESS(832,31))+INDIRECT(ADDRESS(833,31))-INDIRECT(ADDRESS(836,31)),INDIRECT(ADDRESS(837,30))-INDIRECT(ADDRESS(832,31))+INDIRECT(ADDRESS(835,31))-INDIRECT(ADDRESS(836,31)))</f>
        <v>0</v>
      </c>
      <c r="AF837">
        <f>IF(DAY(NOW())&lt;M3,INDIRECT(ADDRESS(837,31))-INDIRECT(ADDRESS(832,32))+INDIRECT(ADDRESS(833,32))-INDIRECT(ADDRESS(836,32)),INDIRECT(ADDRESS(837,31))-INDIRECT(ADDRESS(832,32))+INDIRECT(ADDRESS(835,32))-INDIRECT(ADDRESS(836,32)))</f>
        <v>0</v>
      </c>
      <c r="AG837">
        <f>IF(DAY(NOW())&lt;M3,INDIRECT(ADDRESS(837,32))-INDIRECT(ADDRESS(832,33))+INDIRECT(ADDRESS(833,33))-INDIRECT(ADDRESS(836,33)),INDIRECT(ADDRESS(837,32))-INDIRECT(ADDRESS(832,33))+INDIRECT(ADDRESS(835,33))-INDIRECT(ADDRESS(836,33)))</f>
        <v>0</v>
      </c>
      <c r="AH837">
        <f>IF(DAY(NOW())&lt;M3,INDIRECT(ADDRESS(837,33))-INDIRECT(ADDRESS(832,34))+INDIRECT(ADDRESS(833,34))-INDIRECT(ADDRESS(836,34)),INDIRECT(ADDRESS(837,33))-INDIRECT(ADDRESS(832,34))+INDIRECT(ADDRESS(835,34))-INDIRECT(ADDRESS(836,34)))</f>
        <v>0</v>
      </c>
      <c r="AI837">
        <f>IF(DAY(NOW())&lt;M3,INDIRECT(ADDRESS(837,34))-INDIRECT(ADDRESS(832,35))+INDIRECT(ADDRESS(833,35))-INDIRECT(ADDRESS(836,35)),INDIRECT(ADDRESS(837,34))-INDIRECT(ADDRESS(832,35))+INDIRECT(ADDRESS(835,35))-INDIRECT(ADDRESS(836,35)))</f>
        <v>0</v>
      </c>
      <c r="AJ837">
        <f>IF(DAY(NOW())&lt;M3,INDIRECT(ADDRESS(837,35))-INDIRECT(ADDRESS(832,36))+INDIRECT(ADDRESS(833,36))-INDIRECT(ADDRESS(836,36)),INDIRECT(ADDRESS(837,35))-INDIRECT(ADDRESS(832,36))+INDIRECT(ADDRESS(835,36))-INDIRECT(ADDRESS(836,36)))</f>
        <v>0</v>
      </c>
      <c r="AK837">
        <f>IF(DAY(NOW())&lt;M3,INDIRECT(ADDRESS(837,36))-INDIRECT(ADDRESS(832,37))+INDIRECT(ADDRESS(833,37))-INDIRECT(ADDRESS(836,37)),INDIRECT(ADDRESS(837,36))-INDIRECT(ADDRESS(832,37))+INDIRECT(ADDRESS(835,37))-INDIRECT(ADDRESS(836,37)))</f>
        <v>0</v>
      </c>
      <c r="AL837">
        <f>IF(DAY(NOW())&lt;M3,INDIRECT(ADDRESS(837,37))-INDIRECT(ADDRESS(832,38))+INDIRECT(ADDRESS(833,38))-INDIRECT(ADDRESS(836,38)),INDIRECT(ADDRESS(837,37))-INDIRECT(ADDRESS(832,38))+INDIRECT(ADDRESS(835,38))-INDIRECT(ADDRESS(836,38)))</f>
        <v>0</v>
      </c>
      <c r="AM837">
        <f>IF(DAY(NOW())&lt;M3,INDIRECT(ADDRESS(837,38))-INDIRECT(ADDRESS(832,39))+INDIRECT(ADDRESS(833,39))-INDIRECT(ADDRESS(836,39)),INDIRECT(ADDRESS(837,38))-INDIRECT(ADDRESS(832,39))+INDIRECT(ADDRESS(835,39))-INDIRECT(ADDRESS(836,39)))</f>
        <v>0</v>
      </c>
      <c r="AN837">
        <f>IF(DAY(NOW())&lt;M3,INDIRECT(ADDRESS(837,39))-INDIRECT(ADDRESS(832,40))+INDIRECT(ADDRESS(833,40))-INDIRECT(ADDRESS(836,40)),INDIRECT(ADDRESS(837,39))-INDIRECT(ADDRESS(832,40))+INDIRECT(ADDRESS(835,40))-INDIRECT(ADDRESS(836,40)))</f>
        <v>0</v>
      </c>
      <c r="AO837">
        <f>IF(DAY(NOW())&lt;M3,INDIRECT(ADDRESS(837,40))-INDIRECT(ADDRESS(832,41))+INDIRECT(ADDRESS(833,41))-INDIRECT(ADDRESS(836,41)),INDIRECT(ADDRESS(837,40))-INDIRECT(ADDRESS(832,41))+INDIRECT(ADDRESS(835,41))-INDIRECT(ADDRESS(836,41)))</f>
        <v>0</v>
      </c>
      <c r="AP837">
        <f>IF(DAY(NOW())&lt;M3,INDIRECT(ADDRESS(837,41))-INDIRECT(ADDRESS(832,42))+INDIRECT(ADDRESS(833,42))-INDIRECT(ADDRESS(836,42)),INDIRECT(ADDRESS(837,41))-INDIRECT(ADDRESS(832,42))+INDIRECT(ADDRESS(835,42))-INDIRECT(ADDRESS(836,42)))</f>
        <v>0</v>
      </c>
      <c r="AQ837">
        <f>IF(DAY(NOW())&lt;M3,INDIRECT(ADDRESS(837,42))-INDIRECT(ADDRESS(832,43))+INDIRECT(ADDRESS(833,43))-INDIRECT(ADDRESS(836,43)),INDIRECT(ADDRESS(837,42))-INDIRECT(ADDRESS(832,43))+INDIRECT(ADDRESS(835,43))-INDIRECT(ADDRESS(836,43)))</f>
        <v>0</v>
      </c>
      <c r="AR837">
        <f>IF(DAY(NOW())&lt;M3,INDIRECT(ADDRESS(837,43))-INDIRECT(ADDRESS(832,44))+INDIRECT(ADDRESS(833,44))-INDIRECT(ADDRESS(836,44)),INDIRECT(ADDRESS(837,43))-INDIRECT(ADDRESS(832,44))+INDIRECT(ADDRESS(835,44))-INDIRECT(ADDRESS(836,44)))</f>
        <v>0</v>
      </c>
    </row>
    <row r="838" spans="1:76">
      <c r="A838" t="s">
        <v>31</v>
      </c>
      <c r="B838" t="s">
        <v>390</v>
      </c>
      <c r="C838" t="s">
        <v>391</v>
      </c>
      <c r="D838" t="s">
        <v>256</v>
      </c>
      <c r="E838">
        <v>1</v>
      </c>
      <c r="F838" t="s">
        <v>392</v>
      </c>
      <c r="K838" t="s">
        <v>308</v>
      </c>
      <c r="L838" t="s">
        <v>21</v>
      </c>
      <c r="M838">
        <f>sumifs(BOM!m:m,BOM!A:A,".1",BOM!B:B,"212-042000-000")</f>
        <v>0</v>
      </c>
      <c r="N838">
        <f>sumifs(BOM!n:n,BOM!A:A,".1",BOM!B:B,"212-042000-000")</f>
        <v>0</v>
      </c>
      <c r="O838">
        <f>sumifs(BOM!o:o,BOM!A:A,".1",BOM!B:B,"212-042000-000")</f>
        <v>0</v>
      </c>
      <c r="P838">
        <f>sumifs(BOM!p:p,BOM!A:A,".1",BOM!B:B,"212-042000-000")</f>
        <v>0</v>
      </c>
      <c r="Q838">
        <f>sumifs(BOM!q:q,BOM!A:A,".1",BOM!B:B,"212-042000-000")</f>
        <v>0</v>
      </c>
      <c r="R838">
        <f>sumifs(BOM!r:r,BOM!A:A,".1",BOM!B:B,"212-042000-000")</f>
        <v>0</v>
      </c>
      <c r="S838">
        <f>sumifs(BOM!s:s,BOM!A:A,".1",BOM!B:B,"212-042000-000")</f>
        <v>0</v>
      </c>
      <c r="T838">
        <f>sumifs(BOM!t:t,BOM!A:A,".1",BOM!B:B,"212-042000-000")</f>
        <v>0</v>
      </c>
      <c r="U838">
        <f>sumifs(BOM!u:u,BOM!A:A,".1",BOM!B:B,"212-042000-000")</f>
        <v>0</v>
      </c>
      <c r="V838">
        <f>sumifs(BOM!v:v,BOM!A:A,".1",BOM!B:B,"212-042000-000")</f>
        <v>0</v>
      </c>
      <c r="W838">
        <f>sumifs(BOM!w:w,BOM!A:A,".1",BOM!B:B,"212-042000-000")</f>
        <v>0</v>
      </c>
      <c r="X838">
        <f>sumifs(BOM!x:x,BOM!A:A,".1",BOM!B:B,"212-042000-000")</f>
        <v>0</v>
      </c>
      <c r="Y838">
        <f>sumifs(BOM!y:y,BOM!A:A,".1",BOM!B:B,"212-042000-000")</f>
        <v>0</v>
      </c>
      <c r="Z838">
        <f>sumifs(BOM!z:z,BOM!A:A,".1",BOM!B:B,"212-042000-000")</f>
        <v>0</v>
      </c>
      <c r="AA838">
        <f>sumifs(BOM!aa:aa,BOM!A:A,".1",BOM!B:B,"212-042000-000")</f>
        <v>0</v>
      </c>
      <c r="AB838">
        <f>sumifs(BOM!ab:ab,BOM!A:A,".1",BOM!B:B,"212-042000-000")</f>
        <v>0</v>
      </c>
      <c r="AC838">
        <f>sumifs(BOM!ac:ac,BOM!A:A,".1",BOM!B:B,"212-042000-000")</f>
        <v>0</v>
      </c>
      <c r="AD838">
        <f>sumifs(BOM!ad:ad,BOM!A:A,".1",BOM!B:B,"212-042000-000")</f>
        <v>0</v>
      </c>
      <c r="AE838">
        <f>sumifs(BOM!ae:ae,BOM!A:A,".1",BOM!B:B,"212-042000-000")</f>
        <v>0</v>
      </c>
      <c r="AF838">
        <f>sumifs(BOM!af:af,BOM!A:A,".1",BOM!B:B,"212-042000-000")</f>
        <v>0</v>
      </c>
      <c r="AG838">
        <f>sumifs(BOM!ag:ag,BOM!A:A,".1",BOM!B:B,"212-042000-000")</f>
        <v>0</v>
      </c>
      <c r="AH838">
        <f>sumifs(BOM!ah:ah,BOM!A:A,".1",BOM!B:B,"212-042000-000")</f>
        <v>0</v>
      </c>
      <c r="AI838">
        <f>sumifs(BOM!ai:ai,BOM!A:A,".1",BOM!B:B,"212-042000-000")</f>
        <v>0</v>
      </c>
      <c r="AJ838">
        <f>sumifs(BOM!aj:aj,BOM!A:A,".1",BOM!B:B,"212-042000-000")</f>
        <v>0</v>
      </c>
      <c r="AK838">
        <f>sumifs(BOM!ak:ak,BOM!A:A,".1",BOM!B:B,"212-042000-000")</f>
        <v>0</v>
      </c>
      <c r="AL838">
        <f>sumifs(BOM!al:al,BOM!A:A,".1",BOM!B:B,"212-042000-000")</f>
        <v>0</v>
      </c>
      <c r="AM838">
        <f>sumifs(BOM!am:am,BOM!A:A,".1",BOM!B:B,"212-042000-000")</f>
        <v>0</v>
      </c>
      <c r="AN838">
        <f>sumifs(BOM!an:an,BOM!A:A,".1",BOM!B:B,"212-042000-000")</f>
        <v>0</v>
      </c>
      <c r="AO838">
        <f>sumifs(BOM!ao:ao,BOM!A:A,".1",BOM!B:B,"212-042000-000")</f>
        <v>0</v>
      </c>
      <c r="AP838">
        <f>sumifs(BOM!ap:ap,BOM!A:A,".1",BOM!B:B,"212-042000-000")</f>
        <v>0</v>
      </c>
      <c r="AQ838">
        <f>sumifs(BOM!aq:aq,BOM!A:A,".1",BOM!B:B,"212-042000-000")</f>
        <v>0</v>
      </c>
      <c r="AR838">
        <f>sumifs(BOM!ar:ar,BOM!A:A,".1",BOM!B:B,"212-042000-000")</f>
        <v>0</v>
      </c>
      <c r="BX838">
        <f>sum(j838:an838)</f>
        <v>0</v>
      </c>
    </row>
    <row r="839" spans="1:76">
      <c r="A839" t="s">
        <v>31</v>
      </c>
      <c r="B839" t="s">
        <v>390</v>
      </c>
      <c r="C839" t="s">
        <v>391</v>
      </c>
      <c r="D839" t="s">
        <v>256</v>
      </c>
      <c r="E839">
        <v>1</v>
      </c>
      <c r="F839" t="s">
        <v>392</v>
      </c>
      <c r="K839" t="s">
        <v>308</v>
      </c>
      <c r="L839" t="s">
        <v>37</v>
      </c>
    </row>
    <row r="840" spans="1:76">
      <c r="L840" t="s">
        <v>662</v>
      </c>
    </row>
    <row r="841" spans="1:76">
      <c r="L841" t="s">
        <v>663</v>
      </c>
    </row>
    <row r="842" spans="1:76">
      <c r="L842" t="s">
        <v>664</v>
      </c>
    </row>
    <row r="843" spans="1:76">
      <c r="L843" t="s">
        <v>665</v>
      </c>
      <c r="M843">
        <f>IF(DAY(NOW())&lt;M3,INDIRECT(ADDRESS(843,7))-INDIRECT(ADDRESS(838,13))+INDIRECT(ADDRESS(839,13))-INDIRECT(ADDRESS(842,13)),INDIRECT(ADDRESS(843,7))-INDIRECT(ADDRESS(838,13))+INDIRECT(ADDRESS(841,13))-INDIRECT(ADDRESS(842,13)))</f>
        <v>0</v>
      </c>
      <c r="N843">
        <f>IF(DAY(NOW())&lt;M3,INDIRECT(ADDRESS(843,13))-INDIRECT(ADDRESS(838,14))+INDIRECT(ADDRESS(839,14))-INDIRECT(ADDRESS(842,14)),INDIRECT(ADDRESS(843,13))-INDIRECT(ADDRESS(838,14))+INDIRECT(ADDRESS(841,14))-INDIRECT(ADDRESS(842,14)))</f>
        <v>0</v>
      </c>
      <c r="O843">
        <f>IF(DAY(NOW())&lt;M3,INDIRECT(ADDRESS(843,14))-INDIRECT(ADDRESS(838,15))+INDIRECT(ADDRESS(839,15))-INDIRECT(ADDRESS(842,15)),INDIRECT(ADDRESS(843,14))-INDIRECT(ADDRESS(838,15))+INDIRECT(ADDRESS(841,15))-INDIRECT(ADDRESS(842,15)))</f>
        <v>0</v>
      </c>
      <c r="P843">
        <f>IF(DAY(NOW())&lt;M3,INDIRECT(ADDRESS(843,15))-INDIRECT(ADDRESS(838,16))+INDIRECT(ADDRESS(839,16))-INDIRECT(ADDRESS(842,16)),INDIRECT(ADDRESS(843,15))-INDIRECT(ADDRESS(838,16))+INDIRECT(ADDRESS(841,16))-INDIRECT(ADDRESS(842,16)))</f>
        <v>0</v>
      </c>
      <c r="Q843">
        <f>IF(DAY(NOW())&lt;M3,INDIRECT(ADDRESS(843,16))-INDIRECT(ADDRESS(838,17))+INDIRECT(ADDRESS(839,17))-INDIRECT(ADDRESS(842,17)),INDIRECT(ADDRESS(843,16))-INDIRECT(ADDRESS(838,17))+INDIRECT(ADDRESS(841,17))-INDIRECT(ADDRESS(842,17)))</f>
        <v>0</v>
      </c>
      <c r="R843">
        <f>IF(DAY(NOW())&lt;M3,INDIRECT(ADDRESS(843,17))-INDIRECT(ADDRESS(838,18))+INDIRECT(ADDRESS(839,18))-INDIRECT(ADDRESS(842,18)),INDIRECT(ADDRESS(843,17))-INDIRECT(ADDRESS(838,18))+INDIRECT(ADDRESS(841,18))-INDIRECT(ADDRESS(842,18)))</f>
        <v>0</v>
      </c>
      <c r="S843">
        <f>IF(DAY(NOW())&lt;M3,INDIRECT(ADDRESS(843,18))-INDIRECT(ADDRESS(838,19))+INDIRECT(ADDRESS(839,19))-INDIRECT(ADDRESS(842,19)),INDIRECT(ADDRESS(843,18))-INDIRECT(ADDRESS(838,19))+INDIRECT(ADDRESS(841,19))-INDIRECT(ADDRESS(842,19)))</f>
        <v>0</v>
      </c>
      <c r="T843">
        <f>IF(DAY(NOW())&lt;M3,INDIRECT(ADDRESS(843,19))-INDIRECT(ADDRESS(838,20))+INDIRECT(ADDRESS(839,20))-INDIRECT(ADDRESS(842,20)),INDIRECT(ADDRESS(843,19))-INDIRECT(ADDRESS(838,20))+INDIRECT(ADDRESS(841,20))-INDIRECT(ADDRESS(842,20)))</f>
        <v>0</v>
      </c>
      <c r="U843">
        <f>IF(DAY(NOW())&lt;M3,INDIRECT(ADDRESS(843,20))-INDIRECT(ADDRESS(838,21))+INDIRECT(ADDRESS(839,21))-INDIRECT(ADDRESS(842,21)),INDIRECT(ADDRESS(843,20))-INDIRECT(ADDRESS(838,21))+INDIRECT(ADDRESS(841,21))-INDIRECT(ADDRESS(842,21)))</f>
        <v>0</v>
      </c>
      <c r="V843">
        <f>IF(DAY(NOW())&lt;M3,INDIRECT(ADDRESS(843,21))-INDIRECT(ADDRESS(838,22))+INDIRECT(ADDRESS(839,22))-INDIRECT(ADDRESS(842,22)),INDIRECT(ADDRESS(843,21))-INDIRECT(ADDRESS(838,22))+INDIRECT(ADDRESS(841,22))-INDIRECT(ADDRESS(842,22)))</f>
        <v>0</v>
      </c>
      <c r="W843">
        <f>IF(DAY(NOW())&lt;M3,INDIRECT(ADDRESS(843,22))-INDIRECT(ADDRESS(838,23))+INDIRECT(ADDRESS(839,23))-INDIRECT(ADDRESS(842,23)),INDIRECT(ADDRESS(843,22))-INDIRECT(ADDRESS(838,23))+INDIRECT(ADDRESS(841,23))-INDIRECT(ADDRESS(842,23)))</f>
        <v>0</v>
      </c>
      <c r="X843">
        <f>IF(DAY(NOW())&lt;M3,INDIRECT(ADDRESS(843,23))-INDIRECT(ADDRESS(838,24))+INDIRECT(ADDRESS(839,24))-INDIRECT(ADDRESS(842,24)),INDIRECT(ADDRESS(843,23))-INDIRECT(ADDRESS(838,24))+INDIRECT(ADDRESS(841,24))-INDIRECT(ADDRESS(842,24)))</f>
        <v>0</v>
      </c>
      <c r="Y843">
        <f>IF(DAY(NOW())&lt;M3,INDIRECT(ADDRESS(843,24))-INDIRECT(ADDRESS(838,25))+INDIRECT(ADDRESS(839,25))-INDIRECT(ADDRESS(842,25)),INDIRECT(ADDRESS(843,24))-INDIRECT(ADDRESS(838,25))+INDIRECT(ADDRESS(841,25))-INDIRECT(ADDRESS(842,25)))</f>
        <v>0</v>
      </c>
      <c r="Z843">
        <f>IF(DAY(NOW())&lt;M3,INDIRECT(ADDRESS(843,25))-INDIRECT(ADDRESS(838,26))+INDIRECT(ADDRESS(839,26))-INDIRECT(ADDRESS(842,26)),INDIRECT(ADDRESS(843,25))-INDIRECT(ADDRESS(838,26))+INDIRECT(ADDRESS(841,26))-INDIRECT(ADDRESS(842,26)))</f>
        <v>0</v>
      </c>
      <c r="AA843">
        <f>IF(DAY(NOW())&lt;M3,INDIRECT(ADDRESS(843,26))-INDIRECT(ADDRESS(838,27))+INDIRECT(ADDRESS(839,27))-INDIRECT(ADDRESS(842,27)),INDIRECT(ADDRESS(843,26))-INDIRECT(ADDRESS(838,27))+INDIRECT(ADDRESS(841,27))-INDIRECT(ADDRESS(842,27)))</f>
        <v>0</v>
      </c>
      <c r="AB843">
        <f>IF(DAY(NOW())&lt;M3,INDIRECT(ADDRESS(843,27))-INDIRECT(ADDRESS(838,28))+INDIRECT(ADDRESS(839,28))-INDIRECT(ADDRESS(842,28)),INDIRECT(ADDRESS(843,27))-INDIRECT(ADDRESS(838,28))+INDIRECT(ADDRESS(841,28))-INDIRECT(ADDRESS(842,28)))</f>
        <v>0</v>
      </c>
      <c r="AC843">
        <f>IF(DAY(NOW())&lt;M3,INDIRECT(ADDRESS(843,28))-INDIRECT(ADDRESS(838,29))+INDIRECT(ADDRESS(839,29))-INDIRECT(ADDRESS(842,29)),INDIRECT(ADDRESS(843,28))-INDIRECT(ADDRESS(838,29))+INDIRECT(ADDRESS(841,29))-INDIRECT(ADDRESS(842,29)))</f>
        <v>0</v>
      </c>
      <c r="AD843">
        <f>IF(DAY(NOW())&lt;M3,INDIRECT(ADDRESS(843,29))-INDIRECT(ADDRESS(838,30))+INDIRECT(ADDRESS(839,30))-INDIRECT(ADDRESS(842,30)),INDIRECT(ADDRESS(843,29))-INDIRECT(ADDRESS(838,30))+INDIRECT(ADDRESS(841,30))-INDIRECT(ADDRESS(842,30)))</f>
        <v>0</v>
      </c>
      <c r="AE843">
        <f>IF(DAY(NOW())&lt;M3,INDIRECT(ADDRESS(843,30))-INDIRECT(ADDRESS(838,31))+INDIRECT(ADDRESS(839,31))-INDIRECT(ADDRESS(842,31)),INDIRECT(ADDRESS(843,30))-INDIRECT(ADDRESS(838,31))+INDIRECT(ADDRESS(841,31))-INDIRECT(ADDRESS(842,31)))</f>
        <v>0</v>
      </c>
      <c r="AF843">
        <f>IF(DAY(NOW())&lt;M3,INDIRECT(ADDRESS(843,31))-INDIRECT(ADDRESS(838,32))+INDIRECT(ADDRESS(839,32))-INDIRECT(ADDRESS(842,32)),INDIRECT(ADDRESS(843,31))-INDIRECT(ADDRESS(838,32))+INDIRECT(ADDRESS(841,32))-INDIRECT(ADDRESS(842,32)))</f>
        <v>0</v>
      </c>
      <c r="AG843">
        <f>IF(DAY(NOW())&lt;M3,INDIRECT(ADDRESS(843,32))-INDIRECT(ADDRESS(838,33))+INDIRECT(ADDRESS(839,33))-INDIRECT(ADDRESS(842,33)),INDIRECT(ADDRESS(843,32))-INDIRECT(ADDRESS(838,33))+INDIRECT(ADDRESS(841,33))-INDIRECT(ADDRESS(842,33)))</f>
        <v>0</v>
      </c>
      <c r="AH843">
        <f>IF(DAY(NOW())&lt;M3,INDIRECT(ADDRESS(843,33))-INDIRECT(ADDRESS(838,34))+INDIRECT(ADDRESS(839,34))-INDIRECT(ADDRESS(842,34)),INDIRECT(ADDRESS(843,33))-INDIRECT(ADDRESS(838,34))+INDIRECT(ADDRESS(841,34))-INDIRECT(ADDRESS(842,34)))</f>
        <v>0</v>
      </c>
      <c r="AI843">
        <f>IF(DAY(NOW())&lt;M3,INDIRECT(ADDRESS(843,34))-INDIRECT(ADDRESS(838,35))+INDIRECT(ADDRESS(839,35))-INDIRECT(ADDRESS(842,35)),INDIRECT(ADDRESS(843,34))-INDIRECT(ADDRESS(838,35))+INDIRECT(ADDRESS(841,35))-INDIRECT(ADDRESS(842,35)))</f>
        <v>0</v>
      </c>
      <c r="AJ843">
        <f>IF(DAY(NOW())&lt;M3,INDIRECT(ADDRESS(843,35))-INDIRECT(ADDRESS(838,36))+INDIRECT(ADDRESS(839,36))-INDIRECT(ADDRESS(842,36)),INDIRECT(ADDRESS(843,35))-INDIRECT(ADDRESS(838,36))+INDIRECT(ADDRESS(841,36))-INDIRECT(ADDRESS(842,36)))</f>
        <v>0</v>
      </c>
      <c r="AK843">
        <f>IF(DAY(NOW())&lt;M3,INDIRECT(ADDRESS(843,36))-INDIRECT(ADDRESS(838,37))+INDIRECT(ADDRESS(839,37))-INDIRECT(ADDRESS(842,37)),INDIRECT(ADDRESS(843,36))-INDIRECT(ADDRESS(838,37))+INDIRECT(ADDRESS(841,37))-INDIRECT(ADDRESS(842,37)))</f>
        <v>0</v>
      </c>
      <c r="AL843">
        <f>IF(DAY(NOW())&lt;M3,INDIRECT(ADDRESS(843,37))-INDIRECT(ADDRESS(838,38))+INDIRECT(ADDRESS(839,38))-INDIRECT(ADDRESS(842,38)),INDIRECT(ADDRESS(843,37))-INDIRECT(ADDRESS(838,38))+INDIRECT(ADDRESS(841,38))-INDIRECT(ADDRESS(842,38)))</f>
        <v>0</v>
      </c>
      <c r="AM843">
        <f>IF(DAY(NOW())&lt;M3,INDIRECT(ADDRESS(843,38))-INDIRECT(ADDRESS(838,39))+INDIRECT(ADDRESS(839,39))-INDIRECT(ADDRESS(842,39)),INDIRECT(ADDRESS(843,38))-INDIRECT(ADDRESS(838,39))+INDIRECT(ADDRESS(841,39))-INDIRECT(ADDRESS(842,39)))</f>
        <v>0</v>
      </c>
      <c r="AN843">
        <f>IF(DAY(NOW())&lt;M3,INDIRECT(ADDRESS(843,39))-INDIRECT(ADDRESS(838,40))+INDIRECT(ADDRESS(839,40))-INDIRECT(ADDRESS(842,40)),INDIRECT(ADDRESS(843,39))-INDIRECT(ADDRESS(838,40))+INDIRECT(ADDRESS(841,40))-INDIRECT(ADDRESS(842,40)))</f>
        <v>0</v>
      </c>
      <c r="AO843">
        <f>IF(DAY(NOW())&lt;M3,INDIRECT(ADDRESS(843,40))-INDIRECT(ADDRESS(838,41))+INDIRECT(ADDRESS(839,41))-INDIRECT(ADDRESS(842,41)),INDIRECT(ADDRESS(843,40))-INDIRECT(ADDRESS(838,41))+INDIRECT(ADDRESS(841,41))-INDIRECT(ADDRESS(842,41)))</f>
        <v>0</v>
      </c>
      <c r="AP843">
        <f>IF(DAY(NOW())&lt;M3,INDIRECT(ADDRESS(843,41))-INDIRECT(ADDRESS(838,42))+INDIRECT(ADDRESS(839,42))-INDIRECT(ADDRESS(842,42)),INDIRECT(ADDRESS(843,41))-INDIRECT(ADDRESS(838,42))+INDIRECT(ADDRESS(841,42))-INDIRECT(ADDRESS(842,42)))</f>
        <v>0</v>
      </c>
      <c r="AQ843">
        <f>IF(DAY(NOW())&lt;M3,INDIRECT(ADDRESS(843,42))-INDIRECT(ADDRESS(838,43))+INDIRECT(ADDRESS(839,43))-INDIRECT(ADDRESS(842,43)),INDIRECT(ADDRESS(843,42))-INDIRECT(ADDRESS(838,43))+INDIRECT(ADDRESS(841,43))-INDIRECT(ADDRESS(842,43)))</f>
        <v>0</v>
      </c>
      <c r="AR843">
        <f>IF(DAY(NOW())&lt;M3,INDIRECT(ADDRESS(843,43))-INDIRECT(ADDRESS(838,44))+INDIRECT(ADDRESS(839,44))-INDIRECT(ADDRESS(842,44)),INDIRECT(ADDRESS(843,43))-INDIRECT(ADDRESS(838,44))+INDIRECT(ADDRESS(841,44))-INDIRECT(ADDRESS(842,44)))</f>
        <v>0</v>
      </c>
    </row>
    <row r="844" spans="1:76">
      <c r="A844" t="s">
        <v>31</v>
      </c>
      <c r="B844" t="s">
        <v>393</v>
      </c>
      <c r="C844" t="s">
        <v>394</v>
      </c>
      <c r="D844" t="s">
        <v>17</v>
      </c>
      <c r="E844">
        <v>1</v>
      </c>
      <c r="F844" t="s">
        <v>395</v>
      </c>
      <c r="K844" t="s">
        <v>308</v>
      </c>
      <c r="L844" t="s">
        <v>21</v>
      </c>
      <c r="M844">
        <f>sumifs(BOM!m:m,BOM!A:A,".1",BOM!B:B,"212-043000-000")</f>
        <v>0</v>
      </c>
      <c r="N844">
        <f>sumifs(BOM!n:n,BOM!A:A,".1",BOM!B:B,"212-043000-000")</f>
        <v>0</v>
      </c>
      <c r="O844">
        <f>sumifs(BOM!o:o,BOM!A:A,".1",BOM!B:B,"212-043000-000")</f>
        <v>0</v>
      </c>
      <c r="P844">
        <f>sumifs(BOM!p:p,BOM!A:A,".1",BOM!B:B,"212-043000-000")</f>
        <v>0</v>
      </c>
      <c r="Q844">
        <f>sumifs(BOM!q:q,BOM!A:A,".1",BOM!B:B,"212-043000-000")</f>
        <v>0</v>
      </c>
      <c r="R844">
        <f>sumifs(BOM!r:r,BOM!A:A,".1",BOM!B:B,"212-043000-000")</f>
        <v>0</v>
      </c>
      <c r="S844">
        <f>sumifs(BOM!s:s,BOM!A:A,".1",BOM!B:B,"212-043000-000")</f>
        <v>0</v>
      </c>
      <c r="T844">
        <f>sumifs(BOM!t:t,BOM!A:A,".1",BOM!B:B,"212-043000-000")</f>
        <v>0</v>
      </c>
      <c r="U844">
        <f>sumifs(BOM!u:u,BOM!A:A,".1",BOM!B:B,"212-043000-000")</f>
        <v>0</v>
      </c>
      <c r="V844">
        <f>sumifs(BOM!v:v,BOM!A:A,".1",BOM!B:B,"212-043000-000")</f>
        <v>0</v>
      </c>
      <c r="W844">
        <f>sumifs(BOM!w:w,BOM!A:A,".1",BOM!B:B,"212-043000-000")</f>
        <v>0</v>
      </c>
      <c r="X844">
        <f>sumifs(BOM!x:x,BOM!A:A,".1",BOM!B:B,"212-043000-000")</f>
        <v>0</v>
      </c>
      <c r="Y844">
        <f>sumifs(BOM!y:y,BOM!A:A,".1",BOM!B:B,"212-043000-000")</f>
        <v>0</v>
      </c>
      <c r="Z844">
        <f>sumifs(BOM!z:z,BOM!A:A,".1",BOM!B:B,"212-043000-000")</f>
        <v>0</v>
      </c>
      <c r="AA844">
        <f>sumifs(BOM!aa:aa,BOM!A:A,".1",BOM!B:B,"212-043000-000")</f>
        <v>0</v>
      </c>
      <c r="AB844">
        <f>sumifs(BOM!ab:ab,BOM!A:A,".1",BOM!B:B,"212-043000-000")</f>
        <v>0</v>
      </c>
      <c r="AC844">
        <f>sumifs(BOM!ac:ac,BOM!A:A,".1",BOM!B:B,"212-043000-000")</f>
        <v>0</v>
      </c>
      <c r="AD844">
        <f>sumifs(BOM!ad:ad,BOM!A:A,".1",BOM!B:B,"212-043000-000")</f>
        <v>0</v>
      </c>
      <c r="AE844">
        <f>sumifs(BOM!ae:ae,BOM!A:A,".1",BOM!B:B,"212-043000-000")</f>
        <v>0</v>
      </c>
      <c r="AF844">
        <f>sumifs(BOM!af:af,BOM!A:A,".1",BOM!B:B,"212-043000-000")</f>
        <v>0</v>
      </c>
      <c r="AG844">
        <f>sumifs(BOM!ag:ag,BOM!A:A,".1",BOM!B:B,"212-043000-000")</f>
        <v>0</v>
      </c>
      <c r="AH844">
        <f>sumifs(BOM!ah:ah,BOM!A:A,".1",BOM!B:B,"212-043000-000")</f>
        <v>0</v>
      </c>
      <c r="AI844">
        <f>sumifs(BOM!ai:ai,BOM!A:A,".1",BOM!B:B,"212-043000-000")</f>
        <v>0</v>
      </c>
      <c r="AJ844">
        <f>sumifs(BOM!aj:aj,BOM!A:A,".1",BOM!B:B,"212-043000-000")</f>
        <v>0</v>
      </c>
      <c r="AK844">
        <f>sumifs(BOM!ak:ak,BOM!A:A,".1",BOM!B:B,"212-043000-000")</f>
        <v>0</v>
      </c>
      <c r="AL844">
        <f>sumifs(BOM!al:al,BOM!A:A,".1",BOM!B:B,"212-043000-000")</f>
        <v>0</v>
      </c>
      <c r="AM844">
        <f>sumifs(BOM!am:am,BOM!A:A,".1",BOM!B:B,"212-043000-000")</f>
        <v>0</v>
      </c>
      <c r="AN844">
        <f>sumifs(BOM!an:an,BOM!A:A,".1",BOM!B:B,"212-043000-000")</f>
        <v>0</v>
      </c>
      <c r="AO844">
        <f>sumifs(BOM!ao:ao,BOM!A:A,".1",BOM!B:B,"212-043000-000")</f>
        <v>0</v>
      </c>
      <c r="AP844">
        <f>sumifs(BOM!ap:ap,BOM!A:A,".1",BOM!B:B,"212-043000-000")</f>
        <v>0</v>
      </c>
      <c r="AQ844">
        <f>sumifs(BOM!aq:aq,BOM!A:A,".1",BOM!B:B,"212-043000-000")</f>
        <v>0</v>
      </c>
      <c r="AR844">
        <f>sumifs(BOM!ar:ar,BOM!A:A,".1",BOM!B:B,"212-043000-000")</f>
        <v>0</v>
      </c>
      <c r="BX844">
        <f>sum(j844:an844)</f>
        <v>0</v>
      </c>
    </row>
    <row r="845" spans="1:76">
      <c r="A845" t="s">
        <v>31</v>
      </c>
      <c r="B845" t="s">
        <v>393</v>
      </c>
      <c r="C845" t="s">
        <v>394</v>
      </c>
      <c r="D845" t="s">
        <v>17</v>
      </c>
      <c r="E845">
        <v>1</v>
      </c>
      <c r="F845" t="s">
        <v>395</v>
      </c>
      <c r="K845" t="s">
        <v>308</v>
      </c>
      <c r="L845" t="s">
        <v>37</v>
      </c>
    </row>
    <row r="846" spans="1:76">
      <c r="L846" t="s">
        <v>662</v>
      </c>
    </row>
    <row r="847" spans="1:76">
      <c r="L847" t="s">
        <v>663</v>
      </c>
    </row>
    <row r="848" spans="1:76">
      <c r="L848" t="s">
        <v>664</v>
      </c>
    </row>
    <row r="849" spans="1:76">
      <c r="L849" t="s">
        <v>665</v>
      </c>
      <c r="M849">
        <f>IF(DAY(NOW())&lt;M3,INDIRECT(ADDRESS(849,7))-INDIRECT(ADDRESS(844,13))+INDIRECT(ADDRESS(845,13))-INDIRECT(ADDRESS(848,13)),INDIRECT(ADDRESS(849,7))-INDIRECT(ADDRESS(844,13))+INDIRECT(ADDRESS(847,13))-INDIRECT(ADDRESS(848,13)))</f>
        <v>0</v>
      </c>
      <c r="N849">
        <f>IF(DAY(NOW())&lt;M3,INDIRECT(ADDRESS(849,13))-INDIRECT(ADDRESS(844,14))+INDIRECT(ADDRESS(845,14))-INDIRECT(ADDRESS(848,14)),INDIRECT(ADDRESS(849,13))-INDIRECT(ADDRESS(844,14))+INDIRECT(ADDRESS(847,14))-INDIRECT(ADDRESS(848,14)))</f>
        <v>0</v>
      </c>
      <c r="O849">
        <f>IF(DAY(NOW())&lt;M3,INDIRECT(ADDRESS(849,14))-INDIRECT(ADDRESS(844,15))+INDIRECT(ADDRESS(845,15))-INDIRECT(ADDRESS(848,15)),INDIRECT(ADDRESS(849,14))-INDIRECT(ADDRESS(844,15))+INDIRECT(ADDRESS(847,15))-INDIRECT(ADDRESS(848,15)))</f>
        <v>0</v>
      </c>
      <c r="P849">
        <f>IF(DAY(NOW())&lt;M3,INDIRECT(ADDRESS(849,15))-INDIRECT(ADDRESS(844,16))+INDIRECT(ADDRESS(845,16))-INDIRECT(ADDRESS(848,16)),INDIRECT(ADDRESS(849,15))-INDIRECT(ADDRESS(844,16))+INDIRECT(ADDRESS(847,16))-INDIRECT(ADDRESS(848,16)))</f>
        <v>0</v>
      </c>
      <c r="Q849">
        <f>IF(DAY(NOW())&lt;M3,INDIRECT(ADDRESS(849,16))-INDIRECT(ADDRESS(844,17))+INDIRECT(ADDRESS(845,17))-INDIRECT(ADDRESS(848,17)),INDIRECT(ADDRESS(849,16))-INDIRECT(ADDRESS(844,17))+INDIRECT(ADDRESS(847,17))-INDIRECT(ADDRESS(848,17)))</f>
        <v>0</v>
      </c>
      <c r="R849">
        <f>IF(DAY(NOW())&lt;M3,INDIRECT(ADDRESS(849,17))-INDIRECT(ADDRESS(844,18))+INDIRECT(ADDRESS(845,18))-INDIRECT(ADDRESS(848,18)),INDIRECT(ADDRESS(849,17))-INDIRECT(ADDRESS(844,18))+INDIRECT(ADDRESS(847,18))-INDIRECT(ADDRESS(848,18)))</f>
        <v>0</v>
      </c>
      <c r="S849">
        <f>IF(DAY(NOW())&lt;M3,INDIRECT(ADDRESS(849,18))-INDIRECT(ADDRESS(844,19))+INDIRECT(ADDRESS(845,19))-INDIRECT(ADDRESS(848,19)),INDIRECT(ADDRESS(849,18))-INDIRECT(ADDRESS(844,19))+INDIRECT(ADDRESS(847,19))-INDIRECT(ADDRESS(848,19)))</f>
        <v>0</v>
      </c>
      <c r="T849">
        <f>IF(DAY(NOW())&lt;M3,INDIRECT(ADDRESS(849,19))-INDIRECT(ADDRESS(844,20))+INDIRECT(ADDRESS(845,20))-INDIRECT(ADDRESS(848,20)),INDIRECT(ADDRESS(849,19))-INDIRECT(ADDRESS(844,20))+INDIRECT(ADDRESS(847,20))-INDIRECT(ADDRESS(848,20)))</f>
        <v>0</v>
      </c>
      <c r="U849">
        <f>IF(DAY(NOW())&lt;M3,INDIRECT(ADDRESS(849,20))-INDIRECT(ADDRESS(844,21))+INDIRECT(ADDRESS(845,21))-INDIRECT(ADDRESS(848,21)),INDIRECT(ADDRESS(849,20))-INDIRECT(ADDRESS(844,21))+INDIRECT(ADDRESS(847,21))-INDIRECT(ADDRESS(848,21)))</f>
        <v>0</v>
      </c>
      <c r="V849">
        <f>IF(DAY(NOW())&lt;M3,INDIRECT(ADDRESS(849,21))-INDIRECT(ADDRESS(844,22))+INDIRECT(ADDRESS(845,22))-INDIRECT(ADDRESS(848,22)),INDIRECT(ADDRESS(849,21))-INDIRECT(ADDRESS(844,22))+INDIRECT(ADDRESS(847,22))-INDIRECT(ADDRESS(848,22)))</f>
        <v>0</v>
      </c>
      <c r="W849">
        <f>IF(DAY(NOW())&lt;M3,INDIRECT(ADDRESS(849,22))-INDIRECT(ADDRESS(844,23))+INDIRECT(ADDRESS(845,23))-INDIRECT(ADDRESS(848,23)),INDIRECT(ADDRESS(849,22))-INDIRECT(ADDRESS(844,23))+INDIRECT(ADDRESS(847,23))-INDIRECT(ADDRESS(848,23)))</f>
        <v>0</v>
      </c>
      <c r="X849">
        <f>IF(DAY(NOW())&lt;M3,INDIRECT(ADDRESS(849,23))-INDIRECT(ADDRESS(844,24))+INDIRECT(ADDRESS(845,24))-INDIRECT(ADDRESS(848,24)),INDIRECT(ADDRESS(849,23))-INDIRECT(ADDRESS(844,24))+INDIRECT(ADDRESS(847,24))-INDIRECT(ADDRESS(848,24)))</f>
        <v>0</v>
      </c>
      <c r="Y849">
        <f>IF(DAY(NOW())&lt;M3,INDIRECT(ADDRESS(849,24))-INDIRECT(ADDRESS(844,25))+INDIRECT(ADDRESS(845,25))-INDIRECT(ADDRESS(848,25)),INDIRECT(ADDRESS(849,24))-INDIRECT(ADDRESS(844,25))+INDIRECT(ADDRESS(847,25))-INDIRECT(ADDRESS(848,25)))</f>
        <v>0</v>
      </c>
      <c r="Z849">
        <f>IF(DAY(NOW())&lt;M3,INDIRECT(ADDRESS(849,25))-INDIRECT(ADDRESS(844,26))+INDIRECT(ADDRESS(845,26))-INDIRECT(ADDRESS(848,26)),INDIRECT(ADDRESS(849,25))-INDIRECT(ADDRESS(844,26))+INDIRECT(ADDRESS(847,26))-INDIRECT(ADDRESS(848,26)))</f>
        <v>0</v>
      </c>
      <c r="AA849">
        <f>IF(DAY(NOW())&lt;M3,INDIRECT(ADDRESS(849,26))-INDIRECT(ADDRESS(844,27))+INDIRECT(ADDRESS(845,27))-INDIRECT(ADDRESS(848,27)),INDIRECT(ADDRESS(849,26))-INDIRECT(ADDRESS(844,27))+INDIRECT(ADDRESS(847,27))-INDIRECT(ADDRESS(848,27)))</f>
        <v>0</v>
      </c>
      <c r="AB849">
        <f>IF(DAY(NOW())&lt;M3,INDIRECT(ADDRESS(849,27))-INDIRECT(ADDRESS(844,28))+INDIRECT(ADDRESS(845,28))-INDIRECT(ADDRESS(848,28)),INDIRECT(ADDRESS(849,27))-INDIRECT(ADDRESS(844,28))+INDIRECT(ADDRESS(847,28))-INDIRECT(ADDRESS(848,28)))</f>
        <v>0</v>
      </c>
      <c r="AC849">
        <f>IF(DAY(NOW())&lt;M3,INDIRECT(ADDRESS(849,28))-INDIRECT(ADDRESS(844,29))+INDIRECT(ADDRESS(845,29))-INDIRECT(ADDRESS(848,29)),INDIRECT(ADDRESS(849,28))-INDIRECT(ADDRESS(844,29))+INDIRECT(ADDRESS(847,29))-INDIRECT(ADDRESS(848,29)))</f>
        <v>0</v>
      </c>
      <c r="AD849">
        <f>IF(DAY(NOW())&lt;M3,INDIRECT(ADDRESS(849,29))-INDIRECT(ADDRESS(844,30))+INDIRECT(ADDRESS(845,30))-INDIRECT(ADDRESS(848,30)),INDIRECT(ADDRESS(849,29))-INDIRECT(ADDRESS(844,30))+INDIRECT(ADDRESS(847,30))-INDIRECT(ADDRESS(848,30)))</f>
        <v>0</v>
      </c>
      <c r="AE849">
        <f>IF(DAY(NOW())&lt;M3,INDIRECT(ADDRESS(849,30))-INDIRECT(ADDRESS(844,31))+INDIRECT(ADDRESS(845,31))-INDIRECT(ADDRESS(848,31)),INDIRECT(ADDRESS(849,30))-INDIRECT(ADDRESS(844,31))+INDIRECT(ADDRESS(847,31))-INDIRECT(ADDRESS(848,31)))</f>
        <v>0</v>
      </c>
      <c r="AF849">
        <f>IF(DAY(NOW())&lt;M3,INDIRECT(ADDRESS(849,31))-INDIRECT(ADDRESS(844,32))+INDIRECT(ADDRESS(845,32))-INDIRECT(ADDRESS(848,32)),INDIRECT(ADDRESS(849,31))-INDIRECT(ADDRESS(844,32))+INDIRECT(ADDRESS(847,32))-INDIRECT(ADDRESS(848,32)))</f>
        <v>0</v>
      </c>
      <c r="AG849">
        <f>IF(DAY(NOW())&lt;M3,INDIRECT(ADDRESS(849,32))-INDIRECT(ADDRESS(844,33))+INDIRECT(ADDRESS(845,33))-INDIRECT(ADDRESS(848,33)),INDIRECT(ADDRESS(849,32))-INDIRECT(ADDRESS(844,33))+INDIRECT(ADDRESS(847,33))-INDIRECT(ADDRESS(848,33)))</f>
        <v>0</v>
      </c>
      <c r="AH849">
        <f>IF(DAY(NOW())&lt;M3,INDIRECT(ADDRESS(849,33))-INDIRECT(ADDRESS(844,34))+INDIRECT(ADDRESS(845,34))-INDIRECT(ADDRESS(848,34)),INDIRECT(ADDRESS(849,33))-INDIRECT(ADDRESS(844,34))+INDIRECT(ADDRESS(847,34))-INDIRECT(ADDRESS(848,34)))</f>
        <v>0</v>
      </c>
      <c r="AI849">
        <f>IF(DAY(NOW())&lt;M3,INDIRECT(ADDRESS(849,34))-INDIRECT(ADDRESS(844,35))+INDIRECT(ADDRESS(845,35))-INDIRECT(ADDRESS(848,35)),INDIRECT(ADDRESS(849,34))-INDIRECT(ADDRESS(844,35))+INDIRECT(ADDRESS(847,35))-INDIRECT(ADDRESS(848,35)))</f>
        <v>0</v>
      </c>
      <c r="AJ849">
        <f>IF(DAY(NOW())&lt;M3,INDIRECT(ADDRESS(849,35))-INDIRECT(ADDRESS(844,36))+INDIRECT(ADDRESS(845,36))-INDIRECT(ADDRESS(848,36)),INDIRECT(ADDRESS(849,35))-INDIRECT(ADDRESS(844,36))+INDIRECT(ADDRESS(847,36))-INDIRECT(ADDRESS(848,36)))</f>
        <v>0</v>
      </c>
      <c r="AK849">
        <f>IF(DAY(NOW())&lt;M3,INDIRECT(ADDRESS(849,36))-INDIRECT(ADDRESS(844,37))+INDIRECT(ADDRESS(845,37))-INDIRECT(ADDRESS(848,37)),INDIRECT(ADDRESS(849,36))-INDIRECT(ADDRESS(844,37))+INDIRECT(ADDRESS(847,37))-INDIRECT(ADDRESS(848,37)))</f>
        <v>0</v>
      </c>
      <c r="AL849">
        <f>IF(DAY(NOW())&lt;M3,INDIRECT(ADDRESS(849,37))-INDIRECT(ADDRESS(844,38))+INDIRECT(ADDRESS(845,38))-INDIRECT(ADDRESS(848,38)),INDIRECT(ADDRESS(849,37))-INDIRECT(ADDRESS(844,38))+INDIRECT(ADDRESS(847,38))-INDIRECT(ADDRESS(848,38)))</f>
        <v>0</v>
      </c>
      <c r="AM849">
        <f>IF(DAY(NOW())&lt;M3,INDIRECT(ADDRESS(849,38))-INDIRECT(ADDRESS(844,39))+INDIRECT(ADDRESS(845,39))-INDIRECT(ADDRESS(848,39)),INDIRECT(ADDRESS(849,38))-INDIRECT(ADDRESS(844,39))+INDIRECT(ADDRESS(847,39))-INDIRECT(ADDRESS(848,39)))</f>
        <v>0</v>
      </c>
      <c r="AN849">
        <f>IF(DAY(NOW())&lt;M3,INDIRECT(ADDRESS(849,39))-INDIRECT(ADDRESS(844,40))+INDIRECT(ADDRESS(845,40))-INDIRECT(ADDRESS(848,40)),INDIRECT(ADDRESS(849,39))-INDIRECT(ADDRESS(844,40))+INDIRECT(ADDRESS(847,40))-INDIRECT(ADDRESS(848,40)))</f>
        <v>0</v>
      </c>
      <c r="AO849">
        <f>IF(DAY(NOW())&lt;M3,INDIRECT(ADDRESS(849,40))-INDIRECT(ADDRESS(844,41))+INDIRECT(ADDRESS(845,41))-INDIRECT(ADDRESS(848,41)),INDIRECT(ADDRESS(849,40))-INDIRECT(ADDRESS(844,41))+INDIRECT(ADDRESS(847,41))-INDIRECT(ADDRESS(848,41)))</f>
        <v>0</v>
      </c>
      <c r="AP849">
        <f>IF(DAY(NOW())&lt;M3,INDIRECT(ADDRESS(849,41))-INDIRECT(ADDRESS(844,42))+INDIRECT(ADDRESS(845,42))-INDIRECT(ADDRESS(848,42)),INDIRECT(ADDRESS(849,41))-INDIRECT(ADDRESS(844,42))+INDIRECT(ADDRESS(847,42))-INDIRECT(ADDRESS(848,42)))</f>
        <v>0</v>
      </c>
      <c r="AQ849">
        <f>IF(DAY(NOW())&lt;M3,INDIRECT(ADDRESS(849,42))-INDIRECT(ADDRESS(844,43))+INDIRECT(ADDRESS(845,43))-INDIRECT(ADDRESS(848,43)),INDIRECT(ADDRESS(849,42))-INDIRECT(ADDRESS(844,43))+INDIRECT(ADDRESS(847,43))-INDIRECT(ADDRESS(848,43)))</f>
        <v>0</v>
      </c>
      <c r="AR849">
        <f>IF(DAY(NOW())&lt;M3,INDIRECT(ADDRESS(849,43))-INDIRECT(ADDRESS(844,44))+INDIRECT(ADDRESS(845,44))-INDIRECT(ADDRESS(848,44)),INDIRECT(ADDRESS(849,43))-INDIRECT(ADDRESS(844,44))+INDIRECT(ADDRESS(847,44))-INDIRECT(ADDRESS(848,44)))</f>
        <v>0</v>
      </c>
    </row>
    <row r="850" spans="1:76">
      <c r="A850" t="s">
        <v>14</v>
      </c>
      <c r="B850" t="s">
        <v>173</v>
      </c>
      <c r="C850" t="s">
        <v>174</v>
      </c>
      <c r="D850" t="s">
        <v>256</v>
      </c>
      <c r="E850">
        <v>1</v>
      </c>
      <c r="F850" t="s">
        <v>175</v>
      </c>
      <c r="K850" t="s">
        <v>305</v>
      </c>
      <c r="L850" t="s">
        <v>21</v>
      </c>
      <c r="BX850">
        <f>sum(j850:an850)</f>
        <v>0</v>
      </c>
    </row>
    <row r="851" spans="1:76">
      <c r="A851" t="s">
        <v>14</v>
      </c>
      <c r="B851" t="s">
        <v>173</v>
      </c>
      <c r="C851" t="s">
        <v>174</v>
      </c>
      <c r="D851" t="s">
        <v>256</v>
      </c>
      <c r="E851">
        <v>1</v>
      </c>
      <c r="F851" t="s">
        <v>175</v>
      </c>
      <c r="K851" t="s">
        <v>305</v>
      </c>
      <c r="L851" t="s">
        <v>37</v>
      </c>
    </row>
    <row r="852" spans="1:76">
      <c r="L852" t="s">
        <v>662</v>
      </c>
    </row>
    <row r="853" spans="1:76">
      <c r="L853" t="s">
        <v>663</v>
      </c>
    </row>
    <row r="854" spans="1:76">
      <c r="L854" t="s">
        <v>664</v>
      </c>
    </row>
    <row r="855" spans="1:76">
      <c r="L855" t="s">
        <v>665</v>
      </c>
      <c r="M855">
        <f>IF(DAY(NOW())&lt;M3,INDIRECT(ADDRESS(855,7))-INDIRECT(ADDRESS(850,13))+INDIRECT(ADDRESS(851,13))-INDIRECT(ADDRESS(854,13)),INDIRECT(ADDRESS(855,7))-INDIRECT(ADDRESS(850,13))+INDIRECT(ADDRESS(853,13))-INDIRECT(ADDRESS(854,13)))</f>
        <v>0</v>
      </c>
      <c r="N855">
        <f>IF(DAY(NOW())&lt;M3,INDIRECT(ADDRESS(855,13))-INDIRECT(ADDRESS(850,14))+INDIRECT(ADDRESS(851,14))-INDIRECT(ADDRESS(854,14)),INDIRECT(ADDRESS(855,13))-INDIRECT(ADDRESS(850,14))+INDIRECT(ADDRESS(853,14))-INDIRECT(ADDRESS(854,14)))</f>
        <v>0</v>
      </c>
      <c r="O855">
        <f>IF(DAY(NOW())&lt;M3,INDIRECT(ADDRESS(855,14))-INDIRECT(ADDRESS(850,15))+INDIRECT(ADDRESS(851,15))-INDIRECT(ADDRESS(854,15)),INDIRECT(ADDRESS(855,14))-INDIRECT(ADDRESS(850,15))+INDIRECT(ADDRESS(853,15))-INDIRECT(ADDRESS(854,15)))</f>
        <v>0</v>
      </c>
      <c r="P855">
        <f>IF(DAY(NOW())&lt;M3,INDIRECT(ADDRESS(855,15))-INDIRECT(ADDRESS(850,16))+INDIRECT(ADDRESS(851,16))-INDIRECT(ADDRESS(854,16)),INDIRECT(ADDRESS(855,15))-INDIRECT(ADDRESS(850,16))+INDIRECT(ADDRESS(853,16))-INDIRECT(ADDRESS(854,16)))</f>
        <v>0</v>
      </c>
      <c r="Q855">
        <f>IF(DAY(NOW())&lt;M3,INDIRECT(ADDRESS(855,16))-INDIRECT(ADDRESS(850,17))+INDIRECT(ADDRESS(851,17))-INDIRECT(ADDRESS(854,17)),INDIRECT(ADDRESS(855,16))-INDIRECT(ADDRESS(850,17))+INDIRECT(ADDRESS(853,17))-INDIRECT(ADDRESS(854,17)))</f>
        <v>0</v>
      </c>
      <c r="R855">
        <f>IF(DAY(NOW())&lt;M3,INDIRECT(ADDRESS(855,17))-INDIRECT(ADDRESS(850,18))+INDIRECT(ADDRESS(851,18))-INDIRECT(ADDRESS(854,18)),INDIRECT(ADDRESS(855,17))-INDIRECT(ADDRESS(850,18))+INDIRECT(ADDRESS(853,18))-INDIRECT(ADDRESS(854,18)))</f>
        <v>0</v>
      </c>
      <c r="S855">
        <f>IF(DAY(NOW())&lt;M3,INDIRECT(ADDRESS(855,18))-INDIRECT(ADDRESS(850,19))+INDIRECT(ADDRESS(851,19))-INDIRECT(ADDRESS(854,19)),INDIRECT(ADDRESS(855,18))-INDIRECT(ADDRESS(850,19))+INDIRECT(ADDRESS(853,19))-INDIRECT(ADDRESS(854,19)))</f>
        <v>0</v>
      </c>
      <c r="T855">
        <f>IF(DAY(NOW())&lt;M3,INDIRECT(ADDRESS(855,19))-INDIRECT(ADDRESS(850,20))+INDIRECT(ADDRESS(851,20))-INDIRECT(ADDRESS(854,20)),INDIRECT(ADDRESS(855,19))-INDIRECT(ADDRESS(850,20))+INDIRECT(ADDRESS(853,20))-INDIRECT(ADDRESS(854,20)))</f>
        <v>0</v>
      </c>
      <c r="U855">
        <f>IF(DAY(NOW())&lt;M3,INDIRECT(ADDRESS(855,20))-INDIRECT(ADDRESS(850,21))+INDIRECT(ADDRESS(851,21))-INDIRECT(ADDRESS(854,21)),INDIRECT(ADDRESS(855,20))-INDIRECT(ADDRESS(850,21))+INDIRECT(ADDRESS(853,21))-INDIRECT(ADDRESS(854,21)))</f>
        <v>0</v>
      </c>
      <c r="V855">
        <f>IF(DAY(NOW())&lt;M3,INDIRECT(ADDRESS(855,21))-INDIRECT(ADDRESS(850,22))+INDIRECT(ADDRESS(851,22))-INDIRECT(ADDRESS(854,22)),INDIRECT(ADDRESS(855,21))-INDIRECT(ADDRESS(850,22))+INDIRECT(ADDRESS(853,22))-INDIRECT(ADDRESS(854,22)))</f>
        <v>0</v>
      </c>
      <c r="W855">
        <f>IF(DAY(NOW())&lt;M3,INDIRECT(ADDRESS(855,22))-INDIRECT(ADDRESS(850,23))+INDIRECT(ADDRESS(851,23))-INDIRECT(ADDRESS(854,23)),INDIRECT(ADDRESS(855,22))-INDIRECT(ADDRESS(850,23))+INDIRECT(ADDRESS(853,23))-INDIRECT(ADDRESS(854,23)))</f>
        <v>0</v>
      </c>
      <c r="X855">
        <f>IF(DAY(NOW())&lt;M3,INDIRECT(ADDRESS(855,23))-INDIRECT(ADDRESS(850,24))+INDIRECT(ADDRESS(851,24))-INDIRECT(ADDRESS(854,24)),INDIRECT(ADDRESS(855,23))-INDIRECT(ADDRESS(850,24))+INDIRECT(ADDRESS(853,24))-INDIRECT(ADDRESS(854,24)))</f>
        <v>0</v>
      </c>
      <c r="Y855">
        <f>IF(DAY(NOW())&lt;M3,INDIRECT(ADDRESS(855,24))-INDIRECT(ADDRESS(850,25))+INDIRECT(ADDRESS(851,25))-INDIRECT(ADDRESS(854,25)),INDIRECT(ADDRESS(855,24))-INDIRECT(ADDRESS(850,25))+INDIRECT(ADDRESS(853,25))-INDIRECT(ADDRESS(854,25)))</f>
        <v>0</v>
      </c>
      <c r="Z855">
        <f>IF(DAY(NOW())&lt;M3,INDIRECT(ADDRESS(855,25))-INDIRECT(ADDRESS(850,26))+INDIRECT(ADDRESS(851,26))-INDIRECT(ADDRESS(854,26)),INDIRECT(ADDRESS(855,25))-INDIRECT(ADDRESS(850,26))+INDIRECT(ADDRESS(853,26))-INDIRECT(ADDRESS(854,26)))</f>
        <v>0</v>
      </c>
      <c r="AA855">
        <f>IF(DAY(NOW())&lt;M3,INDIRECT(ADDRESS(855,26))-INDIRECT(ADDRESS(850,27))+INDIRECT(ADDRESS(851,27))-INDIRECT(ADDRESS(854,27)),INDIRECT(ADDRESS(855,26))-INDIRECT(ADDRESS(850,27))+INDIRECT(ADDRESS(853,27))-INDIRECT(ADDRESS(854,27)))</f>
        <v>0</v>
      </c>
      <c r="AB855">
        <f>IF(DAY(NOW())&lt;M3,INDIRECT(ADDRESS(855,27))-INDIRECT(ADDRESS(850,28))+INDIRECT(ADDRESS(851,28))-INDIRECT(ADDRESS(854,28)),INDIRECT(ADDRESS(855,27))-INDIRECT(ADDRESS(850,28))+INDIRECT(ADDRESS(853,28))-INDIRECT(ADDRESS(854,28)))</f>
        <v>0</v>
      </c>
      <c r="AC855">
        <f>IF(DAY(NOW())&lt;M3,INDIRECT(ADDRESS(855,28))-INDIRECT(ADDRESS(850,29))+INDIRECT(ADDRESS(851,29))-INDIRECT(ADDRESS(854,29)),INDIRECT(ADDRESS(855,28))-INDIRECT(ADDRESS(850,29))+INDIRECT(ADDRESS(853,29))-INDIRECT(ADDRESS(854,29)))</f>
        <v>0</v>
      </c>
      <c r="AD855">
        <f>IF(DAY(NOW())&lt;M3,INDIRECT(ADDRESS(855,29))-INDIRECT(ADDRESS(850,30))+INDIRECT(ADDRESS(851,30))-INDIRECT(ADDRESS(854,30)),INDIRECT(ADDRESS(855,29))-INDIRECT(ADDRESS(850,30))+INDIRECT(ADDRESS(853,30))-INDIRECT(ADDRESS(854,30)))</f>
        <v>0</v>
      </c>
      <c r="AE855">
        <f>IF(DAY(NOW())&lt;M3,INDIRECT(ADDRESS(855,30))-INDIRECT(ADDRESS(850,31))+INDIRECT(ADDRESS(851,31))-INDIRECT(ADDRESS(854,31)),INDIRECT(ADDRESS(855,30))-INDIRECT(ADDRESS(850,31))+INDIRECT(ADDRESS(853,31))-INDIRECT(ADDRESS(854,31)))</f>
        <v>0</v>
      </c>
      <c r="AF855">
        <f>IF(DAY(NOW())&lt;M3,INDIRECT(ADDRESS(855,31))-INDIRECT(ADDRESS(850,32))+INDIRECT(ADDRESS(851,32))-INDIRECT(ADDRESS(854,32)),INDIRECT(ADDRESS(855,31))-INDIRECT(ADDRESS(850,32))+INDIRECT(ADDRESS(853,32))-INDIRECT(ADDRESS(854,32)))</f>
        <v>0</v>
      </c>
      <c r="AG855">
        <f>IF(DAY(NOW())&lt;M3,INDIRECT(ADDRESS(855,32))-INDIRECT(ADDRESS(850,33))+INDIRECT(ADDRESS(851,33))-INDIRECT(ADDRESS(854,33)),INDIRECT(ADDRESS(855,32))-INDIRECT(ADDRESS(850,33))+INDIRECT(ADDRESS(853,33))-INDIRECT(ADDRESS(854,33)))</f>
        <v>0</v>
      </c>
      <c r="AH855">
        <f>IF(DAY(NOW())&lt;M3,INDIRECT(ADDRESS(855,33))-INDIRECT(ADDRESS(850,34))+INDIRECT(ADDRESS(851,34))-INDIRECT(ADDRESS(854,34)),INDIRECT(ADDRESS(855,33))-INDIRECT(ADDRESS(850,34))+INDIRECT(ADDRESS(853,34))-INDIRECT(ADDRESS(854,34)))</f>
        <v>0</v>
      </c>
      <c r="AI855">
        <f>IF(DAY(NOW())&lt;M3,INDIRECT(ADDRESS(855,34))-INDIRECT(ADDRESS(850,35))+INDIRECT(ADDRESS(851,35))-INDIRECT(ADDRESS(854,35)),INDIRECT(ADDRESS(855,34))-INDIRECT(ADDRESS(850,35))+INDIRECT(ADDRESS(853,35))-INDIRECT(ADDRESS(854,35)))</f>
        <v>0</v>
      </c>
      <c r="AJ855">
        <f>IF(DAY(NOW())&lt;M3,INDIRECT(ADDRESS(855,35))-INDIRECT(ADDRESS(850,36))+INDIRECT(ADDRESS(851,36))-INDIRECT(ADDRESS(854,36)),INDIRECT(ADDRESS(855,35))-INDIRECT(ADDRESS(850,36))+INDIRECT(ADDRESS(853,36))-INDIRECT(ADDRESS(854,36)))</f>
        <v>0</v>
      </c>
      <c r="AK855">
        <f>IF(DAY(NOW())&lt;M3,INDIRECT(ADDRESS(855,36))-INDIRECT(ADDRESS(850,37))+INDIRECT(ADDRESS(851,37))-INDIRECT(ADDRESS(854,37)),INDIRECT(ADDRESS(855,36))-INDIRECT(ADDRESS(850,37))+INDIRECT(ADDRESS(853,37))-INDIRECT(ADDRESS(854,37)))</f>
        <v>0</v>
      </c>
      <c r="AL855">
        <f>IF(DAY(NOW())&lt;M3,INDIRECT(ADDRESS(855,37))-INDIRECT(ADDRESS(850,38))+INDIRECT(ADDRESS(851,38))-INDIRECT(ADDRESS(854,38)),INDIRECT(ADDRESS(855,37))-INDIRECT(ADDRESS(850,38))+INDIRECT(ADDRESS(853,38))-INDIRECT(ADDRESS(854,38)))</f>
        <v>0</v>
      </c>
      <c r="AM855">
        <f>IF(DAY(NOW())&lt;M3,INDIRECT(ADDRESS(855,38))-INDIRECT(ADDRESS(850,39))+INDIRECT(ADDRESS(851,39))-INDIRECT(ADDRESS(854,39)),INDIRECT(ADDRESS(855,38))-INDIRECT(ADDRESS(850,39))+INDIRECT(ADDRESS(853,39))-INDIRECT(ADDRESS(854,39)))</f>
        <v>0</v>
      </c>
      <c r="AN855">
        <f>IF(DAY(NOW())&lt;M3,INDIRECT(ADDRESS(855,39))-INDIRECT(ADDRESS(850,40))+INDIRECT(ADDRESS(851,40))-INDIRECT(ADDRESS(854,40)),INDIRECT(ADDRESS(855,39))-INDIRECT(ADDRESS(850,40))+INDIRECT(ADDRESS(853,40))-INDIRECT(ADDRESS(854,40)))</f>
        <v>0</v>
      </c>
      <c r="AO855">
        <f>IF(DAY(NOW())&lt;M3,INDIRECT(ADDRESS(855,40))-INDIRECT(ADDRESS(850,41))+INDIRECT(ADDRESS(851,41))-INDIRECT(ADDRESS(854,41)),INDIRECT(ADDRESS(855,40))-INDIRECT(ADDRESS(850,41))+INDIRECT(ADDRESS(853,41))-INDIRECT(ADDRESS(854,41)))</f>
        <v>0</v>
      </c>
      <c r="AP855">
        <f>IF(DAY(NOW())&lt;M3,INDIRECT(ADDRESS(855,41))-INDIRECT(ADDRESS(850,42))+INDIRECT(ADDRESS(851,42))-INDIRECT(ADDRESS(854,42)),INDIRECT(ADDRESS(855,41))-INDIRECT(ADDRESS(850,42))+INDIRECT(ADDRESS(853,42))-INDIRECT(ADDRESS(854,42)))</f>
        <v>0</v>
      </c>
      <c r="AQ855">
        <f>IF(DAY(NOW())&lt;M3,INDIRECT(ADDRESS(855,42))-INDIRECT(ADDRESS(850,43))+INDIRECT(ADDRESS(851,43))-INDIRECT(ADDRESS(854,43)),INDIRECT(ADDRESS(855,42))-INDIRECT(ADDRESS(850,43))+INDIRECT(ADDRESS(853,43))-INDIRECT(ADDRESS(854,43)))</f>
        <v>0</v>
      </c>
      <c r="AR855">
        <f>IF(DAY(NOW())&lt;M3,INDIRECT(ADDRESS(855,43))-INDIRECT(ADDRESS(850,44))+INDIRECT(ADDRESS(851,44))-INDIRECT(ADDRESS(854,44)),INDIRECT(ADDRESS(855,43))-INDIRECT(ADDRESS(850,44))+INDIRECT(ADDRESS(853,44))-INDIRECT(ADDRESS(854,44)))</f>
        <v>0</v>
      </c>
    </row>
    <row r="856" spans="1:76">
      <c r="A856" t="s">
        <v>14</v>
      </c>
      <c r="B856" t="s">
        <v>179</v>
      </c>
      <c r="C856" t="s">
        <v>180</v>
      </c>
      <c r="D856" t="s">
        <v>256</v>
      </c>
      <c r="E856">
        <v>1</v>
      </c>
      <c r="F856" t="s">
        <v>181</v>
      </c>
      <c r="K856" t="s">
        <v>305</v>
      </c>
      <c r="L856" t="s">
        <v>21</v>
      </c>
      <c r="BX856">
        <f>sum(j856:an856)</f>
        <v>0</v>
      </c>
    </row>
    <row r="857" spans="1:76">
      <c r="A857" t="s">
        <v>14</v>
      </c>
      <c r="B857" t="s">
        <v>179</v>
      </c>
      <c r="C857" t="s">
        <v>180</v>
      </c>
      <c r="D857" t="s">
        <v>256</v>
      </c>
      <c r="E857">
        <v>1</v>
      </c>
      <c r="F857" t="s">
        <v>181</v>
      </c>
      <c r="K857" t="s">
        <v>305</v>
      </c>
      <c r="L857" t="s">
        <v>37</v>
      </c>
    </row>
    <row r="858" spans="1:76">
      <c r="L858" t="s">
        <v>662</v>
      </c>
    </row>
    <row r="859" spans="1:76">
      <c r="L859" t="s">
        <v>663</v>
      </c>
    </row>
    <row r="860" spans="1:76">
      <c r="L860" t="s">
        <v>664</v>
      </c>
    </row>
    <row r="861" spans="1:76">
      <c r="L861" t="s">
        <v>665</v>
      </c>
      <c r="M861">
        <f>IF(DAY(NOW())&lt;M3,INDIRECT(ADDRESS(861,7))-INDIRECT(ADDRESS(856,13))+INDIRECT(ADDRESS(857,13))-INDIRECT(ADDRESS(860,13)),INDIRECT(ADDRESS(861,7))-INDIRECT(ADDRESS(856,13))+INDIRECT(ADDRESS(859,13))-INDIRECT(ADDRESS(860,13)))</f>
        <v>0</v>
      </c>
      <c r="N861">
        <f>IF(DAY(NOW())&lt;M3,INDIRECT(ADDRESS(861,13))-INDIRECT(ADDRESS(856,14))+INDIRECT(ADDRESS(857,14))-INDIRECT(ADDRESS(860,14)),INDIRECT(ADDRESS(861,13))-INDIRECT(ADDRESS(856,14))+INDIRECT(ADDRESS(859,14))-INDIRECT(ADDRESS(860,14)))</f>
        <v>0</v>
      </c>
      <c r="O861">
        <f>IF(DAY(NOW())&lt;M3,INDIRECT(ADDRESS(861,14))-INDIRECT(ADDRESS(856,15))+INDIRECT(ADDRESS(857,15))-INDIRECT(ADDRESS(860,15)),INDIRECT(ADDRESS(861,14))-INDIRECT(ADDRESS(856,15))+INDIRECT(ADDRESS(859,15))-INDIRECT(ADDRESS(860,15)))</f>
        <v>0</v>
      </c>
      <c r="P861">
        <f>IF(DAY(NOW())&lt;M3,INDIRECT(ADDRESS(861,15))-INDIRECT(ADDRESS(856,16))+INDIRECT(ADDRESS(857,16))-INDIRECT(ADDRESS(860,16)),INDIRECT(ADDRESS(861,15))-INDIRECT(ADDRESS(856,16))+INDIRECT(ADDRESS(859,16))-INDIRECT(ADDRESS(860,16)))</f>
        <v>0</v>
      </c>
      <c r="Q861">
        <f>IF(DAY(NOW())&lt;M3,INDIRECT(ADDRESS(861,16))-INDIRECT(ADDRESS(856,17))+INDIRECT(ADDRESS(857,17))-INDIRECT(ADDRESS(860,17)),INDIRECT(ADDRESS(861,16))-INDIRECT(ADDRESS(856,17))+INDIRECT(ADDRESS(859,17))-INDIRECT(ADDRESS(860,17)))</f>
        <v>0</v>
      </c>
      <c r="R861">
        <f>IF(DAY(NOW())&lt;M3,INDIRECT(ADDRESS(861,17))-INDIRECT(ADDRESS(856,18))+INDIRECT(ADDRESS(857,18))-INDIRECT(ADDRESS(860,18)),INDIRECT(ADDRESS(861,17))-INDIRECT(ADDRESS(856,18))+INDIRECT(ADDRESS(859,18))-INDIRECT(ADDRESS(860,18)))</f>
        <v>0</v>
      </c>
      <c r="S861">
        <f>IF(DAY(NOW())&lt;M3,INDIRECT(ADDRESS(861,18))-INDIRECT(ADDRESS(856,19))+INDIRECT(ADDRESS(857,19))-INDIRECT(ADDRESS(860,19)),INDIRECT(ADDRESS(861,18))-INDIRECT(ADDRESS(856,19))+INDIRECT(ADDRESS(859,19))-INDIRECT(ADDRESS(860,19)))</f>
        <v>0</v>
      </c>
      <c r="T861">
        <f>IF(DAY(NOW())&lt;M3,INDIRECT(ADDRESS(861,19))-INDIRECT(ADDRESS(856,20))+INDIRECT(ADDRESS(857,20))-INDIRECT(ADDRESS(860,20)),INDIRECT(ADDRESS(861,19))-INDIRECT(ADDRESS(856,20))+INDIRECT(ADDRESS(859,20))-INDIRECT(ADDRESS(860,20)))</f>
        <v>0</v>
      </c>
      <c r="U861">
        <f>IF(DAY(NOW())&lt;M3,INDIRECT(ADDRESS(861,20))-INDIRECT(ADDRESS(856,21))+INDIRECT(ADDRESS(857,21))-INDIRECT(ADDRESS(860,21)),INDIRECT(ADDRESS(861,20))-INDIRECT(ADDRESS(856,21))+INDIRECT(ADDRESS(859,21))-INDIRECT(ADDRESS(860,21)))</f>
        <v>0</v>
      </c>
      <c r="V861">
        <f>IF(DAY(NOW())&lt;M3,INDIRECT(ADDRESS(861,21))-INDIRECT(ADDRESS(856,22))+INDIRECT(ADDRESS(857,22))-INDIRECT(ADDRESS(860,22)),INDIRECT(ADDRESS(861,21))-INDIRECT(ADDRESS(856,22))+INDIRECT(ADDRESS(859,22))-INDIRECT(ADDRESS(860,22)))</f>
        <v>0</v>
      </c>
      <c r="W861">
        <f>IF(DAY(NOW())&lt;M3,INDIRECT(ADDRESS(861,22))-INDIRECT(ADDRESS(856,23))+INDIRECT(ADDRESS(857,23))-INDIRECT(ADDRESS(860,23)),INDIRECT(ADDRESS(861,22))-INDIRECT(ADDRESS(856,23))+INDIRECT(ADDRESS(859,23))-INDIRECT(ADDRESS(860,23)))</f>
        <v>0</v>
      </c>
      <c r="X861">
        <f>IF(DAY(NOW())&lt;M3,INDIRECT(ADDRESS(861,23))-INDIRECT(ADDRESS(856,24))+INDIRECT(ADDRESS(857,24))-INDIRECT(ADDRESS(860,24)),INDIRECT(ADDRESS(861,23))-INDIRECT(ADDRESS(856,24))+INDIRECT(ADDRESS(859,24))-INDIRECT(ADDRESS(860,24)))</f>
        <v>0</v>
      </c>
      <c r="Y861">
        <f>IF(DAY(NOW())&lt;M3,INDIRECT(ADDRESS(861,24))-INDIRECT(ADDRESS(856,25))+INDIRECT(ADDRESS(857,25))-INDIRECT(ADDRESS(860,25)),INDIRECT(ADDRESS(861,24))-INDIRECT(ADDRESS(856,25))+INDIRECT(ADDRESS(859,25))-INDIRECT(ADDRESS(860,25)))</f>
        <v>0</v>
      </c>
      <c r="Z861">
        <f>IF(DAY(NOW())&lt;M3,INDIRECT(ADDRESS(861,25))-INDIRECT(ADDRESS(856,26))+INDIRECT(ADDRESS(857,26))-INDIRECT(ADDRESS(860,26)),INDIRECT(ADDRESS(861,25))-INDIRECT(ADDRESS(856,26))+INDIRECT(ADDRESS(859,26))-INDIRECT(ADDRESS(860,26)))</f>
        <v>0</v>
      </c>
      <c r="AA861">
        <f>IF(DAY(NOW())&lt;M3,INDIRECT(ADDRESS(861,26))-INDIRECT(ADDRESS(856,27))+INDIRECT(ADDRESS(857,27))-INDIRECT(ADDRESS(860,27)),INDIRECT(ADDRESS(861,26))-INDIRECT(ADDRESS(856,27))+INDIRECT(ADDRESS(859,27))-INDIRECT(ADDRESS(860,27)))</f>
        <v>0</v>
      </c>
      <c r="AB861">
        <f>IF(DAY(NOW())&lt;M3,INDIRECT(ADDRESS(861,27))-INDIRECT(ADDRESS(856,28))+INDIRECT(ADDRESS(857,28))-INDIRECT(ADDRESS(860,28)),INDIRECT(ADDRESS(861,27))-INDIRECT(ADDRESS(856,28))+INDIRECT(ADDRESS(859,28))-INDIRECT(ADDRESS(860,28)))</f>
        <v>0</v>
      </c>
      <c r="AC861">
        <f>IF(DAY(NOW())&lt;M3,INDIRECT(ADDRESS(861,28))-INDIRECT(ADDRESS(856,29))+INDIRECT(ADDRESS(857,29))-INDIRECT(ADDRESS(860,29)),INDIRECT(ADDRESS(861,28))-INDIRECT(ADDRESS(856,29))+INDIRECT(ADDRESS(859,29))-INDIRECT(ADDRESS(860,29)))</f>
        <v>0</v>
      </c>
      <c r="AD861">
        <f>IF(DAY(NOW())&lt;M3,INDIRECT(ADDRESS(861,29))-INDIRECT(ADDRESS(856,30))+INDIRECT(ADDRESS(857,30))-INDIRECT(ADDRESS(860,30)),INDIRECT(ADDRESS(861,29))-INDIRECT(ADDRESS(856,30))+INDIRECT(ADDRESS(859,30))-INDIRECT(ADDRESS(860,30)))</f>
        <v>0</v>
      </c>
      <c r="AE861">
        <f>IF(DAY(NOW())&lt;M3,INDIRECT(ADDRESS(861,30))-INDIRECT(ADDRESS(856,31))+INDIRECT(ADDRESS(857,31))-INDIRECT(ADDRESS(860,31)),INDIRECT(ADDRESS(861,30))-INDIRECT(ADDRESS(856,31))+INDIRECT(ADDRESS(859,31))-INDIRECT(ADDRESS(860,31)))</f>
        <v>0</v>
      </c>
      <c r="AF861">
        <f>IF(DAY(NOW())&lt;M3,INDIRECT(ADDRESS(861,31))-INDIRECT(ADDRESS(856,32))+INDIRECT(ADDRESS(857,32))-INDIRECT(ADDRESS(860,32)),INDIRECT(ADDRESS(861,31))-INDIRECT(ADDRESS(856,32))+INDIRECT(ADDRESS(859,32))-INDIRECT(ADDRESS(860,32)))</f>
        <v>0</v>
      </c>
      <c r="AG861">
        <f>IF(DAY(NOW())&lt;M3,INDIRECT(ADDRESS(861,32))-INDIRECT(ADDRESS(856,33))+INDIRECT(ADDRESS(857,33))-INDIRECT(ADDRESS(860,33)),INDIRECT(ADDRESS(861,32))-INDIRECT(ADDRESS(856,33))+INDIRECT(ADDRESS(859,33))-INDIRECT(ADDRESS(860,33)))</f>
        <v>0</v>
      </c>
      <c r="AH861">
        <f>IF(DAY(NOW())&lt;M3,INDIRECT(ADDRESS(861,33))-INDIRECT(ADDRESS(856,34))+INDIRECT(ADDRESS(857,34))-INDIRECT(ADDRESS(860,34)),INDIRECT(ADDRESS(861,33))-INDIRECT(ADDRESS(856,34))+INDIRECT(ADDRESS(859,34))-INDIRECT(ADDRESS(860,34)))</f>
        <v>0</v>
      </c>
      <c r="AI861">
        <f>IF(DAY(NOW())&lt;M3,INDIRECT(ADDRESS(861,34))-INDIRECT(ADDRESS(856,35))+INDIRECT(ADDRESS(857,35))-INDIRECT(ADDRESS(860,35)),INDIRECT(ADDRESS(861,34))-INDIRECT(ADDRESS(856,35))+INDIRECT(ADDRESS(859,35))-INDIRECT(ADDRESS(860,35)))</f>
        <v>0</v>
      </c>
      <c r="AJ861">
        <f>IF(DAY(NOW())&lt;M3,INDIRECT(ADDRESS(861,35))-INDIRECT(ADDRESS(856,36))+INDIRECT(ADDRESS(857,36))-INDIRECT(ADDRESS(860,36)),INDIRECT(ADDRESS(861,35))-INDIRECT(ADDRESS(856,36))+INDIRECT(ADDRESS(859,36))-INDIRECT(ADDRESS(860,36)))</f>
        <v>0</v>
      </c>
      <c r="AK861">
        <f>IF(DAY(NOW())&lt;M3,INDIRECT(ADDRESS(861,36))-INDIRECT(ADDRESS(856,37))+INDIRECT(ADDRESS(857,37))-INDIRECT(ADDRESS(860,37)),INDIRECT(ADDRESS(861,36))-INDIRECT(ADDRESS(856,37))+INDIRECT(ADDRESS(859,37))-INDIRECT(ADDRESS(860,37)))</f>
        <v>0</v>
      </c>
      <c r="AL861">
        <f>IF(DAY(NOW())&lt;M3,INDIRECT(ADDRESS(861,37))-INDIRECT(ADDRESS(856,38))+INDIRECT(ADDRESS(857,38))-INDIRECT(ADDRESS(860,38)),INDIRECT(ADDRESS(861,37))-INDIRECT(ADDRESS(856,38))+INDIRECT(ADDRESS(859,38))-INDIRECT(ADDRESS(860,38)))</f>
        <v>0</v>
      </c>
      <c r="AM861">
        <f>IF(DAY(NOW())&lt;M3,INDIRECT(ADDRESS(861,38))-INDIRECT(ADDRESS(856,39))+INDIRECT(ADDRESS(857,39))-INDIRECT(ADDRESS(860,39)),INDIRECT(ADDRESS(861,38))-INDIRECT(ADDRESS(856,39))+INDIRECT(ADDRESS(859,39))-INDIRECT(ADDRESS(860,39)))</f>
        <v>0</v>
      </c>
      <c r="AN861">
        <f>IF(DAY(NOW())&lt;M3,INDIRECT(ADDRESS(861,39))-INDIRECT(ADDRESS(856,40))+INDIRECT(ADDRESS(857,40))-INDIRECT(ADDRESS(860,40)),INDIRECT(ADDRESS(861,39))-INDIRECT(ADDRESS(856,40))+INDIRECT(ADDRESS(859,40))-INDIRECT(ADDRESS(860,40)))</f>
        <v>0</v>
      </c>
      <c r="AO861">
        <f>IF(DAY(NOW())&lt;M3,INDIRECT(ADDRESS(861,40))-INDIRECT(ADDRESS(856,41))+INDIRECT(ADDRESS(857,41))-INDIRECT(ADDRESS(860,41)),INDIRECT(ADDRESS(861,40))-INDIRECT(ADDRESS(856,41))+INDIRECT(ADDRESS(859,41))-INDIRECT(ADDRESS(860,41)))</f>
        <v>0</v>
      </c>
      <c r="AP861">
        <f>IF(DAY(NOW())&lt;M3,INDIRECT(ADDRESS(861,41))-INDIRECT(ADDRESS(856,42))+INDIRECT(ADDRESS(857,42))-INDIRECT(ADDRESS(860,42)),INDIRECT(ADDRESS(861,41))-INDIRECT(ADDRESS(856,42))+INDIRECT(ADDRESS(859,42))-INDIRECT(ADDRESS(860,42)))</f>
        <v>0</v>
      </c>
      <c r="AQ861">
        <f>IF(DAY(NOW())&lt;M3,INDIRECT(ADDRESS(861,42))-INDIRECT(ADDRESS(856,43))+INDIRECT(ADDRESS(857,43))-INDIRECT(ADDRESS(860,43)),INDIRECT(ADDRESS(861,42))-INDIRECT(ADDRESS(856,43))+INDIRECT(ADDRESS(859,43))-INDIRECT(ADDRESS(860,43)))</f>
        <v>0</v>
      </c>
      <c r="AR861">
        <f>IF(DAY(NOW())&lt;M3,INDIRECT(ADDRESS(861,43))-INDIRECT(ADDRESS(856,44))+INDIRECT(ADDRESS(857,44))-INDIRECT(ADDRESS(860,44)),INDIRECT(ADDRESS(861,43))-INDIRECT(ADDRESS(856,44))+INDIRECT(ADDRESS(859,44))-INDIRECT(ADDRESS(860,44)))</f>
        <v>0</v>
      </c>
    </row>
    <row r="862" spans="1:76">
      <c r="A862" t="s">
        <v>14</v>
      </c>
      <c r="B862" t="s">
        <v>185</v>
      </c>
      <c r="C862" t="s">
        <v>186</v>
      </c>
      <c r="D862" t="s">
        <v>256</v>
      </c>
      <c r="E862">
        <v>1</v>
      </c>
      <c r="F862" t="s">
        <v>187</v>
      </c>
      <c r="K862" t="s">
        <v>305</v>
      </c>
      <c r="L862" t="s">
        <v>21</v>
      </c>
      <c r="BX862">
        <f>sum(j862:an862)</f>
        <v>0</v>
      </c>
    </row>
    <row r="863" spans="1:76">
      <c r="A863" t="s">
        <v>14</v>
      </c>
      <c r="B863" t="s">
        <v>185</v>
      </c>
      <c r="C863" t="s">
        <v>186</v>
      </c>
      <c r="D863" t="s">
        <v>256</v>
      </c>
      <c r="E863">
        <v>1</v>
      </c>
      <c r="F863" t="s">
        <v>187</v>
      </c>
      <c r="K863" t="s">
        <v>305</v>
      </c>
      <c r="L863" t="s">
        <v>37</v>
      </c>
    </row>
    <row r="864" spans="1:76">
      <c r="L864" t="s">
        <v>662</v>
      </c>
    </row>
    <row r="865" spans="1:76">
      <c r="L865" t="s">
        <v>663</v>
      </c>
    </row>
    <row r="866" spans="1:76">
      <c r="L866" t="s">
        <v>664</v>
      </c>
    </row>
    <row r="867" spans="1:76">
      <c r="L867" t="s">
        <v>665</v>
      </c>
      <c r="M867">
        <f>IF(DAY(NOW())&lt;M3,INDIRECT(ADDRESS(867,7))-INDIRECT(ADDRESS(862,13))+INDIRECT(ADDRESS(863,13))-INDIRECT(ADDRESS(866,13)),INDIRECT(ADDRESS(867,7))-INDIRECT(ADDRESS(862,13))+INDIRECT(ADDRESS(865,13))-INDIRECT(ADDRESS(866,13)))</f>
        <v>0</v>
      </c>
      <c r="N867">
        <f>IF(DAY(NOW())&lt;M3,INDIRECT(ADDRESS(867,13))-INDIRECT(ADDRESS(862,14))+INDIRECT(ADDRESS(863,14))-INDIRECT(ADDRESS(866,14)),INDIRECT(ADDRESS(867,13))-INDIRECT(ADDRESS(862,14))+INDIRECT(ADDRESS(865,14))-INDIRECT(ADDRESS(866,14)))</f>
        <v>0</v>
      </c>
      <c r="O867">
        <f>IF(DAY(NOW())&lt;M3,INDIRECT(ADDRESS(867,14))-INDIRECT(ADDRESS(862,15))+INDIRECT(ADDRESS(863,15))-INDIRECT(ADDRESS(866,15)),INDIRECT(ADDRESS(867,14))-INDIRECT(ADDRESS(862,15))+INDIRECT(ADDRESS(865,15))-INDIRECT(ADDRESS(866,15)))</f>
        <v>0</v>
      </c>
      <c r="P867">
        <f>IF(DAY(NOW())&lt;M3,INDIRECT(ADDRESS(867,15))-INDIRECT(ADDRESS(862,16))+INDIRECT(ADDRESS(863,16))-INDIRECT(ADDRESS(866,16)),INDIRECT(ADDRESS(867,15))-INDIRECT(ADDRESS(862,16))+INDIRECT(ADDRESS(865,16))-INDIRECT(ADDRESS(866,16)))</f>
        <v>0</v>
      </c>
      <c r="Q867">
        <f>IF(DAY(NOW())&lt;M3,INDIRECT(ADDRESS(867,16))-INDIRECT(ADDRESS(862,17))+INDIRECT(ADDRESS(863,17))-INDIRECT(ADDRESS(866,17)),INDIRECT(ADDRESS(867,16))-INDIRECT(ADDRESS(862,17))+INDIRECT(ADDRESS(865,17))-INDIRECT(ADDRESS(866,17)))</f>
        <v>0</v>
      </c>
      <c r="R867">
        <f>IF(DAY(NOW())&lt;M3,INDIRECT(ADDRESS(867,17))-INDIRECT(ADDRESS(862,18))+INDIRECT(ADDRESS(863,18))-INDIRECT(ADDRESS(866,18)),INDIRECT(ADDRESS(867,17))-INDIRECT(ADDRESS(862,18))+INDIRECT(ADDRESS(865,18))-INDIRECT(ADDRESS(866,18)))</f>
        <v>0</v>
      </c>
      <c r="S867">
        <f>IF(DAY(NOW())&lt;M3,INDIRECT(ADDRESS(867,18))-INDIRECT(ADDRESS(862,19))+INDIRECT(ADDRESS(863,19))-INDIRECT(ADDRESS(866,19)),INDIRECT(ADDRESS(867,18))-INDIRECT(ADDRESS(862,19))+INDIRECT(ADDRESS(865,19))-INDIRECT(ADDRESS(866,19)))</f>
        <v>0</v>
      </c>
      <c r="T867">
        <f>IF(DAY(NOW())&lt;M3,INDIRECT(ADDRESS(867,19))-INDIRECT(ADDRESS(862,20))+INDIRECT(ADDRESS(863,20))-INDIRECT(ADDRESS(866,20)),INDIRECT(ADDRESS(867,19))-INDIRECT(ADDRESS(862,20))+INDIRECT(ADDRESS(865,20))-INDIRECT(ADDRESS(866,20)))</f>
        <v>0</v>
      </c>
      <c r="U867">
        <f>IF(DAY(NOW())&lt;M3,INDIRECT(ADDRESS(867,20))-INDIRECT(ADDRESS(862,21))+INDIRECT(ADDRESS(863,21))-INDIRECT(ADDRESS(866,21)),INDIRECT(ADDRESS(867,20))-INDIRECT(ADDRESS(862,21))+INDIRECT(ADDRESS(865,21))-INDIRECT(ADDRESS(866,21)))</f>
        <v>0</v>
      </c>
      <c r="V867">
        <f>IF(DAY(NOW())&lt;M3,INDIRECT(ADDRESS(867,21))-INDIRECT(ADDRESS(862,22))+INDIRECT(ADDRESS(863,22))-INDIRECT(ADDRESS(866,22)),INDIRECT(ADDRESS(867,21))-INDIRECT(ADDRESS(862,22))+INDIRECT(ADDRESS(865,22))-INDIRECT(ADDRESS(866,22)))</f>
        <v>0</v>
      </c>
      <c r="W867">
        <f>IF(DAY(NOW())&lt;M3,INDIRECT(ADDRESS(867,22))-INDIRECT(ADDRESS(862,23))+INDIRECT(ADDRESS(863,23))-INDIRECT(ADDRESS(866,23)),INDIRECT(ADDRESS(867,22))-INDIRECT(ADDRESS(862,23))+INDIRECT(ADDRESS(865,23))-INDIRECT(ADDRESS(866,23)))</f>
        <v>0</v>
      </c>
      <c r="X867">
        <f>IF(DAY(NOW())&lt;M3,INDIRECT(ADDRESS(867,23))-INDIRECT(ADDRESS(862,24))+INDIRECT(ADDRESS(863,24))-INDIRECT(ADDRESS(866,24)),INDIRECT(ADDRESS(867,23))-INDIRECT(ADDRESS(862,24))+INDIRECT(ADDRESS(865,24))-INDIRECT(ADDRESS(866,24)))</f>
        <v>0</v>
      </c>
      <c r="Y867">
        <f>IF(DAY(NOW())&lt;M3,INDIRECT(ADDRESS(867,24))-INDIRECT(ADDRESS(862,25))+INDIRECT(ADDRESS(863,25))-INDIRECT(ADDRESS(866,25)),INDIRECT(ADDRESS(867,24))-INDIRECT(ADDRESS(862,25))+INDIRECT(ADDRESS(865,25))-INDIRECT(ADDRESS(866,25)))</f>
        <v>0</v>
      </c>
      <c r="Z867">
        <f>IF(DAY(NOW())&lt;M3,INDIRECT(ADDRESS(867,25))-INDIRECT(ADDRESS(862,26))+INDIRECT(ADDRESS(863,26))-INDIRECT(ADDRESS(866,26)),INDIRECT(ADDRESS(867,25))-INDIRECT(ADDRESS(862,26))+INDIRECT(ADDRESS(865,26))-INDIRECT(ADDRESS(866,26)))</f>
        <v>0</v>
      </c>
      <c r="AA867">
        <f>IF(DAY(NOW())&lt;M3,INDIRECT(ADDRESS(867,26))-INDIRECT(ADDRESS(862,27))+INDIRECT(ADDRESS(863,27))-INDIRECT(ADDRESS(866,27)),INDIRECT(ADDRESS(867,26))-INDIRECT(ADDRESS(862,27))+INDIRECT(ADDRESS(865,27))-INDIRECT(ADDRESS(866,27)))</f>
        <v>0</v>
      </c>
      <c r="AB867">
        <f>IF(DAY(NOW())&lt;M3,INDIRECT(ADDRESS(867,27))-INDIRECT(ADDRESS(862,28))+INDIRECT(ADDRESS(863,28))-INDIRECT(ADDRESS(866,28)),INDIRECT(ADDRESS(867,27))-INDIRECT(ADDRESS(862,28))+INDIRECT(ADDRESS(865,28))-INDIRECT(ADDRESS(866,28)))</f>
        <v>0</v>
      </c>
      <c r="AC867">
        <f>IF(DAY(NOW())&lt;M3,INDIRECT(ADDRESS(867,28))-INDIRECT(ADDRESS(862,29))+INDIRECT(ADDRESS(863,29))-INDIRECT(ADDRESS(866,29)),INDIRECT(ADDRESS(867,28))-INDIRECT(ADDRESS(862,29))+INDIRECT(ADDRESS(865,29))-INDIRECT(ADDRESS(866,29)))</f>
        <v>0</v>
      </c>
      <c r="AD867">
        <f>IF(DAY(NOW())&lt;M3,INDIRECT(ADDRESS(867,29))-INDIRECT(ADDRESS(862,30))+INDIRECT(ADDRESS(863,30))-INDIRECT(ADDRESS(866,30)),INDIRECT(ADDRESS(867,29))-INDIRECT(ADDRESS(862,30))+INDIRECT(ADDRESS(865,30))-INDIRECT(ADDRESS(866,30)))</f>
        <v>0</v>
      </c>
      <c r="AE867">
        <f>IF(DAY(NOW())&lt;M3,INDIRECT(ADDRESS(867,30))-INDIRECT(ADDRESS(862,31))+INDIRECT(ADDRESS(863,31))-INDIRECT(ADDRESS(866,31)),INDIRECT(ADDRESS(867,30))-INDIRECT(ADDRESS(862,31))+INDIRECT(ADDRESS(865,31))-INDIRECT(ADDRESS(866,31)))</f>
        <v>0</v>
      </c>
      <c r="AF867">
        <f>IF(DAY(NOW())&lt;M3,INDIRECT(ADDRESS(867,31))-INDIRECT(ADDRESS(862,32))+INDIRECT(ADDRESS(863,32))-INDIRECT(ADDRESS(866,32)),INDIRECT(ADDRESS(867,31))-INDIRECT(ADDRESS(862,32))+INDIRECT(ADDRESS(865,32))-INDIRECT(ADDRESS(866,32)))</f>
        <v>0</v>
      </c>
      <c r="AG867">
        <f>IF(DAY(NOW())&lt;M3,INDIRECT(ADDRESS(867,32))-INDIRECT(ADDRESS(862,33))+INDIRECT(ADDRESS(863,33))-INDIRECT(ADDRESS(866,33)),INDIRECT(ADDRESS(867,32))-INDIRECT(ADDRESS(862,33))+INDIRECT(ADDRESS(865,33))-INDIRECT(ADDRESS(866,33)))</f>
        <v>0</v>
      </c>
      <c r="AH867">
        <f>IF(DAY(NOW())&lt;M3,INDIRECT(ADDRESS(867,33))-INDIRECT(ADDRESS(862,34))+INDIRECT(ADDRESS(863,34))-INDIRECT(ADDRESS(866,34)),INDIRECT(ADDRESS(867,33))-INDIRECT(ADDRESS(862,34))+INDIRECT(ADDRESS(865,34))-INDIRECT(ADDRESS(866,34)))</f>
        <v>0</v>
      </c>
      <c r="AI867">
        <f>IF(DAY(NOW())&lt;M3,INDIRECT(ADDRESS(867,34))-INDIRECT(ADDRESS(862,35))+INDIRECT(ADDRESS(863,35))-INDIRECT(ADDRESS(866,35)),INDIRECT(ADDRESS(867,34))-INDIRECT(ADDRESS(862,35))+INDIRECT(ADDRESS(865,35))-INDIRECT(ADDRESS(866,35)))</f>
        <v>0</v>
      </c>
      <c r="AJ867">
        <f>IF(DAY(NOW())&lt;M3,INDIRECT(ADDRESS(867,35))-INDIRECT(ADDRESS(862,36))+INDIRECT(ADDRESS(863,36))-INDIRECT(ADDRESS(866,36)),INDIRECT(ADDRESS(867,35))-INDIRECT(ADDRESS(862,36))+INDIRECT(ADDRESS(865,36))-INDIRECT(ADDRESS(866,36)))</f>
        <v>0</v>
      </c>
      <c r="AK867">
        <f>IF(DAY(NOW())&lt;M3,INDIRECT(ADDRESS(867,36))-INDIRECT(ADDRESS(862,37))+INDIRECT(ADDRESS(863,37))-INDIRECT(ADDRESS(866,37)),INDIRECT(ADDRESS(867,36))-INDIRECT(ADDRESS(862,37))+INDIRECT(ADDRESS(865,37))-INDIRECT(ADDRESS(866,37)))</f>
        <v>0</v>
      </c>
      <c r="AL867">
        <f>IF(DAY(NOW())&lt;M3,INDIRECT(ADDRESS(867,37))-INDIRECT(ADDRESS(862,38))+INDIRECT(ADDRESS(863,38))-INDIRECT(ADDRESS(866,38)),INDIRECT(ADDRESS(867,37))-INDIRECT(ADDRESS(862,38))+INDIRECT(ADDRESS(865,38))-INDIRECT(ADDRESS(866,38)))</f>
        <v>0</v>
      </c>
      <c r="AM867">
        <f>IF(DAY(NOW())&lt;M3,INDIRECT(ADDRESS(867,38))-INDIRECT(ADDRESS(862,39))+INDIRECT(ADDRESS(863,39))-INDIRECT(ADDRESS(866,39)),INDIRECT(ADDRESS(867,38))-INDIRECT(ADDRESS(862,39))+INDIRECT(ADDRESS(865,39))-INDIRECT(ADDRESS(866,39)))</f>
        <v>0</v>
      </c>
      <c r="AN867">
        <f>IF(DAY(NOW())&lt;M3,INDIRECT(ADDRESS(867,39))-INDIRECT(ADDRESS(862,40))+INDIRECT(ADDRESS(863,40))-INDIRECT(ADDRESS(866,40)),INDIRECT(ADDRESS(867,39))-INDIRECT(ADDRESS(862,40))+INDIRECT(ADDRESS(865,40))-INDIRECT(ADDRESS(866,40)))</f>
        <v>0</v>
      </c>
      <c r="AO867">
        <f>IF(DAY(NOW())&lt;M3,INDIRECT(ADDRESS(867,40))-INDIRECT(ADDRESS(862,41))+INDIRECT(ADDRESS(863,41))-INDIRECT(ADDRESS(866,41)),INDIRECT(ADDRESS(867,40))-INDIRECT(ADDRESS(862,41))+INDIRECT(ADDRESS(865,41))-INDIRECT(ADDRESS(866,41)))</f>
        <v>0</v>
      </c>
      <c r="AP867">
        <f>IF(DAY(NOW())&lt;M3,INDIRECT(ADDRESS(867,41))-INDIRECT(ADDRESS(862,42))+INDIRECT(ADDRESS(863,42))-INDIRECT(ADDRESS(866,42)),INDIRECT(ADDRESS(867,41))-INDIRECT(ADDRESS(862,42))+INDIRECT(ADDRESS(865,42))-INDIRECT(ADDRESS(866,42)))</f>
        <v>0</v>
      </c>
      <c r="AQ867">
        <f>IF(DAY(NOW())&lt;M3,INDIRECT(ADDRESS(867,42))-INDIRECT(ADDRESS(862,43))+INDIRECT(ADDRESS(863,43))-INDIRECT(ADDRESS(866,43)),INDIRECT(ADDRESS(867,42))-INDIRECT(ADDRESS(862,43))+INDIRECT(ADDRESS(865,43))-INDIRECT(ADDRESS(866,43)))</f>
        <v>0</v>
      </c>
      <c r="AR867">
        <f>IF(DAY(NOW())&lt;M3,INDIRECT(ADDRESS(867,43))-INDIRECT(ADDRESS(862,44))+INDIRECT(ADDRESS(863,44))-INDIRECT(ADDRESS(866,44)),INDIRECT(ADDRESS(867,43))-INDIRECT(ADDRESS(862,44))+INDIRECT(ADDRESS(865,44))-INDIRECT(ADDRESS(866,44)))</f>
        <v>0</v>
      </c>
    </row>
    <row r="868" spans="1:76">
      <c r="A868" t="s">
        <v>31</v>
      </c>
      <c r="B868" t="s">
        <v>393</v>
      </c>
      <c r="C868" t="s">
        <v>394</v>
      </c>
      <c r="D868" t="s">
        <v>17</v>
      </c>
      <c r="E868" t="s">
        <v>36</v>
      </c>
      <c r="F868" t="s">
        <v>395</v>
      </c>
      <c r="K868" t="s">
        <v>308</v>
      </c>
      <c r="L868" t="s">
        <v>21</v>
      </c>
      <c r="M868">
        <f>sumifs(BOM!m:m,BOM!A:A,".1",BOM!B:B,"212-043000-000")</f>
        <v>0</v>
      </c>
      <c r="N868">
        <f>sumifs(BOM!n:n,BOM!A:A,".1",BOM!B:B,"212-043000-000")</f>
        <v>0</v>
      </c>
      <c r="O868">
        <f>sumifs(BOM!o:o,BOM!A:A,".1",BOM!B:B,"212-043000-000")</f>
        <v>0</v>
      </c>
      <c r="P868">
        <f>sumifs(BOM!p:p,BOM!A:A,".1",BOM!B:B,"212-043000-000")</f>
        <v>0</v>
      </c>
      <c r="Q868">
        <f>sumifs(BOM!q:q,BOM!A:A,".1",BOM!B:B,"212-043000-000")</f>
        <v>0</v>
      </c>
      <c r="R868">
        <f>sumifs(BOM!r:r,BOM!A:A,".1",BOM!B:B,"212-043000-000")</f>
        <v>0</v>
      </c>
      <c r="S868">
        <f>sumifs(BOM!s:s,BOM!A:A,".1",BOM!B:B,"212-043000-000")</f>
        <v>0</v>
      </c>
      <c r="T868">
        <f>sumifs(BOM!t:t,BOM!A:A,".1",BOM!B:B,"212-043000-000")</f>
        <v>0</v>
      </c>
      <c r="U868">
        <f>sumifs(BOM!u:u,BOM!A:A,".1",BOM!B:B,"212-043000-000")</f>
        <v>0</v>
      </c>
      <c r="V868">
        <f>sumifs(BOM!v:v,BOM!A:A,".1",BOM!B:B,"212-043000-000")</f>
        <v>0</v>
      </c>
      <c r="W868">
        <f>sumifs(BOM!w:w,BOM!A:A,".1",BOM!B:B,"212-043000-000")</f>
        <v>0</v>
      </c>
      <c r="X868">
        <f>sumifs(BOM!x:x,BOM!A:A,".1",BOM!B:B,"212-043000-000")</f>
        <v>0</v>
      </c>
      <c r="Y868">
        <f>sumifs(BOM!y:y,BOM!A:A,".1",BOM!B:B,"212-043000-000")</f>
        <v>0</v>
      </c>
      <c r="Z868">
        <f>sumifs(BOM!z:z,BOM!A:A,".1",BOM!B:B,"212-043000-000")</f>
        <v>0</v>
      </c>
      <c r="AA868">
        <f>sumifs(BOM!aa:aa,BOM!A:A,".1",BOM!B:B,"212-043000-000")</f>
        <v>0</v>
      </c>
      <c r="AB868">
        <f>sumifs(BOM!ab:ab,BOM!A:A,".1",BOM!B:B,"212-043000-000")</f>
        <v>0</v>
      </c>
      <c r="AC868">
        <f>sumifs(BOM!ac:ac,BOM!A:A,".1",BOM!B:B,"212-043000-000")</f>
        <v>0</v>
      </c>
      <c r="AD868">
        <f>sumifs(BOM!ad:ad,BOM!A:A,".1",BOM!B:B,"212-043000-000")</f>
        <v>0</v>
      </c>
      <c r="AE868">
        <f>sumifs(BOM!ae:ae,BOM!A:A,".1",BOM!B:B,"212-043000-000")</f>
        <v>0</v>
      </c>
      <c r="AF868">
        <f>sumifs(BOM!af:af,BOM!A:A,".1",BOM!B:B,"212-043000-000")</f>
        <v>0</v>
      </c>
      <c r="AG868">
        <f>sumifs(BOM!ag:ag,BOM!A:A,".1",BOM!B:B,"212-043000-000")</f>
        <v>0</v>
      </c>
      <c r="AH868">
        <f>sumifs(BOM!ah:ah,BOM!A:A,".1",BOM!B:B,"212-043000-000")</f>
        <v>0</v>
      </c>
      <c r="AI868">
        <f>sumifs(BOM!ai:ai,BOM!A:A,".1",BOM!B:B,"212-043000-000")</f>
        <v>0</v>
      </c>
      <c r="AJ868">
        <f>sumifs(BOM!aj:aj,BOM!A:A,".1",BOM!B:B,"212-043000-000")</f>
        <v>0</v>
      </c>
      <c r="AK868">
        <f>sumifs(BOM!ak:ak,BOM!A:A,".1",BOM!B:B,"212-043000-000")</f>
        <v>0</v>
      </c>
      <c r="AL868">
        <f>sumifs(BOM!al:al,BOM!A:A,".1",BOM!B:B,"212-043000-000")</f>
        <v>0</v>
      </c>
      <c r="AM868">
        <f>sumifs(BOM!am:am,BOM!A:A,".1",BOM!B:B,"212-043000-000")</f>
        <v>0</v>
      </c>
      <c r="AN868">
        <f>sumifs(BOM!an:an,BOM!A:A,".1",BOM!B:B,"212-043000-000")</f>
        <v>0</v>
      </c>
      <c r="AO868">
        <f>sumifs(BOM!ao:ao,BOM!A:A,".1",BOM!B:B,"212-043000-000")</f>
        <v>0</v>
      </c>
      <c r="AP868">
        <f>sumifs(BOM!ap:ap,BOM!A:A,".1",BOM!B:B,"212-043000-000")</f>
        <v>0</v>
      </c>
      <c r="AQ868">
        <f>sumifs(BOM!aq:aq,BOM!A:A,".1",BOM!B:B,"212-043000-000")</f>
        <v>0</v>
      </c>
      <c r="AR868">
        <f>sumifs(BOM!ar:ar,BOM!A:A,".1",BOM!B:B,"212-043000-000")</f>
        <v>0</v>
      </c>
      <c r="BX868">
        <f>sum(j868:an868)</f>
        <v>0</v>
      </c>
    </row>
    <row r="869" spans="1:76">
      <c r="A869" t="s">
        <v>31</v>
      </c>
      <c r="B869" t="s">
        <v>393</v>
      </c>
      <c r="C869" t="s">
        <v>394</v>
      </c>
      <c r="D869" t="s">
        <v>17</v>
      </c>
      <c r="E869" t="s">
        <v>36</v>
      </c>
      <c r="F869" t="s">
        <v>395</v>
      </c>
      <c r="K869" t="s">
        <v>308</v>
      </c>
      <c r="L869" t="s">
        <v>37</v>
      </c>
    </row>
    <row r="870" spans="1:76">
      <c r="L870" t="s">
        <v>662</v>
      </c>
    </row>
    <row r="871" spans="1:76">
      <c r="L871" t="s">
        <v>663</v>
      </c>
    </row>
    <row r="872" spans="1:76">
      <c r="L872" t="s">
        <v>664</v>
      </c>
    </row>
    <row r="873" spans="1:76">
      <c r="L873" t="s">
        <v>665</v>
      </c>
      <c r="M873">
        <f>IF(DAY(NOW())&lt;M3,INDIRECT(ADDRESS(873,7))-INDIRECT(ADDRESS(868,13))+INDIRECT(ADDRESS(869,13))-INDIRECT(ADDRESS(872,13)),INDIRECT(ADDRESS(873,7))-INDIRECT(ADDRESS(868,13))+INDIRECT(ADDRESS(871,13))-INDIRECT(ADDRESS(872,13)))</f>
        <v>0</v>
      </c>
      <c r="N873">
        <f>IF(DAY(NOW())&lt;M3,INDIRECT(ADDRESS(873,13))-INDIRECT(ADDRESS(868,14))+INDIRECT(ADDRESS(869,14))-INDIRECT(ADDRESS(872,14)),INDIRECT(ADDRESS(873,13))-INDIRECT(ADDRESS(868,14))+INDIRECT(ADDRESS(871,14))-INDIRECT(ADDRESS(872,14)))</f>
        <v>0</v>
      </c>
      <c r="O873">
        <f>IF(DAY(NOW())&lt;M3,INDIRECT(ADDRESS(873,14))-INDIRECT(ADDRESS(868,15))+INDIRECT(ADDRESS(869,15))-INDIRECT(ADDRESS(872,15)),INDIRECT(ADDRESS(873,14))-INDIRECT(ADDRESS(868,15))+INDIRECT(ADDRESS(871,15))-INDIRECT(ADDRESS(872,15)))</f>
        <v>0</v>
      </c>
      <c r="P873">
        <f>IF(DAY(NOW())&lt;M3,INDIRECT(ADDRESS(873,15))-INDIRECT(ADDRESS(868,16))+INDIRECT(ADDRESS(869,16))-INDIRECT(ADDRESS(872,16)),INDIRECT(ADDRESS(873,15))-INDIRECT(ADDRESS(868,16))+INDIRECT(ADDRESS(871,16))-INDIRECT(ADDRESS(872,16)))</f>
        <v>0</v>
      </c>
      <c r="Q873">
        <f>IF(DAY(NOW())&lt;M3,INDIRECT(ADDRESS(873,16))-INDIRECT(ADDRESS(868,17))+INDIRECT(ADDRESS(869,17))-INDIRECT(ADDRESS(872,17)),INDIRECT(ADDRESS(873,16))-INDIRECT(ADDRESS(868,17))+INDIRECT(ADDRESS(871,17))-INDIRECT(ADDRESS(872,17)))</f>
        <v>0</v>
      </c>
      <c r="R873">
        <f>IF(DAY(NOW())&lt;M3,INDIRECT(ADDRESS(873,17))-INDIRECT(ADDRESS(868,18))+INDIRECT(ADDRESS(869,18))-INDIRECT(ADDRESS(872,18)),INDIRECT(ADDRESS(873,17))-INDIRECT(ADDRESS(868,18))+INDIRECT(ADDRESS(871,18))-INDIRECT(ADDRESS(872,18)))</f>
        <v>0</v>
      </c>
      <c r="S873">
        <f>IF(DAY(NOW())&lt;M3,INDIRECT(ADDRESS(873,18))-INDIRECT(ADDRESS(868,19))+INDIRECT(ADDRESS(869,19))-INDIRECT(ADDRESS(872,19)),INDIRECT(ADDRESS(873,18))-INDIRECT(ADDRESS(868,19))+INDIRECT(ADDRESS(871,19))-INDIRECT(ADDRESS(872,19)))</f>
        <v>0</v>
      </c>
      <c r="T873">
        <f>IF(DAY(NOW())&lt;M3,INDIRECT(ADDRESS(873,19))-INDIRECT(ADDRESS(868,20))+INDIRECT(ADDRESS(869,20))-INDIRECT(ADDRESS(872,20)),INDIRECT(ADDRESS(873,19))-INDIRECT(ADDRESS(868,20))+INDIRECT(ADDRESS(871,20))-INDIRECT(ADDRESS(872,20)))</f>
        <v>0</v>
      </c>
      <c r="U873">
        <f>IF(DAY(NOW())&lt;M3,INDIRECT(ADDRESS(873,20))-INDIRECT(ADDRESS(868,21))+INDIRECT(ADDRESS(869,21))-INDIRECT(ADDRESS(872,21)),INDIRECT(ADDRESS(873,20))-INDIRECT(ADDRESS(868,21))+INDIRECT(ADDRESS(871,21))-INDIRECT(ADDRESS(872,21)))</f>
        <v>0</v>
      </c>
      <c r="V873">
        <f>IF(DAY(NOW())&lt;M3,INDIRECT(ADDRESS(873,21))-INDIRECT(ADDRESS(868,22))+INDIRECT(ADDRESS(869,22))-INDIRECT(ADDRESS(872,22)),INDIRECT(ADDRESS(873,21))-INDIRECT(ADDRESS(868,22))+INDIRECT(ADDRESS(871,22))-INDIRECT(ADDRESS(872,22)))</f>
        <v>0</v>
      </c>
      <c r="W873">
        <f>IF(DAY(NOW())&lt;M3,INDIRECT(ADDRESS(873,22))-INDIRECT(ADDRESS(868,23))+INDIRECT(ADDRESS(869,23))-INDIRECT(ADDRESS(872,23)),INDIRECT(ADDRESS(873,22))-INDIRECT(ADDRESS(868,23))+INDIRECT(ADDRESS(871,23))-INDIRECT(ADDRESS(872,23)))</f>
        <v>0</v>
      </c>
      <c r="X873">
        <f>IF(DAY(NOW())&lt;M3,INDIRECT(ADDRESS(873,23))-INDIRECT(ADDRESS(868,24))+INDIRECT(ADDRESS(869,24))-INDIRECT(ADDRESS(872,24)),INDIRECT(ADDRESS(873,23))-INDIRECT(ADDRESS(868,24))+INDIRECT(ADDRESS(871,24))-INDIRECT(ADDRESS(872,24)))</f>
        <v>0</v>
      </c>
      <c r="Y873">
        <f>IF(DAY(NOW())&lt;M3,INDIRECT(ADDRESS(873,24))-INDIRECT(ADDRESS(868,25))+INDIRECT(ADDRESS(869,25))-INDIRECT(ADDRESS(872,25)),INDIRECT(ADDRESS(873,24))-INDIRECT(ADDRESS(868,25))+INDIRECT(ADDRESS(871,25))-INDIRECT(ADDRESS(872,25)))</f>
        <v>0</v>
      </c>
      <c r="Z873">
        <f>IF(DAY(NOW())&lt;M3,INDIRECT(ADDRESS(873,25))-INDIRECT(ADDRESS(868,26))+INDIRECT(ADDRESS(869,26))-INDIRECT(ADDRESS(872,26)),INDIRECT(ADDRESS(873,25))-INDIRECT(ADDRESS(868,26))+INDIRECT(ADDRESS(871,26))-INDIRECT(ADDRESS(872,26)))</f>
        <v>0</v>
      </c>
      <c r="AA873">
        <f>IF(DAY(NOW())&lt;M3,INDIRECT(ADDRESS(873,26))-INDIRECT(ADDRESS(868,27))+INDIRECT(ADDRESS(869,27))-INDIRECT(ADDRESS(872,27)),INDIRECT(ADDRESS(873,26))-INDIRECT(ADDRESS(868,27))+INDIRECT(ADDRESS(871,27))-INDIRECT(ADDRESS(872,27)))</f>
        <v>0</v>
      </c>
      <c r="AB873">
        <f>IF(DAY(NOW())&lt;M3,INDIRECT(ADDRESS(873,27))-INDIRECT(ADDRESS(868,28))+INDIRECT(ADDRESS(869,28))-INDIRECT(ADDRESS(872,28)),INDIRECT(ADDRESS(873,27))-INDIRECT(ADDRESS(868,28))+INDIRECT(ADDRESS(871,28))-INDIRECT(ADDRESS(872,28)))</f>
        <v>0</v>
      </c>
      <c r="AC873">
        <f>IF(DAY(NOW())&lt;M3,INDIRECT(ADDRESS(873,28))-INDIRECT(ADDRESS(868,29))+INDIRECT(ADDRESS(869,29))-INDIRECT(ADDRESS(872,29)),INDIRECT(ADDRESS(873,28))-INDIRECT(ADDRESS(868,29))+INDIRECT(ADDRESS(871,29))-INDIRECT(ADDRESS(872,29)))</f>
        <v>0</v>
      </c>
      <c r="AD873">
        <f>IF(DAY(NOW())&lt;M3,INDIRECT(ADDRESS(873,29))-INDIRECT(ADDRESS(868,30))+INDIRECT(ADDRESS(869,30))-INDIRECT(ADDRESS(872,30)),INDIRECT(ADDRESS(873,29))-INDIRECT(ADDRESS(868,30))+INDIRECT(ADDRESS(871,30))-INDIRECT(ADDRESS(872,30)))</f>
        <v>0</v>
      </c>
      <c r="AE873">
        <f>IF(DAY(NOW())&lt;M3,INDIRECT(ADDRESS(873,30))-INDIRECT(ADDRESS(868,31))+INDIRECT(ADDRESS(869,31))-INDIRECT(ADDRESS(872,31)),INDIRECT(ADDRESS(873,30))-INDIRECT(ADDRESS(868,31))+INDIRECT(ADDRESS(871,31))-INDIRECT(ADDRESS(872,31)))</f>
        <v>0</v>
      </c>
      <c r="AF873">
        <f>IF(DAY(NOW())&lt;M3,INDIRECT(ADDRESS(873,31))-INDIRECT(ADDRESS(868,32))+INDIRECT(ADDRESS(869,32))-INDIRECT(ADDRESS(872,32)),INDIRECT(ADDRESS(873,31))-INDIRECT(ADDRESS(868,32))+INDIRECT(ADDRESS(871,32))-INDIRECT(ADDRESS(872,32)))</f>
        <v>0</v>
      </c>
      <c r="AG873">
        <f>IF(DAY(NOW())&lt;M3,INDIRECT(ADDRESS(873,32))-INDIRECT(ADDRESS(868,33))+INDIRECT(ADDRESS(869,33))-INDIRECT(ADDRESS(872,33)),INDIRECT(ADDRESS(873,32))-INDIRECT(ADDRESS(868,33))+INDIRECT(ADDRESS(871,33))-INDIRECT(ADDRESS(872,33)))</f>
        <v>0</v>
      </c>
      <c r="AH873">
        <f>IF(DAY(NOW())&lt;M3,INDIRECT(ADDRESS(873,33))-INDIRECT(ADDRESS(868,34))+INDIRECT(ADDRESS(869,34))-INDIRECT(ADDRESS(872,34)),INDIRECT(ADDRESS(873,33))-INDIRECT(ADDRESS(868,34))+INDIRECT(ADDRESS(871,34))-INDIRECT(ADDRESS(872,34)))</f>
        <v>0</v>
      </c>
      <c r="AI873">
        <f>IF(DAY(NOW())&lt;M3,INDIRECT(ADDRESS(873,34))-INDIRECT(ADDRESS(868,35))+INDIRECT(ADDRESS(869,35))-INDIRECT(ADDRESS(872,35)),INDIRECT(ADDRESS(873,34))-INDIRECT(ADDRESS(868,35))+INDIRECT(ADDRESS(871,35))-INDIRECT(ADDRESS(872,35)))</f>
        <v>0</v>
      </c>
      <c r="AJ873">
        <f>IF(DAY(NOW())&lt;M3,INDIRECT(ADDRESS(873,35))-INDIRECT(ADDRESS(868,36))+INDIRECT(ADDRESS(869,36))-INDIRECT(ADDRESS(872,36)),INDIRECT(ADDRESS(873,35))-INDIRECT(ADDRESS(868,36))+INDIRECT(ADDRESS(871,36))-INDIRECT(ADDRESS(872,36)))</f>
        <v>0</v>
      </c>
      <c r="AK873">
        <f>IF(DAY(NOW())&lt;M3,INDIRECT(ADDRESS(873,36))-INDIRECT(ADDRESS(868,37))+INDIRECT(ADDRESS(869,37))-INDIRECT(ADDRESS(872,37)),INDIRECT(ADDRESS(873,36))-INDIRECT(ADDRESS(868,37))+INDIRECT(ADDRESS(871,37))-INDIRECT(ADDRESS(872,37)))</f>
        <v>0</v>
      </c>
      <c r="AL873">
        <f>IF(DAY(NOW())&lt;M3,INDIRECT(ADDRESS(873,37))-INDIRECT(ADDRESS(868,38))+INDIRECT(ADDRESS(869,38))-INDIRECT(ADDRESS(872,38)),INDIRECT(ADDRESS(873,37))-INDIRECT(ADDRESS(868,38))+INDIRECT(ADDRESS(871,38))-INDIRECT(ADDRESS(872,38)))</f>
        <v>0</v>
      </c>
      <c r="AM873">
        <f>IF(DAY(NOW())&lt;M3,INDIRECT(ADDRESS(873,38))-INDIRECT(ADDRESS(868,39))+INDIRECT(ADDRESS(869,39))-INDIRECT(ADDRESS(872,39)),INDIRECT(ADDRESS(873,38))-INDIRECT(ADDRESS(868,39))+INDIRECT(ADDRESS(871,39))-INDIRECT(ADDRESS(872,39)))</f>
        <v>0</v>
      </c>
      <c r="AN873">
        <f>IF(DAY(NOW())&lt;M3,INDIRECT(ADDRESS(873,39))-INDIRECT(ADDRESS(868,40))+INDIRECT(ADDRESS(869,40))-INDIRECT(ADDRESS(872,40)),INDIRECT(ADDRESS(873,39))-INDIRECT(ADDRESS(868,40))+INDIRECT(ADDRESS(871,40))-INDIRECT(ADDRESS(872,40)))</f>
        <v>0</v>
      </c>
      <c r="AO873">
        <f>IF(DAY(NOW())&lt;M3,INDIRECT(ADDRESS(873,40))-INDIRECT(ADDRESS(868,41))+INDIRECT(ADDRESS(869,41))-INDIRECT(ADDRESS(872,41)),INDIRECT(ADDRESS(873,40))-INDIRECT(ADDRESS(868,41))+INDIRECT(ADDRESS(871,41))-INDIRECT(ADDRESS(872,41)))</f>
        <v>0</v>
      </c>
      <c r="AP873">
        <f>IF(DAY(NOW())&lt;M3,INDIRECT(ADDRESS(873,41))-INDIRECT(ADDRESS(868,42))+INDIRECT(ADDRESS(869,42))-INDIRECT(ADDRESS(872,42)),INDIRECT(ADDRESS(873,41))-INDIRECT(ADDRESS(868,42))+INDIRECT(ADDRESS(871,42))-INDIRECT(ADDRESS(872,42)))</f>
        <v>0</v>
      </c>
      <c r="AQ873">
        <f>IF(DAY(NOW())&lt;M3,INDIRECT(ADDRESS(873,42))-INDIRECT(ADDRESS(868,43))+INDIRECT(ADDRESS(869,43))-INDIRECT(ADDRESS(872,43)),INDIRECT(ADDRESS(873,42))-INDIRECT(ADDRESS(868,43))+INDIRECT(ADDRESS(871,43))-INDIRECT(ADDRESS(872,43)))</f>
        <v>0</v>
      </c>
      <c r="AR873">
        <f>IF(DAY(NOW())&lt;M3,INDIRECT(ADDRESS(873,43))-INDIRECT(ADDRESS(868,44))+INDIRECT(ADDRESS(869,44))-INDIRECT(ADDRESS(872,44)),INDIRECT(ADDRESS(873,43))-INDIRECT(ADDRESS(868,44))+INDIRECT(ADDRESS(871,44))-INDIRECT(ADDRESS(872,44)))</f>
        <v>0</v>
      </c>
    </row>
    <row r="874" spans="1:76">
      <c r="A874" t="s">
        <v>14</v>
      </c>
      <c r="B874" t="s">
        <v>192</v>
      </c>
      <c r="C874" t="s">
        <v>193</v>
      </c>
      <c r="D874" t="s">
        <v>17</v>
      </c>
      <c r="E874">
        <v>1</v>
      </c>
      <c r="F874" t="s">
        <v>194</v>
      </c>
      <c r="K874" t="s">
        <v>305</v>
      </c>
      <c r="L874" t="s">
        <v>21</v>
      </c>
      <c r="BX874">
        <f>sum(j874:an874)</f>
        <v>0</v>
      </c>
    </row>
    <row r="875" spans="1:76">
      <c r="A875" t="s">
        <v>14</v>
      </c>
      <c r="B875" t="s">
        <v>192</v>
      </c>
      <c r="C875" t="s">
        <v>193</v>
      </c>
      <c r="D875" t="s">
        <v>17</v>
      </c>
      <c r="E875">
        <v>1</v>
      </c>
      <c r="F875" t="s">
        <v>194</v>
      </c>
      <c r="K875" t="s">
        <v>305</v>
      </c>
      <c r="L875" t="s">
        <v>37</v>
      </c>
    </row>
    <row r="876" spans="1:76">
      <c r="L876" t="s">
        <v>662</v>
      </c>
    </row>
    <row r="877" spans="1:76">
      <c r="L877" t="s">
        <v>663</v>
      </c>
    </row>
    <row r="878" spans="1:76">
      <c r="L878" t="s">
        <v>664</v>
      </c>
    </row>
    <row r="879" spans="1:76">
      <c r="L879" t="s">
        <v>665</v>
      </c>
      <c r="M879">
        <f>IF(DAY(NOW())&lt;M3,INDIRECT(ADDRESS(879,7))-INDIRECT(ADDRESS(874,13))+INDIRECT(ADDRESS(875,13))-INDIRECT(ADDRESS(878,13)),INDIRECT(ADDRESS(879,7))-INDIRECT(ADDRESS(874,13))+INDIRECT(ADDRESS(877,13))-INDIRECT(ADDRESS(878,13)))</f>
        <v>0</v>
      </c>
      <c r="N879">
        <f>IF(DAY(NOW())&lt;M3,INDIRECT(ADDRESS(879,13))-INDIRECT(ADDRESS(874,14))+INDIRECT(ADDRESS(875,14))-INDIRECT(ADDRESS(878,14)),INDIRECT(ADDRESS(879,13))-INDIRECT(ADDRESS(874,14))+INDIRECT(ADDRESS(877,14))-INDIRECT(ADDRESS(878,14)))</f>
        <v>0</v>
      </c>
      <c r="O879">
        <f>IF(DAY(NOW())&lt;M3,INDIRECT(ADDRESS(879,14))-INDIRECT(ADDRESS(874,15))+INDIRECT(ADDRESS(875,15))-INDIRECT(ADDRESS(878,15)),INDIRECT(ADDRESS(879,14))-INDIRECT(ADDRESS(874,15))+INDIRECT(ADDRESS(877,15))-INDIRECT(ADDRESS(878,15)))</f>
        <v>0</v>
      </c>
      <c r="P879">
        <f>IF(DAY(NOW())&lt;M3,INDIRECT(ADDRESS(879,15))-INDIRECT(ADDRESS(874,16))+INDIRECT(ADDRESS(875,16))-INDIRECT(ADDRESS(878,16)),INDIRECT(ADDRESS(879,15))-INDIRECT(ADDRESS(874,16))+INDIRECT(ADDRESS(877,16))-INDIRECT(ADDRESS(878,16)))</f>
        <v>0</v>
      </c>
      <c r="Q879">
        <f>IF(DAY(NOW())&lt;M3,INDIRECT(ADDRESS(879,16))-INDIRECT(ADDRESS(874,17))+INDIRECT(ADDRESS(875,17))-INDIRECT(ADDRESS(878,17)),INDIRECT(ADDRESS(879,16))-INDIRECT(ADDRESS(874,17))+INDIRECT(ADDRESS(877,17))-INDIRECT(ADDRESS(878,17)))</f>
        <v>0</v>
      </c>
      <c r="R879">
        <f>IF(DAY(NOW())&lt;M3,INDIRECT(ADDRESS(879,17))-INDIRECT(ADDRESS(874,18))+INDIRECT(ADDRESS(875,18))-INDIRECT(ADDRESS(878,18)),INDIRECT(ADDRESS(879,17))-INDIRECT(ADDRESS(874,18))+INDIRECT(ADDRESS(877,18))-INDIRECT(ADDRESS(878,18)))</f>
        <v>0</v>
      </c>
      <c r="S879">
        <f>IF(DAY(NOW())&lt;M3,INDIRECT(ADDRESS(879,18))-INDIRECT(ADDRESS(874,19))+INDIRECT(ADDRESS(875,19))-INDIRECT(ADDRESS(878,19)),INDIRECT(ADDRESS(879,18))-INDIRECT(ADDRESS(874,19))+INDIRECT(ADDRESS(877,19))-INDIRECT(ADDRESS(878,19)))</f>
        <v>0</v>
      </c>
      <c r="T879">
        <f>IF(DAY(NOW())&lt;M3,INDIRECT(ADDRESS(879,19))-INDIRECT(ADDRESS(874,20))+INDIRECT(ADDRESS(875,20))-INDIRECT(ADDRESS(878,20)),INDIRECT(ADDRESS(879,19))-INDIRECT(ADDRESS(874,20))+INDIRECT(ADDRESS(877,20))-INDIRECT(ADDRESS(878,20)))</f>
        <v>0</v>
      </c>
      <c r="U879">
        <f>IF(DAY(NOW())&lt;M3,INDIRECT(ADDRESS(879,20))-INDIRECT(ADDRESS(874,21))+INDIRECT(ADDRESS(875,21))-INDIRECT(ADDRESS(878,21)),INDIRECT(ADDRESS(879,20))-INDIRECT(ADDRESS(874,21))+INDIRECT(ADDRESS(877,21))-INDIRECT(ADDRESS(878,21)))</f>
        <v>0</v>
      </c>
      <c r="V879">
        <f>IF(DAY(NOW())&lt;M3,INDIRECT(ADDRESS(879,21))-INDIRECT(ADDRESS(874,22))+INDIRECT(ADDRESS(875,22))-INDIRECT(ADDRESS(878,22)),INDIRECT(ADDRESS(879,21))-INDIRECT(ADDRESS(874,22))+INDIRECT(ADDRESS(877,22))-INDIRECT(ADDRESS(878,22)))</f>
        <v>0</v>
      </c>
      <c r="W879">
        <f>IF(DAY(NOW())&lt;M3,INDIRECT(ADDRESS(879,22))-INDIRECT(ADDRESS(874,23))+INDIRECT(ADDRESS(875,23))-INDIRECT(ADDRESS(878,23)),INDIRECT(ADDRESS(879,22))-INDIRECT(ADDRESS(874,23))+INDIRECT(ADDRESS(877,23))-INDIRECT(ADDRESS(878,23)))</f>
        <v>0</v>
      </c>
      <c r="X879">
        <f>IF(DAY(NOW())&lt;M3,INDIRECT(ADDRESS(879,23))-INDIRECT(ADDRESS(874,24))+INDIRECT(ADDRESS(875,24))-INDIRECT(ADDRESS(878,24)),INDIRECT(ADDRESS(879,23))-INDIRECT(ADDRESS(874,24))+INDIRECT(ADDRESS(877,24))-INDIRECT(ADDRESS(878,24)))</f>
        <v>0</v>
      </c>
      <c r="Y879">
        <f>IF(DAY(NOW())&lt;M3,INDIRECT(ADDRESS(879,24))-INDIRECT(ADDRESS(874,25))+INDIRECT(ADDRESS(875,25))-INDIRECT(ADDRESS(878,25)),INDIRECT(ADDRESS(879,24))-INDIRECT(ADDRESS(874,25))+INDIRECT(ADDRESS(877,25))-INDIRECT(ADDRESS(878,25)))</f>
        <v>0</v>
      </c>
      <c r="Z879">
        <f>IF(DAY(NOW())&lt;M3,INDIRECT(ADDRESS(879,25))-INDIRECT(ADDRESS(874,26))+INDIRECT(ADDRESS(875,26))-INDIRECT(ADDRESS(878,26)),INDIRECT(ADDRESS(879,25))-INDIRECT(ADDRESS(874,26))+INDIRECT(ADDRESS(877,26))-INDIRECT(ADDRESS(878,26)))</f>
        <v>0</v>
      </c>
      <c r="AA879">
        <f>IF(DAY(NOW())&lt;M3,INDIRECT(ADDRESS(879,26))-INDIRECT(ADDRESS(874,27))+INDIRECT(ADDRESS(875,27))-INDIRECT(ADDRESS(878,27)),INDIRECT(ADDRESS(879,26))-INDIRECT(ADDRESS(874,27))+INDIRECT(ADDRESS(877,27))-INDIRECT(ADDRESS(878,27)))</f>
        <v>0</v>
      </c>
      <c r="AB879">
        <f>IF(DAY(NOW())&lt;M3,INDIRECT(ADDRESS(879,27))-INDIRECT(ADDRESS(874,28))+INDIRECT(ADDRESS(875,28))-INDIRECT(ADDRESS(878,28)),INDIRECT(ADDRESS(879,27))-INDIRECT(ADDRESS(874,28))+INDIRECT(ADDRESS(877,28))-INDIRECT(ADDRESS(878,28)))</f>
        <v>0</v>
      </c>
      <c r="AC879">
        <f>IF(DAY(NOW())&lt;M3,INDIRECT(ADDRESS(879,28))-INDIRECT(ADDRESS(874,29))+INDIRECT(ADDRESS(875,29))-INDIRECT(ADDRESS(878,29)),INDIRECT(ADDRESS(879,28))-INDIRECT(ADDRESS(874,29))+INDIRECT(ADDRESS(877,29))-INDIRECT(ADDRESS(878,29)))</f>
        <v>0</v>
      </c>
      <c r="AD879">
        <f>IF(DAY(NOW())&lt;M3,INDIRECT(ADDRESS(879,29))-INDIRECT(ADDRESS(874,30))+INDIRECT(ADDRESS(875,30))-INDIRECT(ADDRESS(878,30)),INDIRECT(ADDRESS(879,29))-INDIRECT(ADDRESS(874,30))+INDIRECT(ADDRESS(877,30))-INDIRECT(ADDRESS(878,30)))</f>
        <v>0</v>
      </c>
      <c r="AE879">
        <f>IF(DAY(NOW())&lt;M3,INDIRECT(ADDRESS(879,30))-INDIRECT(ADDRESS(874,31))+INDIRECT(ADDRESS(875,31))-INDIRECT(ADDRESS(878,31)),INDIRECT(ADDRESS(879,30))-INDIRECT(ADDRESS(874,31))+INDIRECT(ADDRESS(877,31))-INDIRECT(ADDRESS(878,31)))</f>
        <v>0</v>
      </c>
      <c r="AF879">
        <f>IF(DAY(NOW())&lt;M3,INDIRECT(ADDRESS(879,31))-INDIRECT(ADDRESS(874,32))+INDIRECT(ADDRESS(875,32))-INDIRECT(ADDRESS(878,32)),INDIRECT(ADDRESS(879,31))-INDIRECT(ADDRESS(874,32))+INDIRECT(ADDRESS(877,32))-INDIRECT(ADDRESS(878,32)))</f>
        <v>0</v>
      </c>
      <c r="AG879">
        <f>IF(DAY(NOW())&lt;M3,INDIRECT(ADDRESS(879,32))-INDIRECT(ADDRESS(874,33))+INDIRECT(ADDRESS(875,33))-INDIRECT(ADDRESS(878,33)),INDIRECT(ADDRESS(879,32))-INDIRECT(ADDRESS(874,33))+INDIRECT(ADDRESS(877,33))-INDIRECT(ADDRESS(878,33)))</f>
        <v>0</v>
      </c>
      <c r="AH879">
        <f>IF(DAY(NOW())&lt;M3,INDIRECT(ADDRESS(879,33))-INDIRECT(ADDRESS(874,34))+INDIRECT(ADDRESS(875,34))-INDIRECT(ADDRESS(878,34)),INDIRECT(ADDRESS(879,33))-INDIRECT(ADDRESS(874,34))+INDIRECT(ADDRESS(877,34))-INDIRECT(ADDRESS(878,34)))</f>
        <v>0</v>
      </c>
      <c r="AI879">
        <f>IF(DAY(NOW())&lt;M3,INDIRECT(ADDRESS(879,34))-INDIRECT(ADDRESS(874,35))+INDIRECT(ADDRESS(875,35))-INDIRECT(ADDRESS(878,35)),INDIRECT(ADDRESS(879,34))-INDIRECT(ADDRESS(874,35))+INDIRECT(ADDRESS(877,35))-INDIRECT(ADDRESS(878,35)))</f>
        <v>0</v>
      </c>
      <c r="AJ879">
        <f>IF(DAY(NOW())&lt;M3,INDIRECT(ADDRESS(879,35))-INDIRECT(ADDRESS(874,36))+INDIRECT(ADDRESS(875,36))-INDIRECT(ADDRESS(878,36)),INDIRECT(ADDRESS(879,35))-INDIRECT(ADDRESS(874,36))+INDIRECT(ADDRESS(877,36))-INDIRECT(ADDRESS(878,36)))</f>
        <v>0</v>
      </c>
      <c r="AK879">
        <f>IF(DAY(NOW())&lt;M3,INDIRECT(ADDRESS(879,36))-INDIRECT(ADDRESS(874,37))+INDIRECT(ADDRESS(875,37))-INDIRECT(ADDRESS(878,37)),INDIRECT(ADDRESS(879,36))-INDIRECT(ADDRESS(874,37))+INDIRECT(ADDRESS(877,37))-INDIRECT(ADDRESS(878,37)))</f>
        <v>0</v>
      </c>
      <c r="AL879">
        <f>IF(DAY(NOW())&lt;M3,INDIRECT(ADDRESS(879,37))-INDIRECT(ADDRESS(874,38))+INDIRECT(ADDRESS(875,38))-INDIRECT(ADDRESS(878,38)),INDIRECT(ADDRESS(879,37))-INDIRECT(ADDRESS(874,38))+INDIRECT(ADDRESS(877,38))-INDIRECT(ADDRESS(878,38)))</f>
        <v>0</v>
      </c>
      <c r="AM879">
        <f>IF(DAY(NOW())&lt;M3,INDIRECT(ADDRESS(879,38))-INDIRECT(ADDRESS(874,39))+INDIRECT(ADDRESS(875,39))-INDIRECT(ADDRESS(878,39)),INDIRECT(ADDRESS(879,38))-INDIRECT(ADDRESS(874,39))+INDIRECT(ADDRESS(877,39))-INDIRECT(ADDRESS(878,39)))</f>
        <v>0</v>
      </c>
      <c r="AN879">
        <f>IF(DAY(NOW())&lt;M3,INDIRECT(ADDRESS(879,39))-INDIRECT(ADDRESS(874,40))+INDIRECT(ADDRESS(875,40))-INDIRECT(ADDRESS(878,40)),INDIRECT(ADDRESS(879,39))-INDIRECT(ADDRESS(874,40))+INDIRECT(ADDRESS(877,40))-INDIRECT(ADDRESS(878,40)))</f>
        <v>0</v>
      </c>
      <c r="AO879">
        <f>IF(DAY(NOW())&lt;M3,INDIRECT(ADDRESS(879,40))-INDIRECT(ADDRESS(874,41))+INDIRECT(ADDRESS(875,41))-INDIRECT(ADDRESS(878,41)),INDIRECT(ADDRESS(879,40))-INDIRECT(ADDRESS(874,41))+INDIRECT(ADDRESS(877,41))-INDIRECT(ADDRESS(878,41)))</f>
        <v>0</v>
      </c>
      <c r="AP879">
        <f>IF(DAY(NOW())&lt;M3,INDIRECT(ADDRESS(879,41))-INDIRECT(ADDRESS(874,42))+INDIRECT(ADDRESS(875,42))-INDIRECT(ADDRESS(878,42)),INDIRECT(ADDRESS(879,41))-INDIRECT(ADDRESS(874,42))+INDIRECT(ADDRESS(877,42))-INDIRECT(ADDRESS(878,42)))</f>
        <v>0</v>
      </c>
      <c r="AQ879">
        <f>IF(DAY(NOW())&lt;M3,INDIRECT(ADDRESS(879,42))-INDIRECT(ADDRESS(874,43))+INDIRECT(ADDRESS(875,43))-INDIRECT(ADDRESS(878,43)),INDIRECT(ADDRESS(879,42))-INDIRECT(ADDRESS(874,43))+INDIRECT(ADDRESS(877,43))-INDIRECT(ADDRESS(878,43)))</f>
        <v>0</v>
      </c>
      <c r="AR879">
        <f>IF(DAY(NOW())&lt;M3,INDIRECT(ADDRESS(879,43))-INDIRECT(ADDRESS(874,44))+INDIRECT(ADDRESS(875,44))-INDIRECT(ADDRESS(878,44)),INDIRECT(ADDRESS(879,43))-INDIRECT(ADDRESS(874,44))+INDIRECT(ADDRESS(877,44))-INDIRECT(ADDRESS(878,44)))</f>
        <v>0</v>
      </c>
    </row>
    <row r="880" spans="1:76">
      <c r="A880" t="s">
        <v>14</v>
      </c>
      <c r="B880" t="s">
        <v>195</v>
      </c>
      <c r="C880" t="s">
        <v>196</v>
      </c>
      <c r="D880" t="s">
        <v>17</v>
      </c>
      <c r="E880">
        <v>1</v>
      </c>
      <c r="F880" t="s">
        <v>197</v>
      </c>
      <c r="K880" t="s">
        <v>305</v>
      </c>
      <c r="L880" t="s">
        <v>21</v>
      </c>
      <c r="BX880">
        <f>sum(j880:an880)</f>
        <v>0</v>
      </c>
    </row>
    <row r="881" spans="1:76">
      <c r="A881" t="s">
        <v>14</v>
      </c>
      <c r="B881" t="s">
        <v>195</v>
      </c>
      <c r="C881" t="s">
        <v>196</v>
      </c>
      <c r="D881" t="s">
        <v>17</v>
      </c>
      <c r="E881">
        <v>1</v>
      </c>
      <c r="F881" t="s">
        <v>197</v>
      </c>
      <c r="K881" t="s">
        <v>305</v>
      </c>
      <c r="L881" t="s">
        <v>37</v>
      </c>
    </row>
    <row r="882" spans="1:76">
      <c r="L882" t="s">
        <v>662</v>
      </c>
    </row>
    <row r="883" spans="1:76">
      <c r="L883" t="s">
        <v>663</v>
      </c>
    </row>
    <row r="884" spans="1:76">
      <c r="L884" t="s">
        <v>664</v>
      </c>
    </row>
    <row r="885" spans="1:76">
      <c r="L885" t="s">
        <v>665</v>
      </c>
      <c r="M885">
        <f>IF(DAY(NOW())&lt;M3,INDIRECT(ADDRESS(885,7))-INDIRECT(ADDRESS(880,13))+INDIRECT(ADDRESS(881,13))-INDIRECT(ADDRESS(884,13)),INDIRECT(ADDRESS(885,7))-INDIRECT(ADDRESS(880,13))+INDIRECT(ADDRESS(883,13))-INDIRECT(ADDRESS(884,13)))</f>
        <v>0</v>
      </c>
      <c r="N885">
        <f>IF(DAY(NOW())&lt;M3,INDIRECT(ADDRESS(885,13))-INDIRECT(ADDRESS(880,14))+INDIRECT(ADDRESS(881,14))-INDIRECT(ADDRESS(884,14)),INDIRECT(ADDRESS(885,13))-INDIRECT(ADDRESS(880,14))+INDIRECT(ADDRESS(883,14))-INDIRECT(ADDRESS(884,14)))</f>
        <v>0</v>
      </c>
      <c r="O885">
        <f>IF(DAY(NOW())&lt;M3,INDIRECT(ADDRESS(885,14))-INDIRECT(ADDRESS(880,15))+INDIRECT(ADDRESS(881,15))-INDIRECT(ADDRESS(884,15)),INDIRECT(ADDRESS(885,14))-INDIRECT(ADDRESS(880,15))+INDIRECT(ADDRESS(883,15))-INDIRECT(ADDRESS(884,15)))</f>
        <v>0</v>
      </c>
      <c r="P885">
        <f>IF(DAY(NOW())&lt;M3,INDIRECT(ADDRESS(885,15))-INDIRECT(ADDRESS(880,16))+INDIRECT(ADDRESS(881,16))-INDIRECT(ADDRESS(884,16)),INDIRECT(ADDRESS(885,15))-INDIRECT(ADDRESS(880,16))+INDIRECT(ADDRESS(883,16))-INDIRECT(ADDRESS(884,16)))</f>
        <v>0</v>
      </c>
      <c r="Q885">
        <f>IF(DAY(NOW())&lt;M3,INDIRECT(ADDRESS(885,16))-INDIRECT(ADDRESS(880,17))+INDIRECT(ADDRESS(881,17))-INDIRECT(ADDRESS(884,17)),INDIRECT(ADDRESS(885,16))-INDIRECT(ADDRESS(880,17))+INDIRECT(ADDRESS(883,17))-INDIRECT(ADDRESS(884,17)))</f>
        <v>0</v>
      </c>
      <c r="R885">
        <f>IF(DAY(NOW())&lt;M3,INDIRECT(ADDRESS(885,17))-INDIRECT(ADDRESS(880,18))+INDIRECT(ADDRESS(881,18))-INDIRECT(ADDRESS(884,18)),INDIRECT(ADDRESS(885,17))-INDIRECT(ADDRESS(880,18))+INDIRECT(ADDRESS(883,18))-INDIRECT(ADDRESS(884,18)))</f>
        <v>0</v>
      </c>
      <c r="S885">
        <f>IF(DAY(NOW())&lt;M3,INDIRECT(ADDRESS(885,18))-INDIRECT(ADDRESS(880,19))+INDIRECT(ADDRESS(881,19))-INDIRECT(ADDRESS(884,19)),INDIRECT(ADDRESS(885,18))-INDIRECT(ADDRESS(880,19))+INDIRECT(ADDRESS(883,19))-INDIRECT(ADDRESS(884,19)))</f>
        <v>0</v>
      </c>
      <c r="T885">
        <f>IF(DAY(NOW())&lt;M3,INDIRECT(ADDRESS(885,19))-INDIRECT(ADDRESS(880,20))+INDIRECT(ADDRESS(881,20))-INDIRECT(ADDRESS(884,20)),INDIRECT(ADDRESS(885,19))-INDIRECT(ADDRESS(880,20))+INDIRECT(ADDRESS(883,20))-INDIRECT(ADDRESS(884,20)))</f>
        <v>0</v>
      </c>
      <c r="U885">
        <f>IF(DAY(NOW())&lt;M3,INDIRECT(ADDRESS(885,20))-INDIRECT(ADDRESS(880,21))+INDIRECT(ADDRESS(881,21))-INDIRECT(ADDRESS(884,21)),INDIRECT(ADDRESS(885,20))-INDIRECT(ADDRESS(880,21))+INDIRECT(ADDRESS(883,21))-INDIRECT(ADDRESS(884,21)))</f>
        <v>0</v>
      </c>
      <c r="V885">
        <f>IF(DAY(NOW())&lt;M3,INDIRECT(ADDRESS(885,21))-INDIRECT(ADDRESS(880,22))+INDIRECT(ADDRESS(881,22))-INDIRECT(ADDRESS(884,22)),INDIRECT(ADDRESS(885,21))-INDIRECT(ADDRESS(880,22))+INDIRECT(ADDRESS(883,22))-INDIRECT(ADDRESS(884,22)))</f>
        <v>0</v>
      </c>
      <c r="W885">
        <f>IF(DAY(NOW())&lt;M3,INDIRECT(ADDRESS(885,22))-INDIRECT(ADDRESS(880,23))+INDIRECT(ADDRESS(881,23))-INDIRECT(ADDRESS(884,23)),INDIRECT(ADDRESS(885,22))-INDIRECT(ADDRESS(880,23))+INDIRECT(ADDRESS(883,23))-INDIRECT(ADDRESS(884,23)))</f>
        <v>0</v>
      </c>
      <c r="X885">
        <f>IF(DAY(NOW())&lt;M3,INDIRECT(ADDRESS(885,23))-INDIRECT(ADDRESS(880,24))+INDIRECT(ADDRESS(881,24))-INDIRECT(ADDRESS(884,24)),INDIRECT(ADDRESS(885,23))-INDIRECT(ADDRESS(880,24))+INDIRECT(ADDRESS(883,24))-INDIRECT(ADDRESS(884,24)))</f>
        <v>0</v>
      </c>
      <c r="Y885">
        <f>IF(DAY(NOW())&lt;M3,INDIRECT(ADDRESS(885,24))-INDIRECT(ADDRESS(880,25))+INDIRECT(ADDRESS(881,25))-INDIRECT(ADDRESS(884,25)),INDIRECT(ADDRESS(885,24))-INDIRECT(ADDRESS(880,25))+INDIRECT(ADDRESS(883,25))-INDIRECT(ADDRESS(884,25)))</f>
        <v>0</v>
      </c>
      <c r="Z885">
        <f>IF(DAY(NOW())&lt;M3,INDIRECT(ADDRESS(885,25))-INDIRECT(ADDRESS(880,26))+INDIRECT(ADDRESS(881,26))-INDIRECT(ADDRESS(884,26)),INDIRECT(ADDRESS(885,25))-INDIRECT(ADDRESS(880,26))+INDIRECT(ADDRESS(883,26))-INDIRECT(ADDRESS(884,26)))</f>
        <v>0</v>
      </c>
      <c r="AA885">
        <f>IF(DAY(NOW())&lt;M3,INDIRECT(ADDRESS(885,26))-INDIRECT(ADDRESS(880,27))+INDIRECT(ADDRESS(881,27))-INDIRECT(ADDRESS(884,27)),INDIRECT(ADDRESS(885,26))-INDIRECT(ADDRESS(880,27))+INDIRECT(ADDRESS(883,27))-INDIRECT(ADDRESS(884,27)))</f>
        <v>0</v>
      </c>
      <c r="AB885">
        <f>IF(DAY(NOW())&lt;M3,INDIRECT(ADDRESS(885,27))-INDIRECT(ADDRESS(880,28))+INDIRECT(ADDRESS(881,28))-INDIRECT(ADDRESS(884,28)),INDIRECT(ADDRESS(885,27))-INDIRECT(ADDRESS(880,28))+INDIRECT(ADDRESS(883,28))-INDIRECT(ADDRESS(884,28)))</f>
        <v>0</v>
      </c>
      <c r="AC885">
        <f>IF(DAY(NOW())&lt;M3,INDIRECT(ADDRESS(885,28))-INDIRECT(ADDRESS(880,29))+INDIRECT(ADDRESS(881,29))-INDIRECT(ADDRESS(884,29)),INDIRECT(ADDRESS(885,28))-INDIRECT(ADDRESS(880,29))+INDIRECT(ADDRESS(883,29))-INDIRECT(ADDRESS(884,29)))</f>
        <v>0</v>
      </c>
      <c r="AD885">
        <f>IF(DAY(NOW())&lt;M3,INDIRECT(ADDRESS(885,29))-INDIRECT(ADDRESS(880,30))+INDIRECT(ADDRESS(881,30))-INDIRECT(ADDRESS(884,30)),INDIRECT(ADDRESS(885,29))-INDIRECT(ADDRESS(880,30))+INDIRECT(ADDRESS(883,30))-INDIRECT(ADDRESS(884,30)))</f>
        <v>0</v>
      </c>
      <c r="AE885">
        <f>IF(DAY(NOW())&lt;M3,INDIRECT(ADDRESS(885,30))-INDIRECT(ADDRESS(880,31))+INDIRECT(ADDRESS(881,31))-INDIRECT(ADDRESS(884,31)),INDIRECT(ADDRESS(885,30))-INDIRECT(ADDRESS(880,31))+INDIRECT(ADDRESS(883,31))-INDIRECT(ADDRESS(884,31)))</f>
        <v>0</v>
      </c>
      <c r="AF885">
        <f>IF(DAY(NOW())&lt;M3,INDIRECT(ADDRESS(885,31))-INDIRECT(ADDRESS(880,32))+INDIRECT(ADDRESS(881,32))-INDIRECT(ADDRESS(884,32)),INDIRECT(ADDRESS(885,31))-INDIRECT(ADDRESS(880,32))+INDIRECT(ADDRESS(883,32))-INDIRECT(ADDRESS(884,32)))</f>
        <v>0</v>
      </c>
      <c r="AG885">
        <f>IF(DAY(NOW())&lt;M3,INDIRECT(ADDRESS(885,32))-INDIRECT(ADDRESS(880,33))+INDIRECT(ADDRESS(881,33))-INDIRECT(ADDRESS(884,33)),INDIRECT(ADDRESS(885,32))-INDIRECT(ADDRESS(880,33))+INDIRECT(ADDRESS(883,33))-INDIRECT(ADDRESS(884,33)))</f>
        <v>0</v>
      </c>
      <c r="AH885">
        <f>IF(DAY(NOW())&lt;M3,INDIRECT(ADDRESS(885,33))-INDIRECT(ADDRESS(880,34))+INDIRECT(ADDRESS(881,34))-INDIRECT(ADDRESS(884,34)),INDIRECT(ADDRESS(885,33))-INDIRECT(ADDRESS(880,34))+INDIRECT(ADDRESS(883,34))-INDIRECT(ADDRESS(884,34)))</f>
        <v>0</v>
      </c>
      <c r="AI885">
        <f>IF(DAY(NOW())&lt;M3,INDIRECT(ADDRESS(885,34))-INDIRECT(ADDRESS(880,35))+INDIRECT(ADDRESS(881,35))-INDIRECT(ADDRESS(884,35)),INDIRECT(ADDRESS(885,34))-INDIRECT(ADDRESS(880,35))+INDIRECT(ADDRESS(883,35))-INDIRECT(ADDRESS(884,35)))</f>
        <v>0</v>
      </c>
      <c r="AJ885">
        <f>IF(DAY(NOW())&lt;M3,INDIRECT(ADDRESS(885,35))-INDIRECT(ADDRESS(880,36))+INDIRECT(ADDRESS(881,36))-INDIRECT(ADDRESS(884,36)),INDIRECT(ADDRESS(885,35))-INDIRECT(ADDRESS(880,36))+INDIRECT(ADDRESS(883,36))-INDIRECT(ADDRESS(884,36)))</f>
        <v>0</v>
      </c>
      <c r="AK885">
        <f>IF(DAY(NOW())&lt;M3,INDIRECT(ADDRESS(885,36))-INDIRECT(ADDRESS(880,37))+INDIRECT(ADDRESS(881,37))-INDIRECT(ADDRESS(884,37)),INDIRECT(ADDRESS(885,36))-INDIRECT(ADDRESS(880,37))+INDIRECT(ADDRESS(883,37))-INDIRECT(ADDRESS(884,37)))</f>
        <v>0</v>
      </c>
      <c r="AL885">
        <f>IF(DAY(NOW())&lt;M3,INDIRECT(ADDRESS(885,37))-INDIRECT(ADDRESS(880,38))+INDIRECT(ADDRESS(881,38))-INDIRECT(ADDRESS(884,38)),INDIRECT(ADDRESS(885,37))-INDIRECT(ADDRESS(880,38))+INDIRECT(ADDRESS(883,38))-INDIRECT(ADDRESS(884,38)))</f>
        <v>0</v>
      </c>
      <c r="AM885">
        <f>IF(DAY(NOW())&lt;M3,INDIRECT(ADDRESS(885,38))-INDIRECT(ADDRESS(880,39))+INDIRECT(ADDRESS(881,39))-INDIRECT(ADDRESS(884,39)),INDIRECT(ADDRESS(885,38))-INDIRECT(ADDRESS(880,39))+INDIRECT(ADDRESS(883,39))-INDIRECT(ADDRESS(884,39)))</f>
        <v>0</v>
      </c>
      <c r="AN885">
        <f>IF(DAY(NOW())&lt;M3,INDIRECT(ADDRESS(885,39))-INDIRECT(ADDRESS(880,40))+INDIRECT(ADDRESS(881,40))-INDIRECT(ADDRESS(884,40)),INDIRECT(ADDRESS(885,39))-INDIRECT(ADDRESS(880,40))+INDIRECT(ADDRESS(883,40))-INDIRECT(ADDRESS(884,40)))</f>
        <v>0</v>
      </c>
      <c r="AO885">
        <f>IF(DAY(NOW())&lt;M3,INDIRECT(ADDRESS(885,40))-INDIRECT(ADDRESS(880,41))+INDIRECT(ADDRESS(881,41))-INDIRECT(ADDRESS(884,41)),INDIRECT(ADDRESS(885,40))-INDIRECT(ADDRESS(880,41))+INDIRECT(ADDRESS(883,41))-INDIRECT(ADDRESS(884,41)))</f>
        <v>0</v>
      </c>
      <c r="AP885">
        <f>IF(DAY(NOW())&lt;M3,INDIRECT(ADDRESS(885,41))-INDIRECT(ADDRESS(880,42))+INDIRECT(ADDRESS(881,42))-INDIRECT(ADDRESS(884,42)),INDIRECT(ADDRESS(885,41))-INDIRECT(ADDRESS(880,42))+INDIRECT(ADDRESS(883,42))-INDIRECT(ADDRESS(884,42)))</f>
        <v>0</v>
      </c>
      <c r="AQ885">
        <f>IF(DAY(NOW())&lt;M3,INDIRECT(ADDRESS(885,42))-INDIRECT(ADDRESS(880,43))+INDIRECT(ADDRESS(881,43))-INDIRECT(ADDRESS(884,43)),INDIRECT(ADDRESS(885,42))-INDIRECT(ADDRESS(880,43))+INDIRECT(ADDRESS(883,43))-INDIRECT(ADDRESS(884,43)))</f>
        <v>0</v>
      </c>
      <c r="AR885">
        <f>IF(DAY(NOW())&lt;M3,INDIRECT(ADDRESS(885,43))-INDIRECT(ADDRESS(880,44))+INDIRECT(ADDRESS(881,44))-INDIRECT(ADDRESS(884,44)),INDIRECT(ADDRESS(885,43))-INDIRECT(ADDRESS(880,44))+INDIRECT(ADDRESS(883,44))-INDIRECT(ADDRESS(884,44)))</f>
        <v>0</v>
      </c>
    </row>
    <row r="886" spans="1:76">
      <c r="A886" t="s">
        <v>14</v>
      </c>
      <c r="B886" t="s">
        <v>198</v>
      </c>
      <c r="C886" t="s">
        <v>199</v>
      </c>
      <c r="D886" t="s">
        <v>17</v>
      </c>
      <c r="E886">
        <v>1</v>
      </c>
      <c r="F886" t="s">
        <v>200</v>
      </c>
      <c r="K886" t="s">
        <v>305</v>
      </c>
      <c r="L886" t="s">
        <v>21</v>
      </c>
      <c r="BX886">
        <f>sum(j886:an886)</f>
        <v>0</v>
      </c>
    </row>
    <row r="887" spans="1:76">
      <c r="A887" t="s">
        <v>14</v>
      </c>
      <c r="B887" t="s">
        <v>198</v>
      </c>
      <c r="C887" t="s">
        <v>199</v>
      </c>
      <c r="D887" t="s">
        <v>17</v>
      </c>
      <c r="E887">
        <v>1</v>
      </c>
      <c r="F887" t="s">
        <v>200</v>
      </c>
      <c r="K887" t="s">
        <v>305</v>
      </c>
      <c r="L887" t="s">
        <v>37</v>
      </c>
    </row>
    <row r="888" spans="1:76">
      <c r="L888" t="s">
        <v>662</v>
      </c>
    </row>
    <row r="889" spans="1:76">
      <c r="L889" t="s">
        <v>663</v>
      </c>
    </row>
    <row r="890" spans="1:76">
      <c r="L890" t="s">
        <v>664</v>
      </c>
    </row>
    <row r="891" spans="1:76">
      <c r="L891" t="s">
        <v>665</v>
      </c>
      <c r="M891">
        <f>IF(DAY(NOW())&lt;M3,INDIRECT(ADDRESS(891,7))-INDIRECT(ADDRESS(886,13))+INDIRECT(ADDRESS(887,13))-INDIRECT(ADDRESS(890,13)),INDIRECT(ADDRESS(891,7))-INDIRECT(ADDRESS(886,13))+INDIRECT(ADDRESS(889,13))-INDIRECT(ADDRESS(890,13)))</f>
        <v>0</v>
      </c>
      <c r="N891">
        <f>IF(DAY(NOW())&lt;M3,INDIRECT(ADDRESS(891,13))-INDIRECT(ADDRESS(886,14))+INDIRECT(ADDRESS(887,14))-INDIRECT(ADDRESS(890,14)),INDIRECT(ADDRESS(891,13))-INDIRECT(ADDRESS(886,14))+INDIRECT(ADDRESS(889,14))-INDIRECT(ADDRESS(890,14)))</f>
        <v>0</v>
      </c>
      <c r="O891">
        <f>IF(DAY(NOW())&lt;M3,INDIRECT(ADDRESS(891,14))-INDIRECT(ADDRESS(886,15))+INDIRECT(ADDRESS(887,15))-INDIRECT(ADDRESS(890,15)),INDIRECT(ADDRESS(891,14))-INDIRECT(ADDRESS(886,15))+INDIRECT(ADDRESS(889,15))-INDIRECT(ADDRESS(890,15)))</f>
        <v>0</v>
      </c>
      <c r="P891">
        <f>IF(DAY(NOW())&lt;M3,INDIRECT(ADDRESS(891,15))-INDIRECT(ADDRESS(886,16))+INDIRECT(ADDRESS(887,16))-INDIRECT(ADDRESS(890,16)),INDIRECT(ADDRESS(891,15))-INDIRECT(ADDRESS(886,16))+INDIRECT(ADDRESS(889,16))-INDIRECT(ADDRESS(890,16)))</f>
        <v>0</v>
      </c>
      <c r="Q891">
        <f>IF(DAY(NOW())&lt;M3,INDIRECT(ADDRESS(891,16))-INDIRECT(ADDRESS(886,17))+INDIRECT(ADDRESS(887,17))-INDIRECT(ADDRESS(890,17)),INDIRECT(ADDRESS(891,16))-INDIRECT(ADDRESS(886,17))+INDIRECT(ADDRESS(889,17))-INDIRECT(ADDRESS(890,17)))</f>
        <v>0</v>
      </c>
      <c r="R891">
        <f>IF(DAY(NOW())&lt;M3,INDIRECT(ADDRESS(891,17))-INDIRECT(ADDRESS(886,18))+INDIRECT(ADDRESS(887,18))-INDIRECT(ADDRESS(890,18)),INDIRECT(ADDRESS(891,17))-INDIRECT(ADDRESS(886,18))+INDIRECT(ADDRESS(889,18))-INDIRECT(ADDRESS(890,18)))</f>
        <v>0</v>
      </c>
      <c r="S891">
        <f>IF(DAY(NOW())&lt;M3,INDIRECT(ADDRESS(891,18))-INDIRECT(ADDRESS(886,19))+INDIRECT(ADDRESS(887,19))-INDIRECT(ADDRESS(890,19)),INDIRECT(ADDRESS(891,18))-INDIRECT(ADDRESS(886,19))+INDIRECT(ADDRESS(889,19))-INDIRECT(ADDRESS(890,19)))</f>
        <v>0</v>
      </c>
      <c r="T891">
        <f>IF(DAY(NOW())&lt;M3,INDIRECT(ADDRESS(891,19))-INDIRECT(ADDRESS(886,20))+INDIRECT(ADDRESS(887,20))-INDIRECT(ADDRESS(890,20)),INDIRECT(ADDRESS(891,19))-INDIRECT(ADDRESS(886,20))+INDIRECT(ADDRESS(889,20))-INDIRECT(ADDRESS(890,20)))</f>
        <v>0</v>
      </c>
      <c r="U891">
        <f>IF(DAY(NOW())&lt;M3,INDIRECT(ADDRESS(891,20))-INDIRECT(ADDRESS(886,21))+INDIRECT(ADDRESS(887,21))-INDIRECT(ADDRESS(890,21)),INDIRECT(ADDRESS(891,20))-INDIRECT(ADDRESS(886,21))+INDIRECT(ADDRESS(889,21))-INDIRECT(ADDRESS(890,21)))</f>
        <v>0</v>
      </c>
      <c r="V891">
        <f>IF(DAY(NOW())&lt;M3,INDIRECT(ADDRESS(891,21))-INDIRECT(ADDRESS(886,22))+INDIRECT(ADDRESS(887,22))-INDIRECT(ADDRESS(890,22)),INDIRECT(ADDRESS(891,21))-INDIRECT(ADDRESS(886,22))+INDIRECT(ADDRESS(889,22))-INDIRECT(ADDRESS(890,22)))</f>
        <v>0</v>
      </c>
      <c r="W891">
        <f>IF(DAY(NOW())&lt;M3,INDIRECT(ADDRESS(891,22))-INDIRECT(ADDRESS(886,23))+INDIRECT(ADDRESS(887,23))-INDIRECT(ADDRESS(890,23)),INDIRECT(ADDRESS(891,22))-INDIRECT(ADDRESS(886,23))+INDIRECT(ADDRESS(889,23))-INDIRECT(ADDRESS(890,23)))</f>
        <v>0</v>
      </c>
      <c r="X891">
        <f>IF(DAY(NOW())&lt;M3,INDIRECT(ADDRESS(891,23))-INDIRECT(ADDRESS(886,24))+INDIRECT(ADDRESS(887,24))-INDIRECT(ADDRESS(890,24)),INDIRECT(ADDRESS(891,23))-INDIRECT(ADDRESS(886,24))+INDIRECT(ADDRESS(889,24))-INDIRECT(ADDRESS(890,24)))</f>
        <v>0</v>
      </c>
      <c r="Y891">
        <f>IF(DAY(NOW())&lt;M3,INDIRECT(ADDRESS(891,24))-INDIRECT(ADDRESS(886,25))+INDIRECT(ADDRESS(887,25))-INDIRECT(ADDRESS(890,25)),INDIRECT(ADDRESS(891,24))-INDIRECT(ADDRESS(886,25))+INDIRECT(ADDRESS(889,25))-INDIRECT(ADDRESS(890,25)))</f>
        <v>0</v>
      </c>
      <c r="Z891">
        <f>IF(DAY(NOW())&lt;M3,INDIRECT(ADDRESS(891,25))-INDIRECT(ADDRESS(886,26))+INDIRECT(ADDRESS(887,26))-INDIRECT(ADDRESS(890,26)),INDIRECT(ADDRESS(891,25))-INDIRECT(ADDRESS(886,26))+INDIRECT(ADDRESS(889,26))-INDIRECT(ADDRESS(890,26)))</f>
        <v>0</v>
      </c>
      <c r="AA891">
        <f>IF(DAY(NOW())&lt;M3,INDIRECT(ADDRESS(891,26))-INDIRECT(ADDRESS(886,27))+INDIRECT(ADDRESS(887,27))-INDIRECT(ADDRESS(890,27)),INDIRECT(ADDRESS(891,26))-INDIRECT(ADDRESS(886,27))+INDIRECT(ADDRESS(889,27))-INDIRECT(ADDRESS(890,27)))</f>
        <v>0</v>
      </c>
      <c r="AB891">
        <f>IF(DAY(NOW())&lt;M3,INDIRECT(ADDRESS(891,27))-INDIRECT(ADDRESS(886,28))+INDIRECT(ADDRESS(887,28))-INDIRECT(ADDRESS(890,28)),INDIRECT(ADDRESS(891,27))-INDIRECT(ADDRESS(886,28))+INDIRECT(ADDRESS(889,28))-INDIRECT(ADDRESS(890,28)))</f>
        <v>0</v>
      </c>
      <c r="AC891">
        <f>IF(DAY(NOW())&lt;M3,INDIRECT(ADDRESS(891,28))-INDIRECT(ADDRESS(886,29))+INDIRECT(ADDRESS(887,29))-INDIRECT(ADDRESS(890,29)),INDIRECT(ADDRESS(891,28))-INDIRECT(ADDRESS(886,29))+INDIRECT(ADDRESS(889,29))-INDIRECT(ADDRESS(890,29)))</f>
        <v>0</v>
      </c>
      <c r="AD891">
        <f>IF(DAY(NOW())&lt;M3,INDIRECT(ADDRESS(891,29))-INDIRECT(ADDRESS(886,30))+INDIRECT(ADDRESS(887,30))-INDIRECT(ADDRESS(890,30)),INDIRECT(ADDRESS(891,29))-INDIRECT(ADDRESS(886,30))+INDIRECT(ADDRESS(889,30))-INDIRECT(ADDRESS(890,30)))</f>
        <v>0</v>
      </c>
      <c r="AE891">
        <f>IF(DAY(NOW())&lt;M3,INDIRECT(ADDRESS(891,30))-INDIRECT(ADDRESS(886,31))+INDIRECT(ADDRESS(887,31))-INDIRECT(ADDRESS(890,31)),INDIRECT(ADDRESS(891,30))-INDIRECT(ADDRESS(886,31))+INDIRECT(ADDRESS(889,31))-INDIRECT(ADDRESS(890,31)))</f>
        <v>0</v>
      </c>
      <c r="AF891">
        <f>IF(DAY(NOW())&lt;M3,INDIRECT(ADDRESS(891,31))-INDIRECT(ADDRESS(886,32))+INDIRECT(ADDRESS(887,32))-INDIRECT(ADDRESS(890,32)),INDIRECT(ADDRESS(891,31))-INDIRECT(ADDRESS(886,32))+INDIRECT(ADDRESS(889,32))-INDIRECT(ADDRESS(890,32)))</f>
        <v>0</v>
      </c>
      <c r="AG891">
        <f>IF(DAY(NOW())&lt;M3,INDIRECT(ADDRESS(891,32))-INDIRECT(ADDRESS(886,33))+INDIRECT(ADDRESS(887,33))-INDIRECT(ADDRESS(890,33)),INDIRECT(ADDRESS(891,32))-INDIRECT(ADDRESS(886,33))+INDIRECT(ADDRESS(889,33))-INDIRECT(ADDRESS(890,33)))</f>
        <v>0</v>
      </c>
      <c r="AH891">
        <f>IF(DAY(NOW())&lt;M3,INDIRECT(ADDRESS(891,33))-INDIRECT(ADDRESS(886,34))+INDIRECT(ADDRESS(887,34))-INDIRECT(ADDRESS(890,34)),INDIRECT(ADDRESS(891,33))-INDIRECT(ADDRESS(886,34))+INDIRECT(ADDRESS(889,34))-INDIRECT(ADDRESS(890,34)))</f>
        <v>0</v>
      </c>
      <c r="AI891">
        <f>IF(DAY(NOW())&lt;M3,INDIRECT(ADDRESS(891,34))-INDIRECT(ADDRESS(886,35))+INDIRECT(ADDRESS(887,35))-INDIRECT(ADDRESS(890,35)),INDIRECT(ADDRESS(891,34))-INDIRECT(ADDRESS(886,35))+INDIRECT(ADDRESS(889,35))-INDIRECT(ADDRESS(890,35)))</f>
        <v>0</v>
      </c>
      <c r="AJ891">
        <f>IF(DAY(NOW())&lt;M3,INDIRECT(ADDRESS(891,35))-INDIRECT(ADDRESS(886,36))+INDIRECT(ADDRESS(887,36))-INDIRECT(ADDRESS(890,36)),INDIRECT(ADDRESS(891,35))-INDIRECT(ADDRESS(886,36))+INDIRECT(ADDRESS(889,36))-INDIRECT(ADDRESS(890,36)))</f>
        <v>0</v>
      </c>
      <c r="AK891">
        <f>IF(DAY(NOW())&lt;M3,INDIRECT(ADDRESS(891,36))-INDIRECT(ADDRESS(886,37))+INDIRECT(ADDRESS(887,37))-INDIRECT(ADDRESS(890,37)),INDIRECT(ADDRESS(891,36))-INDIRECT(ADDRESS(886,37))+INDIRECT(ADDRESS(889,37))-INDIRECT(ADDRESS(890,37)))</f>
        <v>0</v>
      </c>
      <c r="AL891">
        <f>IF(DAY(NOW())&lt;M3,INDIRECT(ADDRESS(891,37))-INDIRECT(ADDRESS(886,38))+INDIRECT(ADDRESS(887,38))-INDIRECT(ADDRESS(890,38)),INDIRECT(ADDRESS(891,37))-INDIRECT(ADDRESS(886,38))+INDIRECT(ADDRESS(889,38))-INDIRECT(ADDRESS(890,38)))</f>
        <v>0</v>
      </c>
      <c r="AM891">
        <f>IF(DAY(NOW())&lt;M3,INDIRECT(ADDRESS(891,38))-INDIRECT(ADDRESS(886,39))+INDIRECT(ADDRESS(887,39))-INDIRECT(ADDRESS(890,39)),INDIRECT(ADDRESS(891,38))-INDIRECT(ADDRESS(886,39))+INDIRECT(ADDRESS(889,39))-INDIRECT(ADDRESS(890,39)))</f>
        <v>0</v>
      </c>
      <c r="AN891">
        <f>IF(DAY(NOW())&lt;M3,INDIRECT(ADDRESS(891,39))-INDIRECT(ADDRESS(886,40))+INDIRECT(ADDRESS(887,40))-INDIRECT(ADDRESS(890,40)),INDIRECT(ADDRESS(891,39))-INDIRECT(ADDRESS(886,40))+INDIRECT(ADDRESS(889,40))-INDIRECT(ADDRESS(890,40)))</f>
        <v>0</v>
      </c>
      <c r="AO891">
        <f>IF(DAY(NOW())&lt;M3,INDIRECT(ADDRESS(891,40))-INDIRECT(ADDRESS(886,41))+INDIRECT(ADDRESS(887,41))-INDIRECT(ADDRESS(890,41)),INDIRECT(ADDRESS(891,40))-INDIRECT(ADDRESS(886,41))+INDIRECT(ADDRESS(889,41))-INDIRECT(ADDRESS(890,41)))</f>
        <v>0</v>
      </c>
      <c r="AP891">
        <f>IF(DAY(NOW())&lt;M3,INDIRECT(ADDRESS(891,41))-INDIRECT(ADDRESS(886,42))+INDIRECT(ADDRESS(887,42))-INDIRECT(ADDRESS(890,42)),INDIRECT(ADDRESS(891,41))-INDIRECT(ADDRESS(886,42))+INDIRECT(ADDRESS(889,42))-INDIRECT(ADDRESS(890,42)))</f>
        <v>0</v>
      </c>
      <c r="AQ891">
        <f>IF(DAY(NOW())&lt;M3,INDIRECT(ADDRESS(891,42))-INDIRECT(ADDRESS(886,43))+INDIRECT(ADDRESS(887,43))-INDIRECT(ADDRESS(890,43)),INDIRECT(ADDRESS(891,42))-INDIRECT(ADDRESS(886,43))+INDIRECT(ADDRESS(889,43))-INDIRECT(ADDRESS(890,43)))</f>
        <v>0</v>
      </c>
      <c r="AR891">
        <f>IF(DAY(NOW())&lt;M3,INDIRECT(ADDRESS(891,43))-INDIRECT(ADDRESS(886,44))+INDIRECT(ADDRESS(887,44))-INDIRECT(ADDRESS(890,44)),INDIRECT(ADDRESS(891,43))-INDIRECT(ADDRESS(886,44))+INDIRECT(ADDRESS(889,44))-INDIRECT(ADDRESS(890,44)))</f>
        <v>0</v>
      </c>
    </row>
    <row r="892" spans="1:76">
      <c r="A892" t="s">
        <v>14</v>
      </c>
      <c r="B892" t="s">
        <v>209</v>
      </c>
      <c r="C892" t="s">
        <v>210</v>
      </c>
      <c r="D892" t="s">
        <v>256</v>
      </c>
      <c r="E892">
        <v>1</v>
      </c>
      <c r="F892" t="s">
        <v>211</v>
      </c>
      <c r="K892" t="s">
        <v>305</v>
      </c>
      <c r="L892" t="s">
        <v>21</v>
      </c>
      <c r="BX892">
        <f>sum(j892:an892)</f>
        <v>0</v>
      </c>
    </row>
    <row r="893" spans="1:76">
      <c r="A893" t="s">
        <v>14</v>
      </c>
      <c r="B893" t="s">
        <v>209</v>
      </c>
      <c r="C893" t="s">
        <v>210</v>
      </c>
      <c r="D893" t="s">
        <v>256</v>
      </c>
      <c r="E893">
        <v>1</v>
      </c>
      <c r="F893" t="s">
        <v>211</v>
      </c>
      <c r="K893" t="s">
        <v>305</v>
      </c>
      <c r="L893" t="s">
        <v>37</v>
      </c>
    </row>
    <row r="894" spans="1:76">
      <c r="L894" t="s">
        <v>662</v>
      </c>
    </row>
    <row r="895" spans="1:76">
      <c r="L895" t="s">
        <v>663</v>
      </c>
    </row>
    <row r="896" spans="1:76">
      <c r="L896" t="s">
        <v>664</v>
      </c>
    </row>
    <row r="897" spans="1:76">
      <c r="L897" t="s">
        <v>665</v>
      </c>
      <c r="M897">
        <f>IF(DAY(NOW())&lt;M3,INDIRECT(ADDRESS(897,7))-INDIRECT(ADDRESS(892,13))+INDIRECT(ADDRESS(893,13))-INDIRECT(ADDRESS(896,13)),INDIRECT(ADDRESS(897,7))-INDIRECT(ADDRESS(892,13))+INDIRECT(ADDRESS(895,13))-INDIRECT(ADDRESS(896,13)))</f>
        <v>0</v>
      </c>
      <c r="N897">
        <f>IF(DAY(NOW())&lt;M3,INDIRECT(ADDRESS(897,13))-INDIRECT(ADDRESS(892,14))+INDIRECT(ADDRESS(893,14))-INDIRECT(ADDRESS(896,14)),INDIRECT(ADDRESS(897,13))-INDIRECT(ADDRESS(892,14))+INDIRECT(ADDRESS(895,14))-INDIRECT(ADDRESS(896,14)))</f>
        <v>0</v>
      </c>
      <c r="O897">
        <f>IF(DAY(NOW())&lt;M3,INDIRECT(ADDRESS(897,14))-INDIRECT(ADDRESS(892,15))+INDIRECT(ADDRESS(893,15))-INDIRECT(ADDRESS(896,15)),INDIRECT(ADDRESS(897,14))-INDIRECT(ADDRESS(892,15))+INDIRECT(ADDRESS(895,15))-INDIRECT(ADDRESS(896,15)))</f>
        <v>0</v>
      </c>
      <c r="P897">
        <f>IF(DAY(NOW())&lt;M3,INDIRECT(ADDRESS(897,15))-INDIRECT(ADDRESS(892,16))+INDIRECT(ADDRESS(893,16))-INDIRECT(ADDRESS(896,16)),INDIRECT(ADDRESS(897,15))-INDIRECT(ADDRESS(892,16))+INDIRECT(ADDRESS(895,16))-INDIRECT(ADDRESS(896,16)))</f>
        <v>0</v>
      </c>
      <c r="Q897">
        <f>IF(DAY(NOW())&lt;M3,INDIRECT(ADDRESS(897,16))-INDIRECT(ADDRESS(892,17))+INDIRECT(ADDRESS(893,17))-INDIRECT(ADDRESS(896,17)),INDIRECT(ADDRESS(897,16))-INDIRECT(ADDRESS(892,17))+INDIRECT(ADDRESS(895,17))-INDIRECT(ADDRESS(896,17)))</f>
        <v>0</v>
      </c>
      <c r="R897">
        <f>IF(DAY(NOW())&lt;M3,INDIRECT(ADDRESS(897,17))-INDIRECT(ADDRESS(892,18))+INDIRECT(ADDRESS(893,18))-INDIRECT(ADDRESS(896,18)),INDIRECT(ADDRESS(897,17))-INDIRECT(ADDRESS(892,18))+INDIRECT(ADDRESS(895,18))-INDIRECT(ADDRESS(896,18)))</f>
        <v>0</v>
      </c>
      <c r="S897">
        <f>IF(DAY(NOW())&lt;M3,INDIRECT(ADDRESS(897,18))-INDIRECT(ADDRESS(892,19))+INDIRECT(ADDRESS(893,19))-INDIRECT(ADDRESS(896,19)),INDIRECT(ADDRESS(897,18))-INDIRECT(ADDRESS(892,19))+INDIRECT(ADDRESS(895,19))-INDIRECT(ADDRESS(896,19)))</f>
        <v>0</v>
      </c>
      <c r="T897">
        <f>IF(DAY(NOW())&lt;M3,INDIRECT(ADDRESS(897,19))-INDIRECT(ADDRESS(892,20))+INDIRECT(ADDRESS(893,20))-INDIRECT(ADDRESS(896,20)),INDIRECT(ADDRESS(897,19))-INDIRECT(ADDRESS(892,20))+INDIRECT(ADDRESS(895,20))-INDIRECT(ADDRESS(896,20)))</f>
        <v>0</v>
      </c>
      <c r="U897">
        <f>IF(DAY(NOW())&lt;M3,INDIRECT(ADDRESS(897,20))-INDIRECT(ADDRESS(892,21))+INDIRECT(ADDRESS(893,21))-INDIRECT(ADDRESS(896,21)),INDIRECT(ADDRESS(897,20))-INDIRECT(ADDRESS(892,21))+INDIRECT(ADDRESS(895,21))-INDIRECT(ADDRESS(896,21)))</f>
        <v>0</v>
      </c>
      <c r="V897">
        <f>IF(DAY(NOW())&lt;M3,INDIRECT(ADDRESS(897,21))-INDIRECT(ADDRESS(892,22))+INDIRECT(ADDRESS(893,22))-INDIRECT(ADDRESS(896,22)),INDIRECT(ADDRESS(897,21))-INDIRECT(ADDRESS(892,22))+INDIRECT(ADDRESS(895,22))-INDIRECT(ADDRESS(896,22)))</f>
        <v>0</v>
      </c>
      <c r="W897">
        <f>IF(DAY(NOW())&lt;M3,INDIRECT(ADDRESS(897,22))-INDIRECT(ADDRESS(892,23))+INDIRECT(ADDRESS(893,23))-INDIRECT(ADDRESS(896,23)),INDIRECT(ADDRESS(897,22))-INDIRECT(ADDRESS(892,23))+INDIRECT(ADDRESS(895,23))-INDIRECT(ADDRESS(896,23)))</f>
        <v>0</v>
      </c>
      <c r="X897">
        <f>IF(DAY(NOW())&lt;M3,INDIRECT(ADDRESS(897,23))-INDIRECT(ADDRESS(892,24))+INDIRECT(ADDRESS(893,24))-INDIRECT(ADDRESS(896,24)),INDIRECT(ADDRESS(897,23))-INDIRECT(ADDRESS(892,24))+INDIRECT(ADDRESS(895,24))-INDIRECT(ADDRESS(896,24)))</f>
        <v>0</v>
      </c>
      <c r="Y897">
        <f>IF(DAY(NOW())&lt;M3,INDIRECT(ADDRESS(897,24))-INDIRECT(ADDRESS(892,25))+INDIRECT(ADDRESS(893,25))-INDIRECT(ADDRESS(896,25)),INDIRECT(ADDRESS(897,24))-INDIRECT(ADDRESS(892,25))+INDIRECT(ADDRESS(895,25))-INDIRECT(ADDRESS(896,25)))</f>
        <v>0</v>
      </c>
      <c r="Z897">
        <f>IF(DAY(NOW())&lt;M3,INDIRECT(ADDRESS(897,25))-INDIRECT(ADDRESS(892,26))+INDIRECT(ADDRESS(893,26))-INDIRECT(ADDRESS(896,26)),INDIRECT(ADDRESS(897,25))-INDIRECT(ADDRESS(892,26))+INDIRECT(ADDRESS(895,26))-INDIRECT(ADDRESS(896,26)))</f>
        <v>0</v>
      </c>
      <c r="AA897">
        <f>IF(DAY(NOW())&lt;M3,INDIRECT(ADDRESS(897,26))-INDIRECT(ADDRESS(892,27))+INDIRECT(ADDRESS(893,27))-INDIRECT(ADDRESS(896,27)),INDIRECT(ADDRESS(897,26))-INDIRECT(ADDRESS(892,27))+INDIRECT(ADDRESS(895,27))-INDIRECT(ADDRESS(896,27)))</f>
        <v>0</v>
      </c>
      <c r="AB897">
        <f>IF(DAY(NOW())&lt;M3,INDIRECT(ADDRESS(897,27))-INDIRECT(ADDRESS(892,28))+INDIRECT(ADDRESS(893,28))-INDIRECT(ADDRESS(896,28)),INDIRECT(ADDRESS(897,27))-INDIRECT(ADDRESS(892,28))+INDIRECT(ADDRESS(895,28))-INDIRECT(ADDRESS(896,28)))</f>
        <v>0</v>
      </c>
      <c r="AC897">
        <f>IF(DAY(NOW())&lt;M3,INDIRECT(ADDRESS(897,28))-INDIRECT(ADDRESS(892,29))+INDIRECT(ADDRESS(893,29))-INDIRECT(ADDRESS(896,29)),INDIRECT(ADDRESS(897,28))-INDIRECT(ADDRESS(892,29))+INDIRECT(ADDRESS(895,29))-INDIRECT(ADDRESS(896,29)))</f>
        <v>0</v>
      </c>
      <c r="AD897">
        <f>IF(DAY(NOW())&lt;M3,INDIRECT(ADDRESS(897,29))-INDIRECT(ADDRESS(892,30))+INDIRECT(ADDRESS(893,30))-INDIRECT(ADDRESS(896,30)),INDIRECT(ADDRESS(897,29))-INDIRECT(ADDRESS(892,30))+INDIRECT(ADDRESS(895,30))-INDIRECT(ADDRESS(896,30)))</f>
        <v>0</v>
      </c>
      <c r="AE897">
        <f>IF(DAY(NOW())&lt;M3,INDIRECT(ADDRESS(897,30))-INDIRECT(ADDRESS(892,31))+INDIRECT(ADDRESS(893,31))-INDIRECT(ADDRESS(896,31)),INDIRECT(ADDRESS(897,30))-INDIRECT(ADDRESS(892,31))+INDIRECT(ADDRESS(895,31))-INDIRECT(ADDRESS(896,31)))</f>
        <v>0</v>
      </c>
      <c r="AF897">
        <f>IF(DAY(NOW())&lt;M3,INDIRECT(ADDRESS(897,31))-INDIRECT(ADDRESS(892,32))+INDIRECT(ADDRESS(893,32))-INDIRECT(ADDRESS(896,32)),INDIRECT(ADDRESS(897,31))-INDIRECT(ADDRESS(892,32))+INDIRECT(ADDRESS(895,32))-INDIRECT(ADDRESS(896,32)))</f>
        <v>0</v>
      </c>
      <c r="AG897">
        <f>IF(DAY(NOW())&lt;M3,INDIRECT(ADDRESS(897,32))-INDIRECT(ADDRESS(892,33))+INDIRECT(ADDRESS(893,33))-INDIRECT(ADDRESS(896,33)),INDIRECT(ADDRESS(897,32))-INDIRECT(ADDRESS(892,33))+INDIRECT(ADDRESS(895,33))-INDIRECT(ADDRESS(896,33)))</f>
        <v>0</v>
      </c>
      <c r="AH897">
        <f>IF(DAY(NOW())&lt;M3,INDIRECT(ADDRESS(897,33))-INDIRECT(ADDRESS(892,34))+INDIRECT(ADDRESS(893,34))-INDIRECT(ADDRESS(896,34)),INDIRECT(ADDRESS(897,33))-INDIRECT(ADDRESS(892,34))+INDIRECT(ADDRESS(895,34))-INDIRECT(ADDRESS(896,34)))</f>
        <v>0</v>
      </c>
      <c r="AI897">
        <f>IF(DAY(NOW())&lt;M3,INDIRECT(ADDRESS(897,34))-INDIRECT(ADDRESS(892,35))+INDIRECT(ADDRESS(893,35))-INDIRECT(ADDRESS(896,35)),INDIRECT(ADDRESS(897,34))-INDIRECT(ADDRESS(892,35))+INDIRECT(ADDRESS(895,35))-INDIRECT(ADDRESS(896,35)))</f>
        <v>0</v>
      </c>
      <c r="AJ897">
        <f>IF(DAY(NOW())&lt;M3,INDIRECT(ADDRESS(897,35))-INDIRECT(ADDRESS(892,36))+INDIRECT(ADDRESS(893,36))-INDIRECT(ADDRESS(896,36)),INDIRECT(ADDRESS(897,35))-INDIRECT(ADDRESS(892,36))+INDIRECT(ADDRESS(895,36))-INDIRECT(ADDRESS(896,36)))</f>
        <v>0</v>
      </c>
      <c r="AK897">
        <f>IF(DAY(NOW())&lt;M3,INDIRECT(ADDRESS(897,36))-INDIRECT(ADDRESS(892,37))+INDIRECT(ADDRESS(893,37))-INDIRECT(ADDRESS(896,37)),INDIRECT(ADDRESS(897,36))-INDIRECT(ADDRESS(892,37))+INDIRECT(ADDRESS(895,37))-INDIRECT(ADDRESS(896,37)))</f>
        <v>0</v>
      </c>
      <c r="AL897">
        <f>IF(DAY(NOW())&lt;M3,INDIRECT(ADDRESS(897,37))-INDIRECT(ADDRESS(892,38))+INDIRECT(ADDRESS(893,38))-INDIRECT(ADDRESS(896,38)),INDIRECT(ADDRESS(897,37))-INDIRECT(ADDRESS(892,38))+INDIRECT(ADDRESS(895,38))-INDIRECT(ADDRESS(896,38)))</f>
        <v>0</v>
      </c>
      <c r="AM897">
        <f>IF(DAY(NOW())&lt;M3,INDIRECT(ADDRESS(897,38))-INDIRECT(ADDRESS(892,39))+INDIRECT(ADDRESS(893,39))-INDIRECT(ADDRESS(896,39)),INDIRECT(ADDRESS(897,38))-INDIRECT(ADDRESS(892,39))+INDIRECT(ADDRESS(895,39))-INDIRECT(ADDRESS(896,39)))</f>
        <v>0</v>
      </c>
      <c r="AN897">
        <f>IF(DAY(NOW())&lt;M3,INDIRECT(ADDRESS(897,39))-INDIRECT(ADDRESS(892,40))+INDIRECT(ADDRESS(893,40))-INDIRECT(ADDRESS(896,40)),INDIRECT(ADDRESS(897,39))-INDIRECT(ADDRESS(892,40))+INDIRECT(ADDRESS(895,40))-INDIRECT(ADDRESS(896,40)))</f>
        <v>0</v>
      </c>
      <c r="AO897">
        <f>IF(DAY(NOW())&lt;M3,INDIRECT(ADDRESS(897,40))-INDIRECT(ADDRESS(892,41))+INDIRECT(ADDRESS(893,41))-INDIRECT(ADDRESS(896,41)),INDIRECT(ADDRESS(897,40))-INDIRECT(ADDRESS(892,41))+INDIRECT(ADDRESS(895,41))-INDIRECT(ADDRESS(896,41)))</f>
        <v>0</v>
      </c>
      <c r="AP897">
        <f>IF(DAY(NOW())&lt;M3,INDIRECT(ADDRESS(897,41))-INDIRECT(ADDRESS(892,42))+INDIRECT(ADDRESS(893,42))-INDIRECT(ADDRESS(896,42)),INDIRECT(ADDRESS(897,41))-INDIRECT(ADDRESS(892,42))+INDIRECT(ADDRESS(895,42))-INDIRECT(ADDRESS(896,42)))</f>
        <v>0</v>
      </c>
      <c r="AQ897">
        <f>IF(DAY(NOW())&lt;M3,INDIRECT(ADDRESS(897,42))-INDIRECT(ADDRESS(892,43))+INDIRECT(ADDRESS(893,43))-INDIRECT(ADDRESS(896,43)),INDIRECT(ADDRESS(897,42))-INDIRECT(ADDRESS(892,43))+INDIRECT(ADDRESS(895,43))-INDIRECT(ADDRESS(896,43)))</f>
        <v>0</v>
      </c>
      <c r="AR897">
        <f>IF(DAY(NOW())&lt;M3,INDIRECT(ADDRESS(897,43))-INDIRECT(ADDRESS(892,44))+INDIRECT(ADDRESS(893,44))-INDIRECT(ADDRESS(896,44)),INDIRECT(ADDRESS(897,43))-INDIRECT(ADDRESS(892,44))+INDIRECT(ADDRESS(895,44))-INDIRECT(ADDRESS(896,44)))</f>
        <v>0</v>
      </c>
    </row>
    <row r="898" spans="1:76">
      <c r="A898" t="s">
        <v>31</v>
      </c>
      <c r="B898" t="s">
        <v>396</v>
      </c>
      <c r="C898" t="s">
        <v>397</v>
      </c>
      <c r="D898" t="s">
        <v>256</v>
      </c>
      <c r="E898">
        <v>1</v>
      </c>
      <c r="F898" t="s">
        <v>398</v>
      </c>
      <c r="K898" t="s">
        <v>308</v>
      </c>
      <c r="L898" t="s">
        <v>21</v>
      </c>
      <c r="M898">
        <f>sumifs(BOM!m:m,BOM!A:A,".1",BOM!B:B,"222-031600-000")</f>
        <v>0</v>
      </c>
      <c r="N898">
        <f>sumifs(BOM!n:n,BOM!A:A,".1",BOM!B:B,"222-031600-000")</f>
        <v>0</v>
      </c>
      <c r="O898">
        <f>sumifs(BOM!o:o,BOM!A:A,".1",BOM!B:B,"222-031600-000")</f>
        <v>0</v>
      </c>
      <c r="P898">
        <f>sumifs(BOM!p:p,BOM!A:A,".1",BOM!B:B,"222-031600-000")</f>
        <v>0</v>
      </c>
      <c r="Q898">
        <f>sumifs(BOM!q:q,BOM!A:A,".1",BOM!B:B,"222-031600-000")</f>
        <v>0</v>
      </c>
      <c r="R898">
        <f>sumifs(BOM!r:r,BOM!A:A,".1",BOM!B:B,"222-031600-000")</f>
        <v>0</v>
      </c>
      <c r="S898">
        <f>sumifs(BOM!s:s,BOM!A:A,".1",BOM!B:B,"222-031600-000")</f>
        <v>0</v>
      </c>
      <c r="T898">
        <f>sumifs(BOM!t:t,BOM!A:A,".1",BOM!B:B,"222-031600-000")</f>
        <v>0</v>
      </c>
      <c r="U898">
        <f>sumifs(BOM!u:u,BOM!A:A,".1",BOM!B:B,"222-031600-000")</f>
        <v>0</v>
      </c>
      <c r="V898">
        <f>sumifs(BOM!v:v,BOM!A:A,".1",BOM!B:B,"222-031600-000")</f>
        <v>0</v>
      </c>
      <c r="W898">
        <f>sumifs(BOM!w:w,BOM!A:A,".1",BOM!B:B,"222-031600-000")</f>
        <v>0</v>
      </c>
      <c r="X898">
        <f>sumifs(BOM!x:x,BOM!A:A,".1",BOM!B:B,"222-031600-000")</f>
        <v>0</v>
      </c>
      <c r="Y898">
        <f>sumifs(BOM!y:y,BOM!A:A,".1",BOM!B:B,"222-031600-000")</f>
        <v>0</v>
      </c>
      <c r="Z898">
        <f>sumifs(BOM!z:z,BOM!A:A,".1",BOM!B:B,"222-031600-000")</f>
        <v>0</v>
      </c>
      <c r="AA898">
        <f>sumifs(BOM!aa:aa,BOM!A:A,".1",BOM!B:B,"222-031600-000")</f>
        <v>0</v>
      </c>
      <c r="AB898">
        <f>sumifs(BOM!ab:ab,BOM!A:A,".1",BOM!B:B,"222-031600-000")</f>
        <v>0</v>
      </c>
      <c r="AC898">
        <f>sumifs(BOM!ac:ac,BOM!A:A,".1",BOM!B:B,"222-031600-000")</f>
        <v>0</v>
      </c>
      <c r="AD898">
        <f>sumifs(BOM!ad:ad,BOM!A:A,".1",BOM!B:B,"222-031600-000")</f>
        <v>0</v>
      </c>
      <c r="AE898">
        <f>sumifs(BOM!ae:ae,BOM!A:A,".1",BOM!B:B,"222-031600-000")</f>
        <v>0</v>
      </c>
      <c r="AF898">
        <f>sumifs(BOM!af:af,BOM!A:A,".1",BOM!B:B,"222-031600-000")</f>
        <v>0</v>
      </c>
      <c r="AG898">
        <f>sumifs(BOM!ag:ag,BOM!A:A,".1",BOM!B:B,"222-031600-000")</f>
        <v>0</v>
      </c>
      <c r="AH898">
        <f>sumifs(BOM!ah:ah,BOM!A:A,".1",BOM!B:B,"222-031600-000")</f>
        <v>0</v>
      </c>
      <c r="AI898">
        <f>sumifs(BOM!ai:ai,BOM!A:A,".1",BOM!B:B,"222-031600-000")</f>
        <v>0</v>
      </c>
      <c r="AJ898">
        <f>sumifs(BOM!aj:aj,BOM!A:A,".1",BOM!B:B,"222-031600-000")</f>
        <v>0</v>
      </c>
      <c r="AK898">
        <f>sumifs(BOM!ak:ak,BOM!A:A,".1",BOM!B:B,"222-031600-000")</f>
        <v>0</v>
      </c>
      <c r="AL898">
        <f>sumifs(BOM!al:al,BOM!A:A,".1",BOM!B:B,"222-031600-000")</f>
        <v>0</v>
      </c>
      <c r="AM898">
        <f>sumifs(BOM!am:am,BOM!A:A,".1",BOM!B:B,"222-031600-000")</f>
        <v>0</v>
      </c>
      <c r="AN898">
        <f>sumifs(BOM!an:an,BOM!A:A,".1",BOM!B:B,"222-031600-000")</f>
        <v>0</v>
      </c>
      <c r="AO898">
        <f>sumifs(BOM!ao:ao,BOM!A:A,".1",BOM!B:B,"222-031600-000")</f>
        <v>0</v>
      </c>
      <c r="AP898">
        <f>sumifs(BOM!ap:ap,BOM!A:A,".1",BOM!B:B,"222-031600-000")</f>
        <v>0</v>
      </c>
      <c r="AQ898">
        <f>sumifs(BOM!aq:aq,BOM!A:A,".1",BOM!B:B,"222-031600-000")</f>
        <v>0</v>
      </c>
      <c r="AR898">
        <f>sumifs(BOM!ar:ar,BOM!A:A,".1",BOM!B:B,"222-031600-000")</f>
        <v>0</v>
      </c>
      <c r="BX898">
        <f>sum(j898:an898)</f>
        <v>0</v>
      </c>
    </row>
    <row r="899" spans="1:76">
      <c r="A899" t="s">
        <v>31</v>
      </c>
      <c r="B899" t="s">
        <v>396</v>
      </c>
      <c r="C899" t="s">
        <v>397</v>
      </c>
      <c r="D899" t="s">
        <v>256</v>
      </c>
      <c r="E899">
        <v>1</v>
      </c>
      <c r="F899" t="s">
        <v>398</v>
      </c>
      <c r="K899" t="s">
        <v>308</v>
      </c>
      <c r="L899" t="s">
        <v>37</v>
      </c>
    </row>
    <row r="900" spans="1:76">
      <c r="L900" t="s">
        <v>662</v>
      </c>
    </row>
    <row r="901" spans="1:76">
      <c r="L901" t="s">
        <v>663</v>
      </c>
    </row>
    <row r="902" spans="1:76">
      <c r="L902" t="s">
        <v>664</v>
      </c>
    </row>
    <row r="903" spans="1:76">
      <c r="L903" t="s">
        <v>665</v>
      </c>
      <c r="M903">
        <f>IF(DAY(NOW())&lt;M3,INDIRECT(ADDRESS(903,7))-INDIRECT(ADDRESS(898,13))+INDIRECT(ADDRESS(899,13))-INDIRECT(ADDRESS(902,13)),INDIRECT(ADDRESS(903,7))-INDIRECT(ADDRESS(898,13))+INDIRECT(ADDRESS(901,13))-INDIRECT(ADDRESS(902,13)))</f>
        <v>0</v>
      </c>
      <c r="N903">
        <f>IF(DAY(NOW())&lt;M3,INDIRECT(ADDRESS(903,13))-INDIRECT(ADDRESS(898,14))+INDIRECT(ADDRESS(899,14))-INDIRECT(ADDRESS(902,14)),INDIRECT(ADDRESS(903,13))-INDIRECT(ADDRESS(898,14))+INDIRECT(ADDRESS(901,14))-INDIRECT(ADDRESS(902,14)))</f>
        <v>0</v>
      </c>
      <c r="O903">
        <f>IF(DAY(NOW())&lt;M3,INDIRECT(ADDRESS(903,14))-INDIRECT(ADDRESS(898,15))+INDIRECT(ADDRESS(899,15))-INDIRECT(ADDRESS(902,15)),INDIRECT(ADDRESS(903,14))-INDIRECT(ADDRESS(898,15))+INDIRECT(ADDRESS(901,15))-INDIRECT(ADDRESS(902,15)))</f>
        <v>0</v>
      </c>
      <c r="P903">
        <f>IF(DAY(NOW())&lt;M3,INDIRECT(ADDRESS(903,15))-INDIRECT(ADDRESS(898,16))+INDIRECT(ADDRESS(899,16))-INDIRECT(ADDRESS(902,16)),INDIRECT(ADDRESS(903,15))-INDIRECT(ADDRESS(898,16))+INDIRECT(ADDRESS(901,16))-INDIRECT(ADDRESS(902,16)))</f>
        <v>0</v>
      </c>
      <c r="Q903">
        <f>IF(DAY(NOW())&lt;M3,INDIRECT(ADDRESS(903,16))-INDIRECT(ADDRESS(898,17))+INDIRECT(ADDRESS(899,17))-INDIRECT(ADDRESS(902,17)),INDIRECT(ADDRESS(903,16))-INDIRECT(ADDRESS(898,17))+INDIRECT(ADDRESS(901,17))-INDIRECT(ADDRESS(902,17)))</f>
        <v>0</v>
      </c>
      <c r="R903">
        <f>IF(DAY(NOW())&lt;M3,INDIRECT(ADDRESS(903,17))-INDIRECT(ADDRESS(898,18))+INDIRECT(ADDRESS(899,18))-INDIRECT(ADDRESS(902,18)),INDIRECT(ADDRESS(903,17))-INDIRECT(ADDRESS(898,18))+INDIRECT(ADDRESS(901,18))-INDIRECT(ADDRESS(902,18)))</f>
        <v>0</v>
      </c>
      <c r="S903">
        <f>IF(DAY(NOW())&lt;M3,INDIRECT(ADDRESS(903,18))-INDIRECT(ADDRESS(898,19))+INDIRECT(ADDRESS(899,19))-INDIRECT(ADDRESS(902,19)),INDIRECT(ADDRESS(903,18))-INDIRECT(ADDRESS(898,19))+INDIRECT(ADDRESS(901,19))-INDIRECT(ADDRESS(902,19)))</f>
        <v>0</v>
      </c>
      <c r="T903">
        <f>IF(DAY(NOW())&lt;M3,INDIRECT(ADDRESS(903,19))-INDIRECT(ADDRESS(898,20))+INDIRECT(ADDRESS(899,20))-INDIRECT(ADDRESS(902,20)),INDIRECT(ADDRESS(903,19))-INDIRECT(ADDRESS(898,20))+INDIRECT(ADDRESS(901,20))-INDIRECT(ADDRESS(902,20)))</f>
        <v>0</v>
      </c>
      <c r="U903">
        <f>IF(DAY(NOW())&lt;M3,INDIRECT(ADDRESS(903,20))-INDIRECT(ADDRESS(898,21))+INDIRECT(ADDRESS(899,21))-INDIRECT(ADDRESS(902,21)),INDIRECT(ADDRESS(903,20))-INDIRECT(ADDRESS(898,21))+INDIRECT(ADDRESS(901,21))-INDIRECT(ADDRESS(902,21)))</f>
        <v>0</v>
      </c>
      <c r="V903">
        <f>IF(DAY(NOW())&lt;M3,INDIRECT(ADDRESS(903,21))-INDIRECT(ADDRESS(898,22))+INDIRECT(ADDRESS(899,22))-INDIRECT(ADDRESS(902,22)),INDIRECT(ADDRESS(903,21))-INDIRECT(ADDRESS(898,22))+INDIRECT(ADDRESS(901,22))-INDIRECT(ADDRESS(902,22)))</f>
        <v>0</v>
      </c>
      <c r="W903">
        <f>IF(DAY(NOW())&lt;M3,INDIRECT(ADDRESS(903,22))-INDIRECT(ADDRESS(898,23))+INDIRECT(ADDRESS(899,23))-INDIRECT(ADDRESS(902,23)),INDIRECT(ADDRESS(903,22))-INDIRECT(ADDRESS(898,23))+INDIRECT(ADDRESS(901,23))-INDIRECT(ADDRESS(902,23)))</f>
        <v>0</v>
      </c>
      <c r="X903">
        <f>IF(DAY(NOW())&lt;M3,INDIRECT(ADDRESS(903,23))-INDIRECT(ADDRESS(898,24))+INDIRECT(ADDRESS(899,24))-INDIRECT(ADDRESS(902,24)),INDIRECT(ADDRESS(903,23))-INDIRECT(ADDRESS(898,24))+INDIRECT(ADDRESS(901,24))-INDIRECT(ADDRESS(902,24)))</f>
        <v>0</v>
      </c>
      <c r="Y903">
        <f>IF(DAY(NOW())&lt;M3,INDIRECT(ADDRESS(903,24))-INDIRECT(ADDRESS(898,25))+INDIRECT(ADDRESS(899,25))-INDIRECT(ADDRESS(902,25)),INDIRECT(ADDRESS(903,24))-INDIRECT(ADDRESS(898,25))+INDIRECT(ADDRESS(901,25))-INDIRECT(ADDRESS(902,25)))</f>
        <v>0</v>
      </c>
      <c r="Z903">
        <f>IF(DAY(NOW())&lt;M3,INDIRECT(ADDRESS(903,25))-INDIRECT(ADDRESS(898,26))+INDIRECT(ADDRESS(899,26))-INDIRECT(ADDRESS(902,26)),INDIRECT(ADDRESS(903,25))-INDIRECT(ADDRESS(898,26))+INDIRECT(ADDRESS(901,26))-INDIRECT(ADDRESS(902,26)))</f>
        <v>0</v>
      </c>
      <c r="AA903">
        <f>IF(DAY(NOW())&lt;M3,INDIRECT(ADDRESS(903,26))-INDIRECT(ADDRESS(898,27))+INDIRECT(ADDRESS(899,27))-INDIRECT(ADDRESS(902,27)),INDIRECT(ADDRESS(903,26))-INDIRECT(ADDRESS(898,27))+INDIRECT(ADDRESS(901,27))-INDIRECT(ADDRESS(902,27)))</f>
        <v>0</v>
      </c>
      <c r="AB903">
        <f>IF(DAY(NOW())&lt;M3,INDIRECT(ADDRESS(903,27))-INDIRECT(ADDRESS(898,28))+INDIRECT(ADDRESS(899,28))-INDIRECT(ADDRESS(902,28)),INDIRECT(ADDRESS(903,27))-INDIRECT(ADDRESS(898,28))+INDIRECT(ADDRESS(901,28))-INDIRECT(ADDRESS(902,28)))</f>
        <v>0</v>
      </c>
      <c r="AC903">
        <f>IF(DAY(NOW())&lt;M3,INDIRECT(ADDRESS(903,28))-INDIRECT(ADDRESS(898,29))+INDIRECT(ADDRESS(899,29))-INDIRECT(ADDRESS(902,29)),INDIRECT(ADDRESS(903,28))-INDIRECT(ADDRESS(898,29))+INDIRECT(ADDRESS(901,29))-INDIRECT(ADDRESS(902,29)))</f>
        <v>0</v>
      </c>
      <c r="AD903">
        <f>IF(DAY(NOW())&lt;M3,INDIRECT(ADDRESS(903,29))-INDIRECT(ADDRESS(898,30))+INDIRECT(ADDRESS(899,30))-INDIRECT(ADDRESS(902,30)),INDIRECT(ADDRESS(903,29))-INDIRECT(ADDRESS(898,30))+INDIRECT(ADDRESS(901,30))-INDIRECT(ADDRESS(902,30)))</f>
        <v>0</v>
      </c>
      <c r="AE903">
        <f>IF(DAY(NOW())&lt;M3,INDIRECT(ADDRESS(903,30))-INDIRECT(ADDRESS(898,31))+INDIRECT(ADDRESS(899,31))-INDIRECT(ADDRESS(902,31)),INDIRECT(ADDRESS(903,30))-INDIRECT(ADDRESS(898,31))+INDIRECT(ADDRESS(901,31))-INDIRECT(ADDRESS(902,31)))</f>
        <v>0</v>
      </c>
      <c r="AF903">
        <f>IF(DAY(NOW())&lt;M3,INDIRECT(ADDRESS(903,31))-INDIRECT(ADDRESS(898,32))+INDIRECT(ADDRESS(899,32))-INDIRECT(ADDRESS(902,32)),INDIRECT(ADDRESS(903,31))-INDIRECT(ADDRESS(898,32))+INDIRECT(ADDRESS(901,32))-INDIRECT(ADDRESS(902,32)))</f>
        <v>0</v>
      </c>
      <c r="AG903">
        <f>IF(DAY(NOW())&lt;M3,INDIRECT(ADDRESS(903,32))-INDIRECT(ADDRESS(898,33))+INDIRECT(ADDRESS(899,33))-INDIRECT(ADDRESS(902,33)),INDIRECT(ADDRESS(903,32))-INDIRECT(ADDRESS(898,33))+INDIRECT(ADDRESS(901,33))-INDIRECT(ADDRESS(902,33)))</f>
        <v>0</v>
      </c>
      <c r="AH903">
        <f>IF(DAY(NOW())&lt;M3,INDIRECT(ADDRESS(903,33))-INDIRECT(ADDRESS(898,34))+INDIRECT(ADDRESS(899,34))-INDIRECT(ADDRESS(902,34)),INDIRECT(ADDRESS(903,33))-INDIRECT(ADDRESS(898,34))+INDIRECT(ADDRESS(901,34))-INDIRECT(ADDRESS(902,34)))</f>
        <v>0</v>
      </c>
      <c r="AI903">
        <f>IF(DAY(NOW())&lt;M3,INDIRECT(ADDRESS(903,34))-INDIRECT(ADDRESS(898,35))+INDIRECT(ADDRESS(899,35))-INDIRECT(ADDRESS(902,35)),INDIRECT(ADDRESS(903,34))-INDIRECT(ADDRESS(898,35))+INDIRECT(ADDRESS(901,35))-INDIRECT(ADDRESS(902,35)))</f>
        <v>0</v>
      </c>
      <c r="AJ903">
        <f>IF(DAY(NOW())&lt;M3,INDIRECT(ADDRESS(903,35))-INDIRECT(ADDRESS(898,36))+INDIRECT(ADDRESS(899,36))-INDIRECT(ADDRESS(902,36)),INDIRECT(ADDRESS(903,35))-INDIRECT(ADDRESS(898,36))+INDIRECT(ADDRESS(901,36))-INDIRECT(ADDRESS(902,36)))</f>
        <v>0</v>
      </c>
      <c r="AK903">
        <f>IF(DAY(NOW())&lt;M3,INDIRECT(ADDRESS(903,36))-INDIRECT(ADDRESS(898,37))+INDIRECT(ADDRESS(899,37))-INDIRECT(ADDRESS(902,37)),INDIRECT(ADDRESS(903,36))-INDIRECT(ADDRESS(898,37))+INDIRECT(ADDRESS(901,37))-INDIRECT(ADDRESS(902,37)))</f>
        <v>0</v>
      </c>
      <c r="AL903">
        <f>IF(DAY(NOW())&lt;M3,INDIRECT(ADDRESS(903,37))-INDIRECT(ADDRESS(898,38))+INDIRECT(ADDRESS(899,38))-INDIRECT(ADDRESS(902,38)),INDIRECT(ADDRESS(903,37))-INDIRECT(ADDRESS(898,38))+INDIRECT(ADDRESS(901,38))-INDIRECT(ADDRESS(902,38)))</f>
        <v>0</v>
      </c>
      <c r="AM903">
        <f>IF(DAY(NOW())&lt;M3,INDIRECT(ADDRESS(903,38))-INDIRECT(ADDRESS(898,39))+INDIRECT(ADDRESS(899,39))-INDIRECT(ADDRESS(902,39)),INDIRECT(ADDRESS(903,38))-INDIRECT(ADDRESS(898,39))+INDIRECT(ADDRESS(901,39))-INDIRECT(ADDRESS(902,39)))</f>
        <v>0</v>
      </c>
      <c r="AN903">
        <f>IF(DAY(NOW())&lt;M3,INDIRECT(ADDRESS(903,39))-INDIRECT(ADDRESS(898,40))+INDIRECT(ADDRESS(899,40))-INDIRECT(ADDRESS(902,40)),INDIRECT(ADDRESS(903,39))-INDIRECT(ADDRESS(898,40))+INDIRECT(ADDRESS(901,40))-INDIRECT(ADDRESS(902,40)))</f>
        <v>0</v>
      </c>
      <c r="AO903">
        <f>IF(DAY(NOW())&lt;M3,INDIRECT(ADDRESS(903,40))-INDIRECT(ADDRESS(898,41))+INDIRECT(ADDRESS(899,41))-INDIRECT(ADDRESS(902,41)),INDIRECT(ADDRESS(903,40))-INDIRECT(ADDRESS(898,41))+INDIRECT(ADDRESS(901,41))-INDIRECT(ADDRESS(902,41)))</f>
        <v>0</v>
      </c>
      <c r="AP903">
        <f>IF(DAY(NOW())&lt;M3,INDIRECT(ADDRESS(903,41))-INDIRECT(ADDRESS(898,42))+INDIRECT(ADDRESS(899,42))-INDIRECT(ADDRESS(902,42)),INDIRECT(ADDRESS(903,41))-INDIRECT(ADDRESS(898,42))+INDIRECT(ADDRESS(901,42))-INDIRECT(ADDRESS(902,42)))</f>
        <v>0</v>
      </c>
      <c r="AQ903">
        <f>IF(DAY(NOW())&lt;M3,INDIRECT(ADDRESS(903,42))-INDIRECT(ADDRESS(898,43))+INDIRECT(ADDRESS(899,43))-INDIRECT(ADDRESS(902,43)),INDIRECT(ADDRESS(903,42))-INDIRECT(ADDRESS(898,43))+INDIRECT(ADDRESS(901,43))-INDIRECT(ADDRESS(902,43)))</f>
        <v>0</v>
      </c>
      <c r="AR903">
        <f>IF(DAY(NOW())&lt;M3,INDIRECT(ADDRESS(903,43))-INDIRECT(ADDRESS(898,44))+INDIRECT(ADDRESS(899,44))-INDIRECT(ADDRESS(902,44)),INDIRECT(ADDRESS(903,43))-INDIRECT(ADDRESS(898,44))+INDIRECT(ADDRESS(901,44))-INDIRECT(ADDRESS(902,44)))</f>
        <v>0</v>
      </c>
    </row>
    <row r="904" spans="1:76">
      <c r="A904" t="s">
        <v>31</v>
      </c>
      <c r="B904" t="s">
        <v>399</v>
      </c>
      <c r="C904" t="s">
        <v>400</v>
      </c>
      <c r="D904" t="s">
        <v>17</v>
      </c>
      <c r="E904">
        <v>1</v>
      </c>
      <c r="F904" t="s">
        <v>401</v>
      </c>
      <c r="K904" t="s">
        <v>308</v>
      </c>
      <c r="L904" t="s">
        <v>21</v>
      </c>
      <c r="M904">
        <f>sumifs(BOM!m:m,BOM!A:A,".1",BOM!B:B,"222-007200-000")</f>
        <v>0</v>
      </c>
      <c r="N904">
        <f>sumifs(BOM!n:n,BOM!A:A,".1",BOM!B:B,"222-007200-000")</f>
        <v>0</v>
      </c>
      <c r="O904">
        <f>sumifs(BOM!o:o,BOM!A:A,".1",BOM!B:B,"222-007200-000")</f>
        <v>0</v>
      </c>
      <c r="P904">
        <f>sumifs(BOM!p:p,BOM!A:A,".1",BOM!B:B,"222-007200-000")</f>
        <v>0</v>
      </c>
      <c r="Q904">
        <f>sumifs(BOM!q:q,BOM!A:A,".1",BOM!B:B,"222-007200-000")</f>
        <v>0</v>
      </c>
      <c r="R904">
        <f>sumifs(BOM!r:r,BOM!A:A,".1",BOM!B:B,"222-007200-000")</f>
        <v>0</v>
      </c>
      <c r="S904">
        <f>sumifs(BOM!s:s,BOM!A:A,".1",BOM!B:B,"222-007200-000")</f>
        <v>0</v>
      </c>
      <c r="T904">
        <f>sumifs(BOM!t:t,BOM!A:A,".1",BOM!B:B,"222-007200-000")</f>
        <v>0</v>
      </c>
      <c r="U904">
        <f>sumifs(BOM!u:u,BOM!A:A,".1",BOM!B:B,"222-007200-000")</f>
        <v>0</v>
      </c>
      <c r="V904">
        <f>sumifs(BOM!v:v,BOM!A:A,".1",BOM!B:B,"222-007200-000")</f>
        <v>0</v>
      </c>
      <c r="W904">
        <f>sumifs(BOM!w:w,BOM!A:A,".1",BOM!B:B,"222-007200-000")</f>
        <v>0</v>
      </c>
      <c r="X904">
        <f>sumifs(BOM!x:x,BOM!A:A,".1",BOM!B:B,"222-007200-000")</f>
        <v>0</v>
      </c>
      <c r="Y904">
        <f>sumifs(BOM!y:y,BOM!A:A,".1",BOM!B:B,"222-007200-000")</f>
        <v>0</v>
      </c>
      <c r="Z904">
        <f>sumifs(BOM!z:z,BOM!A:A,".1",BOM!B:B,"222-007200-000")</f>
        <v>0</v>
      </c>
      <c r="AA904">
        <f>sumifs(BOM!aa:aa,BOM!A:A,".1",BOM!B:B,"222-007200-000")</f>
        <v>0</v>
      </c>
      <c r="AB904">
        <f>sumifs(BOM!ab:ab,BOM!A:A,".1",BOM!B:B,"222-007200-000")</f>
        <v>0</v>
      </c>
      <c r="AC904">
        <f>sumifs(BOM!ac:ac,BOM!A:A,".1",BOM!B:B,"222-007200-000")</f>
        <v>0</v>
      </c>
      <c r="AD904">
        <f>sumifs(BOM!ad:ad,BOM!A:A,".1",BOM!B:B,"222-007200-000")</f>
        <v>0</v>
      </c>
      <c r="AE904">
        <f>sumifs(BOM!ae:ae,BOM!A:A,".1",BOM!B:B,"222-007200-000")</f>
        <v>0</v>
      </c>
      <c r="AF904">
        <f>sumifs(BOM!af:af,BOM!A:A,".1",BOM!B:B,"222-007200-000")</f>
        <v>0</v>
      </c>
      <c r="AG904">
        <f>sumifs(BOM!ag:ag,BOM!A:A,".1",BOM!B:B,"222-007200-000")</f>
        <v>0</v>
      </c>
      <c r="AH904">
        <f>sumifs(BOM!ah:ah,BOM!A:A,".1",BOM!B:B,"222-007200-000")</f>
        <v>0</v>
      </c>
      <c r="AI904">
        <f>sumifs(BOM!ai:ai,BOM!A:A,".1",BOM!B:B,"222-007200-000")</f>
        <v>0</v>
      </c>
      <c r="AJ904">
        <f>sumifs(BOM!aj:aj,BOM!A:A,".1",BOM!B:B,"222-007200-000")</f>
        <v>0</v>
      </c>
      <c r="AK904">
        <f>sumifs(BOM!ak:ak,BOM!A:A,".1",BOM!B:B,"222-007200-000")</f>
        <v>0</v>
      </c>
      <c r="AL904">
        <f>sumifs(BOM!al:al,BOM!A:A,".1",BOM!B:B,"222-007200-000")</f>
        <v>0</v>
      </c>
      <c r="AM904">
        <f>sumifs(BOM!am:am,BOM!A:A,".1",BOM!B:B,"222-007200-000")</f>
        <v>0</v>
      </c>
      <c r="AN904">
        <f>sumifs(BOM!an:an,BOM!A:A,".1",BOM!B:B,"222-007200-000")</f>
        <v>0</v>
      </c>
      <c r="AO904">
        <f>sumifs(BOM!ao:ao,BOM!A:A,".1",BOM!B:B,"222-007200-000")</f>
        <v>0</v>
      </c>
      <c r="AP904">
        <f>sumifs(BOM!ap:ap,BOM!A:A,".1",BOM!B:B,"222-007200-000")</f>
        <v>0</v>
      </c>
      <c r="AQ904">
        <f>sumifs(BOM!aq:aq,BOM!A:A,".1",BOM!B:B,"222-007200-000")</f>
        <v>0</v>
      </c>
      <c r="AR904">
        <f>sumifs(BOM!ar:ar,BOM!A:A,".1",BOM!B:B,"222-007200-000")</f>
        <v>0</v>
      </c>
      <c r="BX904">
        <f>sum(j904:an904)</f>
        <v>0</v>
      </c>
    </row>
    <row r="905" spans="1:76">
      <c r="A905" t="s">
        <v>31</v>
      </c>
      <c r="B905" t="s">
        <v>399</v>
      </c>
      <c r="C905" t="s">
        <v>400</v>
      </c>
      <c r="D905" t="s">
        <v>17</v>
      </c>
      <c r="E905">
        <v>1</v>
      </c>
      <c r="F905" t="s">
        <v>401</v>
      </c>
      <c r="K905" t="s">
        <v>308</v>
      </c>
      <c r="L905" t="s">
        <v>37</v>
      </c>
    </row>
    <row r="906" spans="1:76">
      <c r="L906" t="s">
        <v>662</v>
      </c>
    </row>
    <row r="907" spans="1:76">
      <c r="L907" t="s">
        <v>663</v>
      </c>
    </row>
    <row r="908" spans="1:76">
      <c r="L908" t="s">
        <v>664</v>
      </c>
    </row>
    <row r="909" spans="1:76">
      <c r="L909" t="s">
        <v>665</v>
      </c>
      <c r="M909">
        <f>IF(DAY(NOW())&lt;M3,INDIRECT(ADDRESS(909,7))-INDIRECT(ADDRESS(904,13))+INDIRECT(ADDRESS(905,13))-INDIRECT(ADDRESS(908,13)),INDIRECT(ADDRESS(909,7))-INDIRECT(ADDRESS(904,13))+INDIRECT(ADDRESS(907,13))-INDIRECT(ADDRESS(908,13)))</f>
        <v>0</v>
      </c>
      <c r="N909">
        <f>IF(DAY(NOW())&lt;M3,INDIRECT(ADDRESS(909,13))-INDIRECT(ADDRESS(904,14))+INDIRECT(ADDRESS(905,14))-INDIRECT(ADDRESS(908,14)),INDIRECT(ADDRESS(909,13))-INDIRECT(ADDRESS(904,14))+INDIRECT(ADDRESS(907,14))-INDIRECT(ADDRESS(908,14)))</f>
        <v>0</v>
      </c>
      <c r="O909">
        <f>IF(DAY(NOW())&lt;M3,INDIRECT(ADDRESS(909,14))-INDIRECT(ADDRESS(904,15))+INDIRECT(ADDRESS(905,15))-INDIRECT(ADDRESS(908,15)),INDIRECT(ADDRESS(909,14))-INDIRECT(ADDRESS(904,15))+INDIRECT(ADDRESS(907,15))-INDIRECT(ADDRESS(908,15)))</f>
        <v>0</v>
      </c>
      <c r="P909">
        <f>IF(DAY(NOW())&lt;M3,INDIRECT(ADDRESS(909,15))-INDIRECT(ADDRESS(904,16))+INDIRECT(ADDRESS(905,16))-INDIRECT(ADDRESS(908,16)),INDIRECT(ADDRESS(909,15))-INDIRECT(ADDRESS(904,16))+INDIRECT(ADDRESS(907,16))-INDIRECT(ADDRESS(908,16)))</f>
        <v>0</v>
      </c>
      <c r="Q909">
        <f>IF(DAY(NOW())&lt;M3,INDIRECT(ADDRESS(909,16))-INDIRECT(ADDRESS(904,17))+INDIRECT(ADDRESS(905,17))-INDIRECT(ADDRESS(908,17)),INDIRECT(ADDRESS(909,16))-INDIRECT(ADDRESS(904,17))+INDIRECT(ADDRESS(907,17))-INDIRECT(ADDRESS(908,17)))</f>
        <v>0</v>
      </c>
      <c r="R909">
        <f>IF(DAY(NOW())&lt;M3,INDIRECT(ADDRESS(909,17))-INDIRECT(ADDRESS(904,18))+INDIRECT(ADDRESS(905,18))-INDIRECT(ADDRESS(908,18)),INDIRECT(ADDRESS(909,17))-INDIRECT(ADDRESS(904,18))+INDIRECT(ADDRESS(907,18))-INDIRECT(ADDRESS(908,18)))</f>
        <v>0</v>
      </c>
      <c r="S909">
        <f>IF(DAY(NOW())&lt;M3,INDIRECT(ADDRESS(909,18))-INDIRECT(ADDRESS(904,19))+INDIRECT(ADDRESS(905,19))-INDIRECT(ADDRESS(908,19)),INDIRECT(ADDRESS(909,18))-INDIRECT(ADDRESS(904,19))+INDIRECT(ADDRESS(907,19))-INDIRECT(ADDRESS(908,19)))</f>
        <v>0</v>
      </c>
      <c r="T909">
        <f>IF(DAY(NOW())&lt;M3,INDIRECT(ADDRESS(909,19))-INDIRECT(ADDRESS(904,20))+INDIRECT(ADDRESS(905,20))-INDIRECT(ADDRESS(908,20)),INDIRECT(ADDRESS(909,19))-INDIRECT(ADDRESS(904,20))+INDIRECT(ADDRESS(907,20))-INDIRECT(ADDRESS(908,20)))</f>
        <v>0</v>
      </c>
      <c r="U909">
        <f>IF(DAY(NOW())&lt;M3,INDIRECT(ADDRESS(909,20))-INDIRECT(ADDRESS(904,21))+INDIRECT(ADDRESS(905,21))-INDIRECT(ADDRESS(908,21)),INDIRECT(ADDRESS(909,20))-INDIRECT(ADDRESS(904,21))+INDIRECT(ADDRESS(907,21))-INDIRECT(ADDRESS(908,21)))</f>
        <v>0</v>
      </c>
      <c r="V909">
        <f>IF(DAY(NOW())&lt;M3,INDIRECT(ADDRESS(909,21))-INDIRECT(ADDRESS(904,22))+INDIRECT(ADDRESS(905,22))-INDIRECT(ADDRESS(908,22)),INDIRECT(ADDRESS(909,21))-INDIRECT(ADDRESS(904,22))+INDIRECT(ADDRESS(907,22))-INDIRECT(ADDRESS(908,22)))</f>
        <v>0</v>
      </c>
      <c r="W909">
        <f>IF(DAY(NOW())&lt;M3,INDIRECT(ADDRESS(909,22))-INDIRECT(ADDRESS(904,23))+INDIRECT(ADDRESS(905,23))-INDIRECT(ADDRESS(908,23)),INDIRECT(ADDRESS(909,22))-INDIRECT(ADDRESS(904,23))+INDIRECT(ADDRESS(907,23))-INDIRECT(ADDRESS(908,23)))</f>
        <v>0</v>
      </c>
      <c r="X909">
        <f>IF(DAY(NOW())&lt;M3,INDIRECT(ADDRESS(909,23))-INDIRECT(ADDRESS(904,24))+INDIRECT(ADDRESS(905,24))-INDIRECT(ADDRESS(908,24)),INDIRECT(ADDRESS(909,23))-INDIRECT(ADDRESS(904,24))+INDIRECT(ADDRESS(907,24))-INDIRECT(ADDRESS(908,24)))</f>
        <v>0</v>
      </c>
      <c r="Y909">
        <f>IF(DAY(NOW())&lt;M3,INDIRECT(ADDRESS(909,24))-INDIRECT(ADDRESS(904,25))+INDIRECT(ADDRESS(905,25))-INDIRECT(ADDRESS(908,25)),INDIRECT(ADDRESS(909,24))-INDIRECT(ADDRESS(904,25))+INDIRECT(ADDRESS(907,25))-INDIRECT(ADDRESS(908,25)))</f>
        <v>0</v>
      </c>
      <c r="Z909">
        <f>IF(DAY(NOW())&lt;M3,INDIRECT(ADDRESS(909,25))-INDIRECT(ADDRESS(904,26))+INDIRECT(ADDRESS(905,26))-INDIRECT(ADDRESS(908,26)),INDIRECT(ADDRESS(909,25))-INDIRECT(ADDRESS(904,26))+INDIRECT(ADDRESS(907,26))-INDIRECT(ADDRESS(908,26)))</f>
        <v>0</v>
      </c>
      <c r="AA909">
        <f>IF(DAY(NOW())&lt;M3,INDIRECT(ADDRESS(909,26))-INDIRECT(ADDRESS(904,27))+INDIRECT(ADDRESS(905,27))-INDIRECT(ADDRESS(908,27)),INDIRECT(ADDRESS(909,26))-INDIRECT(ADDRESS(904,27))+INDIRECT(ADDRESS(907,27))-INDIRECT(ADDRESS(908,27)))</f>
        <v>0</v>
      </c>
      <c r="AB909">
        <f>IF(DAY(NOW())&lt;M3,INDIRECT(ADDRESS(909,27))-INDIRECT(ADDRESS(904,28))+INDIRECT(ADDRESS(905,28))-INDIRECT(ADDRESS(908,28)),INDIRECT(ADDRESS(909,27))-INDIRECT(ADDRESS(904,28))+INDIRECT(ADDRESS(907,28))-INDIRECT(ADDRESS(908,28)))</f>
        <v>0</v>
      </c>
      <c r="AC909">
        <f>IF(DAY(NOW())&lt;M3,INDIRECT(ADDRESS(909,28))-INDIRECT(ADDRESS(904,29))+INDIRECT(ADDRESS(905,29))-INDIRECT(ADDRESS(908,29)),INDIRECT(ADDRESS(909,28))-INDIRECT(ADDRESS(904,29))+INDIRECT(ADDRESS(907,29))-INDIRECT(ADDRESS(908,29)))</f>
        <v>0</v>
      </c>
      <c r="AD909">
        <f>IF(DAY(NOW())&lt;M3,INDIRECT(ADDRESS(909,29))-INDIRECT(ADDRESS(904,30))+INDIRECT(ADDRESS(905,30))-INDIRECT(ADDRESS(908,30)),INDIRECT(ADDRESS(909,29))-INDIRECT(ADDRESS(904,30))+INDIRECT(ADDRESS(907,30))-INDIRECT(ADDRESS(908,30)))</f>
        <v>0</v>
      </c>
      <c r="AE909">
        <f>IF(DAY(NOW())&lt;M3,INDIRECT(ADDRESS(909,30))-INDIRECT(ADDRESS(904,31))+INDIRECT(ADDRESS(905,31))-INDIRECT(ADDRESS(908,31)),INDIRECT(ADDRESS(909,30))-INDIRECT(ADDRESS(904,31))+INDIRECT(ADDRESS(907,31))-INDIRECT(ADDRESS(908,31)))</f>
        <v>0</v>
      </c>
      <c r="AF909">
        <f>IF(DAY(NOW())&lt;M3,INDIRECT(ADDRESS(909,31))-INDIRECT(ADDRESS(904,32))+INDIRECT(ADDRESS(905,32))-INDIRECT(ADDRESS(908,32)),INDIRECT(ADDRESS(909,31))-INDIRECT(ADDRESS(904,32))+INDIRECT(ADDRESS(907,32))-INDIRECT(ADDRESS(908,32)))</f>
        <v>0</v>
      </c>
      <c r="AG909">
        <f>IF(DAY(NOW())&lt;M3,INDIRECT(ADDRESS(909,32))-INDIRECT(ADDRESS(904,33))+INDIRECT(ADDRESS(905,33))-INDIRECT(ADDRESS(908,33)),INDIRECT(ADDRESS(909,32))-INDIRECT(ADDRESS(904,33))+INDIRECT(ADDRESS(907,33))-INDIRECT(ADDRESS(908,33)))</f>
        <v>0</v>
      </c>
      <c r="AH909">
        <f>IF(DAY(NOW())&lt;M3,INDIRECT(ADDRESS(909,33))-INDIRECT(ADDRESS(904,34))+INDIRECT(ADDRESS(905,34))-INDIRECT(ADDRESS(908,34)),INDIRECT(ADDRESS(909,33))-INDIRECT(ADDRESS(904,34))+INDIRECT(ADDRESS(907,34))-INDIRECT(ADDRESS(908,34)))</f>
        <v>0</v>
      </c>
      <c r="AI909">
        <f>IF(DAY(NOW())&lt;M3,INDIRECT(ADDRESS(909,34))-INDIRECT(ADDRESS(904,35))+INDIRECT(ADDRESS(905,35))-INDIRECT(ADDRESS(908,35)),INDIRECT(ADDRESS(909,34))-INDIRECT(ADDRESS(904,35))+INDIRECT(ADDRESS(907,35))-INDIRECT(ADDRESS(908,35)))</f>
        <v>0</v>
      </c>
      <c r="AJ909">
        <f>IF(DAY(NOW())&lt;M3,INDIRECT(ADDRESS(909,35))-INDIRECT(ADDRESS(904,36))+INDIRECT(ADDRESS(905,36))-INDIRECT(ADDRESS(908,36)),INDIRECT(ADDRESS(909,35))-INDIRECT(ADDRESS(904,36))+INDIRECT(ADDRESS(907,36))-INDIRECT(ADDRESS(908,36)))</f>
        <v>0</v>
      </c>
      <c r="AK909">
        <f>IF(DAY(NOW())&lt;M3,INDIRECT(ADDRESS(909,36))-INDIRECT(ADDRESS(904,37))+INDIRECT(ADDRESS(905,37))-INDIRECT(ADDRESS(908,37)),INDIRECT(ADDRESS(909,36))-INDIRECT(ADDRESS(904,37))+INDIRECT(ADDRESS(907,37))-INDIRECT(ADDRESS(908,37)))</f>
        <v>0</v>
      </c>
      <c r="AL909">
        <f>IF(DAY(NOW())&lt;M3,INDIRECT(ADDRESS(909,37))-INDIRECT(ADDRESS(904,38))+INDIRECT(ADDRESS(905,38))-INDIRECT(ADDRESS(908,38)),INDIRECT(ADDRESS(909,37))-INDIRECT(ADDRESS(904,38))+INDIRECT(ADDRESS(907,38))-INDIRECT(ADDRESS(908,38)))</f>
        <v>0</v>
      </c>
      <c r="AM909">
        <f>IF(DAY(NOW())&lt;M3,INDIRECT(ADDRESS(909,38))-INDIRECT(ADDRESS(904,39))+INDIRECT(ADDRESS(905,39))-INDIRECT(ADDRESS(908,39)),INDIRECT(ADDRESS(909,38))-INDIRECT(ADDRESS(904,39))+INDIRECT(ADDRESS(907,39))-INDIRECT(ADDRESS(908,39)))</f>
        <v>0</v>
      </c>
      <c r="AN909">
        <f>IF(DAY(NOW())&lt;M3,INDIRECT(ADDRESS(909,39))-INDIRECT(ADDRESS(904,40))+INDIRECT(ADDRESS(905,40))-INDIRECT(ADDRESS(908,40)),INDIRECT(ADDRESS(909,39))-INDIRECT(ADDRESS(904,40))+INDIRECT(ADDRESS(907,40))-INDIRECT(ADDRESS(908,40)))</f>
        <v>0</v>
      </c>
      <c r="AO909">
        <f>IF(DAY(NOW())&lt;M3,INDIRECT(ADDRESS(909,40))-INDIRECT(ADDRESS(904,41))+INDIRECT(ADDRESS(905,41))-INDIRECT(ADDRESS(908,41)),INDIRECT(ADDRESS(909,40))-INDIRECT(ADDRESS(904,41))+INDIRECT(ADDRESS(907,41))-INDIRECT(ADDRESS(908,41)))</f>
        <v>0</v>
      </c>
      <c r="AP909">
        <f>IF(DAY(NOW())&lt;M3,INDIRECT(ADDRESS(909,41))-INDIRECT(ADDRESS(904,42))+INDIRECT(ADDRESS(905,42))-INDIRECT(ADDRESS(908,42)),INDIRECT(ADDRESS(909,41))-INDIRECT(ADDRESS(904,42))+INDIRECT(ADDRESS(907,42))-INDIRECT(ADDRESS(908,42)))</f>
        <v>0</v>
      </c>
      <c r="AQ909">
        <f>IF(DAY(NOW())&lt;M3,INDIRECT(ADDRESS(909,42))-INDIRECT(ADDRESS(904,43))+INDIRECT(ADDRESS(905,43))-INDIRECT(ADDRESS(908,43)),INDIRECT(ADDRESS(909,42))-INDIRECT(ADDRESS(904,43))+INDIRECT(ADDRESS(907,43))-INDIRECT(ADDRESS(908,43)))</f>
        <v>0</v>
      </c>
      <c r="AR909">
        <f>IF(DAY(NOW())&lt;M3,INDIRECT(ADDRESS(909,43))-INDIRECT(ADDRESS(904,44))+INDIRECT(ADDRESS(905,44))-INDIRECT(ADDRESS(908,44)),INDIRECT(ADDRESS(909,43))-INDIRECT(ADDRESS(904,44))+INDIRECT(ADDRESS(907,44))-INDIRECT(ADDRESS(908,44)))</f>
        <v>0</v>
      </c>
    </row>
    <row r="910" spans="1:76">
      <c r="A910" t="s">
        <v>14</v>
      </c>
      <c r="B910" t="s">
        <v>216</v>
      </c>
      <c r="C910" t="s">
        <v>217</v>
      </c>
      <c r="D910" t="s">
        <v>256</v>
      </c>
      <c r="E910">
        <v>1</v>
      </c>
      <c r="F910" t="s">
        <v>218</v>
      </c>
      <c r="K910" t="s">
        <v>305</v>
      </c>
      <c r="L910" t="s">
        <v>21</v>
      </c>
      <c r="BX910">
        <f>sum(j910:an910)</f>
        <v>0</v>
      </c>
    </row>
    <row r="911" spans="1:76">
      <c r="A911" t="s">
        <v>14</v>
      </c>
      <c r="B911" t="s">
        <v>216</v>
      </c>
      <c r="C911" t="s">
        <v>217</v>
      </c>
      <c r="D911" t="s">
        <v>256</v>
      </c>
      <c r="E911">
        <v>1</v>
      </c>
      <c r="F911" t="s">
        <v>218</v>
      </c>
      <c r="K911" t="s">
        <v>305</v>
      </c>
      <c r="L911" t="s">
        <v>37</v>
      </c>
    </row>
    <row r="912" spans="1:76">
      <c r="L912" t="s">
        <v>662</v>
      </c>
    </row>
    <row r="913" spans="1:76">
      <c r="L913" t="s">
        <v>663</v>
      </c>
    </row>
    <row r="914" spans="1:76">
      <c r="L914" t="s">
        <v>664</v>
      </c>
    </row>
    <row r="915" spans="1:76">
      <c r="L915" t="s">
        <v>665</v>
      </c>
      <c r="M915">
        <f>IF(DAY(NOW())&lt;M3,INDIRECT(ADDRESS(915,7))-INDIRECT(ADDRESS(910,13))+INDIRECT(ADDRESS(911,13))-INDIRECT(ADDRESS(914,13)),INDIRECT(ADDRESS(915,7))-INDIRECT(ADDRESS(910,13))+INDIRECT(ADDRESS(913,13))-INDIRECT(ADDRESS(914,13)))</f>
        <v>0</v>
      </c>
      <c r="N915">
        <f>IF(DAY(NOW())&lt;M3,INDIRECT(ADDRESS(915,13))-INDIRECT(ADDRESS(910,14))+INDIRECT(ADDRESS(911,14))-INDIRECT(ADDRESS(914,14)),INDIRECT(ADDRESS(915,13))-INDIRECT(ADDRESS(910,14))+INDIRECT(ADDRESS(913,14))-INDIRECT(ADDRESS(914,14)))</f>
        <v>0</v>
      </c>
      <c r="O915">
        <f>IF(DAY(NOW())&lt;M3,INDIRECT(ADDRESS(915,14))-INDIRECT(ADDRESS(910,15))+INDIRECT(ADDRESS(911,15))-INDIRECT(ADDRESS(914,15)),INDIRECT(ADDRESS(915,14))-INDIRECT(ADDRESS(910,15))+INDIRECT(ADDRESS(913,15))-INDIRECT(ADDRESS(914,15)))</f>
        <v>0</v>
      </c>
      <c r="P915">
        <f>IF(DAY(NOW())&lt;M3,INDIRECT(ADDRESS(915,15))-INDIRECT(ADDRESS(910,16))+INDIRECT(ADDRESS(911,16))-INDIRECT(ADDRESS(914,16)),INDIRECT(ADDRESS(915,15))-INDIRECT(ADDRESS(910,16))+INDIRECT(ADDRESS(913,16))-INDIRECT(ADDRESS(914,16)))</f>
        <v>0</v>
      </c>
      <c r="Q915">
        <f>IF(DAY(NOW())&lt;M3,INDIRECT(ADDRESS(915,16))-INDIRECT(ADDRESS(910,17))+INDIRECT(ADDRESS(911,17))-INDIRECT(ADDRESS(914,17)),INDIRECT(ADDRESS(915,16))-INDIRECT(ADDRESS(910,17))+INDIRECT(ADDRESS(913,17))-INDIRECT(ADDRESS(914,17)))</f>
        <v>0</v>
      </c>
      <c r="R915">
        <f>IF(DAY(NOW())&lt;M3,INDIRECT(ADDRESS(915,17))-INDIRECT(ADDRESS(910,18))+INDIRECT(ADDRESS(911,18))-INDIRECT(ADDRESS(914,18)),INDIRECT(ADDRESS(915,17))-INDIRECT(ADDRESS(910,18))+INDIRECT(ADDRESS(913,18))-INDIRECT(ADDRESS(914,18)))</f>
        <v>0</v>
      </c>
      <c r="S915">
        <f>IF(DAY(NOW())&lt;M3,INDIRECT(ADDRESS(915,18))-INDIRECT(ADDRESS(910,19))+INDIRECT(ADDRESS(911,19))-INDIRECT(ADDRESS(914,19)),INDIRECT(ADDRESS(915,18))-INDIRECT(ADDRESS(910,19))+INDIRECT(ADDRESS(913,19))-INDIRECT(ADDRESS(914,19)))</f>
        <v>0</v>
      </c>
      <c r="T915">
        <f>IF(DAY(NOW())&lt;M3,INDIRECT(ADDRESS(915,19))-INDIRECT(ADDRESS(910,20))+INDIRECT(ADDRESS(911,20))-INDIRECT(ADDRESS(914,20)),INDIRECT(ADDRESS(915,19))-INDIRECT(ADDRESS(910,20))+INDIRECT(ADDRESS(913,20))-INDIRECT(ADDRESS(914,20)))</f>
        <v>0</v>
      </c>
      <c r="U915">
        <f>IF(DAY(NOW())&lt;M3,INDIRECT(ADDRESS(915,20))-INDIRECT(ADDRESS(910,21))+INDIRECT(ADDRESS(911,21))-INDIRECT(ADDRESS(914,21)),INDIRECT(ADDRESS(915,20))-INDIRECT(ADDRESS(910,21))+INDIRECT(ADDRESS(913,21))-INDIRECT(ADDRESS(914,21)))</f>
        <v>0</v>
      </c>
      <c r="V915">
        <f>IF(DAY(NOW())&lt;M3,INDIRECT(ADDRESS(915,21))-INDIRECT(ADDRESS(910,22))+INDIRECT(ADDRESS(911,22))-INDIRECT(ADDRESS(914,22)),INDIRECT(ADDRESS(915,21))-INDIRECT(ADDRESS(910,22))+INDIRECT(ADDRESS(913,22))-INDIRECT(ADDRESS(914,22)))</f>
        <v>0</v>
      </c>
      <c r="W915">
        <f>IF(DAY(NOW())&lt;M3,INDIRECT(ADDRESS(915,22))-INDIRECT(ADDRESS(910,23))+INDIRECT(ADDRESS(911,23))-INDIRECT(ADDRESS(914,23)),INDIRECT(ADDRESS(915,22))-INDIRECT(ADDRESS(910,23))+INDIRECT(ADDRESS(913,23))-INDIRECT(ADDRESS(914,23)))</f>
        <v>0</v>
      </c>
      <c r="X915">
        <f>IF(DAY(NOW())&lt;M3,INDIRECT(ADDRESS(915,23))-INDIRECT(ADDRESS(910,24))+INDIRECT(ADDRESS(911,24))-INDIRECT(ADDRESS(914,24)),INDIRECT(ADDRESS(915,23))-INDIRECT(ADDRESS(910,24))+INDIRECT(ADDRESS(913,24))-INDIRECT(ADDRESS(914,24)))</f>
        <v>0</v>
      </c>
      <c r="Y915">
        <f>IF(DAY(NOW())&lt;M3,INDIRECT(ADDRESS(915,24))-INDIRECT(ADDRESS(910,25))+INDIRECT(ADDRESS(911,25))-INDIRECT(ADDRESS(914,25)),INDIRECT(ADDRESS(915,24))-INDIRECT(ADDRESS(910,25))+INDIRECT(ADDRESS(913,25))-INDIRECT(ADDRESS(914,25)))</f>
        <v>0</v>
      </c>
      <c r="Z915">
        <f>IF(DAY(NOW())&lt;M3,INDIRECT(ADDRESS(915,25))-INDIRECT(ADDRESS(910,26))+INDIRECT(ADDRESS(911,26))-INDIRECT(ADDRESS(914,26)),INDIRECT(ADDRESS(915,25))-INDIRECT(ADDRESS(910,26))+INDIRECT(ADDRESS(913,26))-INDIRECT(ADDRESS(914,26)))</f>
        <v>0</v>
      </c>
      <c r="AA915">
        <f>IF(DAY(NOW())&lt;M3,INDIRECT(ADDRESS(915,26))-INDIRECT(ADDRESS(910,27))+INDIRECT(ADDRESS(911,27))-INDIRECT(ADDRESS(914,27)),INDIRECT(ADDRESS(915,26))-INDIRECT(ADDRESS(910,27))+INDIRECT(ADDRESS(913,27))-INDIRECT(ADDRESS(914,27)))</f>
        <v>0</v>
      </c>
      <c r="AB915">
        <f>IF(DAY(NOW())&lt;M3,INDIRECT(ADDRESS(915,27))-INDIRECT(ADDRESS(910,28))+INDIRECT(ADDRESS(911,28))-INDIRECT(ADDRESS(914,28)),INDIRECT(ADDRESS(915,27))-INDIRECT(ADDRESS(910,28))+INDIRECT(ADDRESS(913,28))-INDIRECT(ADDRESS(914,28)))</f>
        <v>0</v>
      </c>
      <c r="AC915">
        <f>IF(DAY(NOW())&lt;M3,INDIRECT(ADDRESS(915,28))-INDIRECT(ADDRESS(910,29))+INDIRECT(ADDRESS(911,29))-INDIRECT(ADDRESS(914,29)),INDIRECT(ADDRESS(915,28))-INDIRECT(ADDRESS(910,29))+INDIRECT(ADDRESS(913,29))-INDIRECT(ADDRESS(914,29)))</f>
        <v>0</v>
      </c>
      <c r="AD915">
        <f>IF(DAY(NOW())&lt;M3,INDIRECT(ADDRESS(915,29))-INDIRECT(ADDRESS(910,30))+INDIRECT(ADDRESS(911,30))-INDIRECT(ADDRESS(914,30)),INDIRECT(ADDRESS(915,29))-INDIRECT(ADDRESS(910,30))+INDIRECT(ADDRESS(913,30))-INDIRECT(ADDRESS(914,30)))</f>
        <v>0</v>
      </c>
      <c r="AE915">
        <f>IF(DAY(NOW())&lt;M3,INDIRECT(ADDRESS(915,30))-INDIRECT(ADDRESS(910,31))+INDIRECT(ADDRESS(911,31))-INDIRECT(ADDRESS(914,31)),INDIRECT(ADDRESS(915,30))-INDIRECT(ADDRESS(910,31))+INDIRECT(ADDRESS(913,31))-INDIRECT(ADDRESS(914,31)))</f>
        <v>0</v>
      </c>
      <c r="AF915">
        <f>IF(DAY(NOW())&lt;M3,INDIRECT(ADDRESS(915,31))-INDIRECT(ADDRESS(910,32))+INDIRECT(ADDRESS(911,32))-INDIRECT(ADDRESS(914,32)),INDIRECT(ADDRESS(915,31))-INDIRECT(ADDRESS(910,32))+INDIRECT(ADDRESS(913,32))-INDIRECT(ADDRESS(914,32)))</f>
        <v>0</v>
      </c>
      <c r="AG915">
        <f>IF(DAY(NOW())&lt;M3,INDIRECT(ADDRESS(915,32))-INDIRECT(ADDRESS(910,33))+INDIRECT(ADDRESS(911,33))-INDIRECT(ADDRESS(914,33)),INDIRECT(ADDRESS(915,32))-INDIRECT(ADDRESS(910,33))+INDIRECT(ADDRESS(913,33))-INDIRECT(ADDRESS(914,33)))</f>
        <v>0</v>
      </c>
      <c r="AH915">
        <f>IF(DAY(NOW())&lt;M3,INDIRECT(ADDRESS(915,33))-INDIRECT(ADDRESS(910,34))+INDIRECT(ADDRESS(911,34))-INDIRECT(ADDRESS(914,34)),INDIRECT(ADDRESS(915,33))-INDIRECT(ADDRESS(910,34))+INDIRECT(ADDRESS(913,34))-INDIRECT(ADDRESS(914,34)))</f>
        <v>0</v>
      </c>
      <c r="AI915">
        <f>IF(DAY(NOW())&lt;M3,INDIRECT(ADDRESS(915,34))-INDIRECT(ADDRESS(910,35))+INDIRECT(ADDRESS(911,35))-INDIRECT(ADDRESS(914,35)),INDIRECT(ADDRESS(915,34))-INDIRECT(ADDRESS(910,35))+INDIRECT(ADDRESS(913,35))-INDIRECT(ADDRESS(914,35)))</f>
        <v>0</v>
      </c>
      <c r="AJ915">
        <f>IF(DAY(NOW())&lt;M3,INDIRECT(ADDRESS(915,35))-INDIRECT(ADDRESS(910,36))+INDIRECT(ADDRESS(911,36))-INDIRECT(ADDRESS(914,36)),INDIRECT(ADDRESS(915,35))-INDIRECT(ADDRESS(910,36))+INDIRECT(ADDRESS(913,36))-INDIRECT(ADDRESS(914,36)))</f>
        <v>0</v>
      </c>
      <c r="AK915">
        <f>IF(DAY(NOW())&lt;M3,INDIRECT(ADDRESS(915,36))-INDIRECT(ADDRESS(910,37))+INDIRECT(ADDRESS(911,37))-INDIRECT(ADDRESS(914,37)),INDIRECT(ADDRESS(915,36))-INDIRECT(ADDRESS(910,37))+INDIRECT(ADDRESS(913,37))-INDIRECT(ADDRESS(914,37)))</f>
        <v>0</v>
      </c>
      <c r="AL915">
        <f>IF(DAY(NOW())&lt;M3,INDIRECT(ADDRESS(915,37))-INDIRECT(ADDRESS(910,38))+INDIRECT(ADDRESS(911,38))-INDIRECT(ADDRESS(914,38)),INDIRECT(ADDRESS(915,37))-INDIRECT(ADDRESS(910,38))+INDIRECT(ADDRESS(913,38))-INDIRECT(ADDRESS(914,38)))</f>
        <v>0</v>
      </c>
      <c r="AM915">
        <f>IF(DAY(NOW())&lt;M3,INDIRECT(ADDRESS(915,38))-INDIRECT(ADDRESS(910,39))+INDIRECT(ADDRESS(911,39))-INDIRECT(ADDRESS(914,39)),INDIRECT(ADDRESS(915,38))-INDIRECT(ADDRESS(910,39))+INDIRECT(ADDRESS(913,39))-INDIRECT(ADDRESS(914,39)))</f>
        <v>0</v>
      </c>
      <c r="AN915">
        <f>IF(DAY(NOW())&lt;M3,INDIRECT(ADDRESS(915,39))-INDIRECT(ADDRESS(910,40))+INDIRECT(ADDRESS(911,40))-INDIRECT(ADDRESS(914,40)),INDIRECT(ADDRESS(915,39))-INDIRECT(ADDRESS(910,40))+INDIRECT(ADDRESS(913,40))-INDIRECT(ADDRESS(914,40)))</f>
        <v>0</v>
      </c>
      <c r="AO915">
        <f>IF(DAY(NOW())&lt;M3,INDIRECT(ADDRESS(915,40))-INDIRECT(ADDRESS(910,41))+INDIRECT(ADDRESS(911,41))-INDIRECT(ADDRESS(914,41)),INDIRECT(ADDRESS(915,40))-INDIRECT(ADDRESS(910,41))+INDIRECT(ADDRESS(913,41))-INDIRECT(ADDRESS(914,41)))</f>
        <v>0</v>
      </c>
      <c r="AP915">
        <f>IF(DAY(NOW())&lt;M3,INDIRECT(ADDRESS(915,41))-INDIRECT(ADDRESS(910,42))+INDIRECT(ADDRESS(911,42))-INDIRECT(ADDRESS(914,42)),INDIRECT(ADDRESS(915,41))-INDIRECT(ADDRESS(910,42))+INDIRECT(ADDRESS(913,42))-INDIRECT(ADDRESS(914,42)))</f>
        <v>0</v>
      </c>
      <c r="AQ915">
        <f>IF(DAY(NOW())&lt;M3,INDIRECT(ADDRESS(915,42))-INDIRECT(ADDRESS(910,43))+INDIRECT(ADDRESS(911,43))-INDIRECT(ADDRESS(914,43)),INDIRECT(ADDRESS(915,42))-INDIRECT(ADDRESS(910,43))+INDIRECT(ADDRESS(913,43))-INDIRECT(ADDRESS(914,43)))</f>
        <v>0</v>
      </c>
      <c r="AR915">
        <f>IF(DAY(NOW())&lt;M3,INDIRECT(ADDRESS(915,43))-INDIRECT(ADDRESS(910,44))+INDIRECT(ADDRESS(911,44))-INDIRECT(ADDRESS(914,44)),INDIRECT(ADDRESS(915,43))-INDIRECT(ADDRESS(910,44))+INDIRECT(ADDRESS(913,44))-INDIRECT(ADDRESS(914,44)))</f>
        <v>0</v>
      </c>
    </row>
    <row r="916" spans="1:76">
      <c r="A916" t="s">
        <v>14</v>
      </c>
      <c r="B916" t="s">
        <v>225</v>
      </c>
      <c r="C916" t="s">
        <v>226</v>
      </c>
      <c r="D916" t="s">
        <v>256</v>
      </c>
      <c r="E916">
        <v>1</v>
      </c>
      <c r="F916" t="s">
        <v>227</v>
      </c>
      <c r="K916" t="s">
        <v>305</v>
      </c>
      <c r="L916" t="s">
        <v>21</v>
      </c>
      <c r="BX916">
        <f>sum(j916:an916)</f>
        <v>0</v>
      </c>
    </row>
    <row r="917" spans="1:76">
      <c r="A917" t="s">
        <v>14</v>
      </c>
      <c r="B917" t="s">
        <v>225</v>
      </c>
      <c r="C917" t="s">
        <v>226</v>
      </c>
      <c r="D917" t="s">
        <v>256</v>
      </c>
      <c r="E917">
        <v>1</v>
      </c>
      <c r="F917" t="s">
        <v>227</v>
      </c>
      <c r="K917" t="s">
        <v>305</v>
      </c>
      <c r="L917" t="s">
        <v>37</v>
      </c>
    </row>
    <row r="918" spans="1:76">
      <c r="L918" t="s">
        <v>662</v>
      </c>
    </row>
    <row r="919" spans="1:76">
      <c r="L919" t="s">
        <v>663</v>
      </c>
    </row>
    <row r="920" spans="1:76">
      <c r="L920" t="s">
        <v>664</v>
      </c>
    </row>
    <row r="921" spans="1:76">
      <c r="L921" t="s">
        <v>665</v>
      </c>
      <c r="M921">
        <f>IF(DAY(NOW())&lt;M3,INDIRECT(ADDRESS(921,7))-INDIRECT(ADDRESS(916,13))+INDIRECT(ADDRESS(917,13))-INDIRECT(ADDRESS(920,13)),INDIRECT(ADDRESS(921,7))-INDIRECT(ADDRESS(916,13))+INDIRECT(ADDRESS(919,13))-INDIRECT(ADDRESS(920,13)))</f>
        <v>0</v>
      </c>
      <c r="N921">
        <f>IF(DAY(NOW())&lt;M3,INDIRECT(ADDRESS(921,13))-INDIRECT(ADDRESS(916,14))+INDIRECT(ADDRESS(917,14))-INDIRECT(ADDRESS(920,14)),INDIRECT(ADDRESS(921,13))-INDIRECT(ADDRESS(916,14))+INDIRECT(ADDRESS(919,14))-INDIRECT(ADDRESS(920,14)))</f>
        <v>0</v>
      </c>
      <c r="O921">
        <f>IF(DAY(NOW())&lt;M3,INDIRECT(ADDRESS(921,14))-INDIRECT(ADDRESS(916,15))+INDIRECT(ADDRESS(917,15))-INDIRECT(ADDRESS(920,15)),INDIRECT(ADDRESS(921,14))-INDIRECT(ADDRESS(916,15))+INDIRECT(ADDRESS(919,15))-INDIRECT(ADDRESS(920,15)))</f>
        <v>0</v>
      </c>
      <c r="P921">
        <f>IF(DAY(NOW())&lt;M3,INDIRECT(ADDRESS(921,15))-INDIRECT(ADDRESS(916,16))+INDIRECT(ADDRESS(917,16))-INDIRECT(ADDRESS(920,16)),INDIRECT(ADDRESS(921,15))-INDIRECT(ADDRESS(916,16))+INDIRECT(ADDRESS(919,16))-INDIRECT(ADDRESS(920,16)))</f>
        <v>0</v>
      </c>
      <c r="Q921">
        <f>IF(DAY(NOW())&lt;M3,INDIRECT(ADDRESS(921,16))-INDIRECT(ADDRESS(916,17))+INDIRECT(ADDRESS(917,17))-INDIRECT(ADDRESS(920,17)),INDIRECT(ADDRESS(921,16))-INDIRECT(ADDRESS(916,17))+INDIRECT(ADDRESS(919,17))-INDIRECT(ADDRESS(920,17)))</f>
        <v>0</v>
      </c>
      <c r="R921">
        <f>IF(DAY(NOW())&lt;M3,INDIRECT(ADDRESS(921,17))-INDIRECT(ADDRESS(916,18))+INDIRECT(ADDRESS(917,18))-INDIRECT(ADDRESS(920,18)),INDIRECT(ADDRESS(921,17))-INDIRECT(ADDRESS(916,18))+INDIRECT(ADDRESS(919,18))-INDIRECT(ADDRESS(920,18)))</f>
        <v>0</v>
      </c>
      <c r="S921">
        <f>IF(DAY(NOW())&lt;M3,INDIRECT(ADDRESS(921,18))-INDIRECT(ADDRESS(916,19))+INDIRECT(ADDRESS(917,19))-INDIRECT(ADDRESS(920,19)),INDIRECT(ADDRESS(921,18))-INDIRECT(ADDRESS(916,19))+INDIRECT(ADDRESS(919,19))-INDIRECT(ADDRESS(920,19)))</f>
        <v>0</v>
      </c>
      <c r="T921">
        <f>IF(DAY(NOW())&lt;M3,INDIRECT(ADDRESS(921,19))-INDIRECT(ADDRESS(916,20))+INDIRECT(ADDRESS(917,20))-INDIRECT(ADDRESS(920,20)),INDIRECT(ADDRESS(921,19))-INDIRECT(ADDRESS(916,20))+INDIRECT(ADDRESS(919,20))-INDIRECT(ADDRESS(920,20)))</f>
        <v>0</v>
      </c>
      <c r="U921">
        <f>IF(DAY(NOW())&lt;M3,INDIRECT(ADDRESS(921,20))-INDIRECT(ADDRESS(916,21))+INDIRECT(ADDRESS(917,21))-INDIRECT(ADDRESS(920,21)),INDIRECT(ADDRESS(921,20))-INDIRECT(ADDRESS(916,21))+INDIRECT(ADDRESS(919,21))-INDIRECT(ADDRESS(920,21)))</f>
        <v>0</v>
      </c>
      <c r="V921">
        <f>IF(DAY(NOW())&lt;M3,INDIRECT(ADDRESS(921,21))-INDIRECT(ADDRESS(916,22))+INDIRECT(ADDRESS(917,22))-INDIRECT(ADDRESS(920,22)),INDIRECT(ADDRESS(921,21))-INDIRECT(ADDRESS(916,22))+INDIRECT(ADDRESS(919,22))-INDIRECT(ADDRESS(920,22)))</f>
        <v>0</v>
      </c>
      <c r="W921">
        <f>IF(DAY(NOW())&lt;M3,INDIRECT(ADDRESS(921,22))-INDIRECT(ADDRESS(916,23))+INDIRECT(ADDRESS(917,23))-INDIRECT(ADDRESS(920,23)),INDIRECT(ADDRESS(921,22))-INDIRECT(ADDRESS(916,23))+INDIRECT(ADDRESS(919,23))-INDIRECT(ADDRESS(920,23)))</f>
        <v>0</v>
      </c>
      <c r="X921">
        <f>IF(DAY(NOW())&lt;M3,INDIRECT(ADDRESS(921,23))-INDIRECT(ADDRESS(916,24))+INDIRECT(ADDRESS(917,24))-INDIRECT(ADDRESS(920,24)),INDIRECT(ADDRESS(921,23))-INDIRECT(ADDRESS(916,24))+INDIRECT(ADDRESS(919,24))-INDIRECT(ADDRESS(920,24)))</f>
        <v>0</v>
      </c>
      <c r="Y921">
        <f>IF(DAY(NOW())&lt;M3,INDIRECT(ADDRESS(921,24))-INDIRECT(ADDRESS(916,25))+INDIRECT(ADDRESS(917,25))-INDIRECT(ADDRESS(920,25)),INDIRECT(ADDRESS(921,24))-INDIRECT(ADDRESS(916,25))+INDIRECT(ADDRESS(919,25))-INDIRECT(ADDRESS(920,25)))</f>
        <v>0</v>
      </c>
      <c r="Z921">
        <f>IF(DAY(NOW())&lt;M3,INDIRECT(ADDRESS(921,25))-INDIRECT(ADDRESS(916,26))+INDIRECT(ADDRESS(917,26))-INDIRECT(ADDRESS(920,26)),INDIRECT(ADDRESS(921,25))-INDIRECT(ADDRESS(916,26))+INDIRECT(ADDRESS(919,26))-INDIRECT(ADDRESS(920,26)))</f>
        <v>0</v>
      </c>
      <c r="AA921">
        <f>IF(DAY(NOW())&lt;M3,INDIRECT(ADDRESS(921,26))-INDIRECT(ADDRESS(916,27))+INDIRECT(ADDRESS(917,27))-INDIRECT(ADDRESS(920,27)),INDIRECT(ADDRESS(921,26))-INDIRECT(ADDRESS(916,27))+INDIRECT(ADDRESS(919,27))-INDIRECT(ADDRESS(920,27)))</f>
        <v>0</v>
      </c>
      <c r="AB921">
        <f>IF(DAY(NOW())&lt;M3,INDIRECT(ADDRESS(921,27))-INDIRECT(ADDRESS(916,28))+INDIRECT(ADDRESS(917,28))-INDIRECT(ADDRESS(920,28)),INDIRECT(ADDRESS(921,27))-INDIRECT(ADDRESS(916,28))+INDIRECT(ADDRESS(919,28))-INDIRECT(ADDRESS(920,28)))</f>
        <v>0</v>
      </c>
      <c r="AC921">
        <f>IF(DAY(NOW())&lt;M3,INDIRECT(ADDRESS(921,28))-INDIRECT(ADDRESS(916,29))+INDIRECT(ADDRESS(917,29))-INDIRECT(ADDRESS(920,29)),INDIRECT(ADDRESS(921,28))-INDIRECT(ADDRESS(916,29))+INDIRECT(ADDRESS(919,29))-INDIRECT(ADDRESS(920,29)))</f>
        <v>0</v>
      </c>
      <c r="AD921">
        <f>IF(DAY(NOW())&lt;M3,INDIRECT(ADDRESS(921,29))-INDIRECT(ADDRESS(916,30))+INDIRECT(ADDRESS(917,30))-INDIRECT(ADDRESS(920,30)),INDIRECT(ADDRESS(921,29))-INDIRECT(ADDRESS(916,30))+INDIRECT(ADDRESS(919,30))-INDIRECT(ADDRESS(920,30)))</f>
        <v>0</v>
      </c>
      <c r="AE921">
        <f>IF(DAY(NOW())&lt;M3,INDIRECT(ADDRESS(921,30))-INDIRECT(ADDRESS(916,31))+INDIRECT(ADDRESS(917,31))-INDIRECT(ADDRESS(920,31)),INDIRECT(ADDRESS(921,30))-INDIRECT(ADDRESS(916,31))+INDIRECT(ADDRESS(919,31))-INDIRECT(ADDRESS(920,31)))</f>
        <v>0</v>
      </c>
      <c r="AF921">
        <f>IF(DAY(NOW())&lt;M3,INDIRECT(ADDRESS(921,31))-INDIRECT(ADDRESS(916,32))+INDIRECT(ADDRESS(917,32))-INDIRECT(ADDRESS(920,32)),INDIRECT(ADDRESS(921,31))-INDIRECT(ADDRESS(916,32))+INDIRECT(ADDRESS(919,32))-INDIRECT(ADDRESS(920,32)))</f>
        <v>0</v>
      </c>
      <c r="AG921">
        <f>IF(DAY(NOW())&lt;M3,INDIRECT(ADDRESS(921,32))-INDIRECT(ADDRESS(916,33))+INDIRECT(ADDRESS(917,33))-INDIRECT(ADDRESS(920,33)),INDIRECT(ADDRESS(921,32))-INDIRECT(ADDRESS(916,33))+INDIRECT(ADDRESS(919,33))-INDIRECT(ADDRESS(920,33)))</f>
        <v>0</v>
      </c>
      <c r="AH921">
        <f>IF(DAY(NOW())&lt;M3,INDIRECT(ADDRESS(921,33))-INDIRECT(ADDRESS(916,34))+INDIRECT(ADDRESS(917,34))-INDIRECT(ADDRESS(920,34)),INDIRECT(ADDRESS(921,33))-INDIRECT(ADDRESS(916,34))+INDIRECT(ADDRESS(919,34))-INDIRECT(ADDRESS(920,34)))</f>
        <v>0</v>
      </c>
      <c r="AI921">
        <f>IF(DAY(NOW())&lt;M3,INDIRECT(ADDRESS(921,34))-INDIRECT(ADDRESS(916,35))+INDIRECT(ADDRESS(917,35))-INDIRECT(ADDRESS(920,35)),INDIRECT(ADDRESS(921,34))-INDIRECT(ADDRESS(916,35))+INDIRECT(ADDRESS(919,35))-INDIRECT(ADDRESS(920,35)))</f>
        <v>0</v>
      </c>
      <c r="AJ921">
        <f>IF(DAY(NOW())&lt;M3,INDIRECT(ADDRESS(921,35))-INDIRECT(ADDRESS(916,36))+INDIRECT(ADDRESS(917,36))-INDIRECT(ADDRESS(920,36)),INDIRECT(ADDRESS(921,35))-INDIRECT(ADDRESS(916,36))+INDIRECT(ADDRESS(919,36))-INDIRECT(ADDRESS(920,36)))</f>
        <v>0</v>
      </c>
      <c r="AK921">
        <f>IF(DAY(NOW())&lt;M3,INDIRECT(ADDRESS(921,36))-INDIRECT(ADDRESS(916,37))+INDIRECT(ADDRESS(917,37))-INDIRECT(ADDRESS(920,37)),INDIRECT(ADDRESS(921,36))-INDIRECT(ADDRESS(916,37))+INDIRECT(ADDRESS(919,37))-INDIRECT(ADDRESS(920,37)))</f>
        <v>0</v>
      </c>
      <c r="AL921">
        <f>IF(DAY(NOW())&lt;M3,INDIRECT(ADDRESS(921,37))-INDIRECT(ADDRESS(916,38))+INDIRECT(ADDRESS(917,38))-INDIRECT(ADDRESS(920,38)),INDIRECT(ADDRESS(921,37))-INDIRECT(ADDRESS(916,38))+INDIRECT(ADDRESS(919,38))-INDIRECT(ADDRESS(920,38)))</f>
        <v>0</v>
      </c>
      <c r="AM921">
        <f>IF(DAY(NOW())&lt;M3,INDIRECT(ADDRESS(921,38))-INDIRECT(ADDRESS(916,39))+INDIRECT(ADDRESS(917,39))-INDIRECT(ADDRESS(920,39)),INDIRECT(ADDRESS(921,38))-INDIRECT(ADDRESS(916,39))+INDIRECT(ADDRESS(919,39))-INDIRECT(ADDRESS(920,39)))</f>
        <v>0</v>
      </c>
      <c r="AN921">
        <f>IF(DAY(NOW())&lt;M3,INDIRECT(ADDRESS(921,39))-INDIRECT(ADDRESS(916,40))+INDIRECT(ADDRESS(917,40))-INDIRECT(ADDRESS(920,40)),INDIRECT(ADDRESS(921,39))-INDIRECT(ADDRESS(916,40))+INDIRECT(ADDRESS(919,40))-INDIRECT(ADDRESS(920,40)))</f>
        <v>0</v>
      </c>
      <c r="AO921">
        <f>IF(DAY(NOW())&lt;M3,INDIRECT(ADDRESS(921,40))-INDIRECT(ADDRESS(916,41))+INDIRECT(ADDRESS(917,41))-INDIRECT(ADDRESS(920,41)),INDIRECT(ADDRESS(921,40))-INDIRECT(ADDRESS(916,41))+INDIRECT(ADDRESS(919,41))-INDIRECT(ADDRESS(920,41)))</f>
        <v>0</v>
      </c>
      <c r="AP921">
        <f>IF(DAY(NOW())&lt;M3,INDIRECT(ADDRESS(921,41))-INDIRECT(ADDRESS(916,42))+INDIRECT(ADDRESS(917,42))-INDIRECT(ADDRESS(920,42)),INDIRECT(ADDRESS(921,41))-INDIRECT(ADDRESS(916,42))+INDIRECT(ADDRESS(919,42))-INDIRECT(ADDRESS(920,42)))</f>
        <v>0</v>
      </c>
      <c r="AQ921">
        <f>IF(DAY(NOW())&lt;M3,INDIRECT(ADDRESS(921,42))-INDIRECT(ADDRESS(916,43))+INDIRECT(ADDRESS(917,43))-INDIRECT(ADDRESS(920,43)),INDIRECT(ADDRESS(921,42))-INDIRECT(ADDRESS(916,43))+INDIRECT(ADDRESS(919,43))-INDIRECT(ADDRESS(920,43)))</f>
        <v>0</v>
      </c>
      <c r="AR921">
        <f>IF(DAY(NOW())&lt;M3,INDIRECT(ADDRESS(921,43))-INDIRECT(ADDRESS(916,44))+INDIRECT(ADDRESS(917,44))-INDIRECT(ADDRESS(920,44)),INDIRECT(ADDRESS(921,43))-INDIRECT(ADDRESS(916,44))+INDIRECT(ADDRESS(919,44))-INDIRECT(ADDRESS(920,44)))</f>
        <v>0</v>
      </c>
    </row>
    <row r="922" spans="1:76">
      <c r="A922" t="s">
        <v>14</v>
      </c>
      <c r="B922" t="s">
        <v>231</v>
      </c>
      <c r="C922" t="s">
        <v>232</v>
      </c>
      <c r="D922" t="s">
        <v>256</v>
      </c>
      <c r="E922">
        <v>1</v>
      </c>
      <c r="F922" t="s">
        <v>233</v>
      </c>
      <c r="K922" t="s">
        <v>305</v>
      </c>
      <c r="L922" t="s">
        <v>21</v>
      </c>
      <c r="BX922">
        <f>sum(j922:an922)</f>
        <v>0</v>
      </c>
    </row>
    <row r="923" spans="1:76">
      <c r="A923" t="s">
        <v>14</v>
      </c>
      <c r="B923" t="s">
        <v>231</v>
      </c>
      <c r="C923" t="s">
        <v>232</v>
      </c>
      <c r="D923" t="s">
        <v>256</v>
      </c>
      <c r="E923">
        <v>1</v>
      </c>
      <c r="F923" t="s">
        <v>233</v>
      </c>
      <c r="K923" t="s">
        <v>305</v>
      </c>
      <c r="L923" t="s">
        <v>37</v>
      </c>
    </row>
    <row r="924" spans="1:76">
      <c r="L924" t="s">
        <v>662</v>
      </c>
    </row>
    <row r="925" spans="1:76">
      <c r="L925" t="s">
        <v>663</v>
      </c>
    </row>
    <row r="926" spans="1:76">
      <c r="L926" t="s">
        <v>664</v>
      </c>
    </row>
    <row r="927" spans="1:76">
      <c r="L927" t="s">
        <v>665</v>
      </c>
      <c r="M927">
        <f>IF(DAY(NOW())&lt;M3,INDIRECT(ADDRESS(927,7))-INDIRECT(ADDRESS(922,13))+INDIRECT(ADDRESS(923,13))-INDIRECT(ADDRESS(926,13)),INDIRECT(ADDRESS(927,7))-INDIRECT(ADDRESS(922,13))+INDIRECT(ADDRESS(925,13))-INDIRECT(ADDRESS(926,13)))</f>
        <v>0</v>
      </c>
      <c r="N927">
        <f>IF(DAY(NOW())&lt;M3,INDIRECT(ADDRESS(927,13))-INDIRECT(ADDRESS(922,14))+INDIRECT(ADDRESS(923,14))-INDIRECT(ADDRESS(926,14)),INDIRECT(ADDRESS(927,13))-INDIRECT(ADDRESS(922,14))+INDIRECT(ADDRESS(925,14))-INDIRECT(ADDRESS(926,14)))</f>
        <v>0</v>
      </c>
      <c r="O927">
        <f>IF(DAY(NOW())&lt;M3,INDIRECT(ADDRESS(927,14))-INDIRECT(ADDRESS(922,15))+INDIRECT(ADDRESS(923,15))-INDIRECT(ADDRESS(926,15)),INDIRECT(ADDRESS(927,14))-INDIRECT(ADDRESS(922,15))+INDIRECT(ADDRESS(925,15))-INDIRECT(ADDRESS(926,15)))</f>
        <v>0</v>
      </c>
      <c r="P927">
        <f>IF(DAY(NOW())&lt;M3,INDIRECT(ADDRESS(927,15))-INDIRECT(ADDRESS(922,16))+INDIRECT(ADDRESS(923,16))-INDIRECT(ADDRESS(926,16)),INDIRECT(ADDRESS(927,15))-INDIRECT(ADDRESS(922,16))+INDIRECT(ADDRESS(925,16))-INDIRECT(ADDRESS(926,16)))</f>
        <v>0</v>
      </c>
      <c r="Q927">
        <f>IF(DAY(NOW())&lt;M3,INDIRECT(ADDRESS(927,16))-INDIRECT(ADDRESS(922,17))+INDIRECT(ADDRESS(923,17))-INDIRECT(ADDRESS(926,17)),INDIRECT(ADDRESS(927,16))-INDIRECT(ADDRESS(922,17))+INDIRECT(ADDRESS(925,17))-INDIRECT(ADDRESS(926,17)))</f>
        <v>0</v>
      </c>
      <c r="R927">
        <f>IF(DAY(NOW())&lt;M3,INDIRECT(ADDRESS(927,17))-INDIRECT(ADDRESS(922,18))+INDIRECT(ADDRESS(923,18))-INDIRECT(ADDRESS(926,18)),INDIRECT(ADDRESS(927,17))-INDIRECT(ADDRESS(922,18))+INDIRECT(ADDRESS(925,18))-INDIRECT(ADDRESS(926,18)))</f>
        <v>0</v>
      </c>
      <c r="S927">
        <f>IF(DAY(NOW())&lt;M3,INDIRECT(ADDRESS(927,18))-INDIRECT(ADDRESS(922,19))+INDIRECT(ADDRESS(923,19))-INDIRECT(ADDRESS(926,19)),INDIRECT(ADDRESS(927,18))-INDIRECT(ADDRESS(922,19))+INDIRECT(ADDRESS(925,19))-INDIRECT(ADDRESS(926,19)))</f>
        <v>0</v>
      </c>
      <c r="T927">
        <f>IF(DAY(NOW())&lt;M3,INDIRECT(ADDRESS(927,19))-INDIRECT(ADDRESS(922,20))+INDIRECT(ADDRESS(923,20))-INDIRECT(ADDRESS(926,20)),INDIRECT(ADDRESS(927,19))-INDIRECT(ADDRESS(922,20))+INDIRECT(ADDRESS(925,20))-INDIRECT(ADDRESS(926,20)))</f>
        <v>0</v>
      </c>
      <c r="U927">
        <f>IF(DAY(NOW())&lt;M3,INDIRECT(ADDRESS(927,20))-INDIRECT(ADDRESS(922,21))+INDIRECT(ADDRESS(923,21))-INDIRECT(ADDRESS(926,21)),INDIRECT(ADDRESS(927,20))-INDIRECT(ADDRESS(922,21))+INDIRECT(ADDRESS(925,21))-INDIRECT(ADDRESS(926,21)))</f>
        <v>0</v>
      </c>
      <c r="V927">
        <f>IF(DAY(NOW())&lt;M3,INDIRECT(ADDRESS(927,21))-INDIRECT(ADDRESS(922,22))+INDIRECT(ADDRESS(923,22))-INDIRECT(ADDRESS(926,22)),INDIRECT(ADDRESS(927,21))-INDIRECT(ADDRESS(922,22))+INDIRECT(ADDRESS(925,22))-INDIRECT(ADDRESS(926,22)))</f>
        <v>0</v>
      </c>
      <c r="W927">
        <f>IF(DAY(NOW())&lt;M3,INDIRECT(ADDRESS(927,22))-INDIRECT(ADDRESS(922,23))+INDIRECT(ADDRESS(923,23))-INDIRECT(ADDRESS(926,23)),INDIRECT(ADDRESS(927,22))-INDIRECT(ADDRESS(922,23))+INDIRECT(ADDRESS(925,23))-INDIRECT(ADDRESS(926,23)))</f>
        <v>0</v>
      </c>
      <c r="X927">
        <f>IF(DAY(NOW())&lt;M3,INDIRECT(ADDRESS(927,23))-INDIRECT(ADDRESS(922,24))+INDIRECT(ADDRESS(923,24))-INDIRECT(ADDRESS(926,24)),INDIRECT(ADDRESS(927,23))-INDIRECT(ADDRESS(922,24))+INDIRECT(ADDRESS(925,24))-INDIRECT(ADDRESS(926,24)))</f>
        <v>0</v>
      </c>
      <c r="Y927">
        <f>IF(DAY(NOW())&lt;M3,INDIRECT(ADDRESS(927,24))-INDIRECT(ADDRESS(922,25))+INDIRECT(ADDRESS(923,25))-INDIRECT(ADDRESS(926,25)),INDIRECT(ADDRESS(927,24))-INDIRECT(ADDRESS(922,25))+INDIRECT(ADDRESS(925,25))-INDIRECT(ADDRESS(926,25)))</f>
        <v>0</v>
      </c>
      <c r="Z927">
        <f>IF(DAY(NOW())&lt;M3,INDIRECT(ADDRESS(927,25))-INDIRECT(ADDRESS(922,26))+INDIRECT(ADDRESS(923,26))-INDIRECT(ADDRESS(926,26)),INDIRECT(ADDRESS(927,25))-INDIRECT(ADDRESS(922,26))+INDIRECT(ADDRESS(925,26))-INDIRECT(ADDRESS(926,26)))</f>
        <v>0</v>
      </c>
      <c r="AA927">
        <f>IF(DAY(NOW())&lt;M3,INDIRECT(ADDRESS(927,26))-INDIRECT(ADDRESS(922,27))+INDIRECT(ADDRESS(923,27))-INDIRECT(ADDRESS(926,27)),INDIRECT(ADDRESS(927,26))-INDIRECT(ADDRESS(922,27))+INDIRECT(ADDRESS(925,27))-INDIRECT(ADDRESS(926,27)))</f>
        <v>0</v>
      </c>
      <c r="AB927">
        <f>IF(DAY(NOW())&lt;M3,INDIRECT(ADDRESS(927,27))-INDIRECT(ADDRESS(922,28))+INDIRECT(ADDRESS(923,28))-INDIRECT(ADDRESS(926,28)),INDIRECT(ADDRESS(927,27))-INDIRECT(ADDRESS(922,28))+INDIRECT(ADDRESS(925,28))-INDIRECT(ADDRESS(926,28)))</f>
        <v>0</v>
      </c>
      <c r="AC927">
        <f>IF(DAY(NOW())&lt;M3,INDIRECT(ADDRESS(927,28))-INDIRECT(ADDRESS(922,29))+INDIRECT(ADDRESS(923,29))-INDIRECT(ADDRESS(926,29)),INDIRECT(ADDRESS(927,28))-INDIRECT(ADDRESS(922,29))+INDIRECT(ADDRESS(925,29))-INDIRECT(ADDRESS(926,29)))</f>
        <v>0</v>
      </c>
      <c r="AD927">
        <f>IF(DAY(NOW())&lt;M3,INDIRECT(ADDRESS(927,29))-INDIRECT(ADDRESS(922,30))+INDIRECT(ADDRESS(923,30))-INDIRECT(ADDRESS(926,30)),INDIRECT(ADDRESS(927,29))-INDIRECT(ADDRESS(922,30))+INDIRECT(ADDRESS(925,30))-INDIRECT(ADDRESS(926,30)))</f>
        <v>0</v>
      </c>
      <c r="AE927">
        <f>IF(DAY(NOW())&lt;M3,INDIRECT(ADDRESS(927,30))-INDIRECT(ADDRESS(922,31))+INDIRECT(ADDRESS(923,31))-INDIRECT(ADDRESS(926,31)),INDIRECT(ADDRESS(927,30))-INDIRECT(ADDRESS(922,31))+INDIRECT(ADDRESS(925,31))-INDIRECT(ADDRESS(926,31)))</f>
        <v>0</v>
      </c>
      <c r="AF927">
        <f>IF(DAY(NOW())&lt;M3,INDIRECT(ADDRESS(927,31))-INDIRECT(ADDRESS(922,32))+INDIRECT(ADDRESS(923,32))-INDIRECT(ADDRESS(926,32)),INDIRECT(ADDRESS(927,31))-INDIRECT(ADDRESS(922,32))+INDIRECT(ADDRESS(925,32))-INDIRECT(ADDRESS(926,32)))</f>
        <v>0</v>
      </c>
      <c r="AG927">
        <f>IF(DAY(NOW())&lt;M3,INDIRECT(ADDRESS(927,32))-INDIRECT(ADDRESS(922,33))+INDIRECT(ADDRESS(923,33))-INDIRECT(ADDRESS(926,33)),INDIRECT(ADDRESS(927,32))-INDIRECT(ADDRESS(922,33))+INDIRECT(ADDRESS(925,33))-INDIRECT(ADDRESS(926,33)))</f>
        <v>0</v>
      </c>
      <c r="AH927">
        <f>IF(DAY(NOW())&lt;M3,INDIRECT(ADDRESS(927,33))-INDIRECT(ADDRESS(922,34))+INDIRECT(ADDRESS(923,34))-INDIRECT(ADDRESS(926,34)),INDIRECT(ADDRESS(927,33))-INDIRECT(ADDRESS(922,34))+INDIRECT(ADDRESS(925,34))-INDIRECT(ADDRESS(926,34)))</f>
        <v>0</v>
      </c>
      <c r="AI927">
        <f>IF(DAY(NOW())&lt;M3,INDIRECT(ADDRESS(927,34))-INDIRECT(ADDRESS(922,35))+INDIRECT(ADDRESS(923,35))-INDIRECT(ADDRESS(926,35)),INDIRECT(ADDRESS(927,34))-INDIRECT(ADDRESS(922,35))+INDIRECT(ADDRESS(925,35))-INDIRECT(ADDRESS(926,35)))</f>
        <v>0</v>
      </c>
      <c r="AJ927">
        <f>IF(DAY(NOW())&lt;M3,INDIRECT(ADDRESS(927,35))-INDIRECT(ADDRESS(922,36))+INDIRECT(ADDRESS(923,36))-INDIRECT(ADDRESS(926,36)),INDIRECT(ADDRESS(927,35))-INDIRECT(ADDRESS(922,36))+INDIRECT(ADDRESS(925,36))-INDIRECT(ADDRESS(926,36)))</f>
        <v>0</v>
      </c>
      <c r="AK927">
        <f>IF(DAY(NOW())&lt;M3,INDIRECT(ADDRESS(927,36))-INDIRECT(ADDRESS(922,37))+INDIRECT(ADDRESS(923,37))-INDIRECT(ADDRESS(926,37)),INDIRECT(ADDRESS(927,36))-INDIRECT(ADDRESS(922,37))+INDIRECT(ADDRESS(925,37))-INDIRECT(ADDRESS(926,37)))</f>
        <v>0</v>
      </c>
      <c r="AL927">
        <f>IF(DAY(NOW())&lt;M3,INDIRECT(ADDRESS(927,37))-INDIRECT(ADDRESS(922,38))+INDIRECT(ADDRESS(923,38))-INDIRECT(ADDRESS(926,38)),INDIRECT(ADDRESS(927,37))-INDIRECT(ADDRESS(922,38))+INDIRECT(ADDRESS(925,38))-INDIRECT(ADDRESS(926,38)))</f>
        <v>0</v>
      </c>
      <c r="AM927">
        <f>IF(DAY(NOW())&lt;M3,INDIRECT(ADDRESS(927,38))-INDIRECT(ADDRESS(922,39))+INDIRECT(ADDRESS(923,39))-INDIRECT(ADDRESS(926,39)),INDIRECT(ADDRESS(927,38))-INDIRECT(ADDRESS(922,39))+INDIRECT(ADDRESS(925,39))-INDIRECT(ADDRESS(926,39)))</f>
        <v>0</v>
      </c>
      <c r="AN927">
        <f>IF(DAY(NOW())&lt;M3,INDIRECT(ADDRESS(927,39))-INDIRECT(ADDRESS(922,40))+INDIRECT(ADDRESS(923,40))-INDIRECT(ADDRESS(926,40)),INDIRECT(ADDRESS(927,39))-INDIRECT(ADDRESS(922,40))+INDIRECT(ADDRESS(925,40))-INDIRECT(ADDRESS(926,40)))</f>
        <v>0</v>
      </c>
      <c r="AO927">
        <f>IF(DAY(NOW())&lt;M3,INDIRECT(ADDRESS(927,40))-INDIRECT(ADDRESS(922,41))+INDIRECT(ADDRESS(923,41))-INDIRECT(ADDRESS(926,41)),INDIRECT(ADDRESS(927,40))-INDIRECT(ADDRESS(922,41))+INDIRECT(ADDRESS(925,41))-INDIRECT(ADDRESS(926,41)))</f>
        <v>0</v>
      </c>
      <c r="AP927">
        <f>IF(DAY(NOW())&lt;M3,INDIRECT(ADDRESS(927,41))-INDIRECT(ADDRESS(922,42))+INDIRECT(ADDRESS(923,42))-INDIRECT(ADDRESS(926,42)),INDIRECT(ADDRESS(927,41))-INDIRECT(ADDRESS(922,42))+INDIRECT(ADDRESS(925,42))-INDIRECT(ADDRESS(926,42)))</f>
        <v>0</v>
      </c>
      <c r="AQ927">
        <f>IF(DAY(NOW())&lt;M3,INDIRECT(ADDRESS(927,42))-INDIRECT(ADDRESS(922,43))+INDIRECT(ADDRESS(923,43))-INDIRECT(ADDRESS(926,43)),INDIRECT(ADDRESS(927,42))-INDIRECT(ADDRESS(922,43))+INDIRECT(ADDRESS(925,43))-INDIRECT(ADDRESS(926,43)))</f>
        <v>0</v>
      </c>
      <c r="AR927">
        <f>IF(DAY(NOW())&lt;M3,INDIRECT(ADDRESS(927,43))-INDIRECT(ADDRESS(922,44))+INDIRECT(ADDRESS(923,44))-INDIRECT(ADDRESS(926,44)),INDIRECT(ADDRESS(927,43))-INDIRECT(ADDRESS(922,44))+INDIRECT(ADDRESS(925,44))-INDIRECT(ADDRESS(926,44)))</f>
        <v>0</v>
      </c>
    </row>
    <row r="928" spans="1:76">
      <c r="A928" t="s">
        <v>14</v>
      </c>
      <c r="B928" t="s">
        <v>239</v>
      </c>
      <c r="C928" t="s">
        <v>240</v>
      </c>
      <c r="D928" t="s">
        <v>304</v>
      </c>
      <c r="E928">
        <v>1</v>
      </c>
      <c r="F928" t="s">
        <v>241</v>
      </c>
      <c r="K928" t="s">
        <v>305</v>
      </c>
      <c r="L928" t="s">
        <v>21</v>
      </c>
      <c r="BX928">
        <f>sum(j928:an928)</f>
        <v>0</v>
      </c>
    </row>
    <row r="929" spans="1:76">
      <c r="A929" t="s">
        <v>14</v>
      </c>
      <c r="B929" t="s">
        <v>239</v>
      </c>
      <c r="C929" t="s">
        <v>240</v>
      </c>
      <c r="D929" t="s">
        <v>304</v>
      </c>
      <c r="E929">
        <v>1</v>
      </c>
      <c r="F929" t="s">
        <v>241</v>
      </c>
      <c r="K929" t="s">
        <v>305</v>
      </c>
      <c r="L929" t="s">
        <v>37</v>
      </c>
    </row>
    <row r="930" spans="1:76">
      <c r="L930" t="s">
        <v>662</v>
      </c>
    </row>
    <row r="931" spans="1:76">
      <c r="L931" t="s">
        <v>663</v>
      </c>
    </row>
    <row r="932" spans="1:76">
      <c r="L932" t="s">
        <v>664</v>
      </c>
    </row>
    <row r="933" spans="1:76">
      <c r="L933" t="s">
        <v>665</v>
      </c>
      <c r="M933">
        <f>IF(DAY(NOW())&lt;M3,INDIRECT(ADDRESS(933,7))-INDIRECT(ADDRESS(928,13))+INDIRECT(ADDRESS(929,13))-INDIRECT(ADDRESS(932,13)),INDIRECT(ADDRESS(933,7))-INDIRECT(ADDRESS(928,13))+INDIRECT(ADDRESS(931,13))-INDIRECT(ADDRESS(932,13)))</f>
        <v>0</v>
      </c>
      <c r="N933">
        <f>IF(DAY(NOW())&lt;M3,INDIRECT(ADDRESS(933,13))-INDIRECT(ADDRESS(928,14))+INDIRECT(ADDRESS(929,14))-INDIRECT(ADDRESS(932,14)),INDIRECT(ADDRESS(933,13))-INDIRECT(ADDRESS(928,14))+INDIRECT(ADDRESS(931,14))-INDIRECT(ADDRESS(932,14)))</f>
        <v>0</v>
      </c>
      <c r="O933">
        <f>IF(DAY(NOW())&lt;M3,INDIRECT(ADDRESS(933,14))-INDIRECT(ADDRESS(928,15))+INDIRECT(ADDRESS(929,15))-INDIRECT(ADDRESS(932,15)),INDIRECT(ADDRESS(933,14))-INDIRECT(ADDRESS(928,15))+INDIRECT(ADDRESS(931,15))-INDIRECT(ADDRESS(932,15)))</f>
        <v>0</v>
      </c>
      <c r="P933">
        <f>IF(DAY(NOW())&lt;M3,INDIRECT(ADDRESS(933,15))-INDIRECT(ADDRESS(928,16))+INDIRECT(ADDRESS(929,16))-INDIRECT(ADDRESS(932,16)),INDIRECT(ADDRESS(933,15))-INDIRECT(ADDRESS(928,16))+INDIRECT(ADDRESS(931,16))-INDIRECT(ADDRESS(932,16)))</f>
        <v>0</v>
      </c>
      <c r="Q933">
        <f>IF(DAY(NOW())&lt;M3,INDIRECT(ADDRESS(933,16))-INDIRECT(ADDRESS(928,17))+INDIRECT(ADDRESS(929,17))-INDIRECT(ADDRESS(932,17)),INDIRECT(ADDRESS(933,16))-INDIRECT(ADDRESS(928,17))+INDIRECT(ADDRESS(931,17))-INDIRECT(ADDRESS(932,17)))</f>
        <v>0</v>
      </c>
      <c r="R933">
        <f>IF(DAY(NOW())&lt;M3,INDIRECT(ADDRESS(933,17))-INDIRECT(ADDRESS(928,18))+INDIRECT(ADDRESS(929,18))-INDIRECT(ADDRESS(932,18)),INDIRECT(ADDRESS(933,17))-INDIRECT(ADDRESS(928,18))+INDIRECT(ADDRESS(931,18))-INDIRECT(ADDRESS(932,18)))</f>
        <v>0</v>
      </c>
      <c r="S933">
        <f>IF(DAY(NOW())&lt;M3,INDIRECT(ADDRESS(933,18))-INDIRECT(ADDRESS(928,19))+INDIRECT(ADDRESS(929,19))-INDIRECT(ADDRESS(932,19)),INDIRECT(ADDRESS(933,18))-INDIRECT(ADDRESS(928,19))+INDIRECT(ADDRESS(931,19))-INDIRECT(ADDRESS(932,19)))</f>
        <v>0</v>
      </c>
      <c r="T933">
        <f>IF(DAY(NOW())&lt;M3,INDIRECT(ADDRESS(933,19))-INDIRECT(ADDRESS(928,20))+INDIRECT(ADDRESS(929,20))-INDIRECT(ADDRESS(932,20)),INDIRECT(ADDRESS(933,19))-INDIRECT(ADDRESS(928,20))+INDIRECT(ADDRESS(931,20))-INDIRECT(ADDRESS(932,20)))</f>
        <v>0</v>
      </c>
      <c r="U933">
        <f>IF(DAY(NOW())&lt;M3,INDIRECT(ADDRESS(933,20))-INDIRECT(ADDRESS(928,21))+INDIRECT(ADDRESS(929,21))-INDIRECT(ADDRESS(932,21)),INDIRECT(ADDRESS(933,20))-INDIRECT(ADDRESS(928,21))+INDIRECT(ADDRESS(931,21))-INDIRECT(ADDRESS(932,21)))</f>
        <v>0</v>
      </c>
      <c r="V933">
        <f>IF(DAY(NOW())&lt;M3,INDIRECT(ADDRESS(933,21))-INDIRECT(ADDRESS(928,22))+INDIRECT(ADDRESS(929,22))-INDIRECT(ADDRESS(932,22)),INDIRECT(ADDRESS(933,21))-INDIRECT(ADDRESS(928,22))+INDIRECT(ADDRESS(931,22))-INDIRECT(ADDRESS(932,22)))</f>
        <v>0</v>
      </c>
      <c r="W933">
        <f>IF(DAY(NOW())&lt;M3,INDIRECT(ADDRESS(933,22))-INDIRECT(ADDRESS(928,23))+INDIRECT(ADDRESS(929,23))-INDIRECT(ADDRESS(932,23)),INDIRECT(ADDRESS(933,22))-INDIRECT(ADDRESS(928,23))+INDIRECT(ADDRESS(931,23))-INDIRECT(ADDRESS(932,23)))</f>
        <v>0</v>
      </c>
      <c r="X933">
        <f>IF(DAY(NOW())&lt;M3,INDIRECT(ADDRESS(933,23))-INDIRECT(ADDRESS(928,24))+INDIRECT(ADDRESS(929,24))-INDIRECT(ADDRESS(932,24)),INDIRECT(ADDRESS(933,23))-INDIRECT(ADDRESS(928,24))+INDIRECT(ADDRESS(931,24))-INDIRECT(ADDRESS(932,24)))</f>
        <v>0</v>
      </c>
      <c r="Y933">
        <f>IF(DAY(NOW())&lt;M3,INDIRECT(ADDRESS(933,24))-INDIRECT(ADDRESS(928,25))+INDIRECT(ADDRESS(929,25))-INDIRECT(ADDRESS(932,25)),INDIRECT(ADDRESS(933,24))-INDIRECT(ADDRESS(928,25))+INDIRECT(ADDRESS(931,25))-INDIRECT(ADDRESS(932,25)))</f>
        <v>0</v>
      </c>
      <c r="Z933">
        <f>IF(DAY(NOW())&lt;M3,INDIRECT(ADDRESS(933,25))-INDIRECT(ADDRESS(928,26))+INDIRECT(ADDRESS(929,26))-INDIRECT(ADDRESS(932,26)),INDIRECT(ADDRESS(933,25))-INDIRECT(ADDRESS(928,26))+INDIRECT(ADDRESS(931,26))-INDIRECT(ADDRESS(932,26)))</f>
        <v>0</v>
      </c>
      <c r="AA933">
        <f>IF(DAY(NOW())&lt;M3,INDIRECT(ADDRESS(933,26))-INDIRECT(ADDRESS(928,27))+INDIRECT(ADDRESS(929,27))-INDIRECT(ADDRESS(932,27)),INDIRECT(ADDRESS(933,26))-INDIRECT(ADDRESS(928,27))+INDIRECT(ADDRESS(931,27))-INDIRECT(ADDRESS(932,27)))</f>
        <v>0</v>
      </c>
      <c r="AB933">
        <f>IF(DAY(NOW())&lt;M3,INDIRECT(ADDRESS(933,27))-INDIRECT(ADDRESS(928,28))+INDIRECT(ADDRESS(929,28))-INDIRECT(ADDRESS(932,28)),INDIRECT(ADDRESS(933,27))-INDIRECT(ADDRESS(928,28))+INDIRECT(ADDRESS(931,28))-INDIRECT(ADDRESS(932,28)))</f>
        <v>0</v>
      </c>
      <c r="AC933">
        <f>IF(DAY(NOW())&lt;M3,INDIRECT(ADDRESS(933,28))-INDIRECT(ADDRESS(928,29))+INDIRECT(ADDRESS(929,29))-INDIRECT(ADDRESS(932,29)),INDIRECT(ADDRESS(933,28))-INDIRECT(ADDRESS(928,29))+INDIRECT(ADDRESS(931,29))-INDIRECT(ADDRESS(932,29)))</f>
        <v>0</v>
      </c>
      <c r="AD933">
        <f>IF(DAY(NOW())&lt;M3,INDIRECT(ADDRESS(933,29))-INDIRECT(ADDRESS(928,30))+INDIRECT(ADDRESS(929,30))-INDIRECT(ADDRESS(932,30)),INDIRECT(ADDRESS(933,29))-INDIRECT(ADDRESS(928,30))+INDIRECT(ADDRESS(931,30))-INDIRECT(ADDRESS(932,30)))</f>
        <v>0</v>
      </c>
      <c r="AE933">
        <f>IF(DAY(NOW())&lt;M3,INDIRECT(ADDRESS(933,30))-INDIRECT(ADDRESS(928,31))+INDIRECT(ADDRESS(929,31))-INDIRECT(ADDRESS(932,31)),INDIRECT(ADDRESS(933,30))-INDIRECT(ADDRESS(928,31))+INDIRECT(ADDRESS(931,31))-INDIRECT(ADDRESS(932,31)))</f>
        <v>0</v>
      </c>
      <c r="AF933">
        <f>IF(DAY(NOW())&lt;M3,INDIRECT(ADDRESS(933,31))-INDIRECT(ADDRESS(928,32))+INDIRECT(ADDRESS(929,32))-INDIRECT(ADDRESS(932,32)),INDIRECT(ADDRESS(933,31))-INDIRECT(ADDRESS(928,32))+INDIRECT(ADDRESS(931,32))-INDIRECT(ADDRESS(932,32)))</f>
        <v>0</v>
      </c>
      <c r="AG933">
        <f>IF(DAY(NOW())&lt;M3,INDIRECT(ADDRESS(933,32))-INDIRECT(ADDRESS(928,33))+INDIRECT(ADDRESS(929,33))-INDIRECT(ADDRESS(932,33)),INDIRECT(ADDRESS(933,32))-INDIRECT(ADDRESS(928,33))+INDIRECT(ADDRESS(931,33))-INDIRECT(ADDRESS(932,33)))</f>
        <v>0</v>
      </c>
      <c r="AH933">
        <f>IF(DAY(NOW())&lt;M3,INDIRECT(ADDRESS(933,33))-INDIRECT(ADDRESS(928,34))+INDIRECT(ADDRESS(929,34))-INDIRECT(ADDRESS(932,34)),INDIRECT(ADDRESS(933,33))-INDIRECT(ADDRESS(928,34))+INDIRECT(ADDRESS(931,34))-INDIRECT(ADDRESS(932,34)))</f>
        <v>0</v>
      </c>
      <c r="AI933">
        <f>IF(DAY(NOW())&lt;M3,INDIRECT(ADDRESS(933,34))-INDIRECT(ADDRESS(928,35))+INDIRECT(ADDRESS(929,35))-INDIRECT(ADDRESS(932,35)),INDIRECT(ADDRESS(933,34))-INDIRECT(ADDRESS(928,35))+INDIRECT(ADDRESS(931,35))-INDIRECT(ADDRESS(932,35)))</f>
        <v>0</v>
      </c>
      <c r="AJ933">
        <f>IF(DAY(NOW())&lt;M3,INDIRECT(ADDRESS(933,35))-INDIRECT(ADDRESS(928,36))+INDIRECT(ADDRESS(929,36))-INDIRECT(ADDRESS(932,36)),INDIRECT(ADDRESS(933,35))-INDIRECT(ADDRESS(928,36))+INDIRECT(ADDRESS(931,36))-INDIRECT(ADDRESS(932,36)))</f>
        <v>0</v>
      </c>
      <c r="AK933">
        <f>IF(DAY(NOW())&lt;M3,INDIRECT(ADDRESS(933,36))-INDIRECT(ADDRESS(928,37))+INDIRECT(ADDRESS(929,37))-INDIRECT(ADDRESS(932,37)),INDIRECT(ADDRESS(933,36))-INDIRECT(ADDRESS(928,37))+INDIRECT(ADDRESS(931,37))-INDIRECT(ADDRESS(932,37)))</f>
        <v>0</v>
      </c>
      <c r="AL933">
        <f>IF(DAY(NOW())&lt;M3,INDIRECT(ADDRESS(933,37))-INDIRECT(ADDRESS(928,38))+INDIRECT(ADDRESS(929,38))-INDIRECT(ADDRESS(932,38)),INDIRECT(ADDRESS(933,37))-INDIRECT(ADDRESS(928,38))+INDIRECT(ADDRESS(931,38))-INDIRECT(ADDRESS(932,38)))</f>
        <v>0</v>
      </c>
      <c r="AM933">
        <f>IF(DAY(NOW())&lt;M3,INDIRECT(ADDRESS(933,38))-INDIRECT(ADDRESS(928,39))+INDIRECT(ADDRESS(929,39))-INDIRECT(ADDRESS(932,39)),INDIRECT(ADDRESS(933,38))-INDIRECT(ADDRESS(928,39))+INDIRECT(ADDRESS(931,39))-INDIRECT(ADDRESS(932,39)))</f>
        <v>0</v>
      </c>
      <c r="AN933">
        <f>IF(DAY(NOW())&lt;M3,INDIRECT(ADDRESS(933,39))-INDIRECT(ADDRESS(928,40))+INDIRECT(ADDRESS(929,40))-INDIRECT(ADDRESS(932,40)),INDIRECT(ADDRESS(933,39))-INDIRECT(ADDRESS(928,40))+INDIRECT(ADDRESS(931,40))-INDIRECT(ADDRESS(932,40)))</f>
        <v>0</v>
      </c>
      <c r="AO933">
        <f>IF(DAY(NOW())&lt;M3,INDIRECT(ADDRESS(933,40))-INDIRECT(ADDRESS(928,41))+INDIRECT(ADDRESS(929,41))-INDIRECT(ADDRESS(932,41)),INDIRECT(ADDRESS(933,40))-INDIRECT(ADDRESS(928,41))+INDIRECT(ADDRESS(931,41))-INDIRECT(ADDRESS(932,41)))</f>
        <v>0</v>
      </c>
      <c r="AP933">
        <f>IF(DAY(NOW())&lt;M3,INDIRECT(ADDRESS(933,41))-INDIRECT(ADDRESS(928,42))+INDIRECT(ADDRESS(929,42))-INDIRECT(ADDRESS(932,42)),INDIRECT(ADDRESS(933,41))-INDIRECT(ADDRESS(928,42))+INDIRECT(ADDRESS(931,42))-INDIRECT(ADDRESS(932,42)))</f>
        <v>0</v>
      </c>
      <c r="AQ933">
        <f>IF(DAY(NOW())&lt;M3,INDIRECT(ADDRESS(933,42))-INDIRECT(ADDRESS(928,43))+INDIRECT(ADDRESS(929,43))-INDIRECT(ADDRESS(932,43)),INDIRECT(ADDRESS(933,42))-INDIRECT(ADDRESS(928,43))+INDIRECT(ADDRESS(931,43))-INDIRECT(ADDRESS(932,43)))</f>
        <v>0</v>
      </c>
      <c r="AR933">
        <f>IF(DAY(NOW())&lt;M3,INDIRECT(ADDRESS(933,43))-INDIRECT(ADDRESS(928,44))+INDIRECT(ADDRESS(929,44))-INDIRECT(ADDRESS(932,44)),INDIRECT(ADDRESS(933,43))-INDIRECT(ADDRESS(928,44))+INDIRECT(ADDRESS(931,44))-INDIRECT(ADDRESS(932,44)))</f>
        <v>0</v>
      </c>
    </row>
    <row r="934" spans="1:76">
      <c r="A934" t="s">
        <v>31</v>
      </c>
      <c r="B934" t="s">
        <v>402</v>
      </c>
      <c r="C934" t="s">
        <v>403</v>
      </c>
      <c r="D934" t="s">
        <v>304</v>
      </c>
      <c r="E934">
        <v>1</v>
      </c>
      <c r="F934" t="s">
        <v>404</v>
      </c>
      <c r="K934" t="s">
        <v>308</v>
      </c>
      <c r="L934" t="s">
        <v>21</v>
      </c>
      <c r="M934">
        <f>sumifs(BOM!m:m,BOM!A:A,".1",BOM!B:B,"212-044400-000")</f>
        <v>0</v>
      </c>
      <c r="N934">
        <f>sumifs(BOM!n:n,BOM!A:A,".1",BOM!B:B,"212-044400-000")</f>
        <v>0</v>
      </c>
      <c r="O934">
        <f>sumifs(BOM!o:o,BOM!A:A,".1",BOM!B:B,"212-044400-000")</f>
        <v>0</v>
      </c>
      <c r="P934">
        <f>sumifs(BOM!p:p,BOM!A:A,".1",BOM!B:B,"212-044400-000")</f>
        <v>0</v>
      </c>
      <c r="Q934">
        <f>sumifs(BOM!q:q,BOM!A:A,".1",BOM!B:B,"212-044400-000")</f>
        <v>0</v>
      </c>
      <c r="R934">
        <f>sumifs(BOM!r:r,BOM!A:A,".1",BOM!B:B,"212-044400-000")</f>
        <v>0</v>
      </c>
      <c r="S934">
        <f>sumifs(BOM!s:s,BOM!A:A,".1",BOM!B:B,"212-044400-000")</f>
        <v>0</v>
      </c>
      <c r="T934">
        <f>sumifs(BOM!t:t,BOM!A:A,".1",BOM!B:B,"212-044400-000")</f>
        <v>0</v>
      </c>
      <c r="U934">
        <f>sumifs(BOM!u:u,BOM!A:A,".1",BOM!B:B,"212-044400-000")</f>
        <v>0</v>
      </c>
      <c r="V934">
        <f>sumifs(BOM!v:v,BOM!A:A,".1",BOM!B:B,"212-044400-000")</f>
        <v>0</v>
      </c>
      <c r="W934">
        <f>sumifs(BOM!w:w,BOM!A:A,".1",BOM!B:B,"212-044400-000")</f>
        <v>0</v>
      </c>
      <c r="X934">
        <f>sumifs(BOM!x:x,BOM!A:A,".1",BOM!B:B,"212-044400-000")</f>
        <v>0</v>
      </c>
      <c r="Y934">
        <f>sumifs(BOM!y:y,BOM!A:A,".1",BOM!B:B,"212-044400-000")</f>
        <v>0</v>
      </c>
      <c r="Z934">
        <f>sumifs(BOM!z:z,BOM!A:A,".1",BOM!B:B,"212-044400-000")</f>
        <v>0</v>
      </c>
      <c r="AA934">
        <f>sumifs(BOM!aa:aa,BOM!A:A,".1",BOM!B:B,"212-044400-000")</f>
        <v>0</v>
      </c>
      <c r="AB934">
        <f>sumifs(BOM!ab:ab,BOM!A:A,".1",BOM!B:B,"212-044400-000")</f>
        <v>0</v>
      </c>
      <c r="AC934">
        <f>sumifs(BOM!ac:ac,BOM!A:A,".1",BOM!B:B,"212-044400-000")</f>
        <v>0</v>
      </c>
      <c r="AD934">
        <f>sumifs(BOM!ad:ad,BOM!A:A,".1",BOM!B:B,"212-044400-000")</f>
        <v>0</v>
      </c>
      <c r="AE934">
        <f>sumifs(BOM!ae:ae,BOM!A:A,".1",BOM!B:B,"212-044400-000")</f>
        <v>0</v>
      </c>
      <c r="AF934">
        <f>sumifs(BOM!af:af,BOM!A:A,".1",BOM!B:B,"212-044400-000")</f>
        <v>0</v>
      </c>
      <c r="AG934">
        <f>sumifs(BOM!ag:ag,BOM!A:A,".1",BOM!B:B,"212-044400-000")</f>
        <v>0</v>
      </c>
      <c r="AH934">
        <f>sumifs(BOM!ah:ah,BOM!A:A,".1",BOM!B:B,"212-044400-000")</f>
        <v>0</v>
      </c>
      <c r="AI934">
        <f>sumifs(BOM!ai:ai,BOM!A:A,".1",BOM!B:B,"212-044400-000")</f>
        <v>0</v>
      </c>
      <c r="AJ934">
        <f>sumifs(BOM!aj:aj,BOM!A:A,".1",BOM!B:B,"212-044400-000")</f>
        <v>0</v>
      </c>
      <c r="AK934">
        <f>sumifs(BOM!ak:ak,BOM!A:A,".1",BOM!B:B,"212-044400-000")</f>
        <v>0</v>
      </c>
      <c r="AL934">
        <f>sumifs(BOM!al:al,BOM!A:A,".1",BOM!B:B,"212-044400-000")</f>
        <v>0</v>
      </c>
      <c r="AM934">
        <f>sumifs(BOM!am:am,BOM!A:A,".1",BOM!B:B,"212-044400-000")</f>
        <v>0</v>
      </c>
      <c r="AN934">
        <f>sumifs(BOM!an:an,BOM!A:A,".1",BOM!B:B,"212-044400-000")</f>
        <v>0</v>
      </c>
      <c r="AO934">
        <f>sumifs(BOM!ao:ao,BOM!A:A,".1",BOM!B:B,"212-044400-000")</f>
        <v>0</v>
      </c>
      <c r="AP934">
        <f>sumifs(BOM!ap:ap,BOM!A:A,".1",BOM!B:B,"212-044400-000")</f>
        <v>0</v>
      </c>
      <c r="AQ934">
        <f>sumifs(BOM!aq:aq,BOM!A:A,".1",BOM!B:B,"212-044400-000")</f>
        <v>0</v>
      </c>
      <c r="AR934">
        <f>sumifs(BOM!ar:ar,BOM!A:A,".1",BOM!B:B,"212-044400-000")</f>
        <v>0</v>
      </c>
      <c r="BX934">
        <f>sum(j934:an934)</f>
        <v>0</v>
      </c>
    </row>
    <row r="935" spans="1:76">
      <c r="A935" t="s">
        <v>31</v>
      </c>
      <c r="B935" t="s">
        <v>402</v>
      </c>
      <c r="C935" t="s">
        <v>403</v>
      </c>
      <c r="D935" t="s">
        <v>304</v>
      </c>
      <c r="E935">
        <v>1</v>
      </c>
      <c r="F935" t="s">
        <v>404</v>
      </c>
      <c r="K935" t="s">
        <v>308</v>
      </c>
      <c r="L935" t="s">
        <v>37</v>
      </c>
    </row>
    <row r="936" spans="1:76">
      <c r="L936" t="s">
        <v>662</v>
      </c>
    </row>
    <row r="937" spans="1:76">
      <c r="L937" t="s">
        <v>663</v>
      </c>
    </row>
    <row r="938" spans="1:76">
      <c r="L938" t="s">
        <v>664</v>
      </c>
    </row>
    <row r="939" spans="1:76">
      <c r="L939" t="s">
        <v>665</v>
      </c>
      <c r="M939">
        <f>IF(DAY(NOW())&lt;M3,INDIRECT(ADDRESS(939,7))-INDIRECT(ADDRESS(934,13))+INDIRECT(ADDRESS(935,13))-INDIRECT(ADDRESS(938,13)),INDIRECT(ADDRESS(939,7))-INDIRECT(ADDRESS(934,13))+INDIRECT(ADDRESS(937,13))-INDIRECT(ADDRESS(938,13)))</f>
        <v>0</v>
      </c>
      <c r="N939">
        <f>IF(DAY(NOW())&lt;M3,INDIRECT(ADDRESS(939,13))-INDIRECT(ADDRESS(934,14))+INDIRECT(ADDRESS(935,14))-INDIRECT(ADDRESS(938,14)),INDIRECT(ADDRESS(939,13))-INDIRECT(ADDRESS(934,14))+INDIRECT(ADDRESS(937,14))-INDIRECT(ADDRESS(938,14)))</f>
        <v>0</v>
      </c>
      <c r="O939">
        <f>IF(DAY(NOW())&lt;M3,INDIRECT(ADDRESS(939,14))-INDIRECT(ADDRESS(934,15))+INDIRECT(ADDRESS(935,15))-INDIRECT(ADDRESS(938,15)),INDIRECT(ADDRESS(939,14))-INDIRECT(ADDRESS(934,15))+INDIRECT(ADDRESS(937,15))-INDIRECT(ADDRESS(938,15)))</f>
        <v>0</v>
      </c>
      <c r="P939">
        <f>IF(DAY(NOW())&lt;M3,INDIRECT(ADDRESS(939,15))-INDIRECT(ADDRESS(934,16))+INDIRECT(ADDRESS(935,16))-INDIRECT(ADDRESS(938,16)),INDIRECT(ADDRESS(939,15))-INDIRECT(ADDRESS(934,16))+INDIRECT(ADDRESS(937,16))-INDIRECT(ADDRESS(938,16)))</f>
        <v>0</v>
      </c>
      <c r="Q939">
        <f>IF(DAY(NOW())&lt;M3,INDIRECT(ADDRESS(939,16))-INDIRECT(ADDRESS(934,17))+INDIRECT(ADDRESS(935,17))-INDIRECT(ADDRESS(938,17)),INDIRECT(ADDRESS(939,16))-INDIRECT(ADDRESS(934,17))+INDIRECT(ADDRESS(937,17))-INDIRECT(ADDRESS(938,17)))</f>
        <v>0</v>
      </c>
      <c r="R939">
        <f>IF(DAY(NOW())&lt;M3,INDIRECT(ADDRESS(939,17))-INDIRECT(ADDRESS(934,18))+INDIRECT(ADDRESS(935,18))-INDIRECT(ADDRESS(938,18)),INDIRECT(ADDRESS(939,17))-INDIRECT(ADDRESS(934,18))+INDIRECT(ADDRESS(937,18))-INDIRECT(ADDRESS(938,18)))</f>
        <v>0</v>
      </c>
      <c r="S939">
        <f>IF(DAY(NOW())&lt;M3,INDIRECT(ADDRESS(939,18))-INDIRECT(ADDRESS(934,19))+INDIRECT(ADDRESS(935,19))-INDIRECT(ADDRESS(938,19)),INDIRECT(ADDRESS(939,18))-INDIRECT(ADDRESS(934,19))+INDIRECT(ADDRESS(937,19))-INDIRECT(ADDRESS(938,19)))</f>
        <v>0</v>
      </c>
      <c r="T939">
        <f>IF(DAY(NOW())&lt;M3,INDIRECT(ADDRESS(939,19))-INDIRECT(ADDRESS(934,20))+INDIRECT(ADDRESS(935,20))-INDIRECT(ADDRESS(938,20)),INDIRECT(ADDRESS(939,19))-INDIRECT(ADDRESS(934,20))+INDIRECT(ADDRESS(937,20))-INDIRECT(ADDRESS(938,20)))</f>
        <v>0</v>
      </c>
      <c r="U939">
        <f>IF(DAY(NOW())&lt;M3,INDIRECT(ADDRESS(939,20))-INDIRECT(ADDRESS(934,21))+INDIRECT(ADDRESS(935,21))-INDIRECT(ADDRESS(938,21)),INDIRECT(ADDRESS(939,20))-INDIRECT(ADDRESS(934,21))+INDIRECT(ADDRESS(937,21))-INDIRECT(ADDRESS(938,21)))</f>
        <v>0</v>
      </c>
      <c r="V939">
        <f>IF(DAY(NOW())&lt;M3,INDIRECT(ADDRESS(939,21))-INDIRECT(ADDRESS(934,22))+INDIRECT(ADDRESS(935,22))-INDIRECT(ADDRESS(938,22)),INDIRECT(ADDRESS(939,21))-INDIRECT(ADDRESS(934,22))+INDIRECT(ADDRESS(937,22))-INDIRECT(ADDRESS(938,22)))</f>
        <v>0</v>
      </c>
      <c r="W939">
        <f>IF(DAY(NOW())&lt;M3,INDIRECT(ADDRESS(939,22))-INDIRECT(ADDRESS(934,23))+INDIRECT(ADDRESS(935,23))-INDIRECT(ADDRESS(938,23)),INDIRECT(ADDRESS(939,22))-INDIRECT(ADDRESS(934,23))+INDIRECT(ADDRESS(937,23))-INDIRECT(ADDRESS(938,23)))</f>
        <v>0</v>
      </c>
      <c r="X939">
        <f>IF(DAY(NOW())&lt;M3,INDIRECT(ADDRESS(939,23))-INDIRECT(ADDRESS(934,24))+INDIRECT(ADDRESS(935,24))-INDIRECT(ADDRESS(938,24)),INDIRECT(ADDRESS(939,23))-INDIRECT(ADDRESS(934,24))+INDIRECT(ADDRESS(937,24))-INDIRECT(ADDRESS(938,24)))</f>
        <v>0</v>
      </c>
      <c r="Y939">
        <f>IF(DAY(NOW())&lt;M3,INDIRECT(ADDRESS(939,24))-INDIRECT(ADDRESS(934,25))+INDIRECT(ADDRESS(935,25))-INDIRECT(ADDRESS(938,25)),INDIRECT(ADDRESS(939,24))-INDIRECT(ADDRESS(934,25))+INDIRECT(ADDRESS(937,25))-INDIRECT(ADDRESS(938,25)))</f>
        <v>0</v>
      </c>
      <c r="Z939">
        <f>IF(DAY(NOW())&lt;M3,INDIRECT(ADDRESS(939,25))-INDIRECT(ADDRESS(934,26))+INDIRECT(ADDRESS(935,26))-INDIRECT(ADDRESS(938,26)),INDIRECT(ADDRESS(939,25))-INDIRECT(ADDRESS(934,26))+INDIRECT(ADDRESS(937,26))-INDIRECT(ADDRESS(938,26)))</f>
        <v>0</v>
      </c>
      <c r="AA939">
        <f>IF(DAY(NOW())&lt;M3,INDIRECT(ADDRESS(939,26))-INDIRECT(ADDRESS(934,27))+INDIRECT(ADDRESS(935,27))-INDIRECT(ADDRESS(938,27)),INDIRECT(ADDRESS(939,26))-INDIRECT(ADDRESS(934,27))+INDIRECT(ADDRESS(937,27))-INDIRECT(ADDRESS(938,27)))</f>
        <v>0</v>
      </c>
      <c r="AB939">
        <f>IF(DAY(NOW())&lt;M3,INDIRECT(ADDRESS(939,27))-INDIRECT(ADDRESS(934,28))+INDIRECT(ADDRESS(935,28))-INDIRECT(ADDRESS(938,28)),INDIRECT(ADDRESS(939,27))-INDIRECT(ADDRESS(934,28))+INDIRECT(ADDRESS(937,28))-INDIRECT(ADDRESS(938,28)))</f>
        <v>0</v>
      </c>
      <c r="AC939">
        <f>IF(DAY(NOW())&lt;M3,INDIRECT(ADDRESS(939,28))-INDIRECT(ADDRESS(934,29))+INDIRECT(ADDRESS(935,29))-INDIRECT(ADDRESS(938,29)),INDIRECT(ADDRESS(939,28))-INDIRECT(ADDRESS(934,29))+INDIRECT(ADDRESS(937,29))-INDIRECT(ADDRESS(938,29)))</f>
        <v>0</v>
      </c>
      <c r="AD939">
        <f>IF(DAY(NOW())&lt;M3,INDIRECT(ADDRESS(939,29))-INDIRECT(ADDRESS(934,30))+INDIRECT(ADDRESS(935,30))-INDIRECT(ADDRESS(938,30)),INDIRECT(ADDRESS(939,29))-INDIRECT(ADDRESS(934,30))+INDIRECT(ADDRESS(937,30))-INDIRECT(ADDRESS(938,30)))</f>
        <v>0</v>
      </c>
      <c r="AE939">
        <f>IF(DAY(NOW())&lt;M3,INDIRECT(ADDRESS(939,30))-INDIRECT(ADDRESS(934,31))+INDIRECT(ADDRESS(935,31))-INDIRECT(ADDRESS(938,31)),INDIRECT(ADDRESS(939,30))-INDIRECT(ADDRESS(934,31))+INDIRECT(ADDRESS(937,31))-INDIRECT(ADDRESS(938,31)))</f>
        <v>0</v>
      </c>
      <c r="AF939">
        <f>IF(DAY(NOW())&lt;M3,INDIRECT(ADDRESS(939,31))-INDIRECT(ADDRESS(934,32))+INDIRECT(ADDRESS(935,32))-INDIRECT(ADDRESS(938,32)),INDIRECT(ADDRESS(939,31))-INDIRECT(ADDRESS(934,32))+INDIRECT(ADDRESS(937,32))-INDIRECT(ADDRESS(938,32)))</f>
        <v>0</v>
      </c>
      <c r="AG939">
        <f>IF(DAY(NOW())&lt;M3,INDIRECT(ADDRESS(939,32))-INDIRECT(ADDRESS(934,33))+INDIRECT(ADDRESS(935,33))-INDIRECT(ADDRESS(938,33)),INDIRECT(ADDRESS(939,32))-INDIRECT(ADDRESS(934,33))+INDIRECT(ADDRESS(937,33))-INDIRECT(ADDRESS(938,33)))</f>
        <v>0</v>
      </c>
      <c r="AH939">
        <f>IF(DAY(NOW())&lt;M3,INDIRECT(ADDRESS(939,33))-INDIRECT(ADDRESS(934,34))+INDIRECT(ADDRESS(935,34))-INDIRECT(ADDRESS(938,34)),INDIRECT(ADDRESS(939,33))-INDIRECT(ADDRESS(934,34))+INDIRECT(ADDRESS(937,34))-INDIRECT(ADDRESS(938,34)))</f>
        <v>0</v>
      </c>
      <c r="AI939">
        <f>IF(DAY(NOW())&lt;M3,INDIRECT(ADDRESS(939,34))-INDIRECT(ADDRESS(934,35))+INDIRECT(ADDRESS(935,35))-INDIRECT(ADDRESS(938,35)),INDIRECT(ADDRESS(939,34))-INDIRECT(ADDRESS(934,35))+INDIRECT(ADDRESS(937,35))-INDIRECT(ADDRESS(938,35)))</f>
        <v>0</v>
      </c>
      <c r="AJ939">
        <f>IF(DAY(NOW())&lt;M3,INDIRECT(ADDRESS(939,35))-INDIRECT(ADDRESS(934,36))+INDIRECT(ADDRESS(935,36))-INDIRECT(ADDRESS(938,36)),INDIRECT(ADDRESS(939,35))-INDIRECT(ADDRESS(934,36))+INDIRECT(ADDRESS(937,36))-INDIRECT(ADDRESS(938,36)))</f>
        <v>0</v>
      </c>
      <c r="AK939">
        <f>IF(DAY(NOW())&lt;M3,INDIRECT(ADDRESS(939,36))-INDIRECT(ADDRESS(934,37))+INDIRECT(ADDRESS(935,37))-INDIRECT(ADDRESS(938,37)),INDIRECT(ADDRESS(939,36))-INDIRECT(ADDRESS(934,37))+INDIRECT(ADDRESS(937,37))-INDIRECT(ADDRESS(938,37)))</f>
        <v>0</v>
      </c>
      <c r="AL939">
        <f>IF(DAY(NOW())&lt;M3,INDIRECT(ADDRESS(939,37))-INDIRECT(ADDRESS(934,38))+INDIRECT(ADDRESS(935,38))-INDIRECT(ADDRESS(938,38)),INDIRECT(ADDRESS(939,37))-INDIRECT(ADDRESS(934,38))+INDIRECT(ADDRESS(937,38))-INDIRECT(ADDRESS(938,38)))</f>
        <v>0</v>
      </c>
      <c r="AM939">
        <f>IF(DAY(NOW())&lt;M3,INDIRECT(ADDRESS(939,38))-INDIRECT(ADDRESS(934,39))+INDIRECT(ADDRESS(935,39))-INDIRECT(ADDRESS(938,39)),INDIRECT(ADDRESS(939,38))-INDIRECT(ADDRESS(934,39))+INDIRECT(ADDRESS(937,39))-INDIRECT(ADDRESS(938,39)))</f>
        <v>0</v>
      </c>
      <c r="AN939">
        <f>IF(DAY(NOW())&lt;M3,INDIRECT(ADDRESS(939,39))-INDIRECT(ADDRESS(934,40))+INDIRECT(ADDRESS(935,40))-INDIRECT(ADDRESS(938,40)),INDIRECT(ADDRESS(939,39))-INDIRECT(ADDRESS(934,40))+INDIRECT(ADDRESS(937,40))-INDIRECT(ADDRESS(938,40)))</f>
        <v>0</v>
      </c>
      <c r="AO939">
        <f>IF(DAY(NOW())&lt;M3,INDIRECT(ADDRESS(939,40))-INDIRECT(ADDRESS(934,41))+INDIRECT(ADDRESS(935,41))-INDIRECT(ADDRESS(938,41)),INDIRECT(ADDRESS(939,40))-INDIRECT(ADDRESS(934,41))+INDIRECT(ADDRESS(937,41))-INDIRECT(ADDRESS(938,41)))</f>
        <v>0</v>
      </c>
      <c r="AP939">
        <f>IF(DAY(NOW())&lt;M3,INDIRECT(ADDRESS(939,41))-INDIRECT(ADDRESS(934,42))+INDIRECT(ADDRESS(935,42))-INDIRECT(ADDRESS(938,42)),INDIRECT(ADDRESS(939,41))-INDIRECT(ADDRESS(934,42))+INDIRECT(ADDRESS(937,42))-INDIRECT(ADDRESS(938,42)))</f>
        <v>0</v>
      </c>
      <c r="AQ939">
        <f>IF(DAY(NOW())&lt;M3,INDIRECT(ADDRESS(939,42))-INDIRECT(ADDRESS(934,43))+INDIRECT(ADDRESS(935,43))-INDIRECT(ADDRESS(938,43)),INDIRECT(ADDRESS(939,42))-INDIRECT(ADDRESS(934,43))+INDIRECT(ADDRESS(937,43))-INDIRECT(ADDRESS(938,43)))</f>
        <v>0</v>
      </c>
      <c r="AR939">
        <f>IF(DAY(NOW())&lt;M3,INDIRECT(ADDRESS(939,43))-INDIRECT(ADDRESS(934,44))+INDIRECT(ADDRESS(935,44))-INDIRECT(ADDRESS(938,44)),INDIRECT(ADDRESS(939,43))-INDIRECT(ADDRESS(934,44))+INDIRECT(ADDRESS(937,44))-INDIRECT(ADDRESS(938,44)))</f>
        <v>0</v>
      </c>
    </row>
    <row r="940" spans="1:76">
      <c r="A940" t="s">
        <v>31</v>
      </c>
      <c r="B940" t="s">
        <v>405</v>
      </c>
      <c r="C940" t="s">
        <v>406</v>
      </c>
      <c r="D940" t="s">
        <v>36</v>
      </c>
      <c r="E940">
        <v>1</v>
      </c>
      <c r="F940" t="s">
        <v>407</v>
      </c>
      <c r="K940" t="s">
        <v>308</v>
      </c>
      <c r="L940" t="s">
        <v>21</v>
      </c>
      <c r="M940">
        <f>sumifs(BOM!m:m,BOM!A:A,".1",BOM!B:B,"211-185000-000")</f>
        <v>0</v>
      </c>
      <c r="N940">
        <f>sumifs(BOM!n:n,BOM!A:A,".1",BOM!B:B,"211-185000-000")</f>
        <v>0</v>
      </c>
      <c r="O940">
        <f>sumifs(BOM!o:o,BOM!A:A,".1",BOM!B:B,"211-185000-000")</f>
        <v>0</v>
      </c>
      <c r="P940">
        <f>sumifs(BOM!p:p,BOM!A:A,".1",BOM!B:B,"211-185000-000")</f>
        <v>0</v>
      </c>
      <c r="Q940">
        <f>sumifs(BOM!q:q,BOM!A:A,".1",BOM!B:B,"211-185000-000")</f>
        <v>0</v>
      </c>
      <c r="R940">
        <f>sumifs(BOM!r:r,BOM!A:A,".1",BOM!B:B,"211-185000-000")</f>
        <v>0</v>
      </c>
      <c r="S940">
        <f>sumifs(BOM!s:s,BOM!A:A,".1",BOM!B:B,"211-185000-000")</f>
        <v>0</v>
      </c>
      <c r="T940">
        <f>sumifs(BOM!t:t,BOM!A:A,".1",BOM!B:B,"211-185000-000")</f>
        <v>0</v>
      </c>
      <c r="U940">
        <f>sumifs(BOM!u:u,BOM!A:A,".1",BOM!B:B,"211-185000-000")</f>
        <v>0</v>
      </c>
      <c r="V940">
        <f>sumifs(BOM!v:v,BOM!A:A,".1",BOM!B:B,"211-185000-000")</f>
        <v>0</v>
      </c>
      <c r="W940">
        <f>sumifs(BOM!w:w,BOM!A:A,".1",BOM!B:B,"211-185000-000")</f>
        <v>0</v>
      </c>
      <c r="X940">
        <f>sumifs(BOM!x:x,BOM!A:A,".1",BOM!B:B,"211-185000-000")</f>
        <v>0</v>
      </c>
      <c r="Y940">
        <f>sumifs(BOM!y:y,BOM!A:A,".1",BOM!B:B,"211-185000-000")</f>
        <v>0</v>
      </c>
      <c r="Z940">
        <f>sumifs(BOM!z:z,BOM!A:A,".1",BOM!B:B,"211-185000-000")</f>
        <v>0</v>
      </c>
      <c r="AA940">
        <f>sumifs(BOM!aa:aa,BOM!A:A,".1",BOM!B:B,"211-185000-000")</f>
        <v>0</v>
      </c>
      <c r="AB940">
        <f>sumifs(BOM!ab:ab,BOM!A:A,".1",BOM!B:B,"211-185000-000")</f>
        <v>0</v>
      </c>
      <c r="AC940">
        <f>sumifs(BOM!ac:ac,BOM!A:A,".1",BOM!B:B,"211-185000-000")</f>
        <v>0</v>
      </c>
      <c r="AD940">
        <f>sumifs(BOM!ad:ad,BOM!A:A,".1",BOM!B:B,"211-185000-000")</f>
        <v>0</v>
      </c>
      <c r="AE940">
        <f>sumifs(BOM!ae:ae,BOM!A:A,".1",BOM!B:B,"211-185000-000")</f>
        <v>0</v>
      </c>
      <c r="AF940">
        <f>sumifs(BOM!af:af,BOM!A:A,".1",BOM!B:B,"211-185000-000")</f>
        <v>0</v>
      </c>
      <c r="AG940">
        <f>sumifs(BOM!ag:ag,BOM!A:A,".1",BOM!B:B,"211-185000-000")</f>
        <v>0</v>
      </c>
      <c r="AH940">
        <f>sumifs(BOM!ah:ah,BOM!A:A,".1",BOM!B:B,"211-185000-000")</f>
        <v>0</v>
      </c>
      <c r="AI940">
        <f>sumifs(BOM!ai:ai,BOM!A:A,".1",BOM!B:B,"211-185000-000")</f>
        <v>0</v>
      </c>
      <c r="AJ940">
        <f>sumifs(BOM!aj:aj,BOM!A:A,".1",BOM!B:B,"211-185000-000")</f>
        <v>0</v>
      </c>
      <c r="AK940">
        <f>sumifs(BOM!ak:ak,BOM!A:A,".1",BOM!B:B,"211-185000-000")</f>
        <v>0</v>
      </c>
      <c r="AL940">
        <f>sumifs(BOM!al:al,BOM!A:A,".1",BOM!B:B,"211-185000-000")</f>
        <v>0</v>
      </c>
      <c r="AM940">
        <f>sumifs(BOM!am:am,BOM!A:A,".1",BOM!B:B,"211-185000-000")</f>
        <v>0</v>
      </c>
      <c r="AN940">
        <f>sumifs(BOM!an:an,BOM!A:A,".1",BOM!B:B,"211-185000-000")</f>
        <v>0</v>
      </c>
      <c r="AO940">
        <f>sumifs(BOM!ao:ao,BOM!A:A,".1",BOM!B:B,"211-185000-000")</f>
        <v>0</v>
      </c>
      <c r="AP940">
        <f>sumifs(BOM!ap:ap,BOM!A:A,".1",BOM!B:B,"211-185000-000")</f>
        <v>0</v>
      </c>
      <c r="AQ940">
        <f>sumifs(BOM!aq:aq,BOM!A:A,".1",BOM!B:B,"211-185000-000")</f>
        <v>0</v>
      </c>
      <c r="AR940">
        <f>sumifs(BOM!ar:ar,BOM!A:A,".1",BOM!B:B,"211-185000-000")</f>
        <v>0</v>
      </c>
      <c r="BX940">
        <f>sum(j940:an940)</f>
        <v>0</v>
      </c>
    </row>
    <row r="941" spans="1:76">
      <c r="A941" t="s">
        <v>31</v>
      </c>
      <c r="B941" t="s">
        <v>405</v>
      </c>
      <c r="C941" t="s">
        <v>406</v>
      </c>
      <c r="D941" t="s">
        <v>36</v>
      </c>
      <c r="E941">
        <v>1</v>
      </c>
      <c r="F941" t="s">
        <v>407</v>
      </c>
      <c r="K941" t="s">
        <v>308</v>
      </c>
      <c r="L941" t="s">
        <v>37</v>
      </c>
    </row>
    <row r="942" spans="1:76">
      <c r="L942" t="s">
        <v>662</v>
      </c>
    </row>
    <row r="943" spans="1:76">
      <c r="L943" t="s">
        <v>663</v>
      </c>
    </row>
    <row r="944" spans="1:76">
      <c r="L944" t="s">
        <v>664</v>
      </c>
    </row>
    <row r="945" spans="1:76">
      <c r="L945" t="s">
        <v>665</v>
      </c>
      <c r="M945">
        <f>IF(DAY(NOW())&lt;M3,INDIRECT(ADDRESS(945,7))-INDIRECT(ADDRESS(940,13))+INDIRECT(ADDRESS(941,13))-INDIRECT(ADDRESS(944,13)),INDIRECT(ADDRESS(945,7))-INDIRECT(ADDRESS(940,13))+INDIRECT(ADDRESS(943,13))-INDIRECT(ADDRESS(944,13)))</f>
        <v>0</v>
      </c>
      <c r="N945">
        <f>IF(DAY(NOW())&lt;M3,INDIRECT(ADDRESS(945,13))-INDIRECT(ADDRESS(940,14))+INDIRECT(ADDRESS(941,14))-INDIRECT(ADDRESS(944,14)),INDIRECT(ADDRESS(945,13))-INDIRECT(ADDRESS(940,14))+INDIRECT(ADDRESS(943,14))-INDIRECT(ADDRESS(944,14)))</f>
        <v>0</v>
      </c>
      <c r="O945">
        <f>IF(DAY(NOW())&lt;M3,INDIRECT(ADDRESS(945,14))-INDIRECT(ADDRESS(940,15))+INDIRECT(ADDRESS(941,15))-INDIRECT(ADDRESS(944,15)),INDIRECT(ADDRESS(945,14))-INDIRECT(ADDRESS(940,15))+INDIRECT(ADDRESS(943,15))-INDIRECT(ADDRESS(944,15)))</f>
        <v>0</v>
      </c>
      <c r="P945">
        <f>IF(DAY(NOW())&lt;M3,INDIRECT(ADDRESS(945,15))-INDIRECT(ADDRESS(940,16))+INDIRECT(ADDRESS(941,16))-INDIRECT(ADDRESS(944,16)),INDIRECT(ADDRESS(945,15))-INDIRECT(ADDRESS(940,16))+INDIRECT(ADDRESS(943,16))-INDIRECT(ADDRESS(944,16)))</f>
        <v>0</v>
      </c>
      <c r="Q945">
        <f>IF(DAY(NOW())&lt;M3,INDIRECT(ADDRESS(945,16))-INDIRECT(ADDRESS(940,17))+INDIRECT(ADDRESS(941,17))-INDIRECT(ADDRESS(944,17)),INDIRECT(ADDRESS(945,16))-INDIRECT(ADDRESS(940,17))+INDIRECT(ADDRESS(943,17))-INDIRECT(ADDRESS(944,17)))</f>
        <v>0</v>
      </c>
      <c r="R945">
        <f>IF(DAY(NOW())&lt;M3,INDIRECT(ADDRESS(945,17))-INDIRECT(ADDRESS(940,18))+INDIRECT(ADDRESS(941,18))-INDIRECT(ADDRESS(944,18)),INDIRECT(ADDRESS(945,17))-INDIRECT(ADDRESS(940,18))+INDIRECT(ADDRESS(943,18))-INDIRECT(ADDRESS(944,18)))</f>
        <v>0</v>
      </c>
      <c r="S945">
        <f>IF(DAY(NOW())&lt;M3,INDIRECT(ADDRESS(945,18))-INDIRECT(ADDRESS(940,19))+INDIRECT(ADDRESS(941,19))-INDIRECT(ADDRESS(944,19)),INDIRECT(ADDRESS(945,18))-INDIRECT(ADDRESS(940,19))+INDIRECT(ADDRESS(943,19))-INDIRECT(ADDRESS(944,19)))</f>
        <v>0</v>
      </c>
      <c r="T945">
        <f>IF(DAY(NOW())&lt;M3,INDIRECT(ADDRESS(945,19))-INDIRECT(ADDRESS(940,20))+INDIRECT(ADDRESS(941,20))-INDIRECT(ADDRESS(944,20)),INDIRECT(ADDRESS(945,19))-INDIRECT(ADDRESS(940,20))+INDIRECT(ADDRESS(943,20))-INDIRECT(ADDRESS(944,20)))</f>
        <v>0</v>
      </c>
      <c r="U945">
        <f>IF(DAY(NOW())&lt;M3,INDIRECT(ADDRESS(945,20))-INDIRECT(ADDRESS(940,21))+INDIRECT(ADDRESS(941,21))-INDIRECT(ADDRESS(944,21)),INDIRECT(ADDRESS(945,20))-INDIRECT(ADDRESS(940,21))+INDIRECT(ADDRESS(943,21))-INDIRECT(ADDRESS(944,21)))</f>
        <v>0</v>
      </c>
      <c r="V945">
        <f>IF(DAY(NOW())&lt;M3,INDIRECT(ADDRESS(945,21))-INDIRECT(ADDRESS(940,22))+INDIRECT(ADDRESS(941,22))-INDIRECT(ADDRESS(944,22)),INDIRECT(ADDRESS(945,21))-INDIRECT(ADDRESS(940,22))+INDIRECT(ADDRESS(943,22))-INDIRECT(ADDRESS(944,22)))</f>
        <v>0</v>
      </c>
      <c r="W945">
        <f>IF(DAY(NOW())&lt;M3,INDIRECT(ADDRESS(945,22))-INDIRECT(ADDRESS(940,23))+INDIRECT(ADDRESS(941,23))-INDIRECT(ADDRESS(944,23)),INDIRECT(ADDRESS(945,22))-INDIRECT(ADDRESS(940,23))+INDIRECT(ADDRESS(943,23))-INDIRECT(ADDRESS(944,23)))</f>
        <v>0</v>
      </c>
      <c r="X945">
        <f>IF(DAY(NOW())&lt;M3,INDIRECT(ADDRESS(945,23))-INDIRECT(ADDRESS(940,24))+INDIRECT(ADDRESS(941,24))-INDIRECT(ADDRESS(944,24)),INDIRECT(ADDRESS(945,23))-INDIRECT(ADDRESS(940,24))+INDIRECT(ADDRESS(943,24))-INDIRECT(ADDRESS(944,24)))</f>
        <v>0</v>
      </c>
      <c r="Y945">
        <f>IF(DAY(NOW())&lt;M3,INDIRECT(ADDRESS(945,24))-INDIRECT(ADDRESS(940,25))+INDIRECT(ADDRESS(941,25))-INDIRECT(ADDRESS(944,25)),INDIRECT(ADDRESS(945,24))-INDIRECT(ADDRESS(940,25))+INDIRECT(ADDRESS(943,25))-INDIRECT(ADDRESS(944,25)))</f>
        <v>0</v>
      </c>
      <c r="Z945">
        <f>IF(DAY(NOW())&lt;M3,INDIRECT(ADDRESS(945,25))-INDIRECT(ADDRESS(940,26))+INDIRECT(ADDRESS(941,26))-INDIRECT(ADDRESS(944,26)),INDIRECT(ADDRESS(945,25))-INDIRECT(ADDRESS(940,26))+INDIRECT(ADDRESS(943,26))-INDIRECT(ADDRESS(944,26)))</f>
        <v>0</v>
      </c>
      <c r="AA945">
        <f>IF(DAY(NOW())&lt;M3,INDIRECT(ADDRESS(945,26))-INDIRECT(ADDRESS(940,27))+INDIRECT(ADDRESS(941,27))-INDIRECT(ADDRESS(944,27)),INDIRECT(ADDRESS(945,26))-INDIRECT(ADDRESS(940,27))+INDIRECT(ADDRESS(943,27))-INDIRECT(ADDRESS(944,27)))</f>
        <v>0</v>
      </c>
      <c r="AB945">
        <f>IF(DAY(NOW())&lt;M3,INDIRECT(ADDRESS(945,27))-INDIRECT(ADDRESS(940,28))+INDIRECT(ADDRESS(941,28))-INDIRECT(ADDRESS(944,28)),INDIRECT(ADDRESS(945,27))-INDIRECT(ADDRESS(940,28))+INDIRECT(ADDRESS(943,28))-INDIRECT(ADDRESS(944,28)))</f>
        <v>0</v>
      </c>
      <c r="AC945">
        <f>IF(DAY(NOW())&lt;M3,INDIRECT(ADDRESS(945,28))-INDIRECT(ADDRESS(940,29))+INDIRECT(ADDRESS(941,29))-INDIRECT(ADDRESS(944,29)),INDIRECT(ADDRESS(945,28))-INDIRECT(ADDRESS(940,29))+INDIRECT(ADDRESS(943,29))-INDIRECT(ADDRESS(944,29)))</f>
        <v>0</v>
      </c>
      <c r="AD945">
        <f>IF(DAY(NOW())&lt;M3,INDIRECT(ADDRESS(945,29))-INDIRECT(ADDRESS(940,30))+INDIRECT(ADDRESS(941,30))-INDIRECT(ADDRESS(944,30)),INDIRECT(ADDRESS(945,29))-INDIRECT(ADDRESS(940,30))+INDIRECT(ADDRESS(943,30))-INDIRECT(ADDRESS(944,30)))</f>
        <v>0</v>
      </c>
      <c r="AE945">
        <f>IF(DAY(NOW())&lt;M3,INDIRECT(ADDRESS(945,30))-INDIRECT(ADDRESS(940,31))+INDIRECT(ADDRESS(941,31))-INDIRECT(ADDRESS(944,31)),INDIRECT(ADDRESS(945,30))-INDIRECT(ADDRESS(940,31))+INDIRECT(ADDRESS(943,31))-INDIRECT(ADDRESS(944,31)))</f>
        <v>0</v>
      </c>
      <c r="AF945">
        <f>IF(DAY(NOW())&lt;M3,INDIRECT(ADDRESS(945,31))-INDIRECT(ADDRESS(940,32))+INDIRECT(ADDRESS(941,32))-INDIRECT(ADDRESS(944,32)),INDIRECT(ADDRESS(945,31))-INDIRECT(ADDRESS(940,32))+INDIRECT(ADDRESS(943,32))-INDIRECT(ADDRESS(944,32)))</f>
        <v>0</v>
      </c>
      <c r="AG945">
        <f>IF(DAY(NOW())&lt;M3,INDIRECT(ADDRESS(945,32))-INDIRECT(ADDRESS(940,33))+INDIRECT(ADDRESS(941,33))-INDIRECT(ADDRESS(944,33)),INDIRECT(ADDRESS(945,32))-INDIRECT(ADDRESS(940,33))+INDIRECT(ADDRESS(943,33))-INDIRECT(ADDRESS(944,33)))</f>
        <v>0</v>
      </c>
      <c r="AH945">
        <f>IF(DAY(NOW())&lt;M3,INDIRECT(ADDRESS(945,33))-INDIRECT(ADDRESS(940,34))+INDIRECT(ADDRESS(941,34))-INDIRECT(ADDRESS(944,34)),INDIRECT(ADDRESS(945,33))-INDIRECT(ADDRESS(940,34))+INDIRECT(ADDRESS(943,34))-INDIRECT(ADDRESS(944,34)))</f>
        <v>0</v>
      </c>
      <c r="AI945">
        <f>IF(DAY(NOW())&lt;M3,INDIRECT(ADDRESS(945,34))-INDIRECT(ADDRESS(940,35))+INDIRECT(ADDRESS(941,35))-INDIRECT(ADDRESS(944,35)),INDIRECT(ADDRESS(945,34))-INDIRECT(ADDRESS(940,35))+INDIRECT(ADDRESS(943,35))-INDIRECT(ADDRESS(944,35)))</f>
        <v>0</v>
      </c>
      <c r="AJ945">
        <f>IF(DAY(NOW())&lt;M3,INDIRECT(ADDRESS(945,35))-INDIRECT(ADDRESS(940,36))+INDIRECT(ADDRESS(941,36))-INDIRECT(ADDRESS(944,36)),INDIRECT(ADDRESS(945,35))-INDIRECT(ADDRESS(940,36))+INDIRECT(ADDRESS(943,36))-INDIRECT(ADDRESS(944,36)))</f>
        <v>0</v>
      </c>
      <c r="AK945">
        <f>IF(DAY(NOW())&lt;M3,INDIRECT(ADDRESS(945,36))-INDIRECT(ADDRESS(940,37))+INDIRECT(ADDRESS(941,37))-INDIRECT(ADDRESS(944,37)),INDIRECT(ADDRESS(945,36))-INDIRECT(ADDRESS(940,37))+INDIRECT(ADDRESS(943,37))-INDIRECT(ADDRESS(944,37)))</f>
        <v>0</v>
      </c>
      <c r="AL945">
        <f>IF(DAY(NOW())&lt;M3,INDIRECT(ADDRESS(945,37))-INDIRECT(ADDRESS(940,38))+INDIRECT(ADDRESS(941,38))-INDIRECT(ADDRESS(944,38)),INDIRECT(ADDRESS(945,37))-INDIRECT(ADDRESS(940,38))+INDIRECT(ADDRESS(943,38))-INDIRECT(ADDRESS(944,38)))</f>
        <v>0</v>
      </c>
      <c r="AM945">
        <f>IF(DAY(NOW())&lt;M3,INDIRECT(ADDRESS(945,38))-INDIRECT(ADDRESS(940,39))+INDIRECT(ADDRESS(941,39))-INDIRECT(ADDRESS(944,39)),INDIRECT(ADDRESS(945,38))-INDIRECT(ADDRESS(940,39))+INDIRECT(ADDRESS(943,39))-INDIRECT(ADDRESS(944,39)))</f>
        <v>0</v>
      </c>
      <c r="AN945">
        <f>IF(DAY(NOW())&lt;M3,INDIRECT(ADDRESS(945,39))-INDIRECT(ADDRESS(940,40))+INDIRECT(ADDRESS(941,40))-INDIRECT(ADDRESS(944,40)),INDIRECT(ADDRESS(945,39))-INDIRECT(ADDRESS(940,40))+INDIRECT(ADDRESS(943,40))-INDIRECT(ADDRESS(944,40)))</f>
        <v>0</v>
      </c>
      <c r="AO945">
        <f>IF(DAY(NOW())&lt;M3,INDIRECT(ADDRESS(945,40))-INDIRECT(ADDRESS(940,41))+INDIRECT(ADDRESS(941,41))-INDIRECT(ADDRESS(944,41)),INDIRECT(ADDRESS(945,40))-INDIRECT(ADDRESS(940,41))+INDIRECT(ADDRESS(943,41))-INDIRECT(ADDRESS(944,41)))</f>
        <v>0</v>
      </c>
      <c r="AP945">
        <f>IF(DAY(NOW())&lt;M3,INDIRECT(ADDRESS(945,41))-INDIRECT(ADDRESS(940,42))+INDIRECT(ADDRESS(941,42))-INDIRECT(ADDRESS(944,42)),INDIRECT(ADDRESS(945,41))-INDIRECT(ADDRESS(940,42))+INDIRECT(ADDRESS(943,42))-INDIRECT(ADDRESS(944,42)))</f>
        <v>0</v>
      </c>
      <c r="AQ945">
        <f>IF(DAY(NOW())&lt;M3,INDIRECT(ADDRESS(945,42))-INDIRECT(ADDRESS(940,43))+INDIRECT(ADDRESS(941,43))-INDIRECT(ADDRESS(944,43)),INDIRECT(ADDRESS(945,42))-INDIRECT(ADDRESS(940,43))+INDIRECT(ADDRESS(943,43))-INDIRECT(ADDRESS(944,43)))</f>
        <v>0</v>
      </c>
      <c r="AR945">
        <f>IF(DAY(NOW())&lt;M3,INDIRECT(ADDRESS(945,43))-INDIRECT(ADDRESS(940,44))+INDIRECT(ADDRESS(941,44))-INDIRECT(ADDRESS(944,44)),INDIRECT(ADDRESS(945,43))-INDIRECT(ADDRESS(940,44))+INDIRECT(ADDRESS(943,44))-INDIRECT(ADDRESS(944,44)))</f>
        <v>0</v>
      </c>
    </row>
    <row r="946" spans="1:76">
      <c r="A946" t="s">
        <v>31</v>
      </c>
      <c r="B946" t="s">
        <v>408</v>
      </c>
      <c r="C946" t="s">
        <v>409</v>
      </c>
      <c r="D946" t="s">
        <v>36</v>
      </c>
      <c r="E946">
        <v>1</v>
      </c>
      <c r="F946" t="s">
        <v>410</v>
      </c>
      <c r="K946" t="s">
        <v>308</v>
      </c>
      <c r="L946" t="s">
        <v>21</v>
      </c>
      <c r="M946">
        <f>sumifs(BOM!m:m,BOM!A:A,".1",BOM!B:B,"212-044700-000")</f>
        <v>0</v>
      </c>
      <c r="N946">
        <f>sumifs(BOM!n:n,BOM!A:A,".1",BOM!B:B,"212-044700-000")</f>
        <v>0</v>
      </c>
      <c r="O946">
        <f>sumifs(BOM!o:o,BOM!A:A,".1",BOM!B:B,"212-044700-000")</f>
        <v>0</v>
      </c>
      <c r="P946">
        <f>sumifs(BOM!p:p,BOM!A:A,".1",BOM!B:B,"212-044700-000")</f>
        <v>0</v>
      </c>
      <c r="Q946">
        <f>sumifs(BOM!q:q,BOM!A:A,".1",BOM!B:B,"212-044700-000")</f>
        <v>0</v>
      </c>
      <c r="R946">
        <f>sumifs(BOM!r:r,BOM!A:A,".1",BOM!B:B,"212-044700-000")</f>
        <v>0</v>
      </c>
      <c r="S946">
        <f>sumifs(BOM!s:s,BOM!A:A,".1",BOM!B:B,"212-044700-000")</f>
        <v>0</v>
      </c>
      <c r="T946">
        <f>sumifs(BOM!t:t,BOM!A:A,".1",BOM!B:B,"212-044700-000")</f>
        <v>0</v>
      </c>
      <c r="U946">
        <f>sumifs(BOM!u:u,BOM!A:A,".1",BOM!B:B,"212-044700-000")</f>
        <v>0</v>
      </c>
      <c r="V946">
        <f>sumifs(BOM!v:v,BOM!A:A,".1",BOM!B:B,"212-044700-000")</f>
        <v>0</v>
      </c>
      <c r="W946">
        <f>sumifs(BOM!w:w,BOM!A:A,".1",BOM!B:B,"212-044700-000")</f>
        <v>0</v>
      </c>
      <c r="X946">
        <f>sumifs(BOM!x:x,BOM!A:A,".1",BOM!B:B,"212-044700-000")</f>
        <v>0</v>
      </c>
      <c r="Y946">
        <f>sumifs(BOM!y:y,BOM!A:A,".1",BOM!B:B,"212-044700-000")</f>
        <v>0</v>
      </c>
      <c r="Z946">
        <f>sumifs(BOM!z:z,BOM!A:A,".1",BOM!B:B,"212-044700-000")</f>
        <v>0</v>
      </c>
      <c r="AA946">
        <f>sumifs(BOM!aa:aa,BOM!A:A,".1",BOM!B:B,"212-044700-000")</f>
        <v>0</v>
      </c>
      <c r="AB946">
        <f>sumifs(BOM!ab:ab,BOM!A:A,".1",BOM!B:B,"212-044700-000")</f>
        <v>0</v>
      </c>
      <c r="AC946">
        <f>sumifs(BOM!ac:ac,BOM!A:A,".1",BOM!B:B,"212-044700-000")</f>
        <v>0</v>
      </c>
      <c r="AD946">
        <f>sumifs(BOM!ad:ad,BOM!A:A,".1",BOM!B:B,"212-044700-000")</f>
        <v>0</v>
      </c>
      <c r="AE946">
        <f>sumifs(BOM!ae:ae,BOM!A:A,".1",BOM!B:B,"212-044700-000")</f>
        <v>0</v>
      </c>
      <c r="AF946">
        <f>sumifs(BOM!af:af,BOM!A:A,".1",BOM!B:B,"212-044700-000")</f>
        <v>0</v>
      </c>
      <c r="AG946">
        <f>sumifs(BOM!ag:ag,BOM!A:A,".1",BOM!B:B,"212-044700-000")</f>
        <v>0</v>
      </c>
      <c r="AH946">
        <f>sumifs(BOM!ah:ah,BOM!A:A,".1",BOM!B:B,"212-044700-000")</f>
        <v>0</v>
      </c>
      <c r="AI946">
        <f>sumifs(BOM!ai:ai,BOM!A:A,".1",BOM!B:B,"212-044700-000")</f>
        <v>0</v>
      </c>
      <c r="AJ946">
        <f>sumifs(BOM!aj:aj,BOM!A:A,".1",BOM!B:B,"212-044700-000")</f>
        <v>0</v>
      </c>
      <c r="AK946">
        <f>sumifs(BOM!ak:ak,BOM!A:A,".1",BOM!B:B,"212-044700-000")</f>
        <v>0</v>
      </c>
      <c r="AL946">
        <f>sumifs(BOM!al:al,BOM!A:A,".1",BOM!B:B,"212-044700-000")</f>
        <v>0</v>
      </c>
      <c r="AM946">
        <f>sumifs(BOM!am:am,BOM!A:A,".1",BOM!B:B,"212-044700-000")</f>
        <v>0</v>
      </c>
      <c r="AN946">
        <f>sumifs(BOM!an:an,BOM!A:A,".1",BOM!B:B,"212-044700-000")</f>
        <v>0</v>
      </c>
      <c r="AO946">
        <f>sumifs(BOM!ao:ao,BOM!A:A,".1",BOM!B:B,"212-044700-000")</f>
        <v>0</v>
      </c>
      <c r="AP946">
        <f>sumifs(BOM!ap:ap,BOM!A:A,".1",BOM!B:B,"212-044700-000")</f>
        <v>0</v>
      </c>
      <c r="AQ946">
        <f>sumifs(BOM!aq:aq,BOM!A:A,".1",BOM!B:B,"212-044700-000")</f>
        <v>0</v>
      </c>
      <c r="AR946">
        <f>sumifs(BOM!ar:ar,BOM!A:A,".1",BOM!B:B,"212-044700-000")</f>
        <v>0</v>
      </c>
      <c r="BX946">
        <f>sum(j946:an946)</f>
        <v>0</v>
      </c>
    </row>
    <row r="947" spans="1:76">
      <c r="A947" t="s">
        <v>31</v>
      </c>
      <c r="B947" t="s">
        <v>408</v>
      </c>
      <c r="C947" t="s">
        <v>409</v>
      </c>
      <c r="D947" t="s">
        <v>36</v>
      </c>
      <c r="E947">
        <v>1</v>
      </c>
      <c r="F947" t="s">
        <v>410</v>
      </c>
      <c r="K947" t="s">
        <v>308</v>
      </c>
      <c r="L947" t="s">
        <v>37</v>
      </c>
    </row>
    <row r="948" spans="1:76">
      <c r="L948" t="s">
        <v>662</v>
      </c>
    </row>
    <row r="949" spans="1:76">
      <c r="L949" t="s">
        <v>663</v>
      </c>
    </row>
    <row r="950" spans="1:76">
      <c r="L950" t="s">
        <v>664</v>
      </c>
    </row>
    <row r="951" spans="1:76">
      <c r="L951" t="s">
        <v>665</v>
      </c>
      <c r="M951">
        <f>IF(DAY(NOW())&lt;M3,INDIRECT(ADDRESS(951,7))-INDIRECT(ADDRESS(946,13))+INDIRECT(ADDRESS(947,13))-INDIRECT(ADDRESS(950,13)),INDIRECT(ADDRESS(951,7))-INDIRECT(ADDRESS(946,13))+INDIRECT(ADDRESS(949,13))-INDIRECT(ADDRESS(950,13)))</f>
        <v>0</v>
      </c>
      <c r="N951">
        <f>IF(DAY(NOW())&lt;M3,INDIRECT(ADDRESS(951,13))-INDIRECT(ADDRESS(946,14))+INDIRECT(ADDRESS(947,14))-INDIRECT(ADDRESS(950,14)),INDIRECT(ADDRESS(951,13))-INDIRECT(ADDRESS(946,14))+INDIRECT(ADDRESS(949,14))-INDIRECT(ADDRESS(950,14)))</f>
        <v>0</v>
      </c>
      <c r="O951">
        <f>IF(DAY(NOW())&lt;M3,INDIRECT(ADDRESS(951,14))-INDIRECT(ADDRESS(946,15))+INDIRECT(ADDRESS(947,15))-INDIRECT(ADDRESS(950,15)),INDIRECT(ADDRESS(951,14))-INDIRECT(ADDRESS(946,15))+INDIRECT(ADDRESS(949,15))-INDIRECT(ADDRESS(950,15)))</f>
        <v>0</v>
      </c>
      <c r="P951">
        <f>IF(DAY(NOW())&lt;M3,INDIRECT(ADDRESS(951,15))-INDIRECT(ADDRESS(946,16))+INDIRECT(ADDRESS(947,16))-INDIRECT(ADDRESS(950,16)),INDIRECT(ADDRESS(951,15))-INDIRECT(ADDRESS(946,16))+INDIRECT(ADDRESS(949,16))-INDIRECT(ADDRESS(950,16)))</f>
        <v>0</v>
      </c>
      <c r="Q951">
        <f>IF(DAY(NOW())&lt;M3,INDIRECT(ADDRESS(951,16))-INDIRECT(ADDRESS(946,17))+INDIRECT(ADDRESS(947,17))-INDIRECT(ADDRESS(950,17)),INDIRECT(ADDRESS(951,16))-INDIRECT(ADDRESS(946,17))+INDIRECT(ADDRESS(949,17))-INDIRECT(ADDRESS(950,17)))</f>
        <v>0</v>
      </c>
      <c r="R951">
        <f>IF(DAY(NOW())&lt;M3,INDIRECT(ADDRESS(951,17))-INDIRECT(ADDRESS(946,18))+INDIRECT(ADDRESS(947,18))-INDIRECT(ADDRESS(950,18)),INDIRECT(ADDRESS(951,17))-INDIRECT(ADDRESS(946,18))+INDIRECT(ADDRESS(949,18))-INDIRECT(ADDRESS(950,18)))</f>
        <v>0</v>
      </c>
      <c r="S951">
        <f>IF(DAY(NOW())&lt;M3,INDIRECT(ADDRESS(951,18))-INDIRECT(ADDRESS(946,19))+INDIRECT(ADDRESS(947,19))-INDIRECT(ADDRESS(950,19)),INDIRECT(ADDRESS(951,18))-INDIRECT(ADDRESS(946,19))+INDIRECT(ADDRESS(949,19))-INDIRECT(ADDRESS(950,19)))</f>
        <v>0</v>
      </c>
      <c r="T951">
        <f>IF(DAY(NOW())&lt;M3,INDIRECT(ADDRESS(951,19))-INDIRECT(ADDRESS(946,20))+INDIRECT(ADDRESS(947,20))-INDIRECT(ADDRESS(950,20)),INDIRECT(ADDRESS(951,19))-INDIRECT(ADDRESS(946,20))+INDIRECT(ADDRESS(949,20))-INDIRECT(ADDRESS(950,20)))</f>
        <v>0</v>
      </c>
      <c r="U951">
        <f>IF(DAY(NOW())&lt;M3,INDIRECT(ADDRESS(951,20))-INDIRECT(ADDRESS(946,21))+INDIRECT(ADDRESS(947,21))-INDIRECT(ADDRESS(950,21)),INDIRECT(ADDRESS(951,20))-INDIRECT(ADDRESS(946,21))+INDIRECT(ADDRESS(949,21))-INDIRECT(ADDRESS(950,21)))</f>
        <v>0</v>
      </c>
      <c r="V951">
        <f>IF(DAY(NOW())&lt;M3,INDIRECT(ADDRESS(951,21))-INDIRECT(ADDRESS(946,22))+INDIRECT(ADDRESS(947,22))-INDIRECT(ADDRESS(950,22)),INDIRECT(ADDRESS(951,21))-INDIRECT(ADDRESS(946,22))+INDIRECT(ADDRESS(949,22))-INDIRECT(ADDRESS(950,22)))</f>
        <v>0</v>
      </c>
      <c r="W951">
        <f>IF(DAY(NOW())&lt;M3,INDIRECT(ADDRESS(951,22))-INDIRECT(ADDRESS(946,23))+INDIRECT(ADDRESS(947,23))-INDIRECT(ADDRESS(950,23)),INDIRECT(ADDRESS(951,22))-INDIRECT(ADDRESS(946,23))+INDIRECT(ADDRESS(949,23))-INDIRECT(ADDRESS(950,23)))</f>
        <v>0</v>
      </c>
      <c r="X951">
        <f>IF(DAY(NOW())&lt;M3,INDIRECT(ADDRESS(951,23))-INDIRECT(ADDRESS(946,24))+INDIRECT(ADDRESS(947,24))-INDIRECT(ADDRESS(950,24)),INDIRECT(ADDRESS(951,23))-INDIRECT(ADDRESS(946,24))+INDIRECT(ADDRESS(949,24))-INDIRECT(ADDRESS(950,24)))</f>
        <v>0</v>
      </c>
      <c r="Y951">
        <f>IF(DAY(NOW())&lt;M3,INDIRECT(ADDRESS(951,24))-INDIRECT(ADDRESS(946,25))+INDIRECT(ADDRESS(947,25))-INDIRECT(ADDRESS(950,25)),INDIRECT(ADDRESS(951,24))-INDIRECT(ADDRESS(946,25))+INDIRECT(ADDRESS(949,25))-INDIRECT(ADDRESS(950,25)))</f>
        <v>0</v>
      </c>
      <c r="Z951">
        <f>IF(DAY(NOW())&lt;M3,INDIRECT(ADDRESS(951,25))-INDIRECT(ADDRESS(946,26))+INDIRECT(ADDRESS(947,26))-INDIRECT(ADDRESS(950,26)),INDIRECT(ADDRESS(951,25))-INDIRECT(ADDRESS(946,26))+INDIRECT(ADDRESS(949,26))-INDIRECT(ADDRESS(950,26)))</f>
        <v>0</v>
      </c>
      <c r="AA951">
        <f>IF(DAY(NOW())&lt;M3,INDIRECT(ADDRESS(951,26))-INDIRECT(ADDRESS(946,27))+INDIRECT(ADDRESS(947,27))-INDIRECT(ADDRESS(950,27)),INDIRECT(ADDRESS(951,26))-INDIRECT(ADDRESS(946,27))+INDIRECT(ADDRESS(949,27))-INDIRECT(ADDRESS(950,27)))</f>
        <v>0</v>
      </c>
      <c r="AB951">
        <f>IF(DAY(NOW())&lt;M3,INDIRECT(ADDRESS(951,27))-INDIRECT(ADDRESS(946,28))+INDIRECT(ADDRESS(947,28))-INDIRECT(ADDRESS(950,28)),INDIRECT(ADDRESS(951,27))-INDIRECT(ADDRESS(946,28))+INDIRECT(ADDRESS(949,28))-INDIRECT(ADDRESS(950,28)))</f>
        <v>0</v>
      </c>
      <c r="AC951">
        <f>IF(DAY(NOW())&lt;M3,INDIRECT(ADDRESS(951,28))-INDIRECT(ADDRESS(946,29))+INDIRECT(ADDRESS(947,29))-INDIRECT(ADDRESS(950,29)),INDIRECT(ADDRESS(951,28))-INDIRECT(ADDRESS(946,29))+INDIRECT(ADDRESS(949,29))-INDIRECT(ADDRESS(950,29)))</f>
        <v>0</v>
      </c>
      <c r="AD951">
        <f>IF(DAY(NOW())&lt;M3,INDIRECT(ADDRESS(951,29))-INDIRECT(ADDRESS(946,30))+INDIRECT(ADDRESS(947,30))-INDIRECT(ADDRESS(950,30)),INDIRECT(ADDRESS(951,29))-INDIRECT(ADDRESS(946,30))+INDIRECT(ADDRESS(949,30))-INDIRECT(ADDRESS(950,30)))</f>
        <v>0</v>
      </c>
      <c r="AE951">
        <f>IF(DAY(NOW())&lt;M3,INDIRECT(ADDRESS(951,30))-INDIRECT(ADDRESS(946,31))+INDIRECT(ADDRESS(947,31))-INDIRECT(ADDRESS(950,31)),INDIRECT(ADDRESS(951,30))-INDIRECT(ADDRESS(946,31))+INDIRECT(ADDRESS(949,31))-INDIRECT(ADDRESS(950,31)))</f>
        <v>0</v>
      </c>
      <c r="AF951">
        <f>IF(DAY(NOW())&lt;M3,INDIRECT(ADDRESS(951,31))-INDIRECT(ADDRESS(946,32))+INDIRECT(ADDRESS(947,32))-INDIRECT(ADDRESS(950,32)),INDIRECT(ADDRESS(951,31))-INDIRECT(ADDRESS(946,32))+INDIRECT(ADDRESS(949,32))-INDIRECT(ADDRESS(950,32)))</f>
        <v>0</v>
      </c>
      <c r="AG951">
        <f>IF(DAY(NOW())&lt;M3,INDIRECT(ADDRESS(951,32))-INDIRECT(ADDRESS(946,33))+INDIRECT(ADDRESS(947,33))-INDIRECT(ADDRESS(950,33)),INDIRECT(ADDRESS(951,32))-INDIRECT(ADDRESS(946,33))+INDIRECT(ADDRESS(949,33))-INDIRECT(ADDRESS(950,33)))</f>
        <v>0</v>
      </c>
      <c r="AH951">
        <f>IF(DAY(NOW())&lt;M3,INDIRECT(ADDRESS(951,33))-INDIRECT(ADDRESS(946,34))+INDIRECT(ADDRESS(947,34))-INDIRECT(ADDRESS(950,34)),INDIRECT(ADDRESS(951,33))-INDIRECT(ADDRESS(946,34))+INDIRECT(ADDRESS(949,34))-INDIRECT(ADDRESS(950,34)))</f>
        <v>0</v>
      </c>
      <c r="AI951">
        <f>IF(DAY(NOW())&lt;M3,INDIRECT(ADDRESS(951,34))-INDIRECT(ADDRESS(946,35))+INDIRECT(ADDRESS(947,35))-INDIRECT(ADDRESS(950,35)),INDIRECT(ADDRESS(951,34))-INDIRECT(ADDRESS(946,35))+INDIRECT(ADDRESS(949,35))-INDIRECT(ADDRESS(950,35)))</f>
        <v>0</v>
      </c>
      <c r="AJ951">
        <f>IF(DAY(NOW())&lt;M3,INDIRECT(ADDRESS(951,35))-INDIRECT(ADDRESS(946,36))+INDIRECT(ADDRESS(947,36))-INDIRECT(ADDRESS(950,36)),INDIRECT(ADDRESS(951,35))-INDIRECT(ADDRESS(946,36))+INDIRECT(ADDRESS(949,36))-INDIRECT(ADDRESS(950,36)))</f>
        <v>0</v>
      </c>
      <c r="AK951">
        <f>IF(DAY(NOW())&lt;M3,INDIRECT(ADDRESS(951,36))-INDIRECT(ADDRESS(946,37))+INDIRECT(ADDRESS(947,37))-INDIRECT(ADDRESS(950,37)),INDIRECT(ADDRESS(951,36))-INDIRECT(ADDRESS(946,37))+INDIRECT(ADDRESS(949,37))-INDIRECT(ADDRESS(950,37)))</f>
        <v>0</v>
      </c>
      <c r="AL951">
        <f>IF(DAY(NOW())&lt;M3,INDIRECT(ADDRESS(951,37))-INDIRECT(ADDRESS(946,38))+INDIRECT(ADDRESS(947,38))-INDIRECT(ADDRESS(950,38)),INDIRECT(ADDRESS(951,37))-INDIRECT(ADDRESS(946,38))+INDIRECT(ADDRESS(949,38))-INDIRECT(ADDRESS(950,38)))</f>
        <v>0</v>
      </c>
      <c r="AM951">
        <f>IF(DAY(NOW())&lt;M3,INDIRECT(ADDRESS(951,38))-INDIRECT(ADDRESS(946,39))+INDIRECT(ADDRESS(947,39))-INDIRECT(ADDRESS(950,39)),INDIRECT(ADDRESS(951,38))-INDIRECT(ADDRESS(946,39))+INDIRECT(ADDRESS(949,39))-INDIRECT(ADDRESS(950,39)))</f>
        <v>0</v>
      </c>
      <c r="AN951">
        <f>IF(DAY(NOW())&lt;M3,INDIRECT(ADDRESS(951,39))-INDIRECT(ADDRESS(946,40))+INDIRECT(ADDRESS(947,40))-INDIRECT(ADDRESS(950,40)),INDIRECT(ADDRESS(951,39))-INDIRECT(ADDRESS(946,40))+INDIRECT(ADDRESS(949,40))-INDIRECT(ADDRESS(950,40)))</f>
        <v>0</v>
      </c>
      <c r="AO951">
        <f>IF(DAY(NOW())&lt;M3,INDIRECT(ADDRESS(951,40))-INDIRECT(ADDRESS(946,41))+INDIRECT(ADDRESS(947,41))-INDIRECT(ADDRESS(950,41)),INDIRECT(ADDRESS(951,40))-INDIRECT(ADDRESS(946,41))+INDIRECT(ADDRESS(949,41))-INDIRECT(ADDRESS(950,41)))</f>
        <v>0</v>
      </c>
      <c r="AP951">
        <f>IF(DAY(NOW())&lt;M3,INDIRECT(ADDRESS(951,41))-INDIRECT(ADDRESS(946,42))+INDIRECT(ADDRESS(947,42))-INDIRECT(ADDRESS(950,42)),INDIRECT(ADDRESS(951,41))-INDIRECT(ADDRESS(946,42))+INDIRECT(ADDRESS(949,42))-INDIRECT(ADDRESS(950,42)))</f>
        <v>0</v>
      </c>
      <c r="AQ951">
        <f>IF(DAY(NOW())&lt;M3,INDIRECT(ADDRESS(951,42))-INDIRECT(ADDRESS(946,43))+INDIRECT(ADDRESS(947,43))-INDIRECT(ADDRESS(950,43)),INDIRECT(ADDRESS(951,42))-INDIRECT(ADDRESS(946,43))+INDIRECT(ADDRESS(949,43))-INDIRECT(ADDRESS(950,43)))</f>
        <v>0</v>
      </c>
      <c r="AR951">
        <f>IF(DAY(NOW())&lt;M3,INDIRECT(ADDRESS(951,43))-INDIRECT(ADDRESS(946,44))+INDIRECT(ADDRESS(947,44))-INDIRECT(ADDRESS(950,44)),INDIRECT(ADDRESS(951,43))-INDIRECT(ADDRESS(946,44))+INDIRECT(ADDRESS(949,44))-INDIRECT(ADDRESS(950,44)))</f>
        <v>0</v>
      </c>
    </row>
    <row r="952" spans="1:76">
      <c r="A952" t="s">
        <v>31</v>
      </c>
      <c r="B952" t="s">
        <v>411</v>
      </c>
      <c r="C952" t="s">
        <v>412</v>
      </c>
      <c r="D952" t="s">
        <v>36</v>
      </c>
      <c r="E952">
        <v>1</v>
      </c>
      <c r="F952" t="s">
        <v>413</v>
      </c>
      <c r="K952" t="s">
        <v>308</v>
      </c>
      <c r="L952" t="s">
        <v>21</v>
      </c>
      <c r="M952">
        <f>sumifs(BOM!m:m,BOM!A:A,".1",BOM!B:B,"212-044800-000")</f>
        <v>0</v>
      </c>
      <c r="N952">
        <f>sumifs(BOM!n:n,BOM!A:A,".1",BOM!B:B,"212-044800-000")</f>
        <v>0</v>
      </c>
      <c r="O952">
        <f>sumifs(BOM!o:o,BOM!A:A,".1",BOM!B:B,"212-044800-000")</f>
        <v>0</v>
      </c>
      <c r="P952">
        <f>sumifs(BOM!p:p,BOM!A:A,".1",BOM!B:B,"212-044800-000")</f>
        <v>0</v>
      </c>
      <c r="Q952">
        <f>sumifs(BOM!q:q,BOM!A:A,".1",BOM!B:B,"212-044800-000")</f>
        <v>0</v>
      </c>
      <c r="R952">
        <f>sumifs(BOM!r:r,BOM!A:A,".1",BOM!B:B,"212-044800-000")</f>
        <v>0</v>
      </c>
      <c r="S952">
        <f>sumifs(BOM!s:s,BOM!A:A,".1",BOM!B:B,"212-044800-000")</f>
        <v>0</v>
      </c>
      <c r="T952">
        <f>sumifs(BOM!t:t,BOM!A:A,".1",BOM!B:B,"212-044800-000")</f>
        <v>0</v>
      </c>
      <c r="U952">
        <f>sumifs(BOM!u:u,BOM!A:A,".1",BOM!B:B,"212-044800-000")</f>
        <v>0</v>
      </c>
      <c r="V952">
        <f>sumifs(BOM!v:v,BOM!A:A,".1",BOM!B:B,"212-044800-000")</f>
        <v>0</v>
      </c>
      <c r="W952">
        <f>sumifs(BOM!w:w,BOM!A:A,".1",BOM!B:B,"212-044800-000")</f>
        <v>0</v>
      </c>
      <c r="X952">
        <f>sumifs(BOM!x:x,BOM!A:A,".1",BOM!B:B,"212-044800-000")</f>
        <v>0</v>
      </c>
      <c r="Y952">
        <f>sumifs(BOM!y:y,BOM!A:A,".1",BOM!B:B,"212-044800-000")</f>
        <v>0</v>
      </c>
      <c r="Z952">
        <f>sumifs(BOM!z:z,BOM!A:A,".1",BOM!B:B,"212-044800-000")</f>
        <v>0</v>
      </c>
      <c r="AA952">
        <f>sumifs(BOM!aa:aa,BOM!A:A,".1",BOM!B:B,"212-044800-000")</f>
        <v>0</v>
      </c>
      <c r="AB952">
        <f>sumifs(BOM!ab:ab,BOM!A:A,".1",BOM!B:B,"212-044800-000")</f>
        <v>0</v>
      </c>
      <c r="AC952">
        <f>sumifs(BOM!ac:ac,BOM!A:A,".1",BOM!B:B,"212-044800-000")</f>
        <v>0</v>
      </c>
      <c r="AD952">
        <f>sumifs(BOM!ad:ad,BOM!A:A,".1",BOM!B:B,"212-044800-000")</f>
        <v>0</v>
      </c>
      <c r="AE952">
        <f>sumifs(BOM!ae:ae,BOM!A:A,".1",BOM!B:B,"212-044800-000")</f>
        <v>0</v>
      </c>
      <c r="AF952">
        <f>sumifs(BOM!af:af,BOM!A:A,".1",BOM!B:B,"212-044800-000")</f>
        <v>0</v>
      </c>
      <c r="AG952">
        <f>sumifs(BOM!ag:ag,BOM!A:A,".1",BOM!B:B,"212-044800-000")</f>
        <v>0</v>
      </c>
      <c r="AH952">
        <f>sumifs(BOM!ah:ah,BOM!A:A,".1",BOM!B:B,"212-044800-000")</f>
        <v>0</v>
      </c>
      <c r="AI952">
        <f>sumifs(BOM!ai:ai,BOM!A:A,".1",BOM!B:B,"212-044800-000")</f>
        <v>0</v>
      </c>
      <c r="AJ952">
        <f>sumifs(BOM!aj:aj,BOM!A:A,".1",BOM!B:B,"212-044800-000")</f>
        <v>0</v>
      </c>
      <c r="AK952">
        <f>sumifs(BOM!ak:ak,BOM!A:A,".1",BOM!B:B,"212-044800-000")</f>
        <v>0</v>
      </c>
      <c r="AL952">
        <f>sumifs(BOM!al:al,BOM!A:A,".1",BOM!B:B,"212-044800-000")</f>
        <v>0</v>
      </c>
      <c r="AM952">
        <f>sumifs(BOM!am:am,BOM!A:A,".1",BOM!B:B,"212-044800-000")</f>
        <v>0</v>
      </c>
      <c r="AN952">
        <f>sumifs(BOM!an:an,BOM!A:A,".1",BOM!B:B,"212-044800-000")</f>
        <v>0</v>
      </c>
      <c r="AO952">
        <f>sumifs(BOM!ao:ao,BOM!A:A,".1",BOM!B:B,"212-044800-000")</f>
        <v>0</v>
      </c>
      <c r="AP952">
        <f>sumifs(BOM!ap:ap,BOM!A:A,".1",BOM!B:B,"212-044800-000")</f>
        <v>0</v>
      </c>
      <c r="AQ952">
        <f>sumifs(BOM!aq:aq,BOM!A:A,".1",BOM!B:B,"212-044800-000")</f>
        <v>0</v>
      </c>
      <c r="AR952">
        <f>sumifs(BOM!ar:ar,BOM!A:A,".1",BOM!B:B,"212-044800-000")</f>
        <v>0</v>
      </c>
      <c r="BX952">
        <f>sum(j952:an952)</f>
        <v>0</v>
      </c>
    </row>
    <row r="953" spans="1:76">
      <c r="A953" t="s">
        <v>31</v>
      </c>
      <c r="B953" t="s">
        <v>411</v>
      </c>
      <c r="C953" t="s">
        <v>412</v>
      </c>
      <c r="D953" t="s">
        <v>36</v>
      </c>
      <c r="E953">
        <v>1</v>
      </c>
      <c r="F953" t="s">
        <v>413</v>
      </c>
      <c r="K953" t="s">
        <v>308</v>
      </c>
      <c r="L953" t="s">
        <v>37</v>
      </c>
    </row>
    <row r="954" spans="1:76">
      <c r="L954" t="s">
        <v>662</v>
      </c>
    </row>
    <row r="955" spans="1:76">
      <c r="L955" t="s">
        <v>663</v>
      </c>
    </row>
    <row r="956" spans="1:76">
      <c r="L956" t="s">
        <v>664</v>
      </c>
    </row>
    <row r="957" spans="1:76">
      <c r="L957" t="s">
        <v>665</v>
      </c>
      <c r="M957">
        <f>IF(DAY(NOW())&lt;M3,INDIRECT(ADDRESS(957,7))-INDIRECT(ADDRESS(952,13))+INDIRECT(ADDRESS(953,13))-INDIRECT(ADDRESS(956,13)),INDIRECT(ADDRESS(957,7))-INDIRECT(ADDRESS(952,13))+INDIRECT(ADDRESS(955,13))-INDIRECT(ADDRESS(956,13)))</f>
        <v>0</v>
      </c>
      <c r="N957">
        <f>IF(DAY(NOW())&lt;M3,INDIRECT(ADDRESS(957,13))-INDIRECT(ADDRESS(952,14))+INDIRECT(ADDRESS(953,14))-INDIRECT(ADDRESS(956,14)),INDIRECT(ADDRESS(957,13))-INDIRECT(ADDRESS(952,14))+INDIRECT(ADDRESS(955,14))-INDIRECT(ADDRESS(956,14)))</f>
        <v>0</v>
      </c>
      <c r="O957">
        <f>IF(DAY(NOW())&lt;M3,INDIRECT(ADDRESS(957,14))-INDIRECT(ADDRESS(952,15))+INDIRECT(ADDRESS(953,15))-INDIRECT(ADDRESS(956,15)),INDIRECT(ADDRESS(957,14))-INDIRECT(ADDRESS(952,15))+INDIRECT(ADDRESS(955,15))-INDIRECT(ADDRESS(956,15)))</f>
        <v>0</v>
      </c>
      <c r="P957">
        <f>IF(DAY(NOW())&lt;M3,INDIRECT(ADDRESS(957,15))-INDIRECT(ADDRESS(952,16))+INDIRECT(ADDRESS(953,16))-INDIRECT(ADDRESS(956,16)),INDIRECT(ADDRESS(957,15))-INDIRECT(ADDRESS(952,16))+INDIRECT(ADDRESS(955,16))-INDIRECT(ADDRESS(956,16)))</f>
        <v>0</v>
      </c>
      <c r="Q957">
        <f>IF(DAY(NOW())&lt;M3,INDIRECT(ADDRESS(957,16))-INDIRECT(ADDRESS(952,17))+INDIRECT(ADDRESS(953,17))-INDIRECT(ADDRESS(956,17)),INDIRECT(ADDRESS(957,16))-INDIRECT(ADDRESS(952,17))+INDIRECT(ADDRESS(955,17))-INDIRECT(ADDRESS(956,17)))</f>
        <v>0</v>
      </c>
      <c r="R957">
        <f>IF(DAY(NOW())&lt;M3,INDIRECT(ADDRESS(957,17))-INDIRECT(ADDRESS(952,18))+INDIRECT(ADDRESS(953,18))-INDIRECT(ADDRESS(956,18)),INDIRECT(ADDRESS(957,17))-INDIRECT(ADDRESS(952,18))+INDIRECT(ADDRESS(955,18))-INDIRECT(ADDRESS(956,18)))</f>
        <v>0</v>
      </c>
      <c r="S957">
        <f>IF(DAY(NOW())&lt;M3,INDIRECT(ADDRESS(957,18))-INDIRECT(ADDRESS(952,19))+INDIRECT(ADDRESS(953,19))-INDIRECT(ADDRESS(956,19)),INDIRECT(ADDRESS(957,18))-INDIRECT(ADDRESS(952,19))+INDIRECT(ADDRESS(955,19))-INDIRECT(ADDRESS(956,19)))</f>
        <v>0</v>
      </c>
      <c r="T957">
        <f>IF(DAY(NOW())&lt;M3,INDIRECT(ADDRESS(957,19))-INDIRECT(ADDRESS(952,20))+INDIRECT(ADDRESS(953,20))-INDIRECT(ADDRESS(956,20)),INDIRECT(ADDRESS(957,19))-INDIRECT(ADDRESS(952,20))+INDIRECT(ADDRESS(955,20))-INDIRECT(ADDRESS(956,20)))</f>
        <v>0</v>
      </c>
      <c r="U957">
        <f>IF(DAY(NOW())&lt;M3,INDIRECT(ADDRESS(957,20))-INDIRECT(ADDRESS(952,21))+INDIRECT(ADDRESS(953,21))-INDIRECT(ADDRESS(956,21)),INDIRECT(ADDRESS(957,20))-INDIRECT(ADDRESS(952,21))+INDIRECT(ADDRESS(955,21))-INDIRECT(ADDRESS(956,21)))</f>
        <v>0</v>
      </c>
      <c r="V957">
        <f>IF(DAY(NOW())&lt;M3,INDIRECT(ADDRESS(957,21))-INDIRECT(ADDRESS(952,22))+INDIRECT(ADDRESS(953,22))-INDIRECT(ADDRESS(956,22)),INDIRECT(ADDRESS(957,21))-INDIRECT(ADDRESS(952,22))+INDIRECT(ADDRESS(955,22))-INDIRECT(ADDRESS(956,22)))</f>
        <v>0</v>
      </c>
      <c r="W957">
        <f>IF(DAY(NOW())&lt;M3,INDIRECT(ADDRESS(957,22))-INDIRECT(ADDRESS(952,23))+INDIRECT(ADDRESS(953,23))-INDIRECT(ADDRESS(956,23)),INDIRECT(ADDRESS(957,22))-INDIRECT(ADDRESS(952,23))+INDIRECT(ADDRESS(955,23))-INDIRECT(ADDRESS(956,23)))</f>
        <v>0</v>
      </c>
      <c r="X957">
        <f>IF(DAY(NOW())&lt;M3,INDIRECT(ADDRESS(957,23))-INDIRECT(ADDRESS(952,24))+INDIRECT(ADDRESS(953,24))-INDIRECT(ADDRESS(956,24)),INDIRECT(ADDRESS(957,23))-INDIRECT(ADDRESS(952,24))+INDIRECT(ADDRESS(955,24))-INDIRECT(ADDRESS(956,24)))</f>
        <v>0</v>
      </c>
      <c r="Y957">
        <f>IF(DAY(NOW())&lt;M3,INDIRECT(ADDRESS(957,24))-INDIRECT(ADDRESS(952,25))+INDIRECT(ADDRESS(953,25))-INDIRECT(ADDRESS(956,25)),INDIRECT(ADDRESS(957,24))-INDIRECT(ADDRESS(952,25))+INDIRECT(ADDRESS(955,25))-INDIRECT(ADDRESS(956,25)))</f>
        <v>0</v>
      </c>
      <c r="Z957">
        <f>IF(DAY(NOW())&lt;M3,INDIRECT(ADDRESS(957,25))-INDIRECT(ADDRESS(952,26))+INDIRECT(ADDRESS(953,26))-INDIRECT(ADDRESS(956,26)),INDIRECT(ADDRESS(957,25))-INDIRECT(ADDRESS(952,26))+INDIRECT(ADDRESS(955,26))-INDIRECT(ADDRESS(956,26)))</f>
        <v>0</v>
      </c>
      <c r="AA957">
        <f>IF(DAY(NOW())&lt;M3,INDIRECT(ADDRESS(957,26))-INDIRECT(ADDRESS(952,27))+INDIRECT(ADDRESS(953,27))-INDIRECT(ADDRESS(956,27)),INDIRECT(ADDRESS(957,26))-INDIRECT(ADDRESS(952,27))+INDIRECT(ADDRESS(955,27))-INDIRECT(ADDRESS(956,27)))</f>
        <v>0</v>
      </c>
      <c r="AB957">
        <f>IF(DAY(NOW())&lt;M3,INDIRECT(ADDRESS(957,27))-INDIRECT(ADDRESS(952,28))+INDIRECT(ADDRESS(953,28))-INDIRECT(ADDRESS(956,28)),INDIRECT(ADDRESS(957,27))-INDIRECT(ADDRESS(952,28))+INDIRECT(ADDRESS(955,28))-INDIRECT(ADDRESS(956,28)))</f>
        <v>0</v>
      </c>
      <c r="AC957">
        <f>IF(DAY(NOW())&lt;M3,INDIRECT(ADDRESS(957,28))-INDIRECT(ADDRESS(952,29))+INDIRECT(ADDRESS(953,29))-INDIRECT(ADDRESS(956,29)),INDIRECT(ADDRESS(957,28))-INDIRECT(ADDRESS(952,29))+INDIRECT(ADDRESS(955,29))-INDIRECT(ADDRESS(956,29)))</f>
        <v>0</v>
      </c>
      <c r="AD957">
        <f>IF(DAY(NOW())&lt;M3,INDIRECT(ADDRESS(957,29))-INDIRECT(ADDRESS(952,30))+INDIRECT(ADDRESS(953,30))-INDIRECT(ADDRESS(956,30)),INDIRECT(ADDRESS(957,29))-INDIRECT(ADDRESS(952,30))+INDIRECT(ADDRESS(955,30))-INDIRECT(ADDRESS(956,30)))</f>
        <v>0</v>
      </c>
      <c r="AE957">
        <f>IF(DAY(NOW())&lt;M3,INDIRECT(ADDRESS(957,30))-INDIRECT(ADDRESS(952,31))+INDIRECT(ADDRESS(953,31))-INDIRECT(ADDRESS(956,31)),INDIRECT(ADDRESS(957,30))-INDIRECT(ADDRESS(952,31))+INDIRECT(ADDRESS(955,31))-INDIRECT(ADDRESS(956,31)))</f>
        <v>0</v>
      </c>
      <c r="AF957">
        <f>IF(DAY(NOW())&lt;M3,INDIRECT(ADDRESS(957,31))-INDIRECT(ADDRESS(952,32))+INDIRECT(ADDRESS(953,32))-INDIRECT(ADDRESS(956,32)),INDIRECT(ADDRESS(957,31))-INDIRECT(ADDRESS(952,32))+INDIRECT(ADDRESS(955,32))-INDIRECT(ADDRESS(956,32)))</f>
        <v>0</v>
      </c>
      <c r="AG957">
        <f>IF(DAY(NOW())&lt;M3,INDIRECT(ADDRESS(957,32))-INDIRECT(ADDRESS(952,33))+INDIRECT(ADDRESS(953,33))-INDIRECT(ADDRESS(956,33)),INDIRECT(ADDRESS(957,32))-INDIRECT(ADDRESS(952,33))+INDIRECT(ADDRESS(955,33))-INDIRECT(ADDRESS(956,33)))</f>
        <v>0</v>
      </c>
      <c r="AH957">
        <f>IF(DAY(NOW())&lt;M3,INDIRECT(ADDRESS(957,33))-INDIRECT(ADDRESS(952,34))+INDIRECT(ADDRESS(953,34))-INDIRECT(ADDRESS(956,34)),INDIRECT(ADDRESS(957,33))-INDIRECT(ADDRESS(952,34))+INDIRECT(ADDRESS(955,34))-INDIRECT(ADDRESS(956,34)))</f>
        <v>0</v>
      </c>
      <c r="AI957">
        <f>IF(DAY(NOW())&lt;M3,INDIRECT(ADDRESS(957,34))-INDIRECT(ADDRESS(952,35))+INDIRECT(ADDRESS(953,35))-INDIRECT(ADDRESS(956,35)),INDIRECT(ADDRESS(957,34))-INDIRECT(ADDRESS(952,35))+INDIRECT(ADDRESS(955,35))-INDIRECT(ADDRESS(956,35)))</f>
        <v>0</v>
      </c>
      <c r="AJ957">
        <f>IF(DAY(NOW())&lt;M3,INDIRECT(ADDRESS(957,35))-INDIRECT(ADDRESS(952,36))+INDIRECT(ADDRESS(953,36))-INDIRECT(ADDRESS(956,36)),INDIRECT(ADDRESS(957,35))-INDIRECT(ADDRESS(952,36))+INDIRECT(ADDRESS(955,36))-INDIRECT(ADDRESS(956,36)))</f>
        <v>0</v>
      </c>
      <c r="AK957">
        <f>IF(DAY(NOW())&lt;M3,INDIRECT(ADDRESS(957,36))-INDIRECT(ADDRESS(952,37))+INDIRECT(ADDRESS(953,37))-INDIRECT(ADDRESS(956,37)),INDIRECT(ADDRESS(957,36))-INDIRECT(ADDRESS(952,37))+INDIRECT(ADDRESS(955,37))-INDIRECT(ADDRESS(956,37)))</f>
        <v>0</v>
      </c>
      <c r="AL957">
        <f>IF(DAY(NOW())&lt;M3,INDIRECT(ADDRESS(957,37))-INDIRECT(ADDRESS(952,38))+INDIRECT(ADDRESS(953,38))-INDIRECT(ADDRESS(956,38)),INDIRECT(ADDRESS(957,37))-INDIRECT(ADDRESS(952,38))+INDIRECT(ADDRESS(955,38))-INDIRECT(ADDRESS(956,38)))</f>
        <v>0</v>
      </c>
      <c r="AM957">
        <f>IF(DAY(NOW())&lt;M3,INDIRECT(ADDRESS(957,38))-INDIRECT(ADDRESS(952,39))+INDIRECT(ADDRESS(953,39))-INDIRECT(ADDRESS(956,39)),INDIRECT(ADDRESS(957,38))-INDIRECT(ADDRESS(952,39))+INDIRECT(ADDRESS(955,39))-INDIRECT(ADDRESS(956,39)))</f>
        <v>0</v>
      </c>
      <c r="AN957">
        <f>IF(DAY(NOW())&lt;M3,INDIRECT(ADDRESS(957,39))-INDIRECT(ADDRESS(952,40))+INDIRECT(ADDRESS(953,40))-INDIRECT(ADDRESS(956,40)),INDIRECT(ADDRESS(957,39))-INDIRECT(ADDRESS(952,40))+INDIRECT(ADDRESS(955,40))-INDIRECT(ADDRESS(956,40)))</f>
        <v>0</v>
      </c>
      <c r="AO957">
        <f>IF(DAY(NOW())&lt;M3,INDIRECT(ADDRESS(957,40))-INDIRECT(ADDRESS(952,41))+INDIRECT(ADDRESS(953,41))-INDIRECT(ADDRESS(956,41)),INDIRECT(ADDRESS(957,40))-INDIRECT(ADDRESS(952,41))+INDIRECT(ADDRESS(955,41))-INDIRECT(ADDRESS(956,41)))</f>
        <v>0</v>
      </c>
      <c r="AP957">
        <f>IF(DAY(NOW())&lt;M3,INDIRECT(ADDRESS(957,41))-INDIRECT(ADDRESS(952,42))+INDIRECT(ADDRESS(953,42))-INDIRECT(ADDRESS(956,42)),INDIRECT(ADDRESS(957,41))-INDIRECT(ADDRESS(952,42))+INDIRECT(ADDRESS(955,42))-INDIRECT(ADDRESS(956,42)))</f>
        <v>0</v>
      </c>
      <c r="AQ957">
        <f>IF(DAY(NOW())&lt;M3,INDIRECT(ADDRESS(957,42))-INDIRECT(ADDRESS(952,43))+INDIRECT(ADDRESS(953,43))-INDIRECT(ADDRESS(956,43)),INDIRECT(ADDRESS(957,42))-INDIRECT(ADDRESS(952,43))+INDIRECT(ADDRESS(955,43))-INDIRECT(ADDRESS(956,43)))</f>
        <v>0</v>
      </c>
      <c r="AR957">
        <f>IF(DAY(NOW())&lt;M3,INDIRECT(ADDRESS(957,43))-INDIRECT(ADDRESS(952,44))+INDIRECT(ADDRESS(953,44))-INDIRECT(ADDRESS(956,44)),INDIRECT(ADDRESS(957,43))-INDIRECT(ADDRESS(952,44))+INDIRECT(ADDRESS(955,44))-INDIRECT(ADDRESS(956,44)))</f>
        <v>0</v>
      </c>
    </row>
    <row r="958" spans="1:76">
      <c r="A958" t="s">
        <v>31</v>
      </c>
      <c r="B958" t="s">
        <v>414</v>
      </c>
      <c r="C958" t="s">
        <v>415</v>
      </c>
      <c r="D958" t="s">
        <v>17</v>
      </c>
      <c r="E958">
        <v>1</v>
      </c>
      <c r="F958" t="s">
        <v>416</v>
      </c>
      <c r="K958" t="s">
        <v>308</v>
      </c>
      <c r="L958" t="s">
        <v>21</v>
      </c>
      <c r="M958">
        <f>sumifs(BOM!m:m,BOM!A:A,".1",BOM!B:B,"211-184000-000")</f>
        <v>0</v>
      </c>
      <c r="N958">
        <f>sumifs(BOM!n:n,BOM!A:A,".1",BOM!B:B,"211-184000-000")</f>
        <v>0</v>
      </c>
      <c r="O958">
        <f>sumifs(BOM!o:o,BOM!A:A,".1",BOM!B:B,"211-184000-000")</f>
        <v>0</v>
      </c>
      <c r="P958">
        <f>sumifs(BOM!p:p,BOM!A:A,".1",BOM!B:B,"211-184000-000")</f>
        <v>0</v>
      </c>
      <c r="Q958">
        <f>sumifs(BOM!q:q,BOM!A:A,".1",BOM!B:B,"211-184000-000")</f>
        <v>0</v>
      </c>
      <c r="R958">
        <f>sumifs(BOM!r:r,BOM!A:A,".1",BOM!B:B,"211-184000-000")</f>
        <v>0</v>
      </c>
      <c r="S958">
        <f>sumifs(BOM!s:s,BOM!A:A,".1",BOM!B:B,"211-184000-000")</f>
        <v>0</v>
      </c>
      <c r="T958">
        <f>sumifs(BOM!t:t,BOM!A:A,".1",BOM!B:B,"211-184000-000")</f>
        <v>0</v>
      </c>
      <c r="U958">
        <f>sumifs(BOM!u:u,BOM!A:A,".1",BOM!B:B,"211-184000-000")</f>
        <v>0</v>
      </c>
      <c r="V958">
        <f>sumifs(BOM!v:v,BOM!A:A,".1",BOM!B:B,"211-184000-000")</f>
        <v>0</v>
      </c>
      <c r="W958">
        <f>sumifs(BOM!w:w,BOM!A:A,".1",BOM!B:B,"211-184000-000")</f>
        <v>0</v>
      </c>
      <c r="X958">
        <f>sumifs(BOM!x:x,BOM!A:A,".1",BOM!B:B,"211-184000-000")</f>
        <v>0</v>
      </c>
      <c r="Y958">
        <f>sumifs(BOM!y:y,BOM!A:A,".1",BOM!B:B,"211-184000-000")</f>
        <v>0</v>
      </c>
      <c r="Z958">
        <f>sumifs(BOM!z:z,BOM!A:A,".1",BOM!B:B,"211-184000-000")</f>
        <v>0</v>
      </c>
      <c r="AA958">
        <f>sumifs(BOM!aa:aa,BOM!A:A,".1",BOM!B:B,"211-184000-000")</f>
        <v>0</v>
      </c>
      <c r="AB958">
        <f>sumifs(BOM!ab:ab,BOM!A:A,".1",BOM!B:B,"211-184000-000")</f>
        <v>0</v>
      </c>
      <c r="AC958">
        <f>sumifs(BOM!ac:ac,BOM!A:A,".1",BOM!B:B,"211-184000-000")</f>
        <v>0</v>
      </c>
      <c r="AD958">
        <f>sumifs(BOM!ad:ad,BOM!A:A,".1",BOM!B:B,"211-184000-000")</f>
        <v>0</v>
      </c>
      <c r="AE958">
        <f>sumifs(BOM!ae:ae,BOM!A:A,".1",BOM!B:B,"211-184000-000")</f>
        <v>0</v>
      </c>
      <c r="AF958">
        <f>sumifs(BOM!af:af,BOM!A:A,".1",BOM!B:B,"211-184000-000")</f>
        <v>0</v>
      </c>
      <c r="AG958">
        <f>sumifs(BOM!ag:ag,BOM!A:A,".1",BOM!B:B,"211-184000-000")</f>
        <v>0</v>
      </c>
      <c r="AH958">
        <f>sumifs(BOM!ah:ah,BOM!A:A,".1",BOM!B:B,"211-184000-000")</f>
        <v>0</v>
      </c>
      <c r="AI958">
        <f>sumifs(BOM!ai:ai,BOM!A:A,".1",BOM!B:B,"211-184000-000")</f>
        <v>0</v>
      </c>
      <c r="AJ958">
        <f>sumifs(BOM!aj:aj,BOM!A:A,".1",BOM!B:B,"211-184000-000")</f>
        <v>0</v>
      </c>
      <c r="AK958">
        <f>sumifs(BOM!ak:ak,BOM!A:A,".1",BOM!B:B,"211-184000-000")</f>
        <v>0</v>
      </c>
      <c r="AL958">
        <f>sumifs(BOM!al:al,BOM!A:A,".1",BOM!B:B,"211-184000-000")</f>
        <v>0</v>
      </c>
      <c r="AM958">
        <f>sumifs(BOM!am:am,BOM!A:A,".1",BOM!B:B,"211-184000-000")</f>
        <v>0</v>
      </c>
      <c r="AN958">
        <f>sumifs(BOM!an:an,BOM!A:A,".1",BOM!B:B,"211-184000-000")</f>
        <v>0</v>
      </c>
      <c r="AO958">
        <f>sumifs(BOM!ao:ao,BOM!A:A,".1",BOM!B:B,"211-184000-000")</f>
        <v>0</v>
      </c>
      <c r="AP958">
        <f>sumifs(BOM!ap:ap,BOM!A:A,".1",BOM!B:B,"211-184000-000")</f>
        <v>0</v>
      </c>
      <c r="AQ958">
        <f>sumifs(BOM!aq:aq,BOM!A:A,".1",BOM!B:B,"211-184000-000")</f>
        <v>0</v>
      </c>
      <c r="AR958">
        <f>sumifs(BOM!ar:ar,BOM!A:A,".1",BOM!B:B,"211-184000-000")</f>
        <v>0</v>
      </c>
      <c r="BX958">
        <f>sum(j958:an958)</f>
        <v>0</v>
      </c>
    </row>
    <row r="959" spans="1:76">
      <c r="A959" t="s">
        <v>31</v>
      </c>
      <c r="B959" t="s">
        <v>414</v>
      </c>
      <c r="C959" t="s">
        <v>415</v>
      </c>
      <c r="D959" t="s">
        <v>17</v>
      </c>
      <c r="E959">
        <v>1</v>
      </c>
      <c r="F959" t="s">
        <v>416</v>
      </c>
      <c r="K959" t="s">
        <v>308</v>
      </c>
      <c r="L959" t="s">
        <v>37</v>
      </c>
    </row>
    <row r="960" spans="1:76">
      <c r="L960" t="s">
        <v>662</v>
      </c>
    </row>
    <row r="961" spans="1:76">
      <c r="L961" t="s">
        <v>663</v>
      </c>
    </row>
    <row r="962" spans="1:76">
      <c r="L962" t="s">
        <v>664</v>
      </c>
    </row>
    <row r="963" spans="1:76">
      <c r="L963" t="s">
        <v>665</v>
      </c>
      <c r="M963">
        <f>IF(DAY(NOW())&lt;M3,INDIRECT(ADDRESS(963,7))-INDIRECT(ADDRESS(958,13))+INDIRECT(ADDRESS(959,13))-INDIRECT(ADDRESS(962,13)),INDIRECT(ADDRESS(963,7))-INDIRECT(ADDRESS(958,13))+INDIRECT(ADDRESS(961,13))-INDIRECT(ADDRESS(962,13)))</f>
        <v>0</v>
      </c>
      <c r="N963">
        <f>IF(DAY(NOW())&lt;M3,INDIRECT(ADDRESS(963,13))-INDIRECT(ADDRESS(958,14))+INDIRECT(ADDRESS(959,14))-INDIRECT(ADDRESS(962,14)),INDIRECT(ADDRESS(963,13))-INDIRECT(ADDRESS(958,14))+INDIRECT(ADDRESS(961,14))-INDIRECT(ADDRESS(962,14)))</f>
        <v>0</v>
      </c>
      <c r="O963">
        <f>IF(DAY(NOW())&lt;M3,INDIRECT(ADDRESS(963,14))-INDIRECT(ADDRESS(958,15))+INDIRECT(ADDRESS(959,15))-INDIRECT(ADDRESS(962,15)),INDIRECT(ADDRESS(963,14))-INDIRECT(ADDRESS(958,15))+INDIRECT(ADDRESS(961,15))-INDIRECT(ADDRESS(962,15)))</f>
        <v>0</v>
      </c>
      <c r="P963">
        <f>IF(DAY(NOW())&lt;M3,INDIRECT(ADDRESS(963,15))-INDIRECT(ADDRESS(958,16))+INDIRECT(ADDRESS(959,16))-INDIRECT(ADDRESS(962,16)),INDIRECT(ADDRESS(963,15))-INDIRECT(ADDRESS(958,16))+INDIRECT(ADDRESS(961,16))-INDIRECT(ADDRESS(962,16)))</f>
        <v>0</v>
      </c>
      <c r="Q963">
        <f>IF(DAY(NOW())&lt;M3,INDIRECT(ADDRESS(963,16))-INDIRECT(ADDRESS(958,17))+INDIRECT(ADDRESS(959,17))-INDIRECT(ADDRESS(962,17)),INDIRECT(ADDRESS(963,16))-INDIRECT(ADDRESS(958,17))+INDIRECT(ADDRESS(961,17))-INDIRECT(ADDRESS(962,17)))</f>
        <v>0</v>
      </c>
      <c r="R963">
        <f>IF(DAY(NOW())&lt;M3,INDIRECT(ADDRESS(963,17))-INDIRECT(ADDRESS(958,18))+INDIRECT(ADDRESS(959,18))-INDIRECT(ADDRESS(962,18)),INDIRECT(ADDRESS(963,17))-INDIRECT(ADDRESS(958,18))+INDIRECT(ADDRESS(961,18))-INDIRECT(ADDRESS(962,18)))</f>
        <v>0</v>
      </c>
      <c r="S963">
        <f>IF(DAY(NOW())&lt;M3,INDIRECT(ADDRESS(963,18))-INDIRECT(ADDRESS(958,19))+INDIRECT(ADDRESS(959,19))-INDIRECT(ADDRESS(962,19)),INDIRECT(ADDRESS(963,18))-INDIRECT(ADDRESS(958,19))+INDIRECT(ADDRESS(961,19))-INDIRECT(ADDRESS(962,19)))</f>
        <v>0</v>
      </c>
      <c r="T963">
        <f>IF(DAY(NOW())&lt;M3,INDIRECT(ADDRESS(963,19))-INDIRECT(ADDRESS(958,20))+INDIRECT(ADDRESS(959,20))-INDIRECT(ADDRESS(962,20)),INDIRECT(ADDRESS(963,19))-INDIRECT(ADDRESS(958,20))+INDIRECT(ADDRESS(961,20))-INDIRECT(ADDRESS(962,20)))</f>
        <v>0</v>
      </c>
      <c r="U963">
        <f>IF(DAY(NOW())&lt;M3,INDIRECT(ADDRESS(963,20))-INDIRECT(ADDRESS(958,21))+INDIRECT(ADDRESS(959,21))-INDIRECT(ADDRESS(962,21)),INDIRECT(ADDRESS(963,20))-INDIRECT(ADDRESS(958,21))+INDIRECT(ADDRESS(961,21))-INDIRECT(ADDRESS(962,21)))</f>
        <v>0</v>
      </c>
      <c r="V963">
        <f>IF(DAY(NOW())&lt;M3,INDIRECT(ADDRESS(963,21))-INDIRECT(ADDRESS(958,22))+INDIRECT(ADDRESS(959,22))-INDIRECT(ADDRESS(962,22)),INDIRECT(ADDRESS(963,21))-INDIRECT(ADDRESS(958,22))+INDIRECT(ADDRESS(961,22))-INDIRECT(ADDRESS(962,22)))</f>
        <v>0</v>
      </c>
      <c r="W963">
        <f>IF(DAY(NOW())&lt;M3,INDIRECT(ADDRESS(963,22))-INDIRECT(ADDRESS(958,23))+INDIRECT(ADDRESS(959,23))-INDIRECT(ADDRESS(962,23)),INDIRECT(ADDRESS(963,22))-INDIRECT(ADDRESS(958,23))+INDIRECT(ADDRESS(961,23))-INDIRECT(ADDRESS(962,23)))</f>
        <v>0</v>
      </c>
      <c r="X963">
        <f>IF(DAY(NOW())&lt;M3,INDIRECT(ADDRESS(963,23))-INDIRECT(ADDRESS(958,24))+INDIRECT(ADDRESS(959,24))-INDIRECT(ADDRESS(962,24)),INDIRECT(ADDRESS(963,23))-INDIRECT(ADDRESS(958,24))+INDIRECT(ADDRESS(961,24))-INDIRECT(ADDRESS(962,24)))</f>
        <v>0</v>
      </c>
      <c r="Y963">
        <f>IF(DAY(NOW())&lt;M3,INDIRECT(ADDRESS(963,24))-INDIRECT(ADDRESS(958,25))+INDIRECT(ADDRESS(959,25))-INDIRECT(ADDRESS(962,25)),INDIRECT(ADDRESS(963,24))-INDIRECT(ADDRESS(958,25))+INDIRECT(ADDRESS(961,25))-INDIRECT(ADDRESS(962,25)))</f>
        <v>0</v>
      </c>
      <c r="Z963">
        <f>IF(DAY(NOW())&lt;M3,INDIRECT(ADDRESS(963,25))-INDIRECT(ADDRESS(958,26))+INDIRECT(ADDRESS(959,26))-INDIRECT(ADDRESS(962,26)),INDIRECT(ADDRESS(963,25))-INDIRECT(ADDRESS(958,26))+INDIRECT(ADDRESS(961,26))-INDIRECT(ADDRESS(962,26)))</f>
        <v>0</v>
      </c>
      <c r="AA963">
        <f>IF(DAY(NOW())&lt;M3,INDIRECT(ADDRESS(963,26))-INDIRECT(ADDRESS(958,27))+INDIRECT(ADDRESS(959,27))-INDIRECT(ADDRESS(962,27)),INDIRECT(ADDRESS(963,26))-INDIRECT(ADDRESS(958,27))+INDIRECT(ADDRESS(961,27))-INDIRECT(ADDRESS(962,27)))</f>
        <v>0</v>
      </c>
      <c r="AB963">
        <f>IF(DAY(NOW())&lt;M3,INDIRECT(ADDRESS(963,27))-INDIRECT(ADDRESS(958,28))+INDIRECT(ADDRESS(959,28))-INDIRECT(ADDRESS(962,28)),INDIRECT(ADDRESS(963,27))-INDIRECT(ADDRESS(958,28))+INDIRECT(ADDRESS(961,28))-INDIRECT(ADDRESS(962,28)))</f>
        <v>0</v>
      </c>
      <c r="AC963">
        <f>IF(DAY(NOW())&lt;M3,INDIRECT(ADDRESS(963,28))-INDIRECT(ADDRESS(958,29))+INDIRECT(ADDRESS(959,29))-INDIRECT(ADDRESS(962,29)),INDIRECT(ADDRESS(963,28))-INDIRECT(ADDRESS(958,29))+INDIRECT(ADDRESS(961,29))-INDIRECT(ADDRESS(962,29)))</f>
        <v>0</v>
      </c>
      <c r="AD963">
        <f>IF(DAY(NOW())&lt;M3,INDIRECT(ADDRESS(963,29))-INDIRECT(ADDRESS(958,30))+INDIRECT(ADDRESS(959,30))-INDIRECT(ADDRESS(962,30)),INDIRECT(ADDRESS(963,29))-INDIRECT(ADDRESS(958,30))+INDIRECT(ADDRESS(961,30))-INDIRECT(ADDRESS(962,30)))</f>
        <v>0</v>
      </c>
      <c r="AE963">
        <f>IF(DAY(NOW())&lt;M3,INDIRECT(ADDRESS(963,30))-INDIRECT(ADDRESS(958,31))+INDIRECT(ADDRESS(959,31))-INDIRECT(ADDRESS(962,31)),INDIRECT(ADDRESS(963,30))-INDIRECT(ADDRESS(958,31))+INDIRECT(ADDRESS(961,31))-INDIRECT(ADDRESS(962,31)))</f>
        <v>0</v>
      </c>
      <c r="AF963">
        <f>IF(DAY(NOW())&lt;M3,INDIRECT(ADDRESS(963,31))-INDIRECT(ADDRESS(958,32))+INDIRECT(ADDRESS(959,32))-INDIRECT(ADDRESS(962,32)),INDIRECT(ADDRESS(963,31))-INDIRECT(ADDRESS(958,32))+INDIRECT(ADDRESS(961,32))-INDIRECT(ADDRESS(962,32)))</f>
        <v>0</v>
      </c>
      <c r="AG963">
        <f>IF(DAY(NOW())&lt;M3,INDIRECT(ADDRESS(963,32))-INDIRECT(ADDRESS(958,33))+INDIRECT(ADDRESS(959,33))-INDIRECT(ADDRESS(962,33)),INDIRECT(ADDRESS(963,32))-INDIRECT(ADDRESS(958,33))+INDIRECT(ADDRESS(961,33))-INDIRECT(ADDRESS(962,33)))</f>
        <v>0</v>
      </c>
      <c r="AH963">
        <f>IF(DAY(NOW())&lt;M3,INDIRECT(ADDRESS(963,33))-INDIRECT(ADDRESS(958,34))+INDIRECT(ADDRESS(959,34))-INDIRECT(ADDRESS(962,34)),INDIRECT(ADDRESS(963,33))-INDIRECT(ADDRESS(958,34))+INDIRECT(ADDRESS(961,34))-INDIRECT(ADDRESS(962,34)))</f>
        <v>0</v>
      </c>
      <c r="AI963">
        <f>IF(DAY(NOW())&lt;M3,INDIRECT(ADDRESS(963,34))-INDIRECT(ADDRESS(958,35))+INDIRECT(ADDRESS(959,35))-INDIRECT(ADDRESS(962,35)),INDIRECT(ADDRESS(963,34))-INDIRECT(ADDRESS(958,35))+INDIRECT(ADDRESS(961,35))-INDIRECT(ADDRESS(962,35)))</f>
        <v>0</v>
      </c>
      <c r="AJ963">
        <f>IF(DAY(NOW())&lt;M3,INDIRECT(ADDRESS(963,35))-INDIRECT(ADDRESS(958,36))+INDIRECT(ADDRESS(959,36))-INDIRECT(ADDRESS(962,36)),INDIRECT(ADDRESS(963,35))-INDIRECT(ADDRESS(958,36))+INDIRECT(ADDRESS(961,36))-INDIRECT(ADDRESS(962,36)))</f>
        <v>0</v>
      </c>
      <c r="AK963">
        <f>IF(DAY(NOW())&lt;M3,INDIRECT(ADDRESS(963,36))-INDIRECT(ADDRESS(958,37))+INDIRECT(ADDRESS(959,37))-INDIRECT(ADDRESS(962,37)),INDIRECT(ADDRESS(963,36))-INDIRECT(ADDRESS(958,37))+INDIRECT(ADDRESS(961,37))-INDIRECT(ADDRESS(962,37)))</f>
        <v>0</v>
      </c>
      <c r="AL963">
        <f>IF(DAY(NOW())&lt;M3,INDIRECT(ADDRESS(963,37))-INDIRECT(ADDRESS(958,38))+INDIRECT(ADDRESS(959,38))-INDIRECT(ADDRESS(962,38)),INDIRECT(ADDRESS(963,37))-INDIRECT(ADDRESS(958,38))+INDIRECT(ADDRESS(961,38))-INDIRECT(ADDRESS(962,38)))</f>
        <v>0</v>
      </c>
      <c r="AM963">
        <f>IF(DAY(NOW())&lt;M3,INDIRECT(ADDRESS(963,38))-INDIRECT(ADDRESS(958,39))+INDIRECT(ADDRESS(959,39))-INDIRECT(ADDRESS(962,39)),INDIRECT(ADDRESS(963,38))-INDIRECT(ADDRESS(958,39))+INDIRECT(ADDRESS(961,39))-INDIRECT(ADDRESS(962,39)))</f>
        <v>0</v>
      </c>
      <c r="AN963">
        <f>IF(DAY(NOW())&lt;M3,INDIRECT(ADDRESS(963,39))-INDIRECT(ADDRESS(958,40))+INDIRECT(ADDRESS(959,40))-INDIRECT(ADDRESS(962,40)),INDIRECT(ADDRESS(963,39))-INDIRECT(ADDRESS(958,40))+INDIRECT(ADDRESS(961,40))-INDIRECT(ADDRESS(962,40)))</f>
        <v>0</v>
      </c>
      <c r="AO963">
        <f>IF(DAY(NOW())&lt;M3,INDIRECT(ADDRESS(963,40))-INDIRECT(ADDRESS(958,41))+INDIRECT(ADDRESS(959,41))-INDIRECT(ADDRESS(962,41)),INDIRECT(ADDRESS(963,40))-INDIRECT(ADDRESS(958,41))+INDIRECT(ADDRESS(961,41))-INDIRECT(ADDRESS(962,41)))</f>
        <v>0</v>
      </c>
      <c r="AP963">
        <f>IF(DAY(NOW())&lt;M3,INDIRECT(ADDRESS(963,41))-INDIRECT(ADDRESS(958,42))+INDIRECT(ADDRESS(959,42))-INDIRECT(ADDRESS(962,42)),INDIRECT(ADDRESS(963,41))-INDIRECT(ADDRESS(958,42))+INDIRECT(ADDRESS(961,42))-INDIRECT(ADDRESS(962,42)))</f>
        <v>0</v>
      </c>
      <c r="AQ963">
        <f>IF(DAY(NOW())&lt;M3,INDIRECT(ADDRESS(963,42))-INDIRECT(ADDRESS(958,43))+INDIRECT(ADDRESS(959,43))-INDIRECT(ADDRESS(962,43)),INDIRECT(ADDRESS(963,42))-INDIRECT(ADDRESS(958,43))+INDIRECT(ADDRESS(961,43))-INDIRECT(ADDRESS(962,43)))</f>
        <v>0</v>
      </c>
      <c r="AR963">
        <f>IF(DAY(NOW())&lt;M3,INDIRECT(ADDRESS(963,43))-INDIRECT(ADDRESS(958,44))+INDIRECT(ADDRESS(959,44))-INDIRECT(ADDRESS(962,44)),INDIRECT(ADDRESS(963,43))-INDIRECT(ADDRESS(958,44))+INDIRECT(ADDRESS(961,44))-INDIRECT(ADDRESS(962,44)))</f>
        <v>0</v>
      </c>
    </row>
    <row r="964" spans="1:76">
      <c r="A964" t="s">
        <v>14</v>
      </c>
      <c r="B964" t="s">
        <v>251</v>
      </c>
      <c r="C964" t="s">
        <v>252</v>
      </c>
      <c r="D964" t="s">
        <v>304</v>
      </c>
      <c r="E964">
        <v>1</v>
      </c>
      <c r="F964" t="s">
        <v>253</v>
      </c>
      <c r="K964" t="s">
        <v>305</v>
      </c>
      <c r="L964" t="s">
        <v>21</v>
      </c>
      <c r="BX964">
        <f>sum(j964:an964)</f>
        <v>0</v>
      </c>
    </row>
    <row r="965" spans="1:76">
      <c r="A965" t="s">
        <v>14</v>
      </c>
      <c r="B965" t="s">
        <v>251</v>
      </c>
      <c r="C965" t="s">
        <v>252</v>
      </c>
      <c r="D965" t="s">
        <v>304</v>
      </c>
      <c r="E965">
        <v>1</v>
      </c>
      <c r="F965" t="s">
        <v>253</v>
      </c>
      <c r="K965" t="s">
        <v>305</v>
      </c>
      <c r="L965" t="s">
        <v>37</v>
      </c>
    </row>
    <row r="966" spans="1:76">
      <c r="L966" t="s">
        <v>662</v>
      </c>
    </row>
    <row r="967" spans="1:76">
      <c r="L967" t="s">
        <v>663</v>
      </c>
    </row>
    <row r="968" spans="1:76">
      <c r="L968" t="s">
        <v>664</v>
      </c>
    </row>
    <row r="969" spans="1:76">
      <c r="L969" t="s">
        <v>665</v>
      </c>
      <c r="M969">
        <f>IF(DAY(NOW())&lt;M3,INDIRECT(ADDRESS(969,7))-INDIRECT(ADDRESS(964,13))+INDIRECT(ADDRESS(965,13))-INDIRECT(ADDRESS(968,13)),INDIRECT(ADDRESS(969,7))-INDIRECT(ADDRESS(964,13))+INDIRECT(ADDRESS(967,13))-INDIRECT(ADDRESS(968,13)))</f>
        <v>0</v>
      </c>
      <c r="N969">
        <f>IF(DAY(NOW())&lt;M3,INDIRECT(ADDRESS(969,13))-INDIRECT(ADDRESS(964,14))+INDIRECT(ADDRESS(965,14))-INDIRECT(ADDRESS(968,14)),INDIRECT(ADDRESS(969,13))-INDIRECT(ADDRESS(964,14))+INDIRECT(ADDRESS(967,14))-INDIRECT(ADDRESS(968,14)))</f>
        <v>0</v>
      </c>
      <c r="O969">
        <f>IF(DAY(NOW())&lt;M3,INDIRECT(ADDRESS(969,14))-INDIRECT(ADDRESS(964,15))+INDIRECT(ADDRESS(965,15))-INDIRECT(ADDRESS(968,15)),INDIRECT(ADDRESS(969,14))-INDIRECT(ADDRESS(964,15))+INDIRECT(ADDRESS(967,15))-INDIRECT(ADDRESS(968,15)))</f>
        <v>0</v>
      </c>
      <c r="P969">
        <f>IF(DAY(NOW())&lt;M3,INDIRECT(ADDRESS(969,15))-INDIRECT(ADDRESS(964,16))+INDIRECT(ADDRESS(965,16))-INDIRECT(ADDRESS(968,16)),INDIRECT(ADDRESS(969,15))-INDIRECT(ADDRESS(964,16))+INDIRECT(ADDRESS(967,16))-INDIRECT(ADDRESS(968,16)))</f>
        <v>0</v>
      </c>
      <c r="Q969">
        <f>IF(DAY(NOW())&lt;M3,INDIRECT(ADDRESS(969,16))-INDIRECT(ADDRESS(964,17))+INDIRECT(ADDRESS(965,17))-INDIRECT(ADDRESS(968,17)),INDIRECT(ADDRESS(969,16))-INDIRECT(ADDRESS(964,17))+INDIRECT(ADDRESS(967,17))-INDIRECT(ADDRESS(968,17)))</f>
        <v>0</v>
      </c>
      <c r="R969">
        <f>IF(DAY(NOW())&lt;M3,INDIRECT(ADDRESS(969,17))-INDIRECT(ADDRESS(964,18))+INDIRECT(ADDRESS(965,18))-INDIRECT(ADDRESS(968,18)),INDIRECT(ADDRESS(969,17))-INDIRECT(ADDRESS(964,18))+INDIRECT(ADDRESS(967,18))-INDIRECT(ADDRESS(968,18)))</f>
        <v>0</v>
      </c>
      <c r="S969">
        <f>IF(DAY(NOW())&lt;M3,INDIRECT(ADDRESS(969,18))-INDIRECT(ADDRESS(964,19))+INDIRECT(ADDRESS(965,19))-INDIRECT(ADDRESS(968,19)),INDIRECT(ADDRESS(969,18))-INDIRECT(ADDRESS(964,19))+INDIRECT(ADDRESS(967,19))-INDIRECT(ADDRESS(968,19)))</f>
        <v>0</v>
      </c>
      <c r="T969">
        <f>IF(DAY(NOW())&lt;M3,INDIRECT(ADDRESS(969,19))-INDIRECT(ADDRESS(964,20))+INDIRECT(ADDRESS(965,20))-INDIRECT(ADDRESS(968,20)),INDIRECT(ADDRESS(969,19))-INDIRECT(ADDRESS(964,20))+INDIRECT(ADDRESS(967,20))-INDIRECT(ADDRESS(968,20)))</f>
        <v>0</v>
      </c>
      <c r="U969">
        <f>IF(DAY(NOW())&lt;M3,INDIRECT(ADDRESS(969,20))-INDIRECT(ADDRESS(964,21))+INDIRECT(ADDRESS(965,21))-INDIRECT(ADDRESS(968,21)),INDIRECT(ADDRESS(969,20))-INDIRECT(ADDRESS(964,21))+INDIRECT(ADDRESS(967,21))-INDIRECT(ADDRESS(968,21)))</f>
        <v>0</v>
      </c>
      <c r="V969">
        <f>IF(DAY(NOW())&lt;M3,INDIRECT(ADDRESS(969,21))-INDIRECT(ADDRESS(964,22))+INDIRECT(ADDRESS(965,22))-INDIRECT(ADDRESS(968,22)),INDIRECT(ADDRESS(969,21))-INDIRECT(ADDRESS(964,22))+INDIRECT(ADDRESS(967,22))-INDIRECT(ADDRESS(968,22)))</f>
        <v>0</v>
      </c>
      <c r="W969">
        <f>IF(DAY(NOW())&lt;M3,INDIRECT(ADDRESS(969,22))-INDIRECT(ADDRESS(964,23))+INDIRECT(ADDRESS(965,23))-INDIRECT(ADDRESS(968,23)),INDIRECT(ADDRESS(969,22))-INDIRECT(ADDRESS(964,23))+INDIRECT(ADDRESS(967,23))-INDIRECT(ADDRESS(968,23)))</f>
        <v>0</v>
      </c>
      <c r="X969">
        <f>IF(DAY(NOW())&lt;M3,INDIRECT(ADDRESS(969,23))-INDIRECT(ADDRESS(964,24))+INDIRECT(ADDRESS(965,24))-INDIRECT(ADDRESS(968,24)),INDIRECT(ADDRESS(969,23))-INDIRECT(ADDRESS(964,24))+INDIRECT(ADDRESS(967,24))-INDIRECT(ADDRESS(968,24)))</f>
        <v>0</v>
      </c>
      <c r="Y969">
        <f>IF(DAY(NOW())&lt;M3,INDIRECT(ADDRESS(969,24))-INDIRECT(ADDRESS(964,25))+INDIRECT(ADDRESS(965,25))-INDIRECT(ADDRESS(968,25)),INDIRECT(ADDRESS(969,24))-INDIRECT(ADDRESS(964,25))+INDIRECT(ADDRESS(967,25))-INDIRECT(ADDRESS(968,25)))</f>
        <v>0</v>
      </c>
      <c r="Z969">
        <f>IF(DAY(NOW())&lt;M3,INDIRECT(ADDRESS(969,25))-INDIRECT(ADDRESS(964,26))+INDIRECT(ADDRESS(965,26))-INDIRECT(ADDRESS(968,26)),INDIRECT(ADDRESS(969,25))-INDIRECT(ADDRESS(964,26))+INDIRECT(ADDRESS(967,26))-INDIRECT(ADDRESS(968,26)))</f>
        <v>0</v>
      </c>
      <c r="AA969">
        <f>IF(DAY(NOW())&lt;M3,INDIRECT(ADDRESS(969,26))-INDIRECT(ADDRESS(964,27))+INDIRECT(ADDRESS(965,27))-INDIRECT(ADDRESS(968,27)),INDIRECT(ADDRESS(969,26))-INDIRECT(ADDRESS(964,27))+INDIRECT(ADDRESS(967,27))-INDIRECT(ADDRESS(968,27)))</f>
        <v>0</v>
      </c>
      <c r="AB969">
        <f>IF(DAY(NOW())&lt;M3,INDIRECT(ADDRESS(969,27))-INDIRECT(ADDRESS(964,28))+INDIRECT(ADDRESS(965,28))-INDIRECT(ADDRESS(968,28)),INDIRECT(ADDRESS(969,27))-INDIRECT(ADDRESS(964,28))+INDIRECT(ADDRESS(967,28))-INDIRECT(ADDRESS(968,28)))</f>
        <v>0</v>
      </c>
      <c r="AC969">
        <f>IF(DAY(NOW())&lt;M3,INDIRECT(ADDRESS(969,28))-INDIRECT(ADDRESS(964,29))+INDIRECT(ADDRESS(965,29))-INDIRECT(ADDRESS(968,29)),INDIRECT(ADDRESS(969,28))-INDIRECT(ADDRESS(964,29))+INDIRECT(ADDRESS(967,29))-INDIRECT(ADDRESS(968,29)))</f>
        <v>0</v>
      </c>
      <c r="AD969">
        <f>IF(DAY(NOW())&lt;M3,INDIRECT(ADDRESS(969,29))-INDIRECT(ADDRESS(964,30))+INDIRECT(ADDRESS(965,30))-INDIRECT(ADDRESS(968,30)),INDIRECT(ADDRESS(969,29))-INDIRECT(ADDRESS(964,30))+INDIRECT(ADDRESS(967,30))-INDIRECT(ADDRESS(968,30)))</f>
        <v>0</v>
      </c>
      <c r="AE969">
        <f>IF(DAY(NOW())&lt;M3,INDIRECT(ADDRESS(969,30))-INDIRECT(ADDRESS(964,31))+INDIRECT(ADDRESS(965,31))-INDIRECT(ADDRESS(968,31)),INDIRECT(ADDRESS(969,30))-INDIRECT(ADDRESS(964,31))+INDIRECT(ADDRESS(967,31))-INDIRECT(ADDRESS(968,31)))</f>
        <v>0</v>
      </c>
      <c r="AF969">
        <f>IF(DAY(NOW())&lt;M3,INDIRECT(ADDRESS(969,31))-INDIRECT(ADDRESS(964,32))+INDIRECT(ADDRESS(965,32))-INDIRECT(ADDRESS(968,32)),INDIRECT(ADDRESS(969,31))-INDIRECT(ADDRESS(964,32))+INDIRECT(ADDRESS(967,32))-INDIRECT(ADDRESS(968,32)))</f>
        <v>0</v>
      </c>
      <c r="AG969">
        <f>IF(DAY(NOW())&lt;M3,INDIRECT(ADDRESS(969,32))-INDIRECT(ADDRESS(964,33))+INDIRECT(ADDRESS(965,33))-INDIRECT(ADDRESS(968,33)),INDIRECT(ADDRESS(969,32))-INDIRECT(ADDRESS(964,33))+INDIRECT(ADDRESS(967,33))-INDIRECT(ADDRESS(968,33)))</f>
        <v>0</v>
      </c>
      <c r="AH969">
        <f>IF(DAY(NOW())&lt;M3,INDIRECT(ADDRESS(969,33))-INDIRECT(ADDRESS(964,34))+INDIRECT(ADDRESS(965,34))-INDIRECT(ADDRESS(968,34)),INDIRECT(ADDRESS(969,33))-INDIRECT(ADDRESS(964,34))+INDIRECT(ADDRESS(967,34))-INDIRECT(ADDRESS(968,34)))</f>
        <v>0</v>
      </c>
      <c r="AI969">
        <f>IF(DAY(NOW())&lt;M3,INDIRECT(ADDRESS(969,34))-INDIRECT(ADDRESS(964,35))+INDIRECT(ADDRESS(965,35))-INDIRECT(ADDRESS(968,35)),INDIRECT(ADDRESS(969,34))-INDIRECT(ADDRESS(964,35))+INDIRECT(ADDRESS(967,35))-INDIRECT(ADDRESS(968,35)))</f>
        <v>0</v>
      </c>
      <c r="AJ969">
        <f>IF(DAY(NOW())&lt;M3,INDIRECT(ADDRESS(969,35))-INDIRECT(ADDRESS(964,36))+INDIRECT(ADDRESS(965,36))-INDIRECT(ADDRESS(968,36)),INDIRECT(ADDRESS(969,35))-INDIRECT(ADDRESS(964,36))+INDIRECT(ADDRESS(967,36))-INDIRECT(ADDRESS(968,36)))</f>
        <v>0</v>
      </c>
      <c r="AK969">
        <f>IF(DAY(NOW())&lt;M3,INDIRECT(ADDRESS(969,36))-INDIRECT(ADDRESS(964,37))+INDIRECT(ADDRESS(965,37))-INDIRECT(ADDRESS(968,37)),INDIRECT(ADDRESS(969,36))-INDIRECT(ADDRESS(964,37))+INDIRECT(ADDRESS(967,37))-INDIRECT(ADDRESS(968,37)))</f>
        <v>0</v>
      </c>
      <c r="AL969">
        <f>IF(DAY(NOW())&lt;M3,INDIRECT(ADDRESS(969,37))-INDIRECT(ADDRESS(964,38))+INDIRECT(ADDRESS(965,38))-INDIRECT(ADDRESS(968,38)),INDIRECT(ADDRESS(969,37))-INDIRECT(ADDRESS(964,38))+INDIRECT(ADDRESS(967,38))-INDIRECT(ADDRESS(968,38)))</f>
        <v>0</v>
      </c>
      <c r="AM969">
        <f>IF(DAY(NOW())&lt;M3,INDIRECT(ADDRESS(969,38))-INDIRECT(ADDRESS(964,39))+INDIRECT(ADDRESS(965,39))-INDIRECT(ADDRESS(968,39)),INDIRECT(ADDRESS(969,38))-INDIRECT(ADDRESS(964,39))+INDIRECT(ADDRESS(967,39))-INDIRECT(ADDRESS(968,39)))</f>
        <v>0</v>
      </c>
      <c r="AN969">
        <f>IF(DAY(NOW())&lt;M3,INDIRECT(ADDRESS(969,39))-INDIRECT(ADDRESS(964,40))+INDIRECT(ADDRESS(965,40))-INDIRECT(ADDRESS(968,40)),INDIRECT(ADDRESS(969,39))-INDIRECT(ADDRESS(964,40))+INDIRECT(ADDRESS(967,40))-INDIRECT(ADDRESS(968,40)))</f>
        <v>0</v>
      </c>
      <c r="AO969">
        <f>IF(DAY(NOW())&lt;M3,INDIRECT(ADDRESS(969,40))-INDIRECT(ADDRESS(964,41))+INDIRECT(ADDRESS(965,41))-INDIRECT(ADDRESS(968,41)),INDIRECT(ADDRESS(969,40))-INDIRECT(ADDRESS(964,41))+INDIRECT(ADDRESS(967,41))-INDIRECT(ADDRESS(968,41)))</f>
        <v>0</v>
      </c>
      <c r="AP969">
        <f>IF(DAY(NOW())&lt;M3,INDIRECT(ADDRESS(969,41))-INDIRECT(ADDRESS(964,42))+INDIRECT(ADDRESS(965,42))-INDIRECT(ADDRESS(968,42)),INDIRECT(ADDRESS(969,41))-INDIRECT(ADDRESS(964,42))+INDIRECT(ADDRESS(967,42))-INDIRECT(ADDRESS(968,42)))</f>
        <v>0</v>
      </c>
      <c r="AQ969">
        <f>IF(DAY(NOW())&lt;M3,INDIRECT(ADDRESS(969,42))-INDIRECT(ADDRESS(964,43))+INDIRECT(ADDRESS(965,43))-INDIRECT(ADDRESS(968,43)),INDIRECT(ADDRESS(969,42))-INDIRECT(ADDRESS(964,43))+INDIRECT(ADDRESS(967,43))-INDIRECT(ADDRESS(968,43)))</f>
        <v>0</v>
      </c>
      <c r="AR969">
        <f>IF(DAY(NOW())&lt;M3,INDIRECT(ADDRESS(969,43))-INDIRECT(ADDRESS(964,44))+INDIRECT(ADDRESS(965,44))-INDIRECT(ADDRESS(968,44)),INDIRECT(ADDRESS(969,43))-INDIRECT(ADDRESS(964,44))+INDIRECT(ADDRESS(967,44))-INDIRECT(ADDRESS(968,44)))</f>
        <v>0</v>
      </c>
    </row>
    <row r="970" spans="1:76">
      <c r="A970" t="s">
        <v>31</v>
      </c>
      <c r="B970" t="s">
        <v>417</v>
      </c>
      <c r="C970" t="s">
        <v>418</v>
      </c>
      <c r="D970" t="s">
        <v>256</v>
      </c>
      <c r="E970">
        <v>1</v>
      </c>
      <c r="F970" t="s">
        <v>419</v>
      </c>
      <c r="K970" t="s">
        <v>308</v>
      </c>
      <c r="L970" t="s">
        <v>21</v>
      </c>
      <c r="M970">
        <f>sumifs(BOM!m:m,BOM!A:A,".1",BOM!B:B,"212-044500-000")</f>
        <v>0</v>
      </c>
      <c r="N970">
        <f>sumifs(BOM!n:n,BOM!A:A,".1",BOM!B:B,"212-044500-000")</f>
        <v>0</v>
      </c>
      <c r="O970">
        <f>sumifs(BOM!o:o,BOM!A:A,".1",BOM!B:B,"212-044500-000")</f>
        <v>0</v>
      </c>
      <c r="P970">
        <f>sumifs(BOM!p:p,BOM!A:A,".1",BOM!B:B,"212-044500-000")</f>
        <v>0</v>
      </c>
      <c r="Q970">
        <f>sumifs(BOM!q:q,BOM!A:A,".1",BOM!B:B,"212-044500-000")</f>
        <v>0</v>
      </c>
      <c r="R970">
        <f>sumifs(BOM!r:r,BOM!A:A,".1",BOM!B:B,"212-044500-000")</f>
        <v>0</v>
      </c>
      <c r="S970">
        <f>sumifs(BOM!s:s,BOM!A:A,".1",BOM!B:B,"212-044500-000")</f>
        <v>0</v>
      </c>
      <c r="T970">
        <f>sumifs(BOM!t:t,BOM!A:A,".1",BOM!B:B,"212-044500-000")</f>
        <v>0</v>
      </c>
      <c r="U970">
        <f>sumifs(BOM!u:u,BOM!A:A,".1",BOM!B:B,"212-044500-000")</f>
        <v>0</v>
      </c>
      <c r="V970">
        <f>sumifs(BOM!v:v,BOM!A:A,".1",BOM!B:B,"212-044500-000")</f>
        <v>0</v>
      </c>
      <c r="W970">
        <f>sumifs(BOM!w:w,BOM!A:A,".1",BOM!B:B,"212-044500-000")</f>
        <v>0</v>
      </c>
      <c r="X970">
        <f>sumifs(BOM!x:x,BOM!A:A,".1",BOM!B:B,"212-044500-000")</f>
        <v>0</v>
      </c>
      <c r="Y970">
        <f>sumifs(BOM!y:y,BOM!A:A,".1",BOM!B:B,"212-044500-000")</f>
        <v>0</v>
      </c>
      <c r="Z970">
        <f>sumifs(BOM!z:z,BOM!A:A,".1",BOM!B:B,"212-044500-000")</f>
        <v>0</v>
      </c>
      <c r="AA970">
        <f>sumifs(BOM!aa:aa,BOM!A:A,".1",BOM!B:B,"212-044500-000")</f>
        <v>0</v>
      </c>
      <c r="AB970">
        <f>sumifs(BOM!ab:ab,BOM!A:A,".1",BOM!B:B,"212-044500-000")</f>
        <v>0</v>
      </c>
      <c r="AC970">
        <f>sumifs(BOM!ac:ac,BOM!A:A,".1",BOM!B:B,"212-044500-000")</f>
        <v>0</v>
      </c>
      <c r="AD970">
        <f>sumifs(BOM!ad:ad,BOM!A:A,".1",BOM!B:B,"212-044500-000")</f>
        <v>0</v>
      </c>
      <c r="AE970">
        <f>sumifs(BOM!ae:ae,BOM!A:A,".1",BOM!B:B,"212-044500-000")</f>
        <v>0</v>
      </c>
      <c r="AF970">
        <f>sumifs(BOM!af:af,BOM!A:A,".1",BOM!B:B,"212-044500-000")</f>
        <v>0</v>
      </c>
      <c r="AG970">
        <f>sumifs(BOM!ag:ag,BOM!A:A,".1",BOM!B:B,"212-044500-000")</f>
        <v>0</v>
      </c>
      <c r="AH970">
        <f>sumifs(BOM!ah:ah,BOM!A:A,".1",BOM!B:B,"212-044500-000")</f>
        <v>0</v>
      </c>
      <c r="AI970">
        <f>sumifs(BOM!ai:ai,BOM!A:A,".1",BOM!B:B,"212-044500-000")</f>
        <v>0</v>
      </c>
      <c r="AJ970">
        <f>sumifs(BOM!aj:aj,BOM!A:A,".1",BOM!B:B,"212-044500-000")</f>
        <v>0</v>
      </c>
      <c r="AK970">
        <f>sumifs(BOM!ak:ak,BOM!A:A,".1",BOM!B:B,"212-044500-000")</f>
        <v>0</v>
      </c>
      <c r="AL970">
        <f>sumifs(BOM!al:al,BOM!A:A,".1",BOM!B:B,"212-044500-000")</f>
        <v>0</v>
      </c>
      <c r="AM970">
        <f>sumifs(BOM!am:am,BOM!A:A,".1",BOM!B:B,"212-044500-000")</f>
        <v>0</v>
      </c>
      <c r="AN970">
        <f>sumifs(BOM!an:an,BOM!A:A,".1",BOM!B:B,"212-044500-000")</f>
        <v>0</v>
      </c>
      <c r="AO970">
        <f>sumifs(BOM!ao:ao,BOM!A:A,".1",BOM!B:B,"212-044500-000")</f>
        <v>0</v>
      </c>
      <c r="AP970">
        <f>sumifs(BOM!ap:ap,BOM!A:A,".1",BOM!B:B,"212-044500-000")</f>
        <v>0</v>
      </c>
      <c r="AQ970">
        <f>sumifs(BOM!aq:aq,BOM!A:A,".1",BOM!B:B,"212-044500-000")</f>
        <v>0</v>
      </c>
      <c r="AR970">
        <f>sumifs(BOM!ar:ar,BOM!A:A,".1",BOM!B:B,"212-044500-000")</f>
        <v>0</v>
      </c>
      <c r="BX970">
        <f>sum(j970:an970)</f>
        <v>0</v>
      </c>
    </row>
    <row r="971" spans="1:76">
      <c r="A971" t="s">
        <v>31</v>
      </c>
      <c r="B971" t="s">
        <v>417</v>
      </c>
      <c r="C971" t="s">
        <v>418</v>
      </c>
      <c r="D971" t="s">
        <v>256</v>
      </c>
      <c r="E971">
        <v>1</v>
      </c>
      <c r="F971" t="s">
        <v>419</v>
      </c>
      <c r="K971" t="s">
        <v>308</v>
      </c>
      <c r="L971" t="s">
        <v>37</v>
      </c>
    </row>
    <row r="972" spans="1:76">
      <c r="L972" t="s">
        <v>662</v>
      </c>
    </row>
    <row r="973" spans="1:76">
      <c r="L973" t="s">
        <v>663</v>
      </c>
    </row>
    <row r="974" spans="1:76">
      <c r="L974" t="s">
        <v>664</v>
      </c>
    </row>
    <row r="975" spans="1:76">
      <c r="L975" t="s">
        <v>665</v>
      </c>
      <c r="M975">
        <f>IF(DAY(NOW())&lt;M3,INDIRECT(ADDRESS(975,7))-INDIRECT(ADDRESS(970,13))+INDIRECT(ADDRESS(971,13))-INDIRECT(ADDRESS(974,13)),INDIRECT(ADDRESS(975,7))-INDIRECT(ADDRESS(970,13))+INDIRECT(ADDRESS(973,13))-INDIRECT(ADDRESS(974,13)))</f>
        <v>0</v>
      </c>
      <c r="N975">
        <f>IF(DAY(NOW())&lt;M3,INDIRECT(ADDRESS(975,13))-INDIRECT(ADDRESS(970,14))+INDIRECT(ADDRESS(971,14))-INDIRECT(ADDRESS(974,14)),INDIRECT(ADDRESS(975,13))-INDIRECT(ADDRESS(970,14))+INDIRECT(ADDRESS(973,14))-INDIRECT(ADDRESS(974,14)))</f>
        <v>0</v>
      </c>
      <c r="O975">
        <f>IF(DAY(NOW())&lt;M3,INDIRECT(ADDRESS(975,14))-INDIRECT(ADDRESS(970,15))+INDIRECT(ADDRESS(971,15))-INDIRECT(ADDRESS(974,15)),INDIRECT(ADDRESS(975,14))-INDIRECT(ADDRESS(970,15))+INDIRECT(ADDRESS(973,15))-INDIRECT(ADDRESS(974,15)))</f>
        <v>0</v>
      </c>
      <c r="P975">
        <f>IF(DAY(NOW())&lt;M3,INDIRECT(ADDRESS(975,15))-INDIRECT(ADDRESS(970,16))+INDIRECT(ADDRESS(971,16))-INDIRECT(ADDRESS(974,16)),INDIRECT(ADDRESS(975,15))-INDIRECT(ADDRESS(970,16))+INDIRECT(ADDRESS(973,16))-INDIRECT(ADDRESS(974,16)))</f>
        <v>0</v>
      </c>
      <c r="Q975">
        <f>IF(DAY(NOW())&lt;M3,INDIRECT(ADDRESS(975,16))-INDIRECT(ADDRESS(970,17))+INDIRECT(ADDRESS(971,17))-INDIRECT(ADDRESS(974,17)),INDIRECT(ADDRESS(975,16))-INDIRECT(ADDRESS(970,17))+INDIRECT(ADDRESS(973,17))-INDIRECT(ADDRESS(974,17)))</f>
        <v>0</v>
      </c>
      <c r="R975">
        <f>IF(DAY(NOW())&lt;M3,INDIRECT(ADDRESS(975,17))-INDIRECT(ADDRESS(970,18))+INDIRECT(ADDRESS(971,18))-INDIRECT(ADDRESS(974,18)),INDIRECT(ADDRESS(975,17))-INDIRECT(ADDRESS(970,18))+INDIRECT(ADDRESS(973,18))-INDIRECT(ADDRESS(974,18)))</f>
        <v>0</v>
      </c>
      <c r="S975">
        <f>IF(DAY(NOW())&lt;M3,INDIRECT(ADDRESS(975,18))-INDIRECT(ADDRESS(970,19))+INDIRECT(ADDRESS(971,19))-INDIRECT(ADDRESS(974,19)),INDIRECT(ADDRESS(975,18))-INDIRECT(ADDRESS(970,19))+INDIRECT(ADDRESS(973,19))-INDIRECT(ADDRESS(974,19)))</f>
        <v>0</v>
      </c>
      <c r="T975">
        <f>IF(DAY(NOW())&lt;M3,INDIRECT(ADDRESS(975,19))-INDIRECT(ADDRESS(970,20))+INDIRECT(ADDRESS(971,20))-INDIRECT(ADDRESS(974,20)),INDIRECT(ADDRESS(975,19))-INDIRECT(ADDRESS(970,20))+INDIRECT(ADDRESS(973,20))-INDIRECT(ADDRESS(974,20)))</f>
        <v>0</v>
      </c>
      <c r="U975">
        <f>IF(DAY(NOW())&lt;M3,INDIRECT(ADDRESS(975,20))-INDIRECT(ADDRESS(970,21))+INDIRECT(ADDRESS(971,21))-INDIRECT(ADDRESS(974,21)),INDIRECT(ADDRESS(975,20))-INDIRECT(ADDRESS(970,21))+INDIRECT(ADDRESS(973,21))-INDIRECT(ADDRESS(974,21)))</f>
        <v>0</v>
      </c>
      <c r="V975">
        <f>IF(DAY(NOW())&lt;M3,INDIRECT(ADDRESS(975,21))-INDIRECT(ADDRESS(970,22))+INDIRECT(ADDRESS(971,22))-INDIRECT(ADDRESS(974,22)),INDIRECT(ADDRESS(975,21))-INDIRECT(ADDRESS(970,22))+INDIRECT(ADDRESS(973,22))-INDIRECT(ADDRESS(974,22)))</f>
        <v>0</v>
      </c>
      <c r="W975">
        <f>IF(DAY(NOW())&lt;M3,INDIRECT(ADDRESS(975,22))-INDIRECT(ADDRESS(970,23))+INDIRECT(ADDRESS(971,23))-INDIRECT(ADDRESS(974,23)),INDIRECT(ADDRESS(975,22))-INDIRECT(ADDRESS(970,23))+INDIRECT(ADDRESS(973,23))-INDIRECT(ADDRESS(974,23)))</f>
        <v>0</v>
      </c>
      <c r="X975">
        <f>IF(DAY(NOW())&lt;M3,INDIRECT(ADDRESS(975,23))-INDIRECT(ADDRESS(970,24))+INDIRECT(ADDRESS(971,24))-INDIRECT(ADDRESS(974,24)),INDIRECT(ADDRESS(975,23))-INDIRECT(ADDRESS(970,24))+INDIRECT(ADDRESS(973,24))-INDIRECT(ADDRESS(974,24)))</f>
        <v>0</v>
      </c>
      <c r="Y975">
        <f>IF(DAY(NOW())&lt;M3,INDIRECT(ADDRESS(975,24))-INDIRECT(ADDRESS(970,25))+INDIRECT(ADDRESS(971,25))-INDIRECT(ADDRESS(974,25)),INDIRECT(ADDRESS(975,24))-INDIRECT(ADDRESS(970,25))+INDIRECT(ADDRESS(973,25))-INDIRECT(ADDRESS(974,25)))</f>
        <v>0</v>
      </c>
      <c r="Z975">
        <f>IF(DAY(NOW())&lt;M3,INDIRECT(ADDRESS(975,25))-INDIRECT(ADDRESS(970,26))+INDIRECT(ADDRESS(971,26))-INDIRECT(ADDRESS(974,26)),INDIRECT(ADDRESS(975,25))-INDIRECT(ADDRESS(970,26))+INDIRECT(ADDRESS(973,26))-INDIRECT(ADDRESS(974,26)))</f>
        <v>0</v>
      </c>
      <c r="AA975">
        <f>IF(DAY(NOW())&lt;M3,INDIRECT(ADDRESS(975,26))-INDIRECT(ADDRESS(970,27))+INDIRECT(ADDRESS(971,27))-INDIRECT(ADDRESS(974,27)),INDIRECT(ADDRESS(975,26))-INDIRECT(ADDRESS(970,27))+INDIRECT(ADDRESS(973,27))-INDIRECT(ADDRESS(974,27)))</f>
        <v>0</v>
      </c>
      <c r="AB975">
        <f>IF(DAY(NOW())&lt;M3,INDIRECT(ADDRESS(975,27))-INDIRECT(ADDRESS(970,28))+INDIRECT(ADDRESS(971,28))-INDIRECT(ADDRESS(974,28)),INDIRECT(ADDRESS(975,27))-INDIRECT(ADDRESS(970,28))+INDIRECT(ADDRESS(973,28))-INDIRECT(ADDRESS(974,28)))</f>
        <v>0</v>
      </c>
      <c r="AC975">
        <f>IF(DAY(NOW())&lt;M3,INDIRECT(ADDRESS(975,28))-INDIRECT(ADDRESS(970,29))+INDIRECT(ADDRESS(971,29))-INDIRECT(ADDRESS(974,29)),INDIRECT(ADDRESS(975,28))-INDIRECT(ADDRESS(970,29))+INDIRECT(ADDRESS(973,29))-INDIRECT(ADDRESS(974,29)))</f>
        <v>0</v>
      </c>
      <c r="AD975">
        <f>IF(DAY(NOW())&lt;M3,INDIRECT(ADDRESS(975,29))-INDIRECT(ADDRESS(970,30))+INDIRECT(ADDRESS(971,30))-INDIRECT(ADDRESS(974,30)),INDIRECT(ADDRESS(975,29))-INDIRECT(ADDRESS(970,30))+INDIRECT(ADDRESS(973,30))-INDIRECT(ADDRESS(974,30)))</f>
        <v>0</v>
      </c>
      <c r="AE975">
        <f>IF(DAY(NOW())&lt;M3,INDIRECT(ADDRESS(975,30))-INDIRECT(ADDRESS(970,31))+INDIRECT(ADDRESS(971,31))-INDIRECT(ADDRESS(974,31)),INDIRECT(ADDRESS(975,30))-INDIRECT(ADDRESS(970,31))+INDIRECT(ADDRESS(973,31))-INDIRECT(ADDRESS(974,31)))</f>
        <v>0</v>
      </c>
      <c r="AF975">
        <f>IF(DAY(NOW())&lt;M3,INDIRECT(ADDRESS(975,31))-INDIRECT(ADDRESS(970,32))+INDIRECT(ADDRESS(971,32))-INDIRECT(ADDRESS(974,32)),INDIRECT(ADDRESS(975,31))-INDIRECT(ADDRESS(970,32))+INDIRECT(ADDRESS(973,32))-INDIRECT(ADDRESS(974,32)))</f>
        <v>0</v>
      </c>
      <c r="AG975">
        <f>IF(DAY(NOW())&lt;M3,INDIRECT(ADDRESS(975,32))-INDIRECT(ADDRESS(970,33))+INDIRECT(ADDRESS(971,33))-INDIRECT(ADDRESS(974,33)),INDIRECT(ADDRESS(975,32))-INDIRECT(ADDRESS(970,33))+INDIRECT(ADDRESS(973,33))-INDIRECT(ADDRESS(974,33)))</f>
        <v>0</v>
      </c>
      <c r="AH975">
        <f>IF(DAY(NOW())&lt;M3,INDIRECT(ADDRESS(975,33))-INDIRECT(ADDRESS(970,34))+INDIRECT(ADDRESS(971,34))-INDIRECT(ADDRESS(974,34)),INDIRECT(ADDRESS(975,33))-INDIRECT(ADDRESS(970,34))+INDIRECT(ADDRESS(973,34))-INDIRECT(ADDRESS(974,34)))</f>
        <v>0</v>
      </c>
      <c r="AI975">
        <f>IF(DAY(NOW())&lt;M3,INDIRECT(ADDRESS(975,34))-INDIRECT(ADDRESS(970,35))+INDIRECT(ADDRESS(971,35))-INDIRECT(ADDRESS(974,35)),INDIRECT(ADDRESS(975,34))-INDIRECT(ADDRESS(970,35))+INDIRECT(ADDRESS(973,35))-INDIRECT(ADDRESS(974,35)))</f>
        <v>0</v>
      </c>
      <c r="AJ975">
        <f>IF(DAY(NOW())&lt;M3,INDIRECT(ADDRESS(975,35))-INDIRECT(ADDRESS(970,36))+INDIRECT(ADDRESS(971,36))-INDIRECT(ADDRESS(974,36)),INDIRECT(ADDRESS(975,35))-INDIRECT(ADDRESS(970,36))+INDIRECT(ADDRESS(973,36))-INDIRECT(ADDRESS(974,36)))</f>
        <v>0</v>
      </c>
      <c r="AK975">
        <f>IF(DAY(NOW())&lt;M3,INDIRECT(ADDRESS(975,36))-INDIRECT(ADDRESS(970,37))+INDIRECT(ADDRESS(971,37))-INDIRECT(ADDRESS(974,37)),INDIRECT(ADDRESS(975,36))-INDIRECT(ADDRESS(970,37))+INDIRECT(ADDRESS(973,37))-INDIRECT(ADDRESS(974,37)))</f>
        <v>0</v>
      </c>
      <c r="AL975">
        <f>IF(DAY(NOW())&lt;M3,INDIRECT(ADDRESS(975,37))-INDIRECT(ADDRESS(970,38))+INDIRECT(ADDRESS(971,38))-INDIRECT(ADDRESS(974,38)),INDIRECT(ADDRESS(975,37))-INDIRECT(ADDRESS(970,38))+INDIRECT(ADDRESS(973,38))-INDIRECT(ADDRESS(974,38)))</f>
        <v>0</v>
      </c>
      <c r="AM975">
        <f>IF(DAY(NOW())&lt;M3,INDIRECT(ADDRESS(975,38))-INDIRECT(ADDRESS(970,39))+INDIRECT(ADDRESS(971,39))-INDIRECT(ADDRESS(974,39)),INDIRECT(ADDRESS(975,38))-INDIRECT(ADDRESS(970,39))+INDIRECT(ADDRESS(973,39))-INDIRECT(ADDRESS(974,39)))</f>
        <v>0</v>
      </c>
      <c r="AN975">
        <f>IF(DAY(NOW())&lt;M3,INDIRECT(ADDRESS(975,39))-INDIRECT(ADDRESS(970,40))+INDIRECT(ADDRESS(971,40))-INDIRECT(ADDRESS(974,40)),INDIRECT(ADDRESS(975,39))-INDIRECT(ADDRESS(970,40))+INDIRECT(ADDRESS(973,40))-INDIRECT(ADDRESS(974,40)))</f>
        <v>0</v>
      </c>
      <c r="AO975">
        <f>IF(DAY(NOW())&lt;M3,INDIRECT(ADDRESS(975,40))-INDIRECT(ADDRESS(970,41))+INDIRECT(ADDRESS(971,41))-INDIRECT(ADDRESS(974,41)),INDIRECT(ADDRESS(975,40))-INDIRECT(ADDRESS(970,41))+INDIRECT(ADDRESS(973,41))-INDIRECT(ADDRESS(974,41)))</f>
        <v>0</v>
      </c>
      <c r="AP975">
        <f>IF(DAY(NOW())&lt;M3,INDIRECT(ADDRESS(975,41))-INDIRECT(ADDRESS(970,42))+INDIRECT(ADDRESS(971,42))-INDIRECT(ADDRESS(974,42)),INDIRECT(ADDRESS(975,41))-INDIRECT(ADDRESS(970,42))+INDIRECT(ADDRESS(973,42))-INDIRECT(ADDRESS(974,42)))</f>
        <v>0</v>
      </c>
      <c r="AQ975">
        <f>IF(DAY(NOW())&lt;M3,INDIRECT(ADDRESS(975,42))-INDIRECT(ADDRESS(970,43))+INDIRECT(ADDRESS(971,43))-INDIRECT(ADDRESS(974,43)),INDIRECT(ADDRESS(975,42))-INDIRECT(ADDRESS(970,43))+INDIRECT(ADDRESS(973,43))-INDIRECT(ADDRESS(974,43)))</f>
        <v>0</v>
      </c>
      <c r="AR975">
        <f>IF(DAY(NOW())&lt;M3,INDIRECT(ADDRESS(975,43))-INDIRECT(ADDRESS(970,44))+INDIRECT(ADDRESS(971,44))-INDIRECT(ADDRESS(974,44)),INDIRECT(ADDRESS(975,43))-INDIRECT(ADDRESS(970,44))+INDIRECT(ADDRESS(973,44))-INDIRECT(ADDRESS(974,44)))</f>
        <v>0</v>
      </c>
    </row>
    <row r="976" spans="1:76">
      <c r="A976" t="s">
        <v>14</v>
      </c>
      <c r="B976" t="s">
        <v>259</v>
      </c>
      <c r="C976" t="s">
        <v>260</v>
      </c>
      <c r="D976" t="s">
        <v>256</v>
      </c>
      <c r="E976">
        <v>1</v>
      </c>
      <c r="F976" t="s">
        <v>261</v>
      </c>
      <c r="K976" t="s">
        <v>305</v>
      </c>
      <c r="L976" t="s">
        <v>21</v>
      </c>
      <c r="BX976">
        <f>sum(j976:an976)</f>
        <v>0</v>
      </c>
    </row>
    <row r="977" spans="1:76">
      <c r="A977" t="s">
        <v>14</v>
      </c>
      <c r="B977" t="s">
        <v>259</v>
      </c>
      <c r="C977" t="s">
        <v>260</v>
      </c>
      <c r="D977" t="s">
        <v>256</v>
      </c>
      <c r="E977">
        <v>1</v>
      </c>
      <c r="F977" t="s">
        <v>261</v>
      </c>
      <c r="K977" t="s">
        <v>305</v>
      </c>
      <c r="L977" t="s">
        <v>37</v>
      </c>
    </row>
    <row r="978" spans="1:76">
      <c r="L978" t="s">
        <v>662</v>
      </c>
    </row>
    <row r="979" spans="1:76">
      <c r="L979" t="s">
        <v>663</v>
      </c>
    </row>
    <row r="980" spans="1:76">
      <c r="L980" t="s">
        <v>664</v>
      </c>
    </row>
    <row r="981" spans="1:76">
      <c r="L981" t="s">
        <v>665</v>
      </c>
      <c r="M981">
        <f>IF(DAY(NOW())&lt;M3,INDIRECT(ADDRESS(981,7))-INDIRECT(ADDRESS(976,13))+INDIRECT(ADDRESS(977,13))-INDIRECT(ADDRESS(980,13)),INDIRECT(ADDRESS(981,7))-INDIRECT(ADDRESS(976,13))+INDIRECT(ADDRESS(979,13))-INDIRECT(ADDRESS(980,13)))</f>
        <v>0</v>
      </c>
      <c r="N981">
        <f>IF(DAY(NOW())&lt;M3,INDIRECT(ADDRESS(981,13))-INDIRECT(ADDRESS(976,14))+INDIRECT(ADDRESS(977,14))-INDIRECT(ADDRESS(980,14)),INDIRECT(ADDRESS(981,13))-INDIRECT(ADDRESS(976,14))+INDIRECT(ADDRESS(979,14))-INDIRECT(ADDRESS(980,14)))</f>
        <v>0</v>
      </c>
      <c r="O981">
        <f>IF(DAY(NOW())&lt;M3,INDIRECT(ADDRESS(981,14))-INDIRECT(ADDRESS(976,15))+INDIRECT(ADDRESS(977,15))-INDIRECT(ADDRESS(980,15)),INDIRECT(ADDRESS(981,14))-INDIRECT(ADDRESS(976,15))+INDIRECT(ADDRESS(979,15))-INDIRECT(ADDRESS(980,15)))</f>
        <v>0</v>
      </c>
      <c r="P981">
        <f>IF(DAY(NOW())&lt;M3,INDIRECT(ADDRESS(981,15))-INDIRECT(ADDRESS(976,16))+INDIRECT(ADDRESS(977,16))-INDIRECT(ADDRESS(980,16)),INDIRECT(ADDRESS(981,15))-INDIRECT(ADDRESS(976,16))+INDIRECT(ADDRESS(979,16))-INDIRECT(ADDRESS(980,16)))</f>
        <v>0</v>
      </c>
      <c r="Q981">
        <f>IF(DAY(NOW())&lt;M3,INDIRECT(ADDRESS(981,16))-INDIRECT(ADDRESS(976,17))+INDIRECT(ADDRESS(977,17))-INDIRECT(ADDRESS(980,17)),INDIRECT(ADDRESS(981,16))-INDIRECT(ADDRESS(976,17))+INDIRECT(ADDRESS(979,17))-INDIRECT(ADDRESS(980,17)))</f>
        <v>0</v>
      </c>
      <c r="R981">
        <f>IF(DAY(NOW())&lt;M3,INDIRECT(ADDRESS(981,17))-INDIRECT(ADDRESS(976,18))+INDIRECT(ADDRESS(977,18))-INDIRECT(ADDRESS(980,18)),INDIRECT(ADDRESS(981,17))-INDIRECT(ADDRESS(976,18))+INDIRECT(ADDRESS(979,18))-INDIRECT(ADDRESS(980,18)))</f>
        <v>0</v>
      </c>
      <c r="S981">
        <f>IF(DAY(NOW())&lt;M3,INDIRECT(ADDRESS(981,18))-INDIRECT(ADDRESS(976,19))+INDIRECT(ADDRESS(977,19))-INDIRECT(ADDRESS(980,19)),INDIRECT(ADDRESS(981,18))-INDIRECT(ADDRESS(976,19))+INDIRECT(ADDRESS(979,19))-INDIRECT(ADDRESS(980,19)))</f>
        <v>0</v>
      </c>
      <c r="T981">
        <f>IF(DAY(NOW())&lt;M3,INDIRECT(ADDRESS(981,19))-INDIRECT(ADDRESS(976,20))+INDIRECT(ADDRESS(977,20))-INDIRECT(ADDRESS(980,20)),INDIRECT(ADDRESS(981,19))-INDIRECT(ADDRESS(976,20))+INDIRECT(ADDRESS(979,20))-INDIRECT(ADDRESS(980,20)))</f>
        <v>0</v>
      </c>
      <c r="U981">
        <f>IF(DAY(NOW())&lt;M3,INDIRECT(ADDRESS(981,20))-INDIRECT(ADDRESS(976,21))+INDIRECT(ADDRESS(977,21))-INDIRECT(ADDRESS(980,21)),INDIRECT(ADDRESS(981,20))-INDIRECT(ADDRESS(976,21))+INDIRECT(ADDRESS(979,21))-INDIRECT(ADDRESS(980,21)))</f>
        <v>0</v>
      </c>
      <c r="V981">
        <f>IF(DAY(NOW())&lt;M3,INDIRECT(ADDRESS(981,21))-INDIRECT(ADDRESS(976,22))+INDIRECT(ADDRESS(977,22))-INDIRECT(ADDRESS(980,22)),INDIRECT(ADDRESS(981,21))-INDIRECT(ADDRESS(976,22))+INDIRECT(ADDRESS(979,22))-INDIRECT(ADDRESS(980,22)))</f>
        <v>0</v>
      </c>
      <c r="W981">
        <f>IF(DAY(NOW())&lt;M3,INDIRECT(ADDRESS(981,22))-INDIRECT(ADDRESS(976,23))+INDIRECT(ADDRESS(977,23))-INDIRECT(ADDRESS(980,23)),INDIRECT(ADDRESS(981,22))-INDIRECT(ADDRESS(976,23))+INDIRECT(ADDRESS(979,23))-INDIRECT(ADDRESS(980,23)))</f>
        <v>0</v>
      </c>
      <c r="X981">
        <f>IF(DAY(NOW())&lt;M3,INDIRECT(ADDRESS(981,23))-INDIRECT(ADDRESS(976,24))+INDIRECT(ADDRESS(977,24))-INDIRECT(ADDRESS(980,24)),INDIRECT(ADDRESS(981,23))-INDIRECT(ADDRESS(976,24))+INDIRECT(ADDRESS(979,24))-INDIRECT(ADDRESS(980,24)))</f>
        <v>0</v>
      </c>
      <c r="Y981">
        <f>IF(DAY(NOW())&lt;M3,INDIRECT(ADDRESS(981,24))-INDIRECT(ADDRESS(976,25))+INDIRECT(ADDRESS(977,25))-INDIRECT(ADDRESS(980,25)),INDIRECT(ADDRESS(981,24))-INDIRECT(ADDRESS(976,25))+INDIRECT(ADDRESS(979,25))-INDIRECT(ADDRESS(980,25)))</f>
        <v>0</v>
      </c>
      <c r="Z981">
        <f>IF(DAY(NOW())&lt;M3,INDIRECT(ADDRESS(981,25))-INDIRECT(ADDRESS(976,26))+INDIRECT(ADDRESS(977,26))-INDIRECT(ADDRESS(980,26)),INDIRECT(ADDRESS(981,25))-INDIRECT(ADDRESS(976,26))+INDIRECT(ADDRESS(979,26))-INDIRECT(ADDRESS(980,26)))</f>
        <v>0</v>
      </c>
      <c r="AA981">
        <f>IF(DAY(NOW())&lt;M3,INDIRECT(ADDRESS(981,26))-INDIRECT(ADDRESS(976,27))+INDIRECT(ADDRESS(977,27))-INDIRECT(ADDRESS(980,27)),INDIRECT(ADDRESS(981,26))-INDIRECT(ADDRESS(976,27))+INDIRECT(ADDRESS(979,27))-INDIRECT(ADDRESS(980,27)))</f>
        <v>0</v>
      </c>
      <c r="AB981">
        <f>IF(DAY(NOW())&lt;M3,INDIRECT(ADDRESS(981,27))-INDIRECT(ADDRESS(976,28))+INDIRECT(ADDRESS(977,28))-INDIRECT(ADDRESS(980,28)),INDIRECT(ADDRESS(981,27))-INDIRECT(ADDRESS(976,28))+INDIRECT(ADDRESS(979,28))-INDIRECT(ADDRESS(980,28)))</f>
        <v>0</v>
      </c>
      <c r="AC981">
        <f>IF(DAY(NOW())&lt;M3,INDIRECT(ADDRESS(981,28))-INDIRECT(ADDRESS(976,29))+INDIRECT(ADDRESS(977,29))-INDIRECT(ADDRESS(980,29)),INDIRECT(ADDRESS(981,28))-INDIRECT(ADDRESS(976,29))+INDIRECT(ADDRESS(979,29))-INDIRECT(ADDRESS(980,29)))</f>
        <v>0</v>
      </c>
      <c r="AD981">
        <f>IF(DAY(NOW())&lt;M3,INDIRECT(ADDRESS(981,29))-INDIRECT(ADDRESS(976,30))+INDIRECT(ADDRESS(977,30))-INDIRECT(ADDRESS(980,30)),INDIRECT(ADDRESS(981,29))-INDIRECT(ADDRESS(976,30))+INDIRECT(ADDRESS(979,30))-INDIRECT(ADDRESS(980,30)))</f>
        <v>0</v>
      </c>
      <c r="AE981">
        <f>IF(DAY(NOW())&lt;M3,INDIRECT(ADDRESS(981,30))-INDIRECT(ADDRESS(976,31))+INDIRECT(ADDRESS(977,31))-INDIRECT(ADDRESS(980,31)),INDIRECT(ADDRESS(981,30))-INDIRECT(ADDRESS(976,31))+INDIRECT(ADDRESS(979,31))-INDIRECT(ADDRESS(980,31)))</f>
        <v>0</v>
      </c>
      <c r="AF981">
        <f>IF(DAY(NOW())&lt;M3,INDIRECT(ADDRESS(981,31))-INDIRECT(ADDRESS(976,32))+INDIRECT(ADDRESS(977,32))-INDIRECT(ADDRESS(980,32)),INDIRECT(ADDRESS(981,31))-INDIRECT(ADDRESS(976,32))+INDIRECT(ADDRESS(979,32))-INDIRECT(ADDRESS(980,32)))</f>
        <v>0</v>
      </c>
      <c r="AG981">
        <f>IF(DAY(NOW())&lt;M3,INDIRECT(ADDRESS(981,32))-INDIRECT(ADDRESS(976,33))+INDIRECT(ADDRESS(977,33))-INDIRECT(ADDRESS(980,33)),INDIRECT(ADDRESS(981,32))-INDIRECT(ADDRESS(976,33))+INDIRECT(ADDRESS(979,33))-INDIRECT(ADDRESS(980,33)))</f>
        <v>0</v>
      </c>
      <c r="AH981">
        <f>IF(DAY(NOW())&lt;M3,INDIRECT(ADDRESS(981,33))-INDIRECT(ADDRESS(976,34))+INDIRECT(ADDRESS(977,34))-INDIRECT(ADDRESS(980,34)),INDIRECT(ADDRESS(981,33))-INDIRECT(ADDRESS(976,34))+INDIRECT(ADDRESS(979,34))-INDIRECT(ADDRESS(980,34)))</f>
        <v>0</v>
      </c>
      <c r="AI981">
        <f>IF(DAY(NOW())&lt;M3,INDIRECT(ADDRESS(981,34))-INDIRECT(ADDRESS(976,35))+INDIRECT(ADDRESS(977,35))-INDIRECT(ADDRESS(980,35)),INDIRECT(ADDRESS(981,34))-INDIRECT(ADDRESS(976,35))+INDIRECT(ADDRESS(979,35))-INDIRECT(ADDRESS(980,35)))</f>
        <v>0</v>
      </c>
      <c r="AJ981">
        <f>IF(DAY(NOW())&lt;M3,INDIRECT(ADDRESS(981,35))-INDIRECT(ADDRESS(976,36))+INDIRECT(ADDRESS(977,36))-INDIRECT(ADDRESS(980,36)),INDIRECT(ADDRESS(981,35))-INDIRECT(ADDRESS(976,36))+INDIRECT(ADDRESS(979,36))-INDIRECT(ADDRESS(980,36)))</f>
        <v>0</v>
      </c>
      <c r="AK981">
        <f>IF(DAY(NOW())&lt;M3,INDIRECT(ADDRESS(981,36))-INDIRECT(ADDRESS(976,37))+INDIRECT(ADDRESS(977,37))-INDIRECT(ADDRESS(980,37)),INDIRECT(ADDRESS(981,36))-INDIRECT(ADDRESS(976,37))+INDIRECT(ADDRESS(979,37))-INDIRECT(ADDRESS(980,37)))</f>
        <v>0</v>
      </c>
      <c r="AL981">
        <f>IF(DAY(NOW())&lt;M3,INDIRECT(ADDRESS(981,37))-INDIRECT(ADDRESS(976,38))+INDIRECT(ADDRESS(977,38))-INDIRECT(ADDRESS(980,38)),INDIRECT(ADDRESS(981,37))-INDIRECT(ADDRESS(976,38))+INDIRECT(ADDRESS(979,38))-INDIRECT(ADDRESS(980,38)))</f>
        <v>0</v>
      </c>
      <c r="AM981">
        <f>IF(DAY(NOW())&lt;M3,INDIRECT(ADDRESS(981,38))-INDIRECT(ADDRESS(976,39))+INDIRECT(ADDRESS(977,39))-INDIRECT(ADDRESS(980,39)),INDIRECT(ADDRESS(981,38))-INDIRECT(ADDRESS(976,39))+INDIRECT(ADDRESS(979,39))-INDIRECT(ADDRESS(980,39)))</f>
        <v>0</v>
      </c>
      <c r="AN981">
        <f>IF(DAY(NOW())&lt;M3,INDIRECT(ADDRESS(981,39))-INDIRECT(ADDRESS(976,40))+INDIRECT(ADDRESS(977,40))-INDIRECT(ADDRESS(980,40)),INDIRECT(ADDRESS(981,39))-INDIRECT(ADDRESS(976,40))+INDIRECT(ADDRESS(979,40))-INDIRECT(ADDRESS(980,40)))</f>
        <v>0</v>
      </c>
      <c r="AO981">
        <f>IF(DAY(NOW())&lt;M3,INDIRECT(ADDRESS(981,40))-INDIRECT(ADDRESS(976,41))+INDIRECT(ADDRESS(977,41))-INDIRECT(ADDRESS(980,41)),INDIRECT(ADDRESS(981,40))-INDIRECT(ADDRESS(976,41))+INDIRECT(ADDRESS(979,41))-INDIRECT(ADDRESS(980,41)))</f>
        <v>0</v>
      </c>
      <c r="AP981">
        <f>IF(DAY(NOW())&lt;M3,INDIRECT(ADDRESS(981,41))-INDIRECT(ADDRESS(976,42))+INDIRECT(ADDRESS(977,42))-INDIRECT(ADDRESS(980,42)),INDIRECT(ADDRESS(981,41))-INDIRECT(ADDRESS(976,42))+INDIRECT(ADDRESS(979,42))-INDIRECT(ADDRESS(980,42)))</f>
        <v>0</v>
      </c>
      <c r="AQ981">
        <f>IF(DAY(NOW())&lt;M3,INDIRECT(ADDRESS(981,42))-INDIRECT(ADDRESS(976,43))+INDIRECT(ADDRESS(977,43))-INDIRECT(ADDRESS(980,43)),INDIRECT(ADDRESS(981,42))-INDIRECT(ADDRESS(976,43))+INDIRECT(ADDRESS(979,43))-INDIRECT(ADDRESS(980,43)))</f>
        <v>0</v>
      </c>
      <c r="AR981">
        <f>IF(DAY(NOW())&lt;M3,INDIRECT(ADDRESS(981,43))-INDIRECT(ADDRESS(976,44))+INDIRECT(ADDRESS(977,44))-INDIRECT(ADDRESS(980,44)),INDIRECT(ADDRESS(981,43))-INDIRECT(ADDRESS(976,44))+INDIRECT(ADDRESS(979,44))-INDIRECT(ADDRESS(980,44)))</f>
        <v>0</v>
      </c>
    </row>
    <row r="982" spans="1:76">
      <c r="A982" t="s">
        <v>31</v>
      </c>
      <c r="B982" t="s">
        <v>420</v>
      </c>
      <c r="C982" t="s">
        <v>421</v>
      </c>
      <c r="D982" t="s">
        <v>17</v>
      </c>
      <c r="E982">
        <v>1</v>
      </c>
      <c r="F982" t="s">
        <v>422</v>
      </c>
      <c r="K982" t="s">
        <v>308</v>
      </c>
      <c r="L982" t="s">
        <v>21</v>
      </c>
      <c r="M982">
        <f>sumifs(BOM!m:m,BOM!A:A,".1",BOM!B:B,"212-045100-000")</f>
        <v>0</v>
      </c>
      <c r="N982">
        <f>sumifs(BOM!n:n,BOM!A:A,".1",BOM!B:B,"212-045100-000")</f>
        <v>0</v>
      </c>
      <c r="O982">
        <f>sumifs(BOM!o:o,BOM!A:A,".1",BOM!B:B,"212-045100-000")</f>
        <v>0</v>
      </c>
      <c r="P982">
        <f>sumifs(BOM!p:p,BOM!A:A,".1",BOM!B:B,"212-045100-000")</f>
        <v>0</v>
      </c>
      <c r="Q982">
        <f>sumifs(BOM!q:q,BOM!A:A,".1",BOM!B:B,"212-045100-000")</f>
        <v>0</v>
      </c>
      <c r="R982">
        <f>sumifs(BOM!r:r,BOM!A:A,".1",BOM!B:B,"212-045100-000")</f>
        <v>0</v>
      </c>
      <c r="S982">
        <f>sumifs(BOM!s:s,BOM!A:A,".1",BOM!B:B,"212-045100-000")</f>
        <v>0</v>
      </c>
      <c r="T982">
        <f>sumifs(BOM!t:t,BOM!A:A,".1",BOM!B:B,"212-045100-000")</f>
        <v>0</v>
      </c>
      <c r="U982">
        <f>sumifs(BOM!u:u,BOM!A:A,".1",BOM!B:B,"212-045100-000")</f>
        <v>0</v>
      </c>
      <c r="V982">
        <f>sumifs(BOM!v:v,BOM!A:A,".1",BOM!B:B,"212-045100-000")</f>
        <v>0</v>
      </c>
      <c r="W982">
        <f>sumifs(BOM!w:w,BOM!A:A,".1",BOM!B:B,"212-045100-000")</f>
        <v>0</v>
      </c>
      <c r="X982">
        <f>sumifs(BOM!x:x,BOM!A:A,".1",BOM!B:B,"212-045100-000")</f>
        <v>0</v>
      </c>
      <c r="Y982">
        <f>sumifs(BOM!y:y,BOM!A:A,".1",BOM!B:B,"212-045100-000")</f>
        <v>0</v>
      </c>
      <c r="Z982">
        <f>sumifs(BOM!z:z,BOM!A:A,".1",BOM!B:B,"212-045100-000")</f>
        <v>0</v>
      </c>
      <c r="AA982">
        <f>sumifs(BOM!aa:aa,BOM!A:A,".1",BOM!B:B,"212-045100-000")</f>
        <v>0</v>
      </c>
      <c r="AB982">
        <f>sumifs(BOM!ab:ab,BOM!A:A,".1",BOM!B:B,"212-045100-000")</f>
        <v>0</v>
      </c>
      <c r="AC982">
        <f>sumifs(BOM!ac:ac,BOM!A:A,".1",BOM!B:B,"212-045100-000")</f>
        <v>0</v>
      </c>
      <c r="AD982">
        <f>sumifs(BOM!ad:ad,BOM!A:A,".1",BOM!B:B,"212-045100-000")</f>
        <v>0</v>
      </c>
      <c r="AE982">
        <f>sumifs(BOM!ae:ae,BOM!A:A,".1",BOM!B:B,"212-045100-000")</f>
        <v>0</v>
      </c>
      <c r="AF982">
        <f>sumifs(BOM!af:af,BOM!A:A,".1",BOM!B:B,"212-045100-000")</f>
        <v>0</v>
      </c>
      <c r="AG982">
        <f>sumifs(BOM!ag:ag,BOM!A:A,".1",BOM!B:B,"212-045100-000")</f>
        <v>0</v>
      </c>
      <c r="AH982">
        <f>sumifs(BOM!ah:ah,BOM!A:A,".1",BOM!B:B,"212-045100-000")</f>
        <v>0</v>
      </c>
      <c r="AI982">
        <f>sumifs(BOM!ai:ai,BOM!A:A,".1",BOM!B:B,"212-045100-000")</f>
        <v>0</v>
      </c>
      <c r="AJ982">
        <f>sumifs(BOM!aj:aj,BOM!A:A,".1",BOM!B:B,"212-045100-000")</f>
        <v>0</v>
      </c>
      <c r="AK982">
        <f>sumifs(BOM!ak:ak,BOM!A:A,".1",BOM!B:B,"212-045100-000")</f>
        <v>0</v>
      </c>
      <c r="AL982">
        <f>sumifs(BOM!al:al,BOM!A:A,".1",BOM!B:B,"212-045100-000")</f>
        <v>0</v>
      </c>
      <c r="AM982">
        <f>sumifs(BOM!am:am,BOM!A:A,".1",BOM!B:B,"212-045100-000")</f>
        <v>0</v>
      </c>
      <c r="AN982">
        <f>sumifs(BOM!an:an,BOM!A:A,".1",BOM!B:B,"212-045100-000")</f>
        <v>0</v>
      </c>
      <c r="AO982">
        <f>sumifs(BOM!ao:ao,BOM!A:A,".1",BOM!B:B,"212-045100-000")</f>
        <v>0</v>
      </c>
      <c r="AP982">
        <f>sumifs(BOM!ap:ap,BOM!A:A,".1",BOM!B:B,"212-045100-000")</f>
        <v>0</v>
      </c>
      <c r="AQ982">
        <f>sumifs(BOM!aq:aq,BOM!A:A,".1",BOM!B:B,"212-045100-000")</f>
        <v>0</v>
      </c>
      <c r="AR982">
        <f>sumifs(BOM!ar:ar,BOM!A:A,".1",BOM!B:B,"212-045100-000")</f>
        <v>0</v>
      </c>
      <c r="BX982">
        <f>sum(j982:an982)</f>
        <v>0</v>
      </c>
    </row>
    <row r="983" spans="1:76">
      <c r="A983" t="s">
        <v>31</v>
      </c>
      <c r="B983" t="s">
        <v>420</v>
      </c>
      <c r="C983" t="s">
        <v>421</v>
      </c>
      <c r="D983" t="s">
        <v>17</v>
      </c>
      <c r="E983">
        <v>1</v>
      </c>
      <c r="F983" t="s">
        <v>422</v>
      </c>
      <c r="K983" t="s">
        <v>308</v>
      </c>
      <c r="L983" t="s">
        <v>37</v>
      </c>
    </row>
    <row r="984" spans="1:76">
      <c r="L984" t="s">
        <v>662</v>
      </c>
    </row>
    <row r="985" spans="1:76">
      <c r="L985" t="s">
        <v>663</v>
      </c>
    </row>
    <row r="986" spans="1:76">
      <c r="L986" t="s">
        <v>664</v>
      </c>
    </row>
    <row r="987" spans="1:76">
      <c r="L987" t="s">
        <v>665</v>
      </c>
      <c r="M987">
        <f>IF(DAY(NOW())&lt;M3,INDIRECT(ADDRESS(987,7))-INDIRECT(ADDRESS(982,13))+INDIRECT(ADDRESS(983,13))-INDIRECT(ADDRESS(986,13)),INDIRECT(ADDRESS(987,7))-INDIRECT(ADDRESS(982,13))+INDIRECT(ADDRESS(985,13))-INDIRECT(ADDRESS(986,13)))</f>
        <v>0</v>
      </c>
      <c r="N987">
        <f>IF(DAY(NOW())&lt;M3,INDIRECT(ADDRESS(987,13))-INDIRECT(ADDRESS(982,14))+INDIRECT(ADDRESS(983,14))-INDIRECT(ADDRESS(986,14)),INDIRECT(ADDRESS(987,13))-INDIRECT(ADDRESS(982,14))+INDIRECT(ADDRESS(985,14))-INDIRECT(ADDRESS(986,14)))</f>
        <v>0</v>
      </c>
      <c r="O987">
        <f>IF(DAY(NOW())&lt;M3,INDIRECT(ADDRESS(987,14))-INDIRECT(ADDRESS(982,15))+INDIRECT(ADDRESS(983,15))-INDIRECT(ADDRESS(986,15)),INDIRECT(ADDRESS(987,14))-INDIRECT(ADDRESS(982,15))+INDIRECT(ADDRESS(985,15))-INDIRECT(ADDRESS(986,15)))</f>
        <v>0</v>
      </c>
      <c r="P987">
        <f>IF(DAY(NOW())&lt;M3,INDIRECT(ADDRESS(987,15))-INDIRECT(ADDRESS(982,16))+INDIRECT(ADDRESS(983,16))-INDIRECT(ADDRESS(986,16)),INDIRECT(ADDRESS(987,15))-INDIRECT(ADDRESS(982,16))+INDIRECT(ADDRESS(985,16))-INDIRECT(ADDRESS(986,16)))</f>
        <v>0</v>
      </c>
      <c r="Q987">
        <f>IF(DAY(NOW())&lt;M3,INDIRECT(ADDRESS(987,16))-INDIRECT(ADDRESS(982,17))+INDIRECT(ADDRESS(983,17))-INDIRECT(ADDRESS(986,17)),INDIRECT(ADDRESS(987,16))-INDIRECT(ADDRESS(982,17))+INDIRECT(ADDRESS(985,17))-INDIRECT(ADDRESS(986,17)))</f>
        <v>0</v>
      </c>
      <c r="R987">
        <f>IF(DAY(NOW())&lt;M3,INDIRECT(ADDRESS(987,17))-INDIRECT(ADDRESS(982,18))+INDIRECT(ADDRESS(983,18))-INDIRECT(ADDRESS(986,18)),INDIRECT(ADDRESS(987,17))-INDIRECT(ADDRESS(982,18))+INDIRECT(ADDRESS(985,18))-INDIRECT(ADDRESS(986,18)))</f>
        <v>0</v>
      </c>
      <c r="S987">
        <f>IF(DAY(NOW())&lt;M3,INDIRECT(ADDRESS(987,18))-INDIRECT(ADDRESS(982,19))+INDIRECT(ADDRESS(983,19))-INDIRECT(ADDRESS(986,19)),INDIRECT(ADDRESS(987,18))-INDIRECT(ADDRESS(982,19))+INDIRECT(ADDRESS(985,19))-INDIRECT(ADDRESS(986,19)))</f>
        <v>0</v>
      </c>
      <c r="T987">
        <f>IF(DAY(NOW())&lt;M3,INDIRECT(ADDRESS(987,19))-INDIRECT(ADDRESS(982,20))+INDIRECT(ADDRESS(983,20))-INDIRECT(ADDRESS(986,20)),INDIRECT(ADDRESS(987,19))-INDIRECT(ADDRESS(982,20))+INDIRECT(ADDRESS(985,20))-INDIRECT(ADDRESS(986,20)))</f>
        <v>0</v>
      </c>
      <c r="U987">
        <f>IF(DAY(NOW())&lt;M3,INDIRECT(ADDRESS(987,20))-INDIRECT(ADDRESS(982,21))+INDIRECT(ADDRESS(983,21))-INDIRECT(ADDRESS(986,21)),INDIRECT(ADDRESS(987,20))-INDIRECT(ADDRESS(982,21))+INDIRECT(ADDRESS(985,21))-INDIRECT(ADDRESS(986,21)))</f>
        <v>0</v>
      </c>
      <c r="V987">
        <f>IF(DAY(NOW())&lt;M3,INDIRECT(ADDRESS(987,21))-INDIRECT(ADDRESS(982,22))+INDIRECT(ADDRESS(983,22))-INDIRECT(ADDRESS(986,22)),INDIRECT(ADDRESS(987,21))-INDIRECT(ADDRESS(982,22))+INDIRECT(ADDRESS(985,22))-INDIRECT(ADDRESS(986,22)))</f>
        <v>0</v>
      </c>
      <c r="W987">
        <f>IF(DAY(NOW())&lt;M3,INDIRECT(ADDRESS(987,22))-INDIRECT(ADDRESS(982,23))+INDIRECT(ADDRESS(983,23))-INDIRECT(ADDRESS(986,23)),INDIRECT(ADDRESS(987,22))-INDIRECT(ADDRESS(982,23))+INDIRECT(ADDRESS(985,23))-INDIRECT(ADDRESS(986,23)))</f>
        <v>0</v>
      </c>
      <c r="X987">
        <f>IF(DAY(NOW())&lt;M3,INDIRECT(ADDRESS(987,23))-INDIRECT(ADDRESS(982,24))+INDIRECT(ADDRESS(983,24))-INDIRECT(ADDRESS(986,24)),INDIRECT(ADDRESS(987,23))-INDIRECT(ADDRESS(982,24))+INDIRECT(ADDRESS(985,24))-INDIRECT(ADDRESS(986,24)))</f>
        <v>0</v>
      </c>
      <c r="Y987">
        <f>IF(DAY(NOW())&lt;M3,INDIRECT(ADDRESS(987,24))-INDIRECT(ADDRESS(982,25))+INDIRECT(ADDRESS(983,25))-INDIRECT(ADDRESS(986,25)),INDIRECT(ADDRESS(987,24))-INDIRECT(ADDRESS(982,25))+INDIRECT(ADDRESS(985,25))-INDIRECT(ADDRESS(986,25)))</f>
        <v>0</v>
      </c>
      <c r="Z987">
        <f>IF(DAY(NOW())&lt;M3,INDIRECT(ADDRESS(987,25))-INDIRECT(ADDRESS(982,26))+INDIRECT(ADDRESS(983,26))-INDIRECT(ADDRESS(986,26)),INDIRECT(ADDRESS(987,25))-INDIRECT(ADDRESS(982,26))+INDIRECT(ADDRESS(985,26))-INDIRECT(ADDRESS(986,26)))</f>
        <v>0</v>
      </c>
      <c r="AA987">
        <f>IF(DAY(NOW())&lt;M3,INDIRECT(ADDRESS(987,26))-INDIRECT(ADDRESS(982,27))+INDIRECT(ADDRESS(983,27))-INDIRECT(ADDRESS(986,27)),INDIRECT(ADDRESS(987,26))-INDIRECT(ADDRESS(982,27))+INDIRECT(ADDRESS(985,27))-INDIRECT(ADDRESS(986,27)))</f>
        <v>0</v>
      </c>
      <c r="AB987">
        <f>IF(DAY(NOW())&lt;M3,INDIRECT(ADDRESS(987,27))-INDIRECT(ADDRESS(982,28))+INDIRECT(ADDRESS(983,28))-INDIRECT(ADDRESS(986,28)),INDIRECT(ADDRESS(987,27))-INDIRECT(ADDRESS(982,28))+INDIRECT(ADDRESS(985,28))-INDIRECT(ADDRESS(986,28)))</f>
        <v>0</v>
      </c>
      <c r="AC987">
        <f>IF(DAY(NOW())&lt;M3,INDIRECT(ADDRESS(987,28))-INDIRECT(ADDRESS(982,29))+INDIRECT(ADDRESS(983,29))-INDIRECT(ADDRESS(986,29)),INDIRECT(ADDRESS(987,28))-INDIRECT(ADDRESS(982,29))+INDIRECT(ADDRESS(985,29))-INDIRECT(ADDRESS(986,29)))</f>
        <v>0</v>
      </c>
      <c r="AD987">
        <f>IF(DAY(NOW())&lt;M3,INDIRECT(ADDRESS(987,29))-INDIRECT(ADDRESS(982,30))+INDIRECT(ADDRESS(983,30))-INDIRECT(ADDRESS(986,30)),INDIRECT(ADDRESS(987,29))-INDIRECT(ADDRESS(982,30))+INDIRECT(ADDRESS(985,30))-INDIRECT(ADDRESS(986,30)))</f>
        <v>0</v>
      </c>
      <c r="AE987">
        <f>IF(DAY(NOW())&lt;M3,INDIRECT(ADDRESS(987,30))-INDIRECT(ADDRESS(982,31))+INDIRECT(ADDRESS(983,31))-INDIRECT(ADDRESS(986,31)),INDIRECT(ADDRESS(987,30))-INDIRECT(ADDRESS(982,31))+INDIRECT(ADDRESS(985,31))-INDIRECT(ADDRESS(986,31)))</f>
        <v>0</v>
      </c>
      <c r="AF987">
        <f>IF(DAY(NOW())&lt;M3,INDIRECT(ADDRESS(987,31))-INDIRECT(ADDRESS(982,32))+INDIRECT(ADDRESS(983,32))-INDIRECT(ADDRESS(986,32)),INDIRECT(ADDRESS(987,31))-INDIRECT(ADDRESS(982,32))+INDIRECT(ADDRESS(985,32))-INDIRECT(ADDRESS(986,32)))</f>
        <v>0</v>
      </c>
      <c r="AG987">
        <f>IF(DAY(NOW())&lt;M3,INDIRECT(ADDRESS(987,32))-INDIRECT(ADDRESS(982,33))+INDIRECT(ADDRESS(983,33))-INDIRECT(ADDRESS(986,33)),INDIRECT(ADDRESS(987,32))-INDIRECT(ADDRESS(982,33))+INDIRECT(ADDRESS(985,33))-INDIRECT(ADDRESS(986,33)))</f>
        <v>0</v>
      </c>
      <c r="AH987">
        <f>IF(DAY(NOW())&lt;M3,INDIRECT(ADDRESS(987,33))-INDIRECT(ADDRESS(982,34))+INDIRECT(ADDRESS(983,34))-INDIRECT(ADDRESS(986,34)),INDIRECT(ADDRESS(987,33))-INDIRECT(ADDRESS(982,34))+INDIRECT(ADDRESS(985,34))-INDIRECT(ADDRESS(986,34)))</f>
        <v>0</v>
      </c>
      <c r="AI987">
        <f>IF(DAY(NOW())&lt;M3,INDIRECT(ADDRESS(987,34))-INDIRECT(ADDRESS(982,35))+INDIRECT(ADDRESS(983,35))-INDIRECT(ADDRESS(986,35)),INDIRECT(ADDRESS(987,34))-INDIRECT(ADDRESS(982,35))+INDIRECT(ADDRESS(985,35))-INDIRECT(ADDRESS(986,35)))</f>
        <v>0</v>
      </c>
      <c r="AJ987">
        <f>IF(DAY(NOW())&lt;M3,INDIRECT(ADDRESS(987,35))-INDIRECT(ADDRESS(982,36))+INDIRECT(ADDRESS(983,36))-INDIRECT(ADDRESS(986,36)),INDIRECT(ADDRESS(987,35))-INDIRECT(ADDRESS(982,36))+INDIRECT(ADDRESS(985,36))-INDIRECT(ADDRESS(986,36)))</f>
        <v>0</v>
      </c>
      <c r="AK987">
        <f>IF(DAY(NOW())&lt;M3,INDIRECT(ADDRESS(987,36))-INDIRECT(ADDRESS(982,37))+INDIRECT(ADDRESS(983,37))-INDIRECT(ADDRESS(986,37)),INDIRECT(ADDRESS(987,36))-INDIRECT(ADDRESS(982,37))+INDIRECT(ADDRESS(985,37))-INDIRECT(ADDRESS(986,37)))</f>
        <v>0</v>
      </c>
      <c r="AL987">
        <f>IF(DAY(NOW())&lt;M3,INDIRECT(ADDRESS(987,37))-INDIRECT(ADDRESS(982,38))+INDIRECT(ADDRESS(983,38))-INDIRECT(ADDRESS(986,38)),INDIRECT(ADDRESS(987,37))-INDIRECT(ADDRESS(982,38))+INDIRECT(ADDRESS(985,38))-INDIRECT(ADDRESS(986,38)))</f>
        <v>0</v>
      </c>
      <c r="AM987">
        <f>IF(DAY(NOW())&lt;M3,INDIRECT(ADDRESS(987,38))-INDIRECT(ADDRESS(982,39))+INDIRECT(ADDRESS(983,39))-INDIRECT(ADDRESS(986,39)),INDIRECT(ADDRESS(987,38))-INDIRECT(ADDRESS(982,39))+INDIRECT(ADDRESS(985,39))-INDIRECT(ADDRESS(986,39)))</f>
        <v>0</v>
      </c>
      <c r="AN987">
        <f>IF(DAY(NOW())&lt;M3,INDIRECT(ADDRESS(987,39))-INDIRECT(ADDRESS(982,40))+INDIRECT(ADDRESS(983,40))-INDIRECT(ADDRESS(986,40)),INDIRECT(ADDRESS(987,39))-INDIRECT(ADDRESS(982,40))+INDIRECT(ADDRESS(985,40))-INDIRECT(ADDRESS(986,40)))</f>
        <v>0</v>
      </c>
      <c r="AO987">
        <f>IF(DAY(NOW())&lt;M3,INDIRECT(ADDRESS(987,40))-INDIRECT(ADDRESS(982,41))+INDIRECT(ADDRESS(983,41))-INDIRECT(ADDRESS(986,41)),INDIRECT(ADDRESS(987,40))-INDIRECT(ADDRESS(982,41))+INDIRECT(ADDRESS(985,41))-INDIRECT(ADDRESS(986,41)))</f>
        <v>0</v>
      </c>
      <c r="AP987">
        <f>IF(DAY(NOW())&lt;M3,INDIRECT(ADDRESS(987,41))-INDIRECT(ADDRESS(982,42))+INDIRECT(ADDRESS(983,42))-INDIRECT(ADDRESS(986,42)),INDIRECT(ADDRESS(987,41))-INDIRECT(ADDRESS(982,42))+INDIRECT(ADDRESS(985,42))-INDIRECT(ADDRESS(986,42)))</f>
        <v>0</v>
      </c>
      <c r="AQ987">
        <f>IF(DAY(NOW())&lt;M3,INDIRECT(ADDRESS(987,42))-INDIRECT(ADDRESS(982,43))+INDIRECT(ADDRESS(983,43))-INDIRECT(ADDRESS(986,43)),INDIRECT(ADDRESS(987,42))-INDIRECT(ADDRESS(982,43))+INDIRECT(ADDRESS(985,43))-INDIRECT(ADDRESS(986,43)))</f>
        <v>0</v>
      </c>
      <c r="AR987">
        <f>IF(DAY(NOW())&lt;M3,INDIRECT(ADDRESS(987,43))-INDIRECT(ADDRESS(982,44))+INDIRECT(ADDRESS(983,44))-INDIRECT(ADDRESS(986,44)),INDIRECT(ADDRESS(987,43))-INDIRECT(ADDRESS(982,44))+INDIRECT(ADDRESS(985,44))-INDIRECT(ADDRESS(986,44)))</f>
        <v>0</v>
      </c>
    </row>
    <row r="988" spans="1:76">
      <c r="A988" t="s">
        <v>14</v>
      </c>
      <c r="B988" t="s">
        <v>271</v>
      </c>
      <c r="C988" t="s">
        <v>272</v>
      </c>
      <c r="D988" t="s">
        <v>256</v>
      </c>
      <c r="E988">
        <v>1</v>
      </c>
      <c r="F988" t="s">
        <v>273</v>
      </c>
      <c r="K988" t="s">
        <v>305</v>
      </c>
      <c r="L988" t="s">
        <v>21</v>
      </c>
      <c r="BX988">
        <f>sum(j988:an988)</f>
        <v>0</v>
      </c>
    </row>
    <row r="989" spans="1:76">
      <c r="A989" t="s">
        <v>14</v>
      </c>
      <c r="B989" t="s">
        <v>271</v>
      </c>
      <c r="C989" t="s">
        <v>272</v>
      </c>
      <c r="D989" t="s">
        <v>256</v>
      </c>
      <c r="E989">
        <v>1</v>
      </c>
      <c r="F989" t="s">
        <v>273</v>
      </c>
      <c r="K989" t="s">
        <v>305</v>
      </c>
      <c r="L989" t="s">
        <v>37</v>
      </c>
    </row>
    <row r="990" spans="1:76">
      <c r="L990" t="s">
        <v>662</v>
      </c>
    </row>
    <row r="991" spans="1:76">
      <c r="L991" t="s">
        <v>663</v>
      </c>
    </row>
    <row r="992" spans="1:76">
      <c r="L992" t="s">
        <v>664</v>
      </c>
    </row>
    <row r="993" spans="1:76">
      <c r="L993" t="s">
        <v>665</v>
      </c>
      <c r="M993">
        <f>IF(DAY(NOW())&lt;M3,INDIRECT(ADDRESS(993,7))-INDIRECT(ADDRESS(988,13))+INDIRECT(ADDRESS(989,13))-INDIRECT(ADDRESS(992,13)),INDIRECT(ADDRESS(993,7))-INDIRECT(ADDRESS(988,13))+INDIRECT(ADDRESS(991,13))-INDIRECT(ADDRESS(992,13)))</f>
        <v>0</v>
      </c>
      <c r="N993">
        <f>IF(DAY(NOW())&lt;M3,INDIRECT(ADDRESS(993,13))-INDIRECT(ADDRESS(988,14))+INDIRECT(ADDRESS(989,14))-INDIRECT(ADDRESS(992,14)),INDIRECT(ADDRESS(993,13))-INDIRECT(ADDRESS(988,14))+INDIRECT(ADDRESS(991,14))-INDIRECT(ADDRESS(992,14)))</f>
        <v>0</v>
      </c>
      <c r="O993">
        <f>IF(DAY(NOW())&lt;M3,INDIRECT(ADDRESS(993,14))-INDIRECT(ADDRESS(988,15))+INDIRECT(ADDRESS(989,15))-INDIRECT(ADDRESS(992,15)),INDIRECT(ADDRESS(993,14))-INDIRECT(ADDRESS(988,15))+INDIRECT(ADDRESS(991,15))-INDIRECT(ADDRESS(992,15)))</f>
        <v>0</v>
      </c>
      <c r="P993">
        <f>IF(DAY(NOW())&lt;M3,INDIRECT(ADDRESS(993,15))-INDIRECT(ADDRESS(988,16))+INDIRECT(ADDRESS(989,16))-INDIRECT(ADDRESS(992,16)),INDIRECT(ADDRESS(993,15))-INDIRECT(ADDRESS(988,16))+INDIRECT(ADDRESS(991,16))-INDIRECT(ADDRESS(992,16)))</f>
        <v>0</v>
      </c>
      <c r="Q993">
        <f>IF(DAY(NOW())&lt;M3,INDIRECT(ADDRESS(993,16))-INDIRECT(ADDRESS(988,17))+INDIRECT(ADDRESS(989,17))-INDIRECT(ADDRESS(992,17)),INDIRECT(ADDRESS(993,16))-INDIRECT(ADDRESS(988,17))+INDIRECT(ADDRESS(991,17))-INDIRECT(ADDRESS(992,17)))</f>
        <v>0</v>
      </c>
      <c r="R993">
        <f>IF(DAY(NOW())&lt;M3,INDIRECT(ADDRESS(993,17))-INDIRECT(ADDRESS(988,18))+INDIRECT(ADDRESS(989,18))-INDIRECT(ADDRESS(992,18)),INDIRECT(ADDRESS(993,17))-INDIRECT(ADDRESS(988,18))+INDIRECT(ADDRESS(991,18))-INDIRECT(ADDRESS(992,18)))</f>
        <v>0</v>
      </c>
      <c r="S993">
        <f>IF(DAY(NOW())&lt;M3,INDIRECT(ADDRESS(993,18))-INDIRECT(ADDRESS(988,19))+INDIRECT(ADDRESS(989,19))-INDIRECT(ADDRESS(992,19)),INDIRECT(ADDRESS(993,18))-INDIRECT(ADDRESS(988,19))+INDIRECT(ADDRESS(991,19))-INDIRECT(ADDRESS(992,19)))</f>
        <v>0</v>
      </c>
      <c r="T993">
        <f>IF(DAY(NOW())&lt;M3,INDIRECT(ADDRESS(993,19))-INDIRECT(ADDRESS(988,20))+INDIRECT(ADDRESS(989,20))-INDIRECT(ADDRESS(992,20)),INDIRECT(ADDRESS(993,19))-INDIRECT(ADDRESS(988,20))+INDIRECT(ADDRESS(991,20))-INDIRECT(ADDRESS(992,20)))</f>
        <v>0</v>
      </c>
      <c r="U993">
        <f>IF(DAY(NOW())&lt;M3,INDIRECT(ADDRESS(993,20))-INDIRECT(ADDRESS(988,21))+INDIRECT(ADDRESS(989,21))-INDIRECT(ADDRESS(992,21)),INDIRECT(ADDRESS(993,20))-INDIRECT(ADDRESS(988,21))+INDIRECT(ADDRESS(991,21))-INDIRECT(ADDRESS(992,21)))</f>
        <v>0</v>
      </c>
      <c r="V993">
        <f>IF(DAY(NOW())&lt;M3,INDIRECT(ADDRESS(993,21))-INDIRECT(ADDRESS(988,22))+INDIRECT(ADDRESS(989,22))-INDIRECT(ADDRESS(992,22)),INDIRECT(ADDRESS(993,21))-INDIRECT(ADDRESS(988,22))+INDIRECT(ADDRESS(991,22))-INDIRECT(ADDRESS(992,22)))</f>
        <v>0</v>
      </c>
      <c r="W993">
        <f>IF(DAY(NOW())&lt;M3,INDIRECT(ADDRESS(993,22))-INDIRECT(ADDRESS(988,23))+INDIRECT(ADDRESS(989,23))-INDIRECT(ADDRESS(992,23)),INDIRECT(ADDRESS(993,22))-INDIRECT(ADDRESS(988,23))+INDIRECT(ADDRESS(991,23))-INDIRECT(ADDRESS(992,23)))</f>
        <v>0</v>
      </c>
      <c r="X993">
        <f>IF(DAY(NOW())&lt;M3,INDIRECT(ADDRESS(993,23))-INDIRECT(ADDRESS(988,24))+INDIRECT(ADDRESS(989,24))-INDIRECT(ADDRESS(992,24)),INDIRECT(ADDRESS(993,23))-INDIRECT(ADDRESS(988,24))+INDIRECT(ADDRESS(991,24))-INDIRECT(ADDRESS(992,24)))</f>
        <v>0</v>
      </c>
      <c r="Y993">
        <f>IF(DAY(NOW())&lt;M3,INDIRECT(ADDRESS(993,24))-INDIRECT(ADDRESS(988,25))+INDIRECT(ADDRESS(989,25))-INDIRECT(ADDRESS(992,25)),INDIRECT(ADDRESS(993,24))-INDIRECT(ADDRESS(988,25))+INDIRECT(ADDRESS(991,25))-INDIRECT(ADDRESS(992,25)))</f>
        <v>0</v>
      </c>
      <c r="Z993">
        <f>IF(DAY(NOW())&lt;M3,INDIRECT(ADDRESS(993,25))-INDIRECT(ADDRESS(988,26))+INDIRECT(ADDRESS(989,26))-INDIRECT(ADDRESS(992,26)),INDIRECT(ADDRESS(993,25))-INDIRECT(ADDRESS(988,26))+INDIRECT(ADDRESS(991,26))-INDIRECT(ADDRESS(992,26)))</f>
        <v>0</v>
      </c>
      <c r="AA993">
        <f>IF(DAY(NOW())&lt;M3,INDIRECT(ADDRESS(993,26))-INDIRECT(ADDRESS(988,27))+INDIRECT(ADDRESS(989,27))-INDIRECT(ADDRESS(992,27)),INDIRECT(ADDRESS(993,26))-INDIRECT(ADDRESS(988,27))+INDIRECT(ADDRESS(991,27))-INDIRECT(ADDRESS(992,27)))</f>
        <v>0</v>
      </c>
      <c r="AB993">
        <f>IF(DAY(NOW())&lt;M3,INDIRECT(ADDRESS(993,27))-INDIRECT(ADDRESS(988,28))+INDIRECT(ADDRESS(989,28))-INDIRECT(ADDRESS(992,28)),INDIRECT(ADDRESS(993,27))-INDIRECT(ADDRESS(988,28))+INDIRECT(ADDRESS(991,28))-INDIRECT(ADDRESS(992,28)))</f>
        <v>0</v>
      </c>
      <c r="AC993">
        <f>IF(DAY(NOW())&lt;M3,INDIRECT(ADDRESS(993,28))-INDIRECT(ADDRESS(988,29))+INDIRECT(ADDRESS(989,29))-INDIRECT(ADDRESS(992,29)),INDIRECT(ADDRESS(993,28))-INDIRECT(ADDRESS(988,29))+INDIRECT(ADDRESS(991,29))-INDIRECT(ADDRESS(992,29)))</f>
        <v>0</v>
      </c>
      <c r="AD993">
        <f>IF(DAY(NOW())&lt;M3,INDIRECT(ADDRESS(993,29))-INDIRECT(ADDRESS(988,30))+INDIRECT(ADDRESS(989,30))-INDIRECT(ADDRESS(992,30)),INDIRECT(ADDRESS(993,29))-INDIRECT(ADDRESS(988,30))+INDIRECT(ADDRESS(991,30))-INDIRECT(ADDRESS(992,30)))</f>
        <v>0</v>
      </c>
      <c r="AE993">
        <f>IF(DAY(NOW())&lt;M3,INDIRECT(ADDRESS(993,30))-INDIRECT(ADDRESS(988,31))+INDIRECT(ADDRESS(989,31))-INDIRECT(ADDRESS(992,31)),INDIRECT(ADDRESS(993,30))-INDIRECT(ADDRESS(988,31))+INDIRECT(ADDRESS(991,31))-INDIRECT(ADDRESS(992,31)))</f>
        <v>0</v>
      </c>
      <c r="AF993">
        <f>IF(DAY(NOW())&lt;M3,INDIRECT(ADDRESS(993,31))-INDIRECT(ADDRESS(988,32))+INDIRECT(ADDRESS(989,32))-INDIRECT(ADDRESS(992,32)),INDIRECT(ADDRESS(993,31))-INDIRECT(ADDRESS(988,32))+INDIRECT(ADDRESS(991,32))-INDIRECT(ADDRESS(992,32)))</f>
        <v>0</v>
      </c>
      <c r="AG993">
        <f>IF(DAY(NOW())&lt;M3,INDIRECT(ADDRESS(993,32))-INDIRECT(ADDRESS(988,33))+INDIRECT(ADDRESS(989,33))-INDIRECT(ADDRESS(992,33)),INDIRECT(ADDRESS(993,32))-INDIRECT(ADDRESS(988,33))+INDIRECT(ADDRESS(991,33))-INDIRECT(ADDRESS(992,33)))</f>
        <v>0</v>
      </c>
      <c r="AH993">
        <f>IF(DAY(NOW())&lt;M3,INDIRECT(ADDRESS(993,33))-INDIRECT(ADDRESS(988,34))+INDIRECT(ADDRESS(989,34))-INDIRECT(ADDRESS(992,34)),INDIRECT(ADDRESS(993,33))-INDIRECT(ADDRESS(988,34))+INDIRECT(ADDRESS(991,34))-INDIRECT(ADDRESS(992,34)))</f>
        <v>0</v>
      </c>
      <c r="AI993">
        <f>IF(DAY(NOW())&lt;M3,INDIRECT(ADDRESS(993,34))-INDIRECT(ADDRESS(988,35))+INDIRECT(ADDRESS(989,35))-INDIRECT(ADDRESS(992,35)),INDIRECT(ADDRESS(993,34))-INDIRECT(ADDRESS(988,35))+INDIRECT(ADDRESS(991,35))-INDIRECT(ADDRESS(992,35)))</f>
        <v>0</v>
      </c>
      <c r="AJ993">
        <f>IF(DAY(NOW())&lt;M3,INDIRECT(ADDRESS(993,35))-INDIRECT(ADDRESS(988,36))+INDIRECT(ADDRESS(989,36))-INDIRECT(ADDRESS(992,36)),INDIRECT(ADDRESS(993,35))-INDIRECT(ADDRESS(988,36))+INDIRECT(ADDRESS(991,36))-INDIRECT(ADDRESS(992,36)))</f>
        <v>0</v>
      </c>
      <c r="AK993">
        <f>IF(DAY(NOW())&lt;M3,INDIRECT(ADDRESS(993,36))-INDIRECT(ADDRESS(988,37))+INDIRECT(ADDRESS(989,37))-INDIRECT(ADDRESS(992,37)),INDIRECT(ADDRESS(993,36))-INDIRECT(ADDRESS(988,37))+INDIRECT(ADDRESS(991,37))-INDIRECT(ADDRESS(992,37)))</f>
        <v>0</v>
      </c>
      <c r="AL993">
        <f>IF(DAY(NOW())&lt;M3,INDIRECT(ADDRESS(993,37))-INDIRECT(ADDRESS(988,38))+INDIRECT(ADDRESS(989,38))-INDIRECT(ADDRESS(992,38)),INDIRECT(ADDRESS(993,37))-INDIRECT(ADDRESS(988,38))+INDIRECT(ADDRESS(991,38))-INDIRECT(ADDRESS(992,38)))</f>
        <v>0</v>
      </c>
      <c r="AM993">
        <f>IF(DAY(NOW())&lt;M3,INDIRECT(ADDRESS(993,38))-INDIRECT(ADDRESS(988,39))+INDIRECT(ADDRESS(989,39))-INDIRECT(ADDRESS(992,39)),INDIRECT(ADDRESS(993,38))-INDIRECT(ADDRESS(988,39))+INDIRECT(ADDRESS(991,39))-INDIRECT(ADDRESS(992,39)))</f>
        <v>0</v>
      </c>
      <c r="AN993">
        <f>IF(DAY(NOW())&lt;M3,INDIRECT(ADDRESS(993,39))-INDIRECT(ADDRESS(988,40))+INDIRECT(ADDRESS(989,40))-INDIRECT(ADDRESS(992,40)),INDIRECT(ADDRESS(993,39))-INDIRECT(ADDRESS(988,40))+INDIRECT(ADDRESS(991,40))-INDIRECT(ADDRESS(992,40)))</f>
        <v>0</v>
      </c>
      <c r="AO993">
        <f>IF(DAY(NOW())&lt;M3,INDIRECT(ADDRESS(993,40))-INDIRECT(ADDRESS(988,41))+INDIRECT(ADDRESS(989,41))-INDIRECT(ADDRESS(992,41)),INDIRECT(ADDRESS(993,40))-INDIRECT(ADDRESS(988,41))+INDIRECT(ADDRESS(991,41))-INDIRECT(ADDRESS(992,41)))</f>
        <v>0</v>
      </c>
      <c r="AP993">
        <f>IF(DAY(NOW())&lt;M3,INDIRECT(ADDRESS(993,41))-INDIRECT(ADDRESS(988,42))+INDIRECT(ADDRESS(989,42))-INDIRECT(ADDRESS(992,42)),INDIRECT(ADDRESS(993,41))-INDIRECT(ADDRESS(988,42))+INDIRECT(ADDRESS(991,42))-INDIRECT(ADDRESS(992,42)))</f>
        <v>0</v>
      </c>
      <c r="AQ993">
        <f>IF(DAY(NOW())&lt;M3,INDIRECT(ADDRESS(993,42))-INDIRECT(ADDRESS(988,43))+INDIRECT(ADDRESS(989,43))-INDIRECT(ADDRESS(992,43)),INDIRECT(ADDRESS(993,42))-INDIRECT(ADDRESS(988,43))+INDIRECT(ADDRESS(991,43))-INDIRECT(ADDRESS(992,43)))</f>
        <v>0</v>
      </c>
      <c r="AR993">
        <f>IF(DAY(NOW())&lt;M3,INDIRECT(ADDRESS(993,43))-INDIRECT(ADDRESS(988,44))+INDIRECT(ADDRESS(989,44))-INDIRECT(ADDRESS(992,44)),INDIRECT(ADDRESS(993,43))-INDIRECT(ADDRESS(988,44))+INDIRECT(ADDRESS(991,44))-INDIRECT(ADDRESS(992,44)))</f>
        <v>0</v>
      </c>
    </row>
    <row r="994" spans="1:76">
      <c r="A994" t="s">
        <v>31</v>
      </c>
      <c r="B994" t="s">
        <v>423</v>
      </c>
      <c r="C994" t="s">
        <v>424</v>
      </c>
      <c r="D994" t="s">
        <v>17</v>
      </c>
      <c r="E994">
        <v>10</v>
      </c>
      <c r="F994" t="s">
        <v>425</v>
      </c>
      <c r="K994" t="s">
        <v>308</v>
      </c>
      <c r="L994" t="s">
        <v>21</v>
      </c>
      <c r="M994">
        <f>sumifs(BOM!m:m,BOM!A:A,".1",BOM!B:B,"232-008900-000")</f>
        <v>0</v>
      </c>
      <c r="N994">
        <f>sumifs(BOM!n:n,BOM!A:A,".1",BOM!B:B,"232-008900-000")</f>
        <v>0</v>
      </c>
      <c r="O994">
        <f>sumifs(BOM!o:o,BOM!A:A,".1",BOM!B:B,"232-008900-000")</f>
        <v>0</v>
      </c>
      <c r="P994">
        <f>sumifs(BOM!p:p,BOM!A:A,".1",BOM!B:B,"232-008900-000")</f>
        <v>0</v>
      </c>
      <c r="Q994">
        <f>sumifs(BOM!q:q,BOM!A:A,".1",BOM!B:B,"232-008900-000")</f>
        <v>0</v>
      </c>
      <c r="R994">
        <f>sumifs(BOM!r:r,BOM!A:A,".1",BOM!B:B,"232-008900-000")</f>
        <v>0</v>
      </c>
      <c r="S994">
        <f>sumifs(BOM!s:s,BOM!A:A,".1",BOM!B:B,"232-008900-000")</f>
        <v>0</v>
      </c>
      <c r="T994">
        <f>sumifs(BOM!t:t,BOM!A:A,".1",BOM!B:B,"232-008900-000")</f>
        <v>0</v>
      </c>
      <c r="U994">
        <f>sumifs(BOM!u:u,BOM!A:A,".1",BOM!B:B,"232-008900-000")</f>
        <v>0</v>
      </c>
      <c r="V994">
        <f>sumifs(BOM!v:v,BOM!A:A,".1",BOM!B:B,"232-008900-000")</f>
        <v>0</v>
      </c>
      <c r="W994">
        <f>sumifs(BOM!w:w,BOM!A:A,".1",BOM!B:B,"232-008900-000")</f>
        <v>0</v>
      </c>
      <c r="X994">
        <f>sumifs(BOM!x:x,BOM!A:A,".1",BOM!B:B,"232-008900-000")</f>
        <v>0</v>
      </c>
      <c r="Y994">
        <f>sumifs(BOM!y:y,BOM!A:A,".1",BOM!B:B,"232-008900-000")</f>
        <v>0</v>
      </c>
      <c r="Z994">
        <f>sumifs(BOM!z:z,BOM!A:A,".1",BOM!B:B,"232-008900-000")</f>
        <v>0</v>
      </c>
      <c r="AA994">
        <f>sumifs(BOM!aa:aa,BOM!A:A,".1",BOM!B:B,"232-008900-000")</f>
        <v>0</v>
      </c>
      <c r="AB994">
        <f>sumifs(BOM!ab:ab,BOM!A:A,".1",BOM!B:B,"232-008900-000")</f>
        <v>0</v>
      </c>
      <c r="AC994">
        <f>sumifs(BOM!ac:ac,BOM!A:A,".1",BOM!B:B,"232-008900-000")</f>
        <v>0</v>
      </c>
      <c r="AD994">
        <f>sumifs(BOM!ad:ad,BOM!A:A,".1",BOM!B:B,"232-008900-000")</f>
        <v>0</v>
      </c>
      <c r="AE994">
        <f>sumifs(BOM!ae:ae,BOM!A:A,".1",BOM!B:B,"232-008900-000")</f>
        <v>0</v>
      </c>
      <c r="AF994">
        <f>sumifs(BOM!af:af,BOM!A:A,".1",BOM!B:B,"232-008900-000")</f>
        <v>0</v>
      </c>
      <c r="AG994">
        <f>sumifs(BOM!ag:ag,BOM!A:A,".1",BOM!B:B,"232-008900-000")</f>
        <v>0</v>
      </c>
      <c r="AH994">
        <f>sumifs(BOM!ah:ah,BOM!A:A,".1",BOM!B:B,"232-008900-000")</f>
        <v>0</v>
      </c>
      <c r="AI994">
        <f>sumifs(BOM!ai:ai,BOM!A:A,".1",BOM!B:B,"232-008900-000")</f>
        <v>0</v>
      </c>
      <c r="AJ994">
        <f>sumifs(BOM!aj:aj,BOM!A:A,".1",BOM!B:B,"232-008900-000")</f>
        <v>0</v>
      </c>
      <c r="AK994">
        <f>sumifs(BOM!ak:ak,BOM!A:A,".1",BOM!B:B,"232-008900-000")</f>
        <v>0</v>
      </c>
      <c r="AL994">
        <f>sumifs(BOM!al:al,BOM!A:A,".1",BOM!B:B,"232-008900-000")</f>
        <v>0</v>
      </c>
      <c r="AM994">
        <f>sumifs(BOM!am:am,BOM!A:A,".1",BOM!B:B,"232-008900-000")</f>
        <v>0</v>
      </c>
      <c r="AN994">
        <f>sumifs(BOM!an:an,BOM!A:A,".1",BOM!B:B,"232-008900-000")</f>
        <v>0</v>
      </c>
      <c r="AO994">
        <f>sumifs(BOM!ao:ao,BOM!A:A,".1",BOM!B:B,"232-008900-000")</f>
        <v>0</v>
      </c>
      <c r="AP994">
        <f>sumifs(BOM!ap:ap,BOM!A:A,".1",BOM!B:B,"232-008900-000")</f>
        <v>0</v>
      </c>
      <c r="AQ994">
        <f>sumifs(BOM!aq:aq,BOM!A:A,".1",BOM!B:B,"232-008900-000")</f>
        <v>0</v>
      </c>
      <c r="AR994">
        <f>sumifs(BOM!ar:ar,BOM!A:A,".1",BOM!B:B,"232-008900-000")</f>
        <v>0</v>
      </c>
      <c r="BX994">
        <f>sum(j994:an994)</f>
        <v>0</v>
      </c>
    </row>
    <row r="995" spans="1:76">
      <c r="A995" t="s">
        <v>31</v>
      </c>
      <c r="B995" t="s">
        <v>423</v>
      </c>
      <c r="C995" t="s">
        <v>424</v>
      </c>
      <c r="D995" t="s">
        <v>17</v>
      </c>
      <c r="E995">
        <v>10</v>
      </c>
      <c r="F995" t="s">
        <v>425</v>
      </c>
      <c r="K995" t="s">
        <v>308</v>
      </c>
      <c r="L995" t="s">
        <v>37</v>
      </c>
    </row>
    <row r="996" spans="1:76">
      <c r="L996" t="s">
        <v>662</v>
      </c>
    </row>
    <row r="997" spans="1:76">
      <c r="L997" t="s">
        <v>663</v>
      </c>
    </row>
    <row r="998" spans="1:76">
      <c r="L998" t="s">
        <v>664</v>
      </c>
    </row>
    <row r="999" spans="1:76">
      <c r="L999" t="s">
        <v>665</v>
      </c>
      <c r="M999">
        <f>IF(DAY(NOW())&lt;M3,INDIRECT(ADDRESS(999,7))-INDIRECT(ADDRESS(994,13))+INDIRECT(ADDRESS(995,13))-INDIRECT(ADDRESS(998,13)),INDIRECT(ADDRESS(999,7))-INDIRECT(ADDRESS(994,13))+INDIRECT(ADDRESS(997,13))-INDIRECT(ADDRESS(998,13)))</f>
        <v>0</v>
      </c>
      <c r="N999">
        <f>IF(DAY(NOW())&lt;M3,INDIRECT(ADDRESS(999,13))-INDIRECT(ADDRESS(994,14))+INDIRECT(ADDRESS(995,14))-INDIRECT(ADDRESS(998,14)),INDIRECT(ADDRESS(999,13))-INDIRECT(ADDRESS(994,14))+INDIRECT(ADDRESS(997,14))-INDIRECT(ADDRESS(998,14)))</f>
        <v>0</v>
      </c>
      <c r="O999">
        <f>IF(DAY(NOW())&lt;M3,INDIRECT(ADDRESS(999,14))-INDIRECT(ADDRESS(994,15))+INDIRECT(ADDRESS(995,15))-INDIRECT(ADDRESS(998,15)),INDIRECT(ADDRESS(999,14))-INDIRECT(ADDRESS(994,15))+INDIRECT(ADDRESS(997,15))-INDIRECT(ADDRESS(998,15)))</f>
        <v>0</v>
      </c>
      <c r="P999">
        <f>IF(DAY(NOW())&lt;M3,INDIRECT(ADDRESS(999,15))-INDIRECT(ADDRESS(994,16))+INDIRECT(ADDRESS(995,16))-INDIRECT(ADDRESS(998,16)),INDIRECT(ADDRESS(999,15))-INDIRECT(ADDRESS(994,16))+INDIRECT(ADDRESS(997,16))-INDIRECT(ADDRESS(998,16)))</f>
        <v>0</v>
      </c>
      <c r="Q999">
        <f>IF(DAY(NOW())&lt;M3,INDIRECT(ADDRESS(999,16))-INDIRECT(ADDRESS(994,17))+INDIRECT(ADDRESS(995,17))-INDIRECT(ADDRESS(998,17)),INDIRECT(ADDRESS(999,16))-INDIRECT(ADDRESS(994,17))+INDIRECT(ADDRESS(997,17))-INDIRECT(ADDRESS(998,17)))</f>
        <v>0</v>
      </c>
      <c r="R999">
        <f>IF(DAY(NOW())&lt;M3,INDIRECT(ADDRESS(999,17))-INDIRECT(ADDRESS(994,18))+INDIRECT(ADDRESS(995,18))-INDIRECT(ADDRESS(998,18)),INDIRECT(ADDRESS(999,17))-INDIRECT(ADDRESS(994,18))+INDIRECT(ADDRESS(997,18))-INDIRECT(ADDRESS(998,18)))</f>
        <v>0</v>
      </c>
      <c r="S999">
        <f>IF(DAY(NOW())&lt;M3,INDIRECT(ADDRESS(999,18))-INDIRECT(ADDRESS(994,19))+INDIRECT(ADDRESS(995,19))-INDIRECT(ADDRESS(998,19)),INDIRECT(ADDRESS(999,18))-INDIRECT(ADDRESS(994,19))+INDIRECT(ADDRESS(997,19))-INDIRECT(ADDRESS(998,19)))</f>
        <v>0</v>
      </c>
      <c r="T999">
        <f>IF(DAY(NOW())&lt;M3,INDIRECT(ADDRESS(999,19))-INDIRECT(ADDRESS(994,20))+INDIRECT(ADDRESS(995,20))-INDIRECT(ADDRESS(998,20)),INDIRECT(ADDRESS(999,19))-INDIRECT(ADDRESS(994,20))+INDIRECT(ADDRESS(997,20))-INDIRECT(ADDRESS(998,20)))</f>
        <v>0</v>
      </c>
      <c r="U999">
        <f>IF(DAY(NOW())&lt;M3,INDIRECT(ADDRESS(999,20))-INDIRECT(ADDRESS(994,21))+INDIRECT(ADDRESS(995,21))-INDIRECT(ADDRESS(998,21)),INDIRECT(ADDRESS(999,20))-INDIRECT(ADDRESS(994,21))+INDIRECT(ADDRESS(997,21))-INDIRECT(ADDRESS(998,21)))</f>
        <v>0</v>
      </c>
      <c r="V999">
        <f>IF(DAY(NOW())&lt;M3,INDIRECT(ADDRESS(999,21))-INDIRECT(ADDRESS(994,22))+INDIRECT(ADDRESS(995,22))-INDIRECT(ADDRESS(998,22)),INDIRECT(ADDRESS(999,21))-INDIRECT(ADDRESS(994,22))+INDIRECT(ADDRESS(997,22))-INDIRECT(ADDRESS(998,22)))</f>
        <v>0</v>
      </c>
      <c r="W999">
        <f>IF(DAY(NOW())&lt;M3,INDIRECT(ADDRESS(999,22))-INDIRECT(ADDRESS(994,23))+INDIRECT(ADDRESS(995,23))-INDIRECT(ADDRESS(998,23)),INDIRECT(ADDRESS(999,22))-INDIRECT(ADDRESS(994,23))+INDIRECT(ADDRESS(997,23))-INDIRECT(ADDRESS(998,23)))</f>
        <v>0</v>
      </c>
      <c r="X999">
        <f>IF(DAY(NOW())&lt;M3,INDIRECT(ADDRESS(999,23))-INDIRECT(ADDRESS(994,24))+INDIRECT(ADDRESS(995,24))-INDIRECT(ADDRESS(998,24)),INDIRECT(ADDRESS(999,23))-INDIRECT(ADDRESS(994,24))+INDIRECT(ADDRESS(997,24))-INDIRECT(ADDRESS(998,24)))</f>
        <v>0</v>
      </c>
      <c r="Y999">
        <f>IF(DAY(NOW())&lt;M3,INDIRECT(ADDRESS(999,24))-INDIRECT(ADDRESS(994,25))+INDIRECT(ADDRESS(995,25))-INDIRECT(ADDRESS(998,25)),INDIRECT(ADDRESS(999,24))-INDIRECT(ADDRESS(994,25))+INDIRECT(ADDRESS(997,25))-INDIRECT(ADDRESS(998,25)))</f>
        <v>0</v>
      </c>
      <c r="Z999">
        <f>IF(DAY(NOW())&lt;M3,INDIRECT(ADDRESS(999,25))-INDIRECT(ADDRESS(994,26))+INDIRECT(ADDRESS(995,26))-INDIRECT(ADDRESS(998,26)),INDIRECT(ADDRESS(999,25))-INDIRECT(ADDRESS(994,26))+INDIRECT(ADDRESS(997,26))-INDIRECT(ADDRESS(998,26)))</f>
        <v>0</v>
      </c>
      <c r="AA999">
        <f>IF(DAY(NOW())&lt;M3,INDIRECT(ADDRESS(999,26))-INDIRECT(ADDRESS(994,27))+INDIRECT(ADDRESS(995,27))-INDIRECT(ADDRESS(998,27)),INDIRECT(ADDRESS(999,26))-INDIRECT(ADDRESS(994,27))+INDIRECT(ADDRESS(997,27))-INDIRECT(ADDRESS(998,27)))</f>
        <v>0</v>
      </c>
      <c r="AB999">
        <f>IF(DAY(NOW())&lt;M3,INDIRECT(ADDRESS(999,27))-INDIRECT(ADDRESS(994,28))+INDIRECT(ADDRESS(995,28))-INDIRECT(ADDRESS(998,28)),INDIRECT(ADDRESS(999,27))-INDIRECT(ADDRESS(994,28))+INDIRECT(ADDRESS(997,28))-INDIRECT(ADDRESS(998,28)))</f>
        <v>0</v>
      </c>
      <c r="AC999">
        <f>IF(DAY(NOW())&lt;M3,INDIRECT(ADDRESS(999,28))-INDIRECT(ADDRESS(994,29))+INDIRECT(ADDRESS(995,29))-INDIRECT(ADDRESS(998,29)),INDIRECT(ADDRESS(999,28))-INDIRECT(ADDRESS(994,29))+INDIRECT(ADDRESS(997,29))-INDIRECT(ADDRESS(998,29)))</f>
        <v>0</v>
      </c>
      <c r="AD999">
        <f>IF(DAY(NOW())&lt;M3,INDIRECT(ADDRESS(999,29))-INDIRECT(ADDRESS(994,30))+INDIRECT(ADDRESS(995,30))-INDIRECT(ADDRESS(998,30)),INDIRECT(ADDRESS(999,29))-INDIRECT(ADDRESS(994,30))+INDIRECT(ADDRESS(997,30))-INDIRECT(ADDRESS(998,30)))</f>
        <v>0</v>
      </c>
      <c r="AE999">
        <f>IF(DAY(NOW())&lt;M3,INDIRECT(ADDRESS(999,30))-INDIRECT(ADDRESS(994,31))+INDIRECT(ADDRESS(995,31))-INDIRECT(ADDRESS(998,31)),INDIRECT(ADDRESS(999,30))-INDIRECT(ADDRESS(994,31))+INDIRECT(ADDRESS(997,31))-INDIRECT(ADDRESS(998,31)))</f>
        <v>0</v>
      </c>
      <c r="AF999">
        <f>IF(DAY(NOW())&lt;M3,INDIRECT(ADDRESS(999,31))-INDIRECT(ADDRESS(994,32))+INDIRECT(ADDRESS(995,32))-INDIRECT(ADDRESS(998,32)),INDIRECT(ADDRESS(999,31))-INDIRECT(ADDRESS(994,32))+INDIRECT(ADDRESS(997,32))-INDIRECT(ADDRESS(998,32)))</f>
        <v>0</v>
      </c>
      <c r="AG999">
        <f>IF(DAY(NOW())&lt;M3,INDIRECT(ADDRESS(999,32))-INDIRECT(ADDRESS(994,33))+INDIRECT(ADDRESS(995,33))-INDIRECT(ADDRESS(998,33)),INDIRECT(ADDRESS(999,32))-INDIRECT(ADDRESS(994,33))+INDIRECT(ADDRESS(997,33))-INDIRECT(ADDRESS(998,33)))</f>
        <v>0</v>
      </c>
      <c r="AH999">
        <f>IF(DAY(NOW())&lt;M3,INDIRECT(ADDRESS(999,33))-INDIRECT(ADDRESS(994,34))+INDIRECT(ADDRESS(995,34))-INDIRECT(ADDRESS(998,34)),INDIRECT(ADDRESS(999,33))-INDIRECT(ADDRESS(994,34))+INDIRECT(ADDRESS(997,34))-INDIRECT(ADDRESS(998,34)))</f>
        <v>0</v>
      </c>
      <c r="AI999">
        <f>IF(DAY(NOW())&lt;M3,INDIRECT(ADDRESS(999,34))-INDIRECT(ADDRESS(994,35))+INDIRECT(ADDRESS(995,35))-INDIRECT(ADDRESS(998,35)),INDIRECT(ADDRESS(999,34))-INDIRECT(ADDRESS(994,35))+INDIRECT(ADDRESS(997,35))-INDIRECT(ADDRESS(998,35)))</f>
        <v>0</v>
      </c>
      <c r="AJ999">
        <f>IF(DAY(NOW())&lt;M3,INDIRECT(ADDRESS(999,35))-INDIRECT(ADDRESS(994,36))+INDIRECT(ADDRESS(995,36))-INDIRECT(ADDRESS(998,36)),INDIRECT(ADDRESS(999,35))-INDIRECT(ADDRESS(994,36))+INDIRECT(ADDRESS(997,36))-INDIRECT(ADDRESS(998,36)))</f>
        <v>0</v>
      </c>
      <c r="AK999">
        <f>IF(DAY(NOW())&lt;M3,INDIRECT(ADDRESS(999,36))-INDIRECT(ADDRESS(994,37))+INDIRECT(ADDRESS(995,37))-INDIRECT(ADDRESS(998,37)),INDIRECT(ADDRESS(999,36))-INDIRECT(ADDRESS(994,37))+INDIRECT(ADDRESS(997,37))-INDIRECT(ADDRESS(998,37)))</f>
        <v>0</v>
      </c>
      <c r="AL999">
        <f>IF(DAY(NOW())&lt;M3,INDIRECT(ADDRESS(999,37))-INDIRECT(ADDRESS(994,38))+INDIRECT(ADDRESS(995,38))-INDIRECT(ADDRESS(998,38)),INDIRECT(ADDRESS(999,37))-INDIRECT(ADDRESS(994,38))+INDIRECT(ADDRESS(997,38))-INDIRECT(ADDRESS(998,38)))</f>
        <v>0</v>
      </c>
      <c r="AM999">
        <f>IF(DAY(NOW())&lt;M3,INDIRECT(ADDRESS(999,38))-INDIRECT(ADDRESS(994,39))+INDIRECT(ADDRESS(995,39))-INDIRECT(ADDRESS(998,39)),INDIRECT(ADDRESS(999,38))-INDIRECT(ADDRESS(994,39))+INDIRECT(ADDRESS(997,39))-INDIRECT(ADDRESS(998,39)))</f>
        <v>0</v>
      </c>
      <c r="AN999">
        <f>IF(DAY(NOW())&lt;M3,INDIRECT(ADDRESS(999,39))-INDIRECT(ADDRESS(994,40))+INDIRECT(ADDRESS(995,40))-INDIRECT(ADDRESS(998,40)),INDIRECT(ADDRESS(999,39))-INDIRECT(ADDRESS(994,40))+INDIRECT(ADDRESS(997,40))-INDIRECT(ADDRESS(998,40)))</f>
        <v>0</v>
      </c>
      <c r="AO999">
        <f>IF(DAY(NOW())&lt;M3,INDIRECT(ADDRESS(999,40))-INDIRECT(ADDRESS(994,41))+INDIRECT(ADDRESS(995,41))-INDIRECT(ADDRESS(998,41)),INDIRECT(ADDRESS(999,40))-INDIRECT(ADDRESS(994,41))+INDIRECT(ADDRESS(997,41))-INDIRECT(ADDRESS(998,41)))</f>
        <v>0</v>
      </c>
      <c r="AP999">
        <f>IF(DAY(NOW())&lt;M3,INDIRECT(ADDRESS(999,41))-INDIRECT(ADDRESS(994,42))+INDIRECT(ADDRESS(995,42))-INDIRECT(ADDRESS(998,42)),INDIRECT(ADDRESS(999,41))-INDIRECT(ADDRESS(994,42))+INDIRECT(ADDRESS(997,42))-INDIRECT(ADDRESS(998,42)))</f>
        <v>0</v>
      </c>
      <c r="AQ999">
        <f>IF(DAY(NOW())&lt;M3,INDIRECT(ADDRESS(999,42))-INDIRECT(ADDRESS(994,43))+INDIRECT(ADDRESS(995,43))-INDIRECT(ADDRESS(998,43)),INDIRECT(ADDRESS(999,42))-INDIRECT(ADDRESS(994,43))+INDIRECT(ADDRESS(997,43))-INDIRECT(ADDRESS(998,43)))</f>
        <v>0</v>
      </c>
      <c r="AR999">
        <f>IF(DAY(NOW())&lt;M3,INDIRECT(ADDRESS(999,43))-INDIRECT(ADDRESS(994,44))+INDIRECT(ADDRESS(995,44))-INDIRECT(ADDRESS(998,44)),INDIRECT(ADDRESS(999,43))-INDIRECT(ADDRESS(994,44))+INDIRECT(ADDRESS(997,44))-INDIRECT(ADDRESS(998,44)))</f>
        <v>0</v>
      </c>
    </row>
    <row r="1000" spans="1:76">
      <c r="A1000" t="s">
        <v>14</v>
      </c>
      <c r="B1000" t="s">
        <v>277</v>
      </c>
      <c r="C1000" t="s">
        <v>93</v>
      </c>
      <c r="D1000" t="s">
        <v>304</v>
      </c>
      <c r="E1000">
        <v>1</v>
      </c>
      <c r="F1000" t="s">
        <v>278</v>
      </c>
      <c r="K1000" t="s">
        <v>305</v>
      </c>
      <c r="L1000" t="s">
        <v>21</v>
      </c>
      <c r="BX1000">
        <f>sum(j1000:an1000)</f>
        <v>0</v>
      </c>
    </row>
    <row r="1001" spans="1:76">
      <c r="A1001" t="s">
        <v>14</v>
      </c>
      <c r="B1001" t="s">
        <v>277</v>
      </c>
      <c r="C1001" t="s">
        <v>93</v>
      </c>
      <c r="D1001" t="s">
        <v>304</v>
      </c>
      <c r="E1001">
        <v>1</v>
      </c>
      <c r="F1001" t="s">
        <v>278</v>
      </c>
      <c r="K1001" t="s">
        <v>305</v>
      </c>
      <c r="L1001" t="s">
        <v>37</v>
      </c>
    </row>
    <row r="1002" spans="1:76">
      <c r="L1002" t="s">
        <v>662</v>
      </c>
    </row>
    <row r="1003" spans="1:76">
      <c r="L1003" t="s">
        <v>663</v>
      </c>
    </row>
    <row r="1004" spans="1:76">
      <c r="L1004" t="s">
        <v>664</v>
      </c>
    </row>
    <row r="1005" spans="1:76">
      <c r="L1005" t="s">
        <v>665</v>
      </c>
      <c r="M1005">
        <f>IF(DAY(NOW())&lt;M3,INDIRECT(ADDRESS(1005,7))-INDIRECT(ADDRESS(1000,13))+INDIRECT(ADDRESS(1001,13))-INDIRECT(ADDRESS(1004,13)),INDIRECT(ADDRESS(1005,7))-INDIRECT(ADDRESS(1000,13))+INDIRECT(ADDRESS(1003,13))-INDIRECT(ADDRESS(1004,13)))</f>
        <v>0</v>
      </c>
      <c r="N1005">
        <f>IF(DAY(NOW())&lt;M3,INDIRECT(ADDRESS(1005,13))-INDIRECT(ADDRESS(1000,14))+INDIRECT(ADDRESS(1001,14))-INDIRECT(ADDRESS(1004,14)),INDIRECT(ADDRESS(1005,13))-INDIRECT(ADDRESS(1000,14))+INDIRECT(ADDRESS(1003,14))-INDIRECT(ADDRESS(1004,14)))</f>
        <v>0</v>
      </c>
      <c r="O1005">
        <f>IF(DAY(NOW())&lt;M3,INDIRECT(ADDRESS(1005,14))-INDIRECT(ADDRESS(1000,15))+INDIRECT(ADDRESS(1001,15))-INDIRECT(ADDRESS(1004,15)),INDIRECT(ADDRESS(1005,14))-INDIRECT(ADDRESS(1000,15))+INDIRECT(ADDRESS(1003,15))-INDIRECT(ADDRESS(1004,15)))</f>
        <v>0</v>
      </c>
      <c r="P1005">
        <f>IF(DAY(NOW())&lt;M3,INDIRECT(ADDRESS(1005,15))-INDIRECT(ADDRESS(1000,16))+INDIRECT(ADDRESS(1001,16))-INDIRECT(ADDRESS(1004,16)),INDIRECT(ADDRESS(1005,15))-INDIRECT(ADDRESS(1000,16))+INDIRECT(ADDRESS(1003,16))-INDIRECT(ADDRESS(1004,16)))</f>
        <v>0</v>
      </c>
      <c r="Q1005">
        <f>IF(DAY(NOW())&lt;M3,INDIRECT(ADDRESS(1005,16))-INDIRECT(ADDRESS(1000,17))+INDIRECT(ADDRESS(1001,17))-INDIRECT(ADDRESS(1004,17)),INDIRECT(ADDRESS(1005,16))-INDIRECT(ADDRESS(1000,17))+INDIRECT(ADDRESS(1003,17))-INDIRECT(ADDRESS(1004,17)))</f>
        <v>0</v>
      </c>
      <c r="R1005">
        <f>IF(DAY(NOW())&lt;M3,INDIRECT(ADDRESS(1005,17))-INDIRECT(ADDRESS(1000,18))+INDIRECT(ADDRESS(1001,18))-INDIRECT(ADDRESS(1004,18)),INDIRECT(ADDRESS(1005,17))-INDIRECT(ADDRESS(1000,18))+INDIRECT(ADDRESS(1003,18))-INDIRECT(ADDRESS(1004,18)))</f>
        <v>0</v>
      </c>
      <c r="S1005">
        <f>IF(DAY(NOW())&lt;M3,INDIRECT(ADDRESS(1005,18))-INDIRECT(ADDRESS(1000,19))+INDIRECT(ADDRESS(1001,19))-INDIRECT(ADDRESS(1004,19)),INDIRECT(ADDRESS(1005,18))-INDIRECT(ADDRESS(1000,19))+INDIRECT(ADDRESS(1003,19))-INDIRECT(ADDRESS(1004,19)))</f>
        <v>0</v>
      </c>
      <c r="T1005">
        <f>IF(DAY(NOW())&lt;M3,INDIRECT(ADDRESS(1005,19))-INDIRECT(ADDRESS(1000,20))+INDIRECT(ADDRESS(1001,20))-INDIRECT(ADDRESS(1004,20)),INDIRECT(ADDRESS(1005,19))-INDIRECT(ADDRESS(1000,20))+INDIRECT(ADDRESS(1003,20))-INDIRECT(ADDRESS(1004,20)))</f>
        <v>0</v>
      </c>
      <c r="U1005">
        <f>IF(DAY(NOW())&lt;M3,INDIRECT(ADDRESS(1005,20))-INDIRECT(ADDRESS(1000,21))+INDIRECT(ADDRESS(1001,21))-INDIRECT(ADDRESS(1004,21)),INDIRECT(ADDRESS(1005,20))-INDIRECT(ADDRESS(1000,21))+INDIRECT(ADDRESS(1003,21))-INDIRECT(ADDRESS(1004,21)))</f>
        <v>0</v>
      </c>
      <c r="V1005">
        <f>IF(DAY(NOW())&lt;M3,INDIRECT(ADDRESS(1005,21))-INDIRECT(ADDRESS(1000,22))+INDIRECT(ADDRESS(1001,22))-INDIRECT(ADDRESS(1004,22)),INDIRECT(ADDRESS(1005,21))-INDIRECT(ADDRESS(1000,22))+INDIRECT(ADDRESS(1003,22))-INDIRECT(ADDRESS(1004,22)))</f>
        <v>0</v>
      </c>
      <c r="W1005">
        <f>IF(DAY(NOW())&lt;M3,INDIRECT(ADDRESS(1005,22))-INDIRECT(ADDRESS(1000,23))+INDIRECT(ADDRESS(1001,23))-INDIRECT(ADDRESS(1004,23)),INDIRECT(ADDRESS(1005,22))-INDIRECT(ADDRESS(1000,23))+INDIRECT(ADDRESS(1003,23))-INDIRECT(ADDRESS(1004,23)))</f>
        <v>0</v>
      </c>
      <c r="X1005">
        <f>IF(DAY(NOW())&lt;M3,INDIRECT(ADDRESS(1005,23))-INDIRECT(ADDRESS(1000,24))+INDIRECT(ADDRESS(1001,24))-INDIRECT(ADDRESS(1004,24)),INDIRECT(ADDRESS(1005,23))-INDIRECT(ADDRESS(1000,24))+INDIRECT(ADDRESS(1003,24))-INDIRECT(ADDRESS(1004,24)))</f>
        <v>0</v>
      </c>
      <c r="Y1005">
        <f>IF(DAY(NOW())&lt;M3,INDIRECT(ADDRESS(1005,24))-INDIRECT(ADDRESS(1000,25))+INDIRECT(ADDRESS(1001,25))-INDIRECT(ADDRESS(1004,25)),INDIRECT(ADDRESS(1005,24))-INDIRECT(ADDRESS(1000,25))+INDIRECT(ADDRESS(1003,25))-INDIRECT(ADDRESS(1004,25)))</f>
        <v>0</v>
      </c>
      <c r="Z1005">
        <f>IF(DAY(NOW())&lt;M3,INDIRECT(ADDRESS(1005,25))-INDIRECT(ADDRESS(1000,26))+INDIRECT(ADDRESS(1001,26))-INDIRECT(ADDRESS(1004,26)),INDIRECT(ADDRESS(1005,25))-INDIRECT(ADDRESS(1000,26))+INDIRECT(ADDRESS(1003,26))-INDIRECT(ADDRESS(1004,26)))</f>
        <v>0</v>
      </c>
      <c r="AA1005">
        <f>IF(DAY(NOW())&lt;M3,INDIRECT(ADDRESS(1005,26))-INDIRECT(ADDRESS(1000,27))+INDIRECT(ADDRESS(1001,27))-INDIRECT(ADDRESS(1004,27)),INDIRECT(ADDRESS(1005,26))-INDIRECT(ADDRESS(1000,27))+INDIRECT(ADDRESS(1003,27))-INDIRECT(ADDRESS(1004,27)))</f>
        <v>0</v>
      </c>
      <c r="AB1005">
        <f>IF(DAY(NOW())&lt;M3,INDIRECT(ADDRESS(1005,27))-INDIRECT(ADDRESS(1000,28))+INDIRECT(ADDRESS(1001,28))-INDIRECT(ADDRESS(1004,28)),INDIRECT(ADDRESS(1005,27))-INDIRECT(ADDRESS(1000,28))+INDIRECT(ADDRESS(1003,28))-INDIRECT(ADDRESS(1004,28)))</f>
        <v>0</v>
      </c>
      <c r="AC1005">
        <f>IF(DAY(NOW())&lt;M3,INDIRECT(ADDRESS(1005,28))-INDIRECT(ADDRESS(1000,29))+INDIRECT(ADDRESS(1001,29))-INDIRECT(ADDRESS(1004,29)),INDIRECT(ADDRESS(1005,28))-INDIRECT(ADDRESS(1000,29))+INDIRECT(ADDRESS(1003,29))-INDIRECT(ADDRESS(1004,29)))</f>
        <v>0</v>
      </c>
      <c r="AD1005">
        <f>IF(DAY(NOW())&lt;M3,INDIRECT(ADDRESS(1005,29))-INDIRECT(ADDRESS(1000,30))+INDIRECT(ADDRESS(1001,30))-INDIRECT(ADDRESS(1004,30)),INDIRECT(ADDRESS(1005,29))-INDIRECT(ADDRESS(1000,30))+INDIRECT(ADDRESS(1003,30))-INDIRECT(ADDRESS(1004,30)))</f>
        <v>0</v>
      </c>
      <c r="AE1005">
        <f>IF(DAY(NOW())&lt;M3,INDIRECT(ADDRESS(1005,30))-INDIRECT(ADDRESS(1000,31))+INDIRECT(ADDRESS(1001,31))-INDIRECT(ADDRESS(1004,31)),INDIRECT(ADDRESS(1005,30))-INDIRECT(ADDRESS(1000,31))+INDIRECT(ADDRESS(1003,31))-INDIRECT(ADDRESS(1004,31)))</f>
        <v>0</v>
      </c>
      <c r="AF1005">
        <f>IF(DAY(NOW())&lt;M3,INDIRECT(ADDRESS(1005,31))-INDIRECT(ADDRESS(1000,32))+INDIRECT(ADDRESS(1001,32))-INDIRECT(ADDRESS(1004,32)),INDIRECT(ADDRESS(1005,31))-INDIRECT(ADDRESS(1000,32))+INDIRECT(ADDRESS(1003,32))-INDIRECT(ADDRESS(1004,32)))</f>
        <v>0</v>
      </c>
      <c r="AG1005">
        <f>IF(DAY(NOW())&lt;M3,INDIRECT(ADDRESS(1005,32))-INDIRECT(ADDRESS(1000,33))+INDIRECT(ADDRESS(1001,33))-INDIRECT(ADDRESS(1004,33)),INDIRECT(ADDRESS(1005,32))-INDIRECT(ADDRESS(1000,33))+INDIRECT(ADDRESS(1003,33))-INDIRECT(ADDRESS(1004,33)))</f>
        <v>0</v>
      </c>
      <c r="AH1005">
        <f>IF(DAY(NOW())&lt;M3,INDIRECT(ADDRESS(1005,33))-INDIRECT(ADDRESS(1000,34))+INDIRECT(ADDRESS(1001,34))-INDIRECT(ADDRESS(1004,34)),INDIRECT(ADDRESS(1005,33))-INDIRECT(ADDRESS(1000,34))+INDIRECT(ADDRESS(1003,34))-INDIRECT(ADDRESS(1004,34)))</f>
        <v>0</v>
      </c>
      <c r="AI1005">
        <f>IF(DAY(NOW())&lt;M3,INDIRECT(ADDRESS(1005,34))-INDIRECT(ADDRESS(1000,35))+INDIRECT(ADDRESS(1001,35))-INDIRECT(ADDRESS(1004,35)),INDIRECT(ADDRESS(1005,34))-INDIRECT(ADDRESS(1000,35))+INDIRECT(ADDRESS(1003,35))-INDIRECT(ADDRESS(1004,35)))</f>
        <v>0</v>
      </c>
      <c r="AJ1005">
        <f>IF(DAY(NOW())&lt;M3,INDIRECT(ADDRESS(1005,35))-INDIRECT(ADDRESS(1000,36))+INDIRECT(ADDRESS(1001,36))-INDIRECT(ADDRESS(1004,36)),INDIRECT(ADDRESS(1005,35))-INDIRECT(ADDRESS(1000,36))+INDIRECT(ADDRESS(1003,36))-INDIRECT(ADDRESS(1004,36)))</f>
        <v>0</v>
      </c>
      <c r="AK1005">
        <f>IF(DAY(NOW())&lt;M3,INDIRECT(ADDRESS(1005,36))-INDIRECT(ADDRESS(1000,37))+INDIRECT(ADDRESS(1001,37))-INDIRECT(ADDRESS(1004,37)),INDIRECT(ADDRESS(1005,36))-INDIRECT(ADDRESS(1000,37))+INDIRECT(ADDRESS(1003,37))-INDIRECT(ADDRESS(1004,37)))</f>
        <v>0</v>
      </c>
      <c r="AL1005">
        <f>IF(DAY(NOW())&lt;M3,INDIRECT(ADDRESS(1005,37))-INDIRECT(ADDRESS(1000,38))+INDIRECT(ADDRESS(1001,38))-INDIRECT(ADDRESS(1004,38)),INDIRECT(ADDRESS(1005,37))-INDIRECT(ADDRESS(1000,38))+INDIRECT(ADDRESS(1003,38))-INDIRECT(ADDRESS(1004,38)))</f>
        <v>0</v>
      </c>
      <c r="AM1005">
        <f>IF(DAY(NOW())&lt;M3,INDIRECT(ADDRESS(1005,38))-INDIRECT(ADDRESS(1000,39))+INDIRECT(ADDRESS(1001,39))-INDIRECT(ADDRESS(1004,39)),INDIRECT(ADDRESS(1005,38))-INDIRECT(ADDRESS(1000,39))+INDIRECT(ADDRESS(1003,39))-INDIRECT(ADDRESS(1004,39)))</f>
        <v>0</v>
      </c>
      <c r="AN1005">
        <f>IF(DAY(NOW())&lt;M3,INDIRECT(ADDRESS(1005,39))-INDIRECT(ADDRESS(1000,40))+INDIRECT(ADDRESS(1001,40))-INDIRECT(ADDRESS(1004,40)),INDIRECT(ADDRESS(1005,39))-INDIRECT(ADDRESS(1000,40))+INDIRECT(ADDRESS(1003,40))-INDIRECT(ADDRESS(1004,40)))</f>
        <v>0</v>
      </c>
      <c r="AO1005">
        <f>IF(DAY(NOW())&lt;M3,INDIRECT(ADDRESS(1005,40))-INDIRECT(ADDRESS(1000,41))+INDIRECT(ADDRESS(1001,41))-INDIRECT(ADDRESS(1004,41)),INDIRECT(ADDRESS(1005,40))-INDIRECT(ADDRESS(1000,41))+INDIRECT(ADDRESS(1003,41))-INDIRECT(ADDRESS(1004,41)))</f>
        <v>0</v>
      </c>
      <c r="AP1005">
        <f>IF(DAY(NOW())&lt;M3,INDIRECT(ADDRESS(1005,41))-INDIRECT(ADDRESS(1000,42))+INDIRECT(ADDRESS(1001,42))-INDIRECT(ADDRESS(1004,42)),INDIRECT(ADDRESS(1005,41))-INDIRECT(ADDRESS(1000,42))+INDIRECT(ADDRESS(1003,42))-INDIRECT(ADDRESS(1004,42)))</f>
        <v>0</v>
      </c>
      <c r="AQ1005">
        <f>IF(DAY(NOW())&lt;M3,INDIRECT(ADDRESS(1005,42))-INDIRECT(ADDRESS(1000,43))+INDIRECT(ADDRESS(1001,43))-INDIRECT(ADDRESS(1004,43)),INDIRECT(ADDRESS(1005,42))-INDIRECT(ADDRESS(1000,43))+INDIRECT(ADDRESS(1003,43))-INDIRECT(ADDRESS(1004,43)))</f>
        <v>0</v>
      </c>
      <c r="AR1005">
        <f>IF(DAY(NOW())&lt;M3,INDIRECT(ADDRESS(1005,43))-INDIRECT(ADDRESS(1000,44))+INDIRECT(ADDRESS(1001,44))-INDIRECT(ADDRESS(1004,44)),INDIRECT(ADDRESS(1005,43))-INDIRECT(ADDRESS(1000,44))+INDIRECT(ADDRESS(1003,44))-INDIRECT(ADDRESS(1004,44)))</f>
        <v>0</v>
      </c>
    </row>
    <row r="1006" spans="1:76">
      <c r="A1006" t="s">
        <v>31</v>
      </c>
      <c r="B1006" t="s">
        <v>327</v>
      </c>
      <c r="C1006" t="s">
        <v>328</v>
      </c>
      <c r="D1006" t="s">
        <v>304</v>
      </c>
      <c r="E1006">
        <v>3</v>
      </c>
      <c r="F1006" t="s">
        <v>330</v>
      </c>
      <c r="K1006" t="s">
        <v>308</v>
      </c>
      <c r="L1006" t="s">
        <v>21</v>
      </c>
      <c r="M1006">
        <f>sumifs(BOM!m:m,BOM!A:A,".1",BOM!B:B,"232-006600-000")</f>
        <v>0</v>
      </c>
      <c r="N1006">
        <f>sumifs(BOM!n:n,BOM!A:A,".1",BOM!B:B,"232-006600-000")</f>
        <v>0</v>
      </c>
      <c r="O1006">
        <f>sumifs(BOM!o:o,BOM!A:A,".1",BOM!B:B,"232-006600-000")</f>
        <v>0</v>
      </c>
      <c r="P1006">
        <f>sumifs(BOM!p:p,BOM!A:A,".1",BOM!B:B,"232-006600-000")</f>
        <v>0</v>
      </c>
      <c r="Q1006">
        <f>sumifs(BOM!q:q,BOM!A:A,".1",BOM!B:B,"232-006600-000")</f>
        <v>0</v>
      </c>
      <c r="R1006">
        <f>sumifs(BOM!r:r,BOM!A:A,".1",BOM!B:B,"232-006600-000")</f>
        <v>0</v>
      </c>
      <c r="S1006">
        <f>sumifs(BOM!s:s,BOM!A:A,".1",BOM!B:B,"232-006600-000")</f>
        <v>0</v>
      </c>
      <c r="T1006">
        <f>sumifs(BOM!t:t,BOM!A:A,".1",BOM!B:B,"232-006600-000")</f>
        <v>0</v>
      </c>
      <c r="U1006">
        <f>sumifs(BOM!u:u,BOM!A:A,".1",BOM!B:B,"232-006600-000")</f>
        <v>0</v>
      </c>
      <c r="V1006">
        <f>sumifs(BOM!v:v,BOM!A:A,".1",BOM!B:B,"232-006600-000")</f>
        <v>0</v>
      </c>
      <c r="W1006">
        <f>sumifs(BOM!w:w,BOM!A:A,".1",BOM!B:B,"232-006600-000")</f>
        <v>0</v>
      </c>
      <c r="X1006">
        <f>sumifs(BOM!x:x,BOM!A:A,".1",BOM!B:B,"232-006600-000")</f>
        <v>0</v>
      </c>
      <c r="Y1006">
        <f>sumifs(BOM!y:y,BOM!A:A,".1",BOM!B:B,"232-006600-000")</f>
        <v>0</v>
      </c>
      <c r="Z1006">
        <f>sumifs(BOM!z:z,BOM!A:A,".1",BOM!B:B,"232-006600-000")</f>
        <v>0</v>
      </c>
      <c r="AA1006">
        <f>sumifs(BOM!aa:aa,BOM!A:A,".1",BOM!B:B,"232-006600-000")</f>
        <v>0</v>
      </c>
      <c r="AB1006">
        <f>sumifs(BOM!ab:ab,BOM!A:A,".1",BOM!B:B,"232-006600-000")</f>
        <v>0</v>
      </c>
      <c r="AC1006">
        <f>sumifs(BOM!ac:ac,BOM!A:A,".1",BOM!B:B,"232-006600-000")</f>
        <v>0</v>
      </c>
      <c r="AD1006">
        <f>sumifs(BOM!ad:ad,BOM!A:A,".1",BOM!B:B,"232-006600-000")</f>
        <v>0</v>
      </c>
      <c r="AE1006">
        <f>sumifs(BOM!ae:ae,BOM!A:A,".1",BOM!B:B,"232-006600-000")</f>
        <v>0</v>
      </c>
      <c r="AF1006">
        <f>sumifs(BOM!af:af,BOM!A:A,".1",BOM!B:B,"232-006600-000")</f>
        <v>0</v>
      </c>
      <c r="AG1006">
        <f>sumifs(BOM!ag:ag,BOM!A:A,".1",BOM!B:B,"232-006600-000")</f>
        <v>0</v>
      </c>
      <c r="AH1006">
        <f>sumifs(BOM!ah:ah,BOM!A:A,".1",BOM!B:B,"232-006600-000")</f>
        <v>0</v>
      </c>
      <c r="AI1006">
        <f>sumifs(BOM!ai:ai,BOM!A:A,".1",BOM!B:B,"232-006600-000")</f>
        <v>0</v>
      </c>
      <c r="AJ1006">
        <f>sumifs(BOM!aj:aj,BOM!A:A,".1",BOM!B:B,"232-006600-000")</f>
        <v>0</v>
      </c>
      <c r="AK1006">
        <f>sumifs(BOM!ak:ak,BOM!A:A,".1",BOM!B:B,"232-006600-000")</f>
        <v>0</v>
      </c>
      <c r="AL1006">
        <f>sumifs(BOM!al:al,BOM!A:A,".1",BOM!B:B,"232-006600-000")</f>
        <v>0</v>
      </c>
      <c r="AM1006">
        <f>sumifs(BOM!am:am,BOM!A:A,".1",BOM!B:B,"232-006600-000")</f>
        <v>0</v>
      </c>
      <c r="AN1006">
        <f>sumifs(BOM!an:an,BOM!A:A,".1",BOM!B:B,"232-006600-000")</f>
        <v>0</v>
      </c>
      <c r="AO1006">
        <f>sumifs(BOM!ao:ao,BOM!A:A,".1",BOM!B:B,"232-006600-000")</f>
        <v>0</v>
      </c>
      <c r="AP1006">
        <f>sumifs(BOM!ap:ap,BOM!A:A,".1",BOM!B:B,"232-006600-000")</f>
        <v>0</v>
      </c>
      <c r="AQ1006">
        <f>sumifs(BOM!aq:aq,BOM!A:A,".1",BOM!B:B,"232-006600-000")</f>
        <v>0</v>
      </c>
      <c r="AR1006">
        <f>sumifs(BOM!ar:ar,BOM!A:A,".1",BOM!B:B,"232-006600-000")</f>
        <v>0</v>
      </c>
      <c r="BX1006">
        <f>sum(j1006:an1006)</f>
        <v>0</v>
      </c>
    </row>
    <row r="1007" spans="1:76">
      <c r="A1007" t="s">
        <v>31</v>
      </c>
      <c r="B1007" t="s">
        <v>327</v>
      </c>
      <c r="C1007" t="s">
        <v>328</v>
      </c>
      <c r="D1007" t="s">
        <v>304</v>
      </c>
      <c r="E1007">
        <v>3</v>
      </c>
      <c r="F1007" t="s">
        <v>330</v>
      </c>
      <c r="K1007" t="s">
        <v>308</v>
      </c>
      <c r="L1007" t="s">
        <v>37</v>
      </c>
    </row>
    <row r="1008" spans="1:76">
      <c r="L1008" t="s">
        <v>662</v>
      </c>
    </row>
    <row r="1009" spans="1:76">
      <c r="L1009" t="s">
        <v>663</v>
      </c>
    </row>
    <row r="1010" spans="1:76">
      <c r="L1010" t="s">
        <v>664</v>
      </c>
    </row>
    <row r="1011" spans="1:76">
      <c r="L1011" t="s">
        <v>665</v>
      </c>
      <c r="M1011">
        <f>IF(DAY(NOW())&lt;M3,INDIRECT(ADDRESS(1011,7))-INDIRECT(ADDRESS(1006,13))+INDIRECT(ADDRESS(1007,13))-INDIRECT(ADDRESS(1010,13)),INDIRECT(ADDRESS(1011,7))-INDIRECT(ADDRESS(1006,13))+INDIRECT(ADDRESS(1009,13))-INDIRECT(ADDRESS(1010,13)))</f>
        <v>0</v>
      </c>
      <c r="N1011">
        <f>IF(DAY(NOW())&lt;M3,INDIRECT(ADDRESS(1011,13))-INDIRECT(ADDRESS(1006,14))+INDIRECT(ADDRESS(1007,14))-INDIRECT(ADDRESS(1010,14)),INDIRECT(ADDRESS(1011,13))-INDIRECT(ADDRESS(1006,14))+INDIRECT(ADDRESS(1009,14))-INDIRECT(ADDRESS(1010,14)))</f>
        <v>0</v>
      </c>
      <c r="O1011">
        <f>IF(DAY(NOW())&lt;M3,INDIRECT(ADDRESS(1011,14))-INDIRECT(ADDRESS(1006,15))+INDIRECT(ADDRESS(1007,15))-INDIRECT(ADDRESS(1010,15)),INDIRECT(ADDRESS(1011,14))-INDIRECT(ADDRESS(1006,15))+INDIRECT(ADDRESS(1009,15))-INDIRECT(ADDRESS(1010,15)))</f>
        <v>0</v>
      </c>
      <c r="P1011">
        <f>IF(DAY(NOW())&lt;M3,INDIRECT(ADDRESS(1011,15))-INDIRECT(ADDRESS(1006,16))+INDIRECT(ADDRESS(1007,16))-INDIRECT(ADDRESS(1010,16)),INDIRECT(ADDRESS(1011,15))-INDIRECT(ADDRESS(1006,16))+INDIRECT(ADDRESS(1009,16))-INDIRECT(ADDRESS(1010,16)))</f>
        <v>0</v>
      </c>
      <c r="Q1011">
        <f>IF(DAY(NOW())&lt;M3,INDIRECT(ADDRESS(1011,16))-INDIRECT(ADDRESS(1006,17))+INDIRECT(ADDRESS(1007,17))-INDIRECT(ADDRESS(1010,17)),INDIRECT(ADDRESS(1011,16))-INDIRECT(ADDRESS(1006,17))+INDIRECT(ADDRESS(1009,17))-INDIRECT(ADDRESS(1010,17)))</f>
        <v>0</v>
      </c>
      <c r="R1011">
        <f>IF(DAY(NOW())&lt;M3,INDIRECT(ADDRESS(1011,17))-INDIRECT(ADDRESS(1006,18))+INDIRECT(ADDRESS(1007,18))-INDIRECT(ADDRESS(1010,18)),INDIRECT(ADDRESS(1011,17))-INDIRECT(ADDRESS(1006,18))+INDIRECT(ADDRESS(1009,18))-INDIRECT(ADDRESS(1010,18)))</f>
        <v>0</v>
      </c>
      <c r="S1011">
        <f>IF(DAY(NOW())&lt;M3,INDIRECT(ADDRESS(1011,18))-INDIRECT(ADDRESS(1006,19))+INDIRECT(ADDRESS(1007,19))-INDIRECT(ADDRESS(1010,19)),INDIRECT(ADDRESS(1011,18))-INDIRECT(ADDRESS(1006,19))+INDIRECT(ADDRESS(1009,19))-INDIRECT(ADDRESS(1010,19)))</f>
        <v>0</v>
      </c>
      <c r="T1011">
        <f>IF(DAY(NOW())&lt;M3,INDIRECT(ADDRESS(1011,19))-INDIRECT(ADDRESS(1006,20))+INDIRECT(ADDRESS(1007,20))-INDIRECT(ADDRESS(1010,20)),INDIRECT(ADDRESS(1011,19))-INDIRECT(ADDRESS(1006,20))+INDIRECT(ADDRESS(1009,20))-INDIRECT(ADDRESS(1010,20)))</f>
        <v>0</v>
      </c>
      <c r="U1011">
        <f>IF(DAY(NOW())&lt;M3,INDIRECT(ADDRESS(1011,20))-INDIRECT(ADDRESS(1006,21))+INDIRECT(ADDRESS(1007,21))-INDIRECT(ADDRESS(1010,21)),INDIRECT(ADDRESS(1011,20))-INDIRECT(ADDRESS(1006,21))+INDIRECT(ADDRESS(1009,21))-INDIRECT(ADDRESS(1010,21)))</f>
        <v>0</v>
      </c>
      <c r="V1011">
        <f>IF(DAY(NOW())&lt;M3,INDIRECT(ADDRESS(1011,21))-INDIRECT(ADDRESS(1006,22))+INDIRECT(ADDRESS(1007,22))-INDIRECT(ADDRESS(1010,22)),INDIRECT(ADDRESS(1011,21))-INDIRECT(ADDRESS(1006,22))+INDIRECT(ADDRESS(1009,22))-INDIRECT(ADDRESS(1010,22)))</f>
        <v>0</v>
      </c>
      <c r="W1011">
        <f>IF(DAY(NOW())&lt;M3,INDIRECT(ADDRESS(1011,22))-INDIRECT(ADDRESS(1006,23))+INDIRECT(ADDRESS(1007,23))-INDIRECT(ADDRESS(1010,23)),INDIRECT(ADDRESS(1011,22))-INDIRECT(ADDRESS(1006,23))+INDIRECT(ADDRESS(1009,23))-INDIRECT(ADDRESS(1010,23)))</f>
        <v>0</v>
      </c>
      <c r="X1011">
        <f>IF(DAY(NOW())&lt;M3,INDIRECT(ADDRESS(1011,23))-INDIRECT(ADDRESS(1006,24))+INDIRECT(ADDRESS(1007,24))-INDIRECT(ADDRESS(1010,24)),INDIRECT(ADDRESS(1011,23))-INDIRECT(ADDRESS(1006,24))+INDIRECT(ADDRESS(1009,24))-INDIRECT(ADDRESS(1010,24)))</f>
        <v>0</v>
      </c>
      <c r="Y1011">
        <f>IF(DAY(NOW())&lt;M3,INDIRECT(ADDRESS(1011,24))-INDIRECT(ADDRESS(1006,25))+INDIRECT(ADDRESS(1007,25))-INDIRECT(ADDRESS(1010,25)),INDIRECT(ADDRESS(1011,24))-INDIRECT(ADDRESS(1006,25))+INDIRECT(ADDRESS(1009,25))-INDIRECT(ADDRESS(1010,25)))</f>
        <v>0</v>
      </c>
      <c r="Z1011">
        <f>IF(DAY(NOW())&lt;M3,INDIRECT(ADDRESS(1011,25))-INDIRECT(ADDRESS(1006,26))+INDIRECT(ADDRESS(1007,26))-INDIRECT(ADDRESS(1010,26)),INDIRECT(ADDRESS(1011,25))-INDIRECT(ADDRESS(1006,26))+INDIRECT(ADDRESS(1009,26))-INDIRECT(ADDRESS(1010,26)))</f>
        <v>0</v>
      </c>
      <c r="AA1011">
        <f>IF(DAY(NOW())&lt;M3,INDIRECT(ADDRESS(1011,26))-INDIRECT(ADDRESS(1006,27))+INDIRECT(ADDRESS(1007,27))-INDIRECT(ADDRESS(1010,27)),INDIRECT(ADDRESS(1011,26))-INDIRECT(ADDRESS(1006,27))+INDIRECT(ADDRESS(1009,27))-INDIRECT(ADDRESS(1010,27)))</f>
        <v>0</v>
      </c>
      <c r="AB1011">
        <f>IF(DAY(NOW())&lt;M3,INDIRECT(ADDRESS(1011,27))-INDIRECT(ADDRESS(1006,28))+INDIRECT(ADDRESS(1007,28))-INDIRECT(ADDRESS(1010,28)),INDIRECT(ADDRESS(1011,27))-INDIRECT(ADDRESS(1006,28))+INDIRECT(ADDRESS(1009,28))-INDIRECT(ADDRESS(1010,28)))</f>
        <v>0</v>
      </c>
      <c r="AC1011">
        <f>IF(DAY(NOW())&lt;M3,INDIRECT(ADDRESS(1011,28))-INDIRECT(ADDRESS(1006,29))+INDIRECT(ADDRESS(1007,29))-INDIRECT(ADDRESS(1010,29)),INDIRECT(ADDRESS(1011,28))-INDIRECT(ADDRESS(1006,29))+INDIRECT(ADDRESS(1009,29))-INDIRECT(ADDRESS(1010,29)))</f>
        <v>0</v>
      </c>
      <c r="AD1011">
        <f>IF(DAY(NOW())&lt;M3,INDIRECT(ADDRESS(1011,29))-INDIRECT(ADDRESS(1006,30))+INDIRECT(ADDRESS(1007,30))-INDIRECT(ADDRESS(1010,30)),INDIRECT(ADDRESS(1011,29))-INDIRECT(ADDRESS(1006,30))+INDIRECT(ADDRESS(1009,30))-INDIRECT(ADDRESS(1010,30)))</f>
        <v>0</v>
      </c>
      <c r="AE1011">
        <f>IF(DAY(NOW())&lt;M3,INDIRECT(ADDRESS(1011,30))-INDIRECT(ADDRESS(1006,31))+INDIRECT(ADDRESS(1007,31))-INDIRECT(ADDRESS(1010,31)),INDIRECT(ADDRESS(1011,30))-INDIRECT(ADDRESS(1006,31))+INDIRECT(ADDRESS(1009,31))-INDIRECT(ADDRESS(1010,31)))</f>
        <v>0</v>
      </c>
      <c r="AF1011">
        <f>IF(DAY(NOW())&lt;M3,INDIRECT(ADDRESS(1011,31))-INDIRECT(ADDRESS(1006,32))+INDIRECT(ADDRESS(1007,32))-INDIRECT(ADDRESS(1010,32)),INDIRECT(ADDRESS(1011,31))-INDIRECT(ADDRESS(1006,32))+INDIRECT(ADDRESS(1009,32))-INDIRECT(ADDRESS(1010,32)))</f>
        <v>0</v>
      </c>
      <c r="AG1011">
        <f>IF(DAY(NOW())&lt;M3,INDIRECT(ADDRESS(1011,32))-INDIRECT(ADDRESS(1006,33))+INDIRECT(ADDRESS(1007,33))-INDIRECT(ADDRESS(1010,33)),INDIRECT(ADDRESS(1011,32))-INDIRECT(ADDRESS(1006,33))+INDIRECT(ADDRESS(1009,33))-INDIRECT(ADDRESS(1010,33)))</f>
        <v>0</v>
      </c>
      <c r="AH1011">
        <f>IF(DAY(NOW())&lt;M3,INDIRECT(ADDRESS(1011,33))-INDIRECT(ADDRESS(1006,34))+INDIRECT(ADDRESS(1007,34))-INDIRECT(ADDRESS(1010,34)),INDIRECT(ADDRESS(1011,33))-INDIRECT(ADDRESS(1006,34))+INDIRECT(ADDRESS(1009,34))-INDIRECT(ADDRESS(1010,34)))</f>
        <v>0</v>
      </c>
      <c r="AI1011">
        <f>IF(DAY(NOW())&lt;M3,INDIRECT(ADDRESS(1011,34))-INDIRECT(ADDRESS(1006,35))+INDIRECT(ADDRESS(1007,35))-INDIRECT(ADDRESS(1010,35)),INDIRECT(ADDRESS(1011,34))-INDIRECT(ADDRESS(1006,35))+INDIRECT(ADDRESS(1009,35))-INDIRECT(ADDRESS(1010,35)))</f>
        <v>0</v>
      </c>
      <c r="AJ1011">
        <f>IF(DAY(NOW())&lt;M3,INDIRECT(ADDRESS(1011,35))-INDIRECT(ADDRESS(1006,36))+INDIRECT(ADDRESS(1007,36))-INDIRECT(ADDRESS(1010,36)),INDIRECT(ADDRESS(1011,35))-INDIRECT(ADDRESS(1006,36))+INDIRECT(ADDRESS(1009,36))-INDIRECT(ADDRESS(1010,36)))</f>
        <v>0</v>
      </c>
      <c r="AK1011">
        <f>IF(DAY(NOW())&lt;M3,INDIRECT(ADDRESS(1011,36))-INDIRECT(ADDRESS(1006,37))+INDIRECT(ADDRESS(1007,37))-INDIRECT(ADDRESS(1010,37)),INDIRECT(ADDRESS(1011,36))-INDIRECT(ADDRESS(1006,37))+INDIRECT(ADDRESS(1009,37))-INDIRECT(ADDRESS(1010,37)))</f>
        <v>0</v>
      </c>
      <c r="AL1011">
        <f>IF(DAY(NOW())&lt;M3,INDIRECT(ADDRESS(1011,37))-INDIRECT(ADDRESS(1006,38))+INDIRECT(ADDRESS(1007,38))-INDIRECT(ADDRESS(1010,38)),INDIRECT(ADDRESS(1011,37))-INDIRECT(ADDRESS(1006,38))+INDIRECT(ADDRESS(1009,38))-INDIRECT(ADDRESS(1010,38)))</f>
        <v>0</v>
      </c>
      <c r="AM1011">
        <f>IF(DAY(NOW())&lt;M3,INDIRECT(ADDRESS(1011,38))-INDIRECT(ADDRESS(1006,39))+INDIRECT(ADDRESS(1007,39))-INDIRECT(ADDRESS(1010,39)),INDIRECT(ADDRESS(1011,38))-INDIRECT(ADDRESS(1006,39))+INDIRECT(ADDRESS(1009,39))-INDIRECT(ADDRESS(1010,39)))</f>
        <v>0</v>
      </c>
      <c r="AN1011">
        <f>IF(DAY(NOW())&lt;M3,INDIRECT(ADDRESS(1011,39))-INDIRECT(ADDRESS(1006,40))+INDIRECT(ADDRESS(1007,40))-INDIRECT(ADDRESS(1010,40)),INDIRECT(ADDRESS(1011,39))-INDIRECT(ADDRESS(1006,40))+INDIRECT(ADDRESS(1009,40))-INDIRECT(ADDRESS(1010,40)))</f>
        <v>0</v>
      </c>
      <c r="AO1011">
        <f>IF(DAY(NOW())&lt;M3,INDIRECT(ADDRESS(1011,40))-INDIRECT(ADDRESS(1006,41))+INDIRECT(ADDRESS(1007,41))-INDIRECT(ADDRESS(1010,41)),INDIRECT(ADDRESS(1011,40))-INDIRECT(ADDRESS(1006,41))+INDIRECT(ADDRESS(1009,41))-INDIRECT(ADDRESS(1010,41)))</f>
        <v>0</v>
      </c>
      <c r="AP1011">
        <f>IF(DAY(NOW())&lt;M3,INDIRECT(ADDRESS(1011,41))-INDIRECT(ADDRESS(1006,42))+INDIRECT(ADDRESS(1007,42))-INDIRECT(ADDRESS(1010,42)),INDIRECT(ADDRESS(1011,41))-INDIRECT(ADDRESS(1006,42))+INDIRECT(ADDRESS(1009,42))-INDIRECT(ADDRESS(1010,42)))</f>
        <v>0</v>
      </c>
      <c r="AQ1011">
        <f>IF(DAY(NOW())&lt;M3,INDIRECT(ADDRESS(1011,42))-INDIRECT(ADDRESS(1006,43))+INDIRECT(ADDRESS(1007,43))-INDIRECT(ADDRESS(1010,43)),INDIRECT(ADDRESS(1011,42))-INDIRECT(ADDRESS(1006,43))+INDIRECT(ADDRESS(1009,43))-INDIRECT(ADDRESS(1010,43)))</f>
        <v>0</v>
      </c>
      <c r="AR1011">
        <f>IF(DAY(NOW())&lt;M3,INDIRECT(ADDRESS(1011,43))-INDIRECT(ADDRESS(1006,44))+INDIRECT(ADDRESS(1007,44))-INDIRECT(ADDRESS(1010,44)),INDIRECT(ADDRESS(1011,43))-INDIRECT(ADDRESS(1006,44))+INDIRECT(ADDRESS(1009,44))-INDIRECT(ADDRESS(1010,44)))</f>
        <v>0</v>
      </c>
    </row>
    <row r="1012" spans="1:76">
      <c r="A1012" t="s">
        <v>31</v>
      </c>
      <c r="B1012" t="s">
        <v>426</v>
      </c>
      <c r="C1012" t="s">
        <v>338</v>
      </c>
      <c r="D1012" t="s">
        <v>17</v>
      </c>
      <c r="E1012">
        <v>1</v>
      </c>
      <c r="F1012" t="s">
        <v>427</v>
      </c>
      <c r="K1012" t="s">
        <v>308</v>
      </c>
      <c r="L1012" t="s">
        <v>21</v>
      </c>
      <c r="M1012">
        <f>sumifs(BOM!m:m,BOM!A:A,".1",BOM!B:B,"212-049300-000")</f>
        <v>0</v>
      </c>
      <c r="N1012">
        <f>sumifs(BOM!n:n,BOM!A:A,".1",BOM!B:B,"212-049300-000")</f>
        <v>0</v>
      </c>
      <c r="O1012">
        <f>sumifs(BOM!o:o,BOM!A:A,".1",BOM!B:B,"212-049300-000")</f>
        <v>0</v>
      </c>
      <c r="P1012">
        <f>sumifs(BOM!p:p,BOM!A:A,".1",BOM!B:B,"212-049300-000")</f>
        <v>0</v>
      </c>
      <c r="Q1012">
        <f>sumifs(BOM!q:q,BOM!A:A,".1",BOM!B:B,"212-049300-000")</f>
        <v>0</v>
      </c>
      <c r="R1012">
        <f>sumifs(BOM!r:r,BOM!A:A,".1",BOM!B:B,"212-049300-000")</f>
        <v>0</v>
      </c>
      <c r="S1012">
        <f>sumifs(BOM!s:s,BOM!A:A,".1",BOM!B:B,"212-049300-000")</f>
        <v>0</v>
      </c>
      <c r="T1012">
        <f>sumifs(BOM!t:t,BOM!A:A,".1",BOM!B:B,"212-049300-000")</f>
        <v>0</v>
      </c>
      <c r="U1012">
        <f>sumifs(BOM!u:u,BOM!A:A,".1",BOM!B:B,"212-049300-000")</f>
        <v>0</v>
      </c>
      <c r="V1012">
        <f>sumifs(BOM!v:v,BOM!A:A,".1",BOM!B:B,"212-049300-000")</f>
        <v>0</v>
      </c>
      <c r="W1012">
        <f>sumifs(BOM!w:w,BOM!A:A,".1",BOM!B:B,"212-049300-000")</f>
        <v>0</v>
      </c>
      <c r="X1012">
        <f>sumifs(BOM!x:x,BOM!A:A,".1",BOM!B:B,"212-049300-000")</f>
        <v>0</v>
      </c>
      <c r="Y1012">
        <f>sumifs(BOM!y:y,BOM!A:A,".1",BOM!B:B,"212-049300-000")</f>
        <v>0</v>
      </c>
      <c r="Z1012">
        <f>sumifs(BOM!z:z,BOM!A:A,".1",BOM!B:B,"212-049300-000")</f>
        <v>0</v>
      </c>
      <c r="AA1012">
        <f>sumifs(BOM!aa:aa,BOM!A:A,".1",BOM!B:B,"212-049300-000")</f>
        <v>0</v>
      </c>
      <c r="AB1012">
        <f>sumifs(BOM!ab:ab,BOM!A:A,".1",BOM!B:B,"212-049300-000")</f>
        <v>0</v>
      </c>
      <c r="AC1012">
        <f>sumifs(BOM!ac:ac,BOM!A:A,".1",BOM!B:B,"212-049300-000")</f>
        <v>0</v>
      </c>
      <c r="AD1012">
        <f>sumifs(BOM!ad:ad,BOM!A:A,".1",BOM!B:B,"212-049300-000")</f>
        <v>0</v>
      </c>
      <c r="AE1012">
        <f>sumifs(BOM!ae:ae,BOM!A:A,".1",BOM!B:B,"212-049300-000")</f>
        <v>0</v>
      </c>
      <c r="AF1012">
        <f>sumifs(BOM!af:af,BOM!A:A,".1",BOM!B:B,"212-049300-000")</f>
        <v>0</v>
      </c>
      <c r="AG1012">
        <f>sumifs(BOM!ag:ag,BOM!A:A,".1",BOM!B:B,"212-049300-000")</f>
        <v>0</v>
      </c>
      <c r="AH1012">
        <f>sumifs(BOM!ah:ah,BOM!A:A,".1",BOM!B:B,"212-049300-000")</f>
        <v>0</v>
      </c>
      <c r="AI1012">
        <f>sumifs(BOM!ai:ai,BOM!A:A,".1",BOM!B:B,"212-049300-000")</f>
        <v>0</v>
      </c>
      <c r="AJ1012">
        <f>sumifs(BOM!aj:aj,BOM!A:A,".1",BOM!B:B,"212-049300-000")</f>
        <v>0</v>
      </c>
      <c r="AK1012">
        <f>sumifs(BOM!ak:ak,BOM!A:A,".1",BOM!B:B,"212-049300-000")</f>
        <v>0</v>
      </c>
      <c r="AL1012">
        <f>sumifs(BOM!al:al,BOM!A:A,".1",BOM!B:B,"212-049300-000")</f>
        <v>0</v>
      </c>
      <c r="AM1012">
        <f>sumifs(BOM!am:am,BOM!A:A,".1",BOM!B:B,"212-049300-000")</f>
        <v>0</v>
      </c>
      <c r="AN1012">
        <f>sumifs(BOM!an:an,BOM!A:A,".1",BOM!B:B,"212-049300-000")</f>
        <v>0</v>
      </c>
      <c r="AO1012">
        <f>sumifs(BOM!ao:ao,BOM!A:A,".1",BOM!B:B,"212-049300-000")</f>
        <v>0</v>
      </c>
      <c r="AP1012">
        <f>sumifs(BOM!ap:ap,BOM!A:A,".1",BOM!B:B,"212-049300-000")</f>
        <v>0</v>
      </c>
      <c r="AQ1012">
        <f>sumifs(BOM!aq:aq,BOM!A:A,".1",BOM!B:B,"212-049300-000")</f>
        <v>0</v>
      </c>
      <c r="AR1012">
        <f>sumifs(BOM!ar:ar,BOM!A:A,".1",BOM!B:B,"212-049300-000")</f>
        <v>0</v>
      </c>
      <c r="BX1012">
        <f>sum(j1012:an1012)</f>
        <v>0</v>
      </c>
    </row>
    <row r="1013" spans="1:76">
      <c r="A1013" t="s">
        <v>31</v>
      </c>
      <c r="B1013" t="s">
        <v>426</v>
      </c>
      <c r="C1013" t="s">
        <v>338</v>
      </c>
      <c r="D1013" t="s">
        <v>17</v>
      </c>
      <c r="E1013">
        <v>1</v>
      </c>
      <c r="F1013" t="s">
        <v>427</v>
      </c>
      <c r="K1013" t="s">
        <v>308</v>
      </c>
      <c r="L1013" t="s">
        <v>37</v>
      </c>
    </row>
    <row r="1014" spans="1:76">
      <c r="L1014" t="s">
        <v>662</v>
      </c>
    </row>
    <row r="1015" spans="1:76">
      <c r="L1015" t="s">
        <v>663</v>
      </c>
    </row>
    <row r="1016" spans="1:76">
      <c r="L1016" t="s">
        <v>664</v>
      </c>
    </row>
    <row r="1017" spans="1:76">
      <c r="L1017" t="s">
        <v>665</v>
      </c>
      <c r="M1017">
        <f>IF(DAY(NOW())&lt;M3,INDIRECT(ADDRESS(1017,7))-INDIRECT(ADDRESS(1012,13))+INDIRECT(ADDRESS(1013,13))-INDIRECT(ADDRESS(1016,13)),INDIRECT(ADDRESS(1017,7))-INDIRECT(ADDRESS(1012,13))+INDIRECT(ADDRESS(1015,13))-INDIRECT(ADDRESS(1016,13)))</f>
        <v>0</v>
      </c>
      <c r="N1017">
        <f>IF(DAY(NOW())&lt;M3,INDIRECT(ADDRESS(1017,13))-INDIRECT(ADDRESS(1012,14))+INDIRECT(ADDRESS(1013,14))-INDIRECT(ADDRESS(1016,14)),INDIRECT(ADDRESS(1017,13))-INDIRECT(ADDRESS(1012,14))+INDIRECT(ADDRESS(1015,14))-INDIRECT(ADDRESS(1016,14)))</f>
        <v>0</v>
      </c>
      <c r="O1017">
        <f>IF(DAY(NOW())&lt;M3,INDIRECT(ADDRESS(1017,14))-INDIRECT(ADDRESS(1012,15))+INDIRECT(ADDRESS(1013,15))-INDIRECT(ADDRESS(1016,15)),INDIRECT(ADDRESS(1017,14))-INDIRECT(ADDRESS(1012,15))+INDIRECT(ADDRESS(1015,15))-INDIRECT(ADDRESS(1016,15)))</f>
        <v>0</v>
      </c>
      <c r="P1017">
        <f>IF(DAY(NOW())&lt;M3,INDIRECT(ADDRESS(1017,15))-INDIRECT(ADDRESS(1012,16))+INDIRECT(ADDRESS(1013,16))-INDIRECT(ADDRESS(1016,16)),INDIRECT(ADDRESS(1017,15))-INDIRECT(ADDRESS(1012,16))+INDIRECT(ADDRESS(1015,16))-INDIRECT(ADDRESS(1016,16)))</f>
        <v>0</v>
      </c>
      <c r="Q1017">
        <f>IF(DAY(NOW())&lt;M3,INDIRECT(ADDRESS(1017,16))-INDIRECT(ADDRESS(1012,17))+INDIRECT(ADDRESS(1013,17))-INDIRECT(ADDRESS(1016,17)),INDIRECT(ADDRESS(1017,16))-INDIRECT(ADDRESS(1012,17))+INDIRECT(ADDRESS(1015,17))-INDIRECT(ADDRESS(1016,17)))</f>
        <v>0</v>
      </c>
      <c r="R1017">
        <f>IF(DAY(NOW())&lt;M3,INDIRECT(ADDRESS(1017,17))-INDIRECT(ADDRESS(1012,18))+INDIRECT(ADDRESS(1013,18))-INDIRECT(ADDRESS(1016,18)),INDIRECT(ADDRESS(1017,17))-INDIRECT(ADDRESS(1012,18))+INDIRECT(ADDRESS(1015,18))-INDIRECT(ADDRESS(1016,18)))</f>
        <v>0</v>
      </c>
      <c r="S1017">
        <f>IF(DAY(NOW())&lt;M3,INDIRECT(ADDRESS(1017,18))-INDIRECT(ADDRESS(1012,19))+INDIRECT(ADDRESS(1013,19))-INDIRECT(ADDRESS(1016,19)),INDIRECT(ADDRESS(1017,18))-INDIRECT(ADDRESS(1012,19))+INDIRECT(ADDRESS(1015,19))-INDIRECT(ADDRESS(1016,19)))</f>
        <v>0</v>
      </c>
      <c r="T1017">
        <f>IF(DAY(NOW())&lt;M3,INDIRECT(ADDRESS(1017,19))-INDIRECT(ADDRESS(1012,20))+INDIRECT(ADDRESS(1013,20))-INDIRECT(ADDRESS(1016,20)),INDIRECT(ADDRESS(1017,19))-INDIRECT(ADDRESS(1012,20))+INDIRECT(ADDRESS(1015,20))-INDIRECT(ADDRESS(1016,20)))</f>
        <v>0</v>
      </c>
      <c r="U1017">
        <f>IF(DAY(NOW())&lt;M3,INDIRECT(ADDRESS(1017,20))-INDIRECT(ADDRESS(1012,21))+INDIRECT(ADDRESS(1013,21))-INDIRECT(ADDRESS(1016,21)),INDIRECT(ADDRESS(1017,20))-INDIRECT(ADDRESS(1012,21))+INDIRECT(ADDRESS(1015,21))-INDIRECT(ADDRESS(1016,21)))</f>
        <v>0</v>
      </c>
      <c r="V1017">
        <f>IF(DAY(NOW())&lt;M3,INDIRECT(ADDRESS(1017,21))-INDIRECT(ADDRESS(1012,22))+INDIRECT(ADDRESS(1013,22))-INDIRECT(ADDRESS(1016,22)),INDIRECT(ADDRESS(1017,21))-INDIRECT(ADDRESS(1012,22))+INDIRECT(ADDRESS(1015,22))-INDIRECT(ADDRESS(1016,22)))</f>
        <v>0</v>
      </c>
      <c r="W1017">
        <f>IF(DAY(NOW())&lt;M3,INDIRECT(ADDRESS(1017,22))-INDIRECT(ADDRESS(1012,23))+INDIRECT(ADDRESS(1013,23))-INDIRECT(ADDRESS(1016,23)),INDIRECT(ADDRESS(1017,22))-INDIRECT(ADDRESS(1012,23))+INDIRECT(ADDRESS(1015,23))-INDIRECT(ADDRESS(1016,23)))</f>
        <v>0</v>
      </c>
      <c r="X1017">
        <f>IF(DAY(NOW())&lt;M3,INDIRECT(ADDRESS(1017,23))-INDIRECT(ADDRESS(1012,24))+INDIRECT(ADDRESS(1013,24))-INDIRECT(ADDRESS(1016,24)),INDIRECT(ADDRESS(1017,23))-INDIRECT(ADDRESS(1012,24))+INDIRECT(ADDRESS(1015,24))-INDIRECT(ADDRESS(1016,24)))</f>
        <v>0</v>
      </c>
      <c r="Y1017">
        <f>IF(DAY(NOW())&lt;M3,INDIRECT(ADDRESS(1017,24))-INDIRECT(ADDRESS(1012,25))+INDIRECT(ADDRESS(1013,25))-INDIRECT(ADDRESS(1016,25)),INDIRECT(ADDRESS(1017,24))-INDIRECT(ADDRESS(1012,25))+INDIRECT(ADDRESS(1015,25))-INDIRECT(ADDRESS(1016,25)))</f>
        <v>0</v>
      </c>
      <c r="Z1017">
        <f>IF(DAY(NOW())&lt;M3,INDIRECT(ADDRESS(1017,25))-INDIRECT(ADDRESS(1012,26))+INDIRECT(ADDRESS(1013,26))-INDIRECT(ADDRESS(1016,26)),INDIRECT(ADDRESS(1017,25))-INDIRECT(ADDRESS(1012,26))+INDIRECT(ADDRESS(1015,26))-INDIRECT(ADDRESS(1016,26)))</f>
        <v>0</v>
      </c>
      <c r="AA1017">
        <f>IF(DAY(NOW())&lt;M3,INDIRECT(ADDRESS(1017,26))-INDIRECT(ADDRESS(1012,27))+INDIRECT(ADDRESS(1013,27))-INDIRECT(ADDRESS(1016,27)),INDIRECT(ADDRESS(1017,26))-INDIRECT(ADDRESS(1012,27))+INDIRECT(ADDRESS(1015,27))-INDIRECT(ADDRESS(1016,27)))</f>
        <v>0</v>
      </c>
      <c r="AB1017">
        <f>IF(DAY(NOW())&lt;M3,INDIRECT(ADDRESS(1017,27))-INDIRECT(ADDRESS(1012,28))+INDIRECT(ADDRESS(1013,28))-INDIRECT(ADDRESS(1016,28)),INDIRECT(ADDRESS(1017,27))-INDIRECT(ADDRESS(1012,28))+INDIRECT(ADDRESS(1015,28))-INDIRECT(ADDRESS(1016,28)))</f>
        <v>0</v>
      </c>
      <c r="AC1017">
        <f>IF(DAY(NOW())&lt;M3,INDIRECT(ADDRESS(1017,28))-INDIRECT(ADDRESS(1012,29))+INDIRECT(ADDRESS(1013,29))-INDIRECT(ADDRESS(1016,29)),INDIRECT(ADDRESS(1017,28))-INDIRECT(ADDRESS(1012,29))+INDIRECT(ADDRESS(1015,29))-INDIRECT(ADDRESS(1016,29)))</f>
        <v>0</v>
      </c>
      <c r="AD1017">
        <f>IF(DAY(NOW())&lt;M3,INDIRECT(ADDRESS(1017,29))-INDIRECT(ADDRESS(1012,30))+INDIRECT(ADDRESS(1013,30))-INDIRECT(ADDRESS(1016,30)),INDIRECT(ADDRESS(1017,29))-INDIRECT(ADDRESS(1012,30))+INDIRECT(ADDRESS(1015,30))-INDIRECT(ADDRESS(1016,30)))</f>
        <v>0</v>
      </c>
      <c r="AE1017">
        <f>IF(DAY(NOW())&lt;M3,INDIRECT(ADDRESS(1017,30))-INDIRECT(ADDRESS(1012,31))+INDIRECT(ADDRESS(1013,31))-INDIRECT(ADDRESS(1016,31)),INDIRECT(ADDRESS(1017,30))-INDIRECT(ADDRESS(1012,31))+INDIRECT(ADDRESS(1015,31))-INDIRECT(ADDRESS(1016,31)))</f>
        <v>0</v>
      </c>
      <c r="AF1017">
        <f>IF(DAY(NOW())&lt;M3,INDIRECT(ADDRESS(1017,31))-INDIRECT(ADDRESS(1012,32))+INDIRECT(ADDRESS(1013,32))-INDIRECT(ADDRESS(1016,32)),INDIRECT(ADDRESS(1017,31))-INDIRECT(ADDRESS(1012,32))+INDIRECT(ADDRESS(1015,32))-INDIRECT(ADDRESS(1016,32)))</f>
        <v>0</v>
      </c>
      <c r="AG1017">
        <f>IF(DAY(NOW())&lt;M3,INDIRECT(ADDRESS(1017,32))-INDIRECT(ADDRESS(1012,33))+INDIRECT(ADDRESS(1013,33))-INDIRECT(ADDRESS(1016,33)),INDIRECT(ADDRESS(1017,32))-INDIRECT(ADDRESS(1012,33))+INDIRECT(ADDRESS(1015,33))-INDIRECT(ADDRESS(1016,33)))</f>
        <v>0</v>
      </c>
      <c r="AH1017">
        <f>IF(DAY(NOW())&lt;M3,INDIRECT(ADDRESS(1017,33))-INDIRECT(ADDRESS(1012,34))+INDIRECT(ADDRESS(1013,34))-INDIRECT(ADDRESS(1016,34)),INDIRECT(ADDRESS(1017,33))-INDIRECT(ADDRESS(1012,34))+INDIRECT(ADDRESS(1015,34))-INDIRECT(ADDRESS(1016,34)))</f>
        <v>0</v>
      </c>
      <c r="AI1017">
        <f>IF(DAY(NOW())&lt;M3,INDIRECT(ADDRESS(1017,34))-INDIRECT(ADDRESS(1012,35))+INDIRECT(ADDRESS(1013,35))-INDIRECT(ADDRESS(1016,35)),INDIRECT(ADDRESS(1017,34))-INDIRECT(ADDRESS(1012,35))+INDIRECT(ADDRESS(1015,35))-INDIRECT(ADDRESS(1016,35)))</f>
        <v>0</v>
      </c>
      <c r="AJ1017">
        <f>IF(DAY(NOW())&lt;M3,INDIRECT(ADDRESS(1017,35))-INDIRECT(ADDRESS(1012,36))+INDIRECT(ADDRESS(1013,36))-INDIRECT(ADDRESS(1016,36)),INDIRECT(ADDRESS(1017,35))-INDIRECT(ADDRESS(1012,36))+INDIRECT(ADDRESS(1015,36))-INDIRECT(ADDRESS(1016,36)))</f>
        <v>0</v>
      </c>
      <c r="AK1017">
        <f>IF(DAY(NOW())&lt;M3,INDIRECT(ADDRESS(1017,36))-INDIRECT(ADDRESS(1012,37))+INDIRECT(ADDRESS(1013,37))-INDIRECT(ADDRESS(1016,37)),INDIRECT(ADDRESS(1017,36))-INDIRECT(ADDRESS(1012,37))+INDIRECT(ADDRESS(1015,37))-INDIRECT(ADDRESS(1016,37)))</f>
        <v>0</v>
      </c>
      <c r="AL1017">
        <f>IF(DAY(NOW())&lt;M3,INDIRECT(ADDRESS(1017,37))-INDIRECT(ADDRESS(1012,38))+INDIRECT(ADDRESS(1013,38))-INDIRECT(ADDRESS(1016,38)),INDIRECT(ADDRESS(1017,37))-INDIRECT(ADDRESS(1012,38))+INDIRECT(ADDRESS(1015,38))-INDIRECT(ADDRESS(1016,38)))</f>
        <v>0</v>
      </c>
      <c r="AM1017">
        <f>IF(DAY(NOW())&lt;M3,INDIRECT(ADDRESS(1017,38))-INDIRECT(ADDRESS(1012,39))+INDIRECT(ADDRESS(1013,39))-INDIRECT(ADDRESS(1016,39)),INDIRECT(ADDRESS(1017,38))-INDIRECT(ADDRESS(1012,39))+INDIRECT(ADDRESS(1015,39))-INDIRECT(ADDRESS(1016,39)))</f>
        <v>0</v>
      </c>
      <c r="AN1017">
        <f>IF(DAY(NOW())&lt;M3,INDIRECT(ADDRESS(1017,39))-INDIRECT(ADDRESS(1012,40))+INDIRECT(ADDRESS(1013,40))-INDIRECT(ADDRESS(1016,40)),INDIRECT(ADDRESS(1017,39))-INDIRECT(ADDRESS(1012,40))+INDIRECT(ADDRESS(1015,40))-INDIRECT(ADDRESS(1016,40)))</f>
        <v>0</v>
      </c>
      <c r="AO1017">
        <f>IF(DAY(NOW())&lt;M3,INDIRECT(ADDRESS(1017,40))-INDIRECT(ADDRESS(1012,41))+INDIRECT(ADDRESS(1013,41))-INDIRECT(ADDRESS(1016,41)),INDIRECT(ADDRESS(1017,40))-INDIRECT(ADDRESS(1012,41))+INDIRECT(ADDRESS(1015,41))-INDIRECT(ADDRESS(1016,41)))</f>
        <v>0</v>
      </c>
      <c r="AP1017">
        <f>IF(DAY(NOW())&lt;M3,INDIRECT(ADDRESS(1017,41))-INDIRECT(ADDRESS(1012,42))+INDIRECT(ADDRESS(1013,42))-INDIRECT(ADDRESS(1016,42)),INDIRECT(ADDRESS(1017,41))-INDIRECT(ADDRESS(1012,42))+INDIRECT(ADDRESS(1015,42))-INDIRECT(ADDRESS(1016,42)))</f>
        <v>0</v>
      </c>
      <c r="AQ1017">
        <f>IF(DAY(NOW())&lt;M3,INDIRECT(ADDRESS(1017,42))-INDIRECT(ADDRESS(1012,43))+INDIRECT(ADDRESS(1013,43))-INDIRECT(ADDRESS(1016,43)),INDIRECT(ADDRESS(1017,42))-INDIRECT(ADDRESS(1012,43))+INDIRECT(ADDRESS(1015,43))-INDIRECT(ADDRESS(1016,43)))</f>
        <v>0</v>
      </c>
      <c r="AR1017">
        <f>IF(DAY(NOW())&lt;M3,INDIRECT(ADDRESS(1017,43))-INDIRECT(ADDRESS(1012,44))+INDIRECT(ADDRESS(1013,44))-INDIRECT(ADDRESS(1016,44)),INDIRECT(ADDRESS(1017,43))-INDIRECT(ADDRESS(1012,44))+INDIRECT(ADDRESS(1015,44))-INDIRECT(ADDRESS(1016,44)))</f>
        <v>0</v>
      </c>
    </row>
    <row r="1018" spans="1:76">
      <c r="A1018" t="s">
        <v>14</v>
      </c>
      <c r="B1018" t="s">
        <v>281</v>
      </c>
      <c r="C1018" t="s">
        <v>99</v>
      </c>
      <c r="D1018" t="s">
        <v>304</v>
      </c>
      <c r="E1018">
        <v>1</v>
      </c>
      <c r="F1018" t="s">
        <v>282</v>
      </c>
      <c r="K1018" t="s">
        <v>305</v>
      </c>
      <c r="L1018" t="s">
        <v>21</v>
      </c>
      <c r="BX1018">
        <f>sum(j1018:an1018)</f>
        <v>0</v>
      </c>
    </row>
    <row r="1019" spans="1:76">
      <c r="A1019" t="s">
        <v>14</v>
      </c>
      <c r="B1019" t="s">
        <v>281</v>
      </c>
      <c r="C1019" t="s">
        <v>99</v>
      </c>
      <c r="D1019" t="s">
        <v>304</v>
      </c>
      <c r="E1019">
        <v>1</v>
      </c>
      <c r="F1019" t="s">
        <v>282</v>
      </c>
      <c r="K1019" t="s">
        <v>305</v>
      </c>
      <c r="L1019" t="s">
        <v>37</v>
      </c>
    </row>
    <row r="1020" spans="1:76">
      <c r="L1020" t="s">
        <v>662</v>
      </c>
    </row>
    <row r="1021" spans="1:76">
      <c r="L1021" t="s">
        <v>663</v>
      </c>
    </row>
    <row r="1022" spans="1:76">
      <c r="L1022" t="s">
        <v>664</v>
      </c>
    </row>
    <row r="1023" spans="1:76">
      <c r="L1023" t="s">
        <v>665</v>
      </c>
      <c r="M1023">
        <f>IF(DAY(NOW())&lt;M3,INDIRECT(ADDRESS(1023,7))-INDIRECT(ADDRESS(1018,13))+INDIRECT(ADDRESS(1019,13))-INDIRECT(ADDRESS(1022,13)),INDIRECT(ADDRESS(1023,7))-INDIRECT(ADDRESS(1018,13))+INDIRECT(ADDRESS(1021,13))-INDIRECT(ADDRESS(1022,13)))</f>
        <v>0</v>
      </c>
      <c r="N1023">
        <f>IF(DAY(NOW())&lt;M3,INDIRECT(ADDRESS(1023,13))-INDIRECT(ADDRESS(1018,14))+INDIRECT(ADDRESS(1019,14))-INDIRECT(ADDRESS(1022,14)),INDIRECT(ADDRESS(1023,13))-INDIRECT(ADDRESS(1018,14))+INDIRECT(ADDRESS(1021,14))-INDIRECT(ADDRESS(1022,14)))</f>
        <v>0</v>
      </c>
      <c r="O1023">
        <f>IF(DAY(NOW())&lt;M3,INDIRECT(ADDRESS(1023,14))-INDIRECT(ADDRESS(1018,15))+INDIRECT(ADDRESS(1019,15))-INDIRECT(ADDRESS(1022,15)),INDIRECT(ADDRESS(1023,14))-INDIRECT(ADDRESS(1018,15))+INDIRECT(ADDRESS(1021,15))-INDIRECT(ADDRESS(1022,15)))</f>
        <v>0</v>
      </c>
      <c r="P1023">
        <f>IF(DAY(NOW())&lt;M3,INDIRECT(ADDRESS(1023,15))-INDIRECT(ADDRESS(1018,16))+INDIRECT(ADDRESS(1019,16))-INDIRECT(ADDRESS(1022,16)),INDIRECT(ADDRESS(1023,15))-INDIRECT(ADDRESS(1018,16))+INDIRECT(ADDRESS(1021,16))-INDIRECT(ADDRESS(1022,16)))</f>
        <v>0</v>
      </c>
      <c r="Q1023">
        <f>IF(DAY(NOW())&lt;M3,INDIRECT(ADDRESS(1023,16))-INDIRECT(ADDRESS(1018,17))+INDIRECT(ADDRESS(1019,17))-INDIRECT(ADDRESS(1022,17)),INDIRECT(ADDRESS(1023,16))-INDIRECT(ADDRESS(1018,17))+INDIRECT(ADDRESS(1021,17))-INDIRECT(ADDRESS(1022,17)))</f>
        <v>0</v>
      </c>
      <c r="R1023">
        <f>IF(DAY(NOW())&lt;M3,INDIRECT(ADDRESS(1023,17))-INDIRECT(ADDRESS(1018,18))+INDIRECT(ADDRESS(1019,18))-INDIRECT(ADDRESS(1022,18)),INDIRECT(ADDRESS(1023,17))-INDIRECT(ADDRESS(1018,18))+INDIRECT(ADDRESS(1021,18))-INDIRECT(ADDRESS(1022,18)))</f>
        <v>0</v>
      </c>
      <c r="S1023">
        <f>IF(DAY(NOW())&lt;M3,INDIRECT(ADDRESS(1023,18))-INDIRECT(ADDRESS(1018,19))+INDIRECT(ADDRESS(1019,19))-INDIRECT(ADDRESS(1022,19)),INDIRECT(ADDRESS(1023,18))-INDIRECT(ADDRESS(1018,19))+INDIRECT(ADDRESS(1021,19))-INDIRECT(ADDRESS(1022,19)))</f>
        <v>0</v>
      </c>
      <c r="T1023">
        <f>IF(DAY(NOW())&lt;M3,INDIRECT(ADDRESS(1023,19))-INDIRECT(ADDRESS(1018,20))+INDIRECT(ADDRESS(1019,20))-INDIRECT(ADDRESS(1022,20)),INDIRECT(ADDRESS(1023,19))-INDIRECT(ADDRESS(1018,20))+INDIRECT(ADDRESS(1021,20))-INDIRECT(ADDRESS(1022,20)))</f>
        <v>0</v>
      </c>
      <c r="U1023">
        <f>IF(DAY(NOW())&lt;M3,INDIRECT(ADDRESS(1023,20))-INDIRECT(ADDRESS(1018,21))+INDIRECT(ADDRESS(1019,21))-INDIRECT(ADDRESS(1022,21)),INDIRECT(ADDRESS(1023,20))-INDIRECT(ADDRESS(1018,21))+INDIRECT(ADDRESS(1021,21))-INDIRECT(ADDRESS(1022,21)))</f>
        <v>0</v>
      </c>
      <c r="V1023">
        <f>IF(DAY(NOW())&lt;M3,INDIRECT(ADDRESS(1023,21))-INDIRECT(ADDRESS(1018,22))+INDIRECT(ADDRESS(1019,22))-INDIRECT(ADDRESS(1022,22)),INDIRECT(ADDRESS(1023,21))-INDIRECT(ADDRESS(1018,22))+INDIRECT(ADDRESS(1021,22))-INDIRECT(ADDRESS(1022,22)))</f>
        <v>0</v>
      </c>
      <c r="W1023">
        <f>IF(DAY(NOW())&lt;M3,INDIRECT(ADDRESS(1023,22))-INDIRECT(ADDRESS(1018,23))+INDIRECT(ADDRESS(1019,23))-INDIRECT(ADDRESS(1022,23)),INDIRECT(ADDRESS(1023,22))-INDIRECT(ADDRESS(1018,23))+INDIRECT(ADDRESS(1021,23))-INDIRECT(ADDRESS(1022,23)))</f>
        <v>0</v>
      </c>
      <c r="X1023">
        <f>IF(DAY(NOW())&lt;M3,INDIRECT(ADDRESS(1023,23))-INDIRECT(ADDRESS(1018,24))+INDIRECT(ADDRESS(1019,24))-INDIRECT(ADDRESS(1022,24)),INDIRECT(ADDRESS(1023,23))-INDIRECT(ADDRESS(1018,24))+INDIRECT(ADDRESS(1021,24))-INDIRECT(ADDRESS(1022,24)))</f>
        <v>0</v>
      </c>
      <c r="Y1023">
        <f>IF(DAY(NOW())&lt;M3,INDIRECT(ADDRESS(1023,24))-INDIRECT(ADDRESS(1018,25))+INDIRECT(ADDRESS(1019,25))-INDIRECT(ADDRESS(1022,25)),INDIRECT(ADDRESS(1023,24))-INDIRECT(ADDRESS(1018,25))+INDIRECT(ADDRESS(1021,25))-INDIRECT(ADDRESS(1022,25)))</f>
        <v>0</v>
      </c>
      <c r="Z1023">
        <f>IF(DAY(NOW())&lt;M3,INDIRECT(ADDRESS(1023,25))-INDIRECT(ADDRESS(1018,26))+INDIRECT(ADDRESS(1019,26))-INDIRECT(ADDRESS(1022,26)),INDIRECT(ADDRESS(1023,25))-INDIRECT(ADDRESS(1018,26))+INDIRECT(ADDRESS(1021,26))-INDIRECT(ADDRESS(1022,26)))</f>
        <v>0</v>
      </c>
      <c r="AA1023">
        <f>IF(DAY(NOW())&lt;M3,INDIRECT(ADDRESS(1023,26))-INDIRECT(ADDRESS(1018,27))+INDIRECT(ADDRESS(1019,27))-INDIRECT(ADDRESS(1022,27)),INDIRECT(ADDRESS(1023,26))-INDIRECT(ADDRESS(1018,27))+INDIRECT(ADDRESS(1021,27))-INDIRECT(ADDRESS(1022,27)))</f>
        <v>0</v>
      </c>
      <c r="AB1023">
        <f>IF(DAY(NOW())&lt;M3,INDIRECT(ADDRESS(1023,27))-INDIRECT(ADDRESS(1018,28))+INDIRECT(ADDRESS(1019,28))-INDIRECT(ADDRESS(1022,28)),INDIRECT(ADDRESS(1023,27))-INDIRECT(ADDRESS(1018,28))+INDIRECT(ADDRESS(1021,28))-INDIRECT(ADDRESS(1022,28)))</f>
        <v>0</v>
      </c>
      <c r="AC1023">
        <f>IF(DAY(NOW())&lt;M3,INDIRECT(ADDRESS(1023,28))-INDIRECT(ADDRESS(1018,29))+INDIRECT(ADDRESS(1019,29))-INDIRECT(ADDRESS(1022,29)),INDIRECT(ADDRESS(1023,28))-INDIRECT(ADDRESS(1018,29))+INDIRECT(ADDRESS(1021,29))-INDIRECT(ADDRESS(1022,29)))</f>
        <v>0</v>
      </c>
      <c r="AD1023">
        <f>IF(DAY(NOW())&lt;M3,INDIRECT(ADDRESS(1023,29))-INDIRECT(ADDRESS(1018,30))+INDIRECT(ADDRESS(1019,30))-INDIRECT(ADDRESS(1022,30)),INDIRECT(ADDRESS(1023,29))-INDIRECT(ADDRESS(1018,30))+INDIRECT(ADDRESS(1021,30))-INDIRECT(ADDRESS(1022,30)))</f>
        <v>0</v>
      </c>
      <c r="AE1023">
        <f>IF(DAY(NOW())&lt;M3,INDIRECT(ADDRESS(1023,30))-INDIRECT(ADDRESS(1018,31))+INDIRECT(ADDRESS(1019,31))-INDIRECT(ADDRESS(1022,31)),INDIRECT(ADDRESS(1023,30))-INDIRECT(ADDRESS(1018,31))+INDIRECT(ADDRESS(1021,31))-INDIRECT(ADDRESS(1022,31)))</f>
        <v>0</v>
      </c>
      <c r="AF1023">
        <f>IF(DAY(NOW())&lt;M3,INDIRECT(ADDRESS(1023,31))-INDIRECT(ADDRESS(1018,32))+INDIRECT(ADDRESS(1019,32))-INDIRECT(ADDRESS(1022,32)),INDIRECT(ADDRESS(1023,31))-INDIRECT(ADDRESS(1018,32))+INDIRECT(ADDRESS(1021,32))-INDIRECT(ADDRESS(1022,32)))</f>
        <v>0</v>
      </c>
      <c r="AG1023">
        <f>IF(DAY(NOW())&lt;M3,INDIRECT(ADDRESS(1023,32))-INDIRECT(ADDRESS(1018,33))+INDIRECT(ADDRESS(1019,33))-INDIRECT(ADDRESS(1022,33)),INDIRECT(ADDRESS(1023,32))-INDIRECT(ADDRESS(1018,33))+INDIRECT(ADDRESS(1021,33))-INDIRECT(ADDRESS(1022,33)))</f>
        <v>0</v>
      </c>
      <c r="AH1023">
        <f>IF(DAY(NOW())&lt;M3,INDIRECT(ADDRESS(1023,33))-INDIRECT(ADDRESS(1018,34))+INDIRECT(ADDRESS(1019,34))-INDIRECT(ADDRESS(1022,34)),INDIRECT(ADDRESS(1023,33))-INDIRECT(ADDRESS(1018,34))+INDIRECT(ADDRESS(1021,34))-INDIRECT(ADDRESS(1022,34)))</f>
        <v>0</v>
      </c>
      <c r="AI1023">
        <f>IF(DAY(NOW())&lt;M3,INDIRECT(ADDRESS(1023,34))-INDIRECT(ADDRESS(1018,35))+INDIRECT(ADDRESS(1019,35))-INDIRECT(ADDRESS(1022,35)),INDIRECT(ADDRESS(1023,34))-INDIRECT(ADDRESS(1018,35))+INDIRECT(ADDRESS(1021,35))-INDIRECT(ADDRESS(1022,35)))</f>
        <v>0</v>
      </c>
      <c r="AJ1023">
        <f>IF(DAY(NOW())&lt;M3,INDIRECT(ADDRESS(1023,35))-INDIRECT(ADDRESS(1018,36))+INDIRECT(ADDRESS(1019,36))-INDIRECT(ADDRESS(1022,36)),INDIRECT(ADDRESS(1023,35))-INDIRECT(ADDRESS(1018,36))+INDIRECT(ADDRESS(1021,36))-INDIRECT(ADDRESS(1022,36)))</f>
        <v>0</v>
      </c>
      <c r="AK1023">
        <f>IF(DAY(NOW())&lt;M3,INDIRECT(ADDRESS(1023,36))-INDIRECT(ADDRESS(1018,37))+INDIRECT(ADDRESS(1019,37))-INDIRECT(ADDRESS(1022,37)),INDIRECT(ADDRESS(1023,36))-INDIRECT(ADDRESS(1018,37))+INDIRECT(ADDRESS(1021,37))-INDIRECT(ADDRESS(1022,37)))</f>
        <v>0</v>
      </c>
      <c r="AL1023">
        <f>IF(DAY(NOW())&lt;M3,INDIRECT(ADDRESS(1023,37))-INDIRECT(ADDRESS(1018,38))+INDIRECT(ADDRESS(1019,38))-INDIRECT(ADDRESS(1022,38)),INDIRECT(ADDRESS(1023,37))-INDIRECT(ADDRESS(1018,38))+INDIRECT(ADDRESS(1021,38))-INDIRECT(ADDRESS(1022,38)))</f>
        <v>0</v>
      </c>
      <c r="AM1023">
        <f>IF(DAY(NOW())&lt;M3,INDIRECT(ADDRESS(1023,38))-INDIRECT(ADDRESS(1018,39))+INDIRECT(ADDRESS(1019,39))-INDIRECT(ADDRESS(1022,39)),INDIRECT(ADDRESS(1023,38))-INDIRECT(ADDRESS(1018,39))+INDIRECT(ADDRESS(1021,39))-INDIRECT(ADDRESS(1022,39)))</f>
        <v>0</v>
      </c>
      <c r="AN1023">
        <f>IF(DAY(NOW())&lt;M3,INDIRECT(ADDRESS(1023,39))-INDIRECT(ADDRESS(1018,40))+INDIRECT(ADDRESS(1019,40))-INDIRECT(ADDRESS(1022,40)),INDIRECT(ADDRESS(1023,39))-INDIRECT(ADDRESS(1018,40))+INDIRECT(ADDRESS(1021,40))-INDIRECT(ADDRESS(1022,40)))</f>
        <v>0</v>
      </c>
      <c r="AO1023">
        <f>IF(DAY(NOW())&lt;M3,INDIRECT(ADDRESS(1023,40))-INDIRECT(ADDRESS(1018,41))+INDIRECT(ADDRESS(1019,41))-INDIRECT(ADDRESS(1022,41)),INDIRECT(ADDRESS(1023,40))-INDIRECT(ADDRESS(1018,41))+INDIRECT(ADDRESS(1021,41))-INDIRECT(ADDRESS(1022,41)))</f>
        <v>0</v>
      </c>
      <c r="AP1023">
        <f>IF(DAY(NOW())&lt;M3,INDIRECT(ADDRESS(1023,41))-INDIRECT(ADDRESS(1018,42))+INDIRECT(ADDRESS(1019,42))-INDIRECT(ADDRESS(1022,42)),INDIRECT(ADDRESS(1023,41))-INDIRECT(ADDRESS(1018,42))+INDIRECT(ADDRESS(1021,42))-INDIRECT(ADDRESS(1022,42)))</f>
        <v>0</v>
      </c>
      <c r="AQ1023">
        <f>IF(DAY(NOW())&lt;M3,INDIRECT(ADDRESS(1023,42))-INDIRECT(ADDRESS(1018,43))+INDIRECT(ADDRESS(1019,43))-INDIRECT(ADDRESS(1022,43)),INDIRECT(ADDRESS(1023,42))-INDIRECT(ADDRESS(1018,43))+INDIRECT(ADDRESS(1021,43))-INDIRECT(ADDRESS(1022,43)))</f>
        <v>0</v>
      </c>
      <c r="AR1023">
        <f>IF(DAY(NOW())&lt;M3,INDIRECT(ADDRESS(1023,43))-INDIRECT(ADDRESS(1018,44))+INDIRECT(ADDRESS(1019,44))-INDIRECT(ADDRESS(1022,44)),INDIRECT(ADDRESS(1023,43))-INDIRECT(ADDRESS(1018,44))+INDIRECT(ADDRESS(1021,44))-INDIRECT(ADDRESS(1022,44)))</f>
        <v>0</v>
      </c>
    </row>
    <row r="1024" spans="1:76">
      <c r="A1024" t="s">
        <v>31</v>
      </c>
      <c r="B1024" t="s">
        <v>428</v>
      </c>
      <c r="C1024" t="s">
        <v>341</v>
      </c>
      <c r="D1024" t="s">
        <v>17</v>
      </c>
      <c r="E1024">
        <v>1</v>
      </c>
      <c r="F1024" t="s">
        <v>429</v>
      </c>
      <c r="K1024" t="s">
        <v>308</v>
      </c>
      <c r="L1024" t="s">
        <v>21</v>
      </c>
      <c r="M1024">
        <f>sumifs(BOM!m:m,BOM!A:A,".1",BOM!B:B,"212-049400-000")</f>
        <v>0</v>
      </c>
      <c r="N1024">
        <f>sumifs(BOM!n:n,BOM!A:A,".1",BOM!B:B,"212-049400-000")</f>
        <v>0</v>
      </c>
      <c r="O1024">
        <f>sumifs(BOM!o:o,BOM!A:A,".1",BOM!B:B,"212-049400-000")</f>
        <v>0</v>
      </c>
      <c r="P1024">
        <f>sumifs(BOM!p:p,BOM!A:A,".1",BOM!B:B,"212-049400-000")</f>
        <v>0</v>
      </c>
      <c r="Q1024">
        <f>sumifs(BOM!q:q,BOM!A:A,".1",BOM!B:B,"212-049400-000")</f>
        <v>0</v>
      </c>
      <c r="R1024">
        <f>sumifs(BOM!r:r,BOM!A:A,".1",BOM!B:B,"212-049400-000")</f>
        <v>0</v>
      </c>
      <c r="S1024">
        <f>sumifs(BOM!s:s,BOM!A:A,".1",BOM!B:B,"212-049400-000")</f>
        <v>0</v>
      </c>
      <c r="T1024">
        <f>sumifs(BOM!t:t,BOM!A:A,".1",BOM!B:B,"212-049400-000")</f>
        <v>0</v>
      </c>
      <c r="U1024">
        <f>sumifs(BOM!u:u,BOM!A:A,".1",BOM!B:B,"212-049400-000")</f>
        <v>0</v>
      </c>
      <c r="V1024">
        <f>sumifs(BOM!v:v,BOM!A:A,".1",BOM!B:B,"212-049400-000")</f>
        <v>0</v>
      </c>
      <c r="W1024">
        <f>sumifs(BOM!w:w,BOM!A:A,".1",BOM!B:B,"212-049400-000")</f>
        <v>0</v>
      </c>
      <c r="X1024">
        <f>sumifs(BOM!x:x,BOM!A:A,".1",BOM!B:B,"212-049400-000")</f>
        <v>0</v>
      </c>
      <c r="Y1024">
        <f>sumifs(BOM!y:y,BOM!A:A,".1",BOM!B:B,"212-049400-000")</f>
        <v>0</v>
      </c>
      <c r="Z1024">
        <f>sumifs(BOM!z:z,BOM!A:A,".1",BOM!B:B,"212-049400-000")</f>
        <v>0</v>
      </c>
      <c r="AA1024">
        <f>sumifs(BOM!aa:aa,BOM!A:A,".1",BOM!B:B,"212-049400-000")</f>
        <v>0</v>
      </c>
      <c r="AB1024">
        <f>sumifs(BOM!ab:ab,BOM!A:A,".1",BOM!B:B,"212-049400-000")</f>
        <v>0</v>
      </c>
      <c r="AC1024">
        <f>sumifs(BOM!ac:ac,BOM!A:A,".1",BOM!B:B,"212-049400-000")</f>
        <v>0</v>
      </c>
      <c r="AD1024">
        <f>sumifs(BOM!ad:ad,BOM!A:A,".1",BOM!B:B,"212-049400-000")</f>
        <v>0</v>
      </c>
      <c r="AE1024">
        <f>sumifs(BOM!ae:ae,BOM!A:A,".1",BOM!B:B,"212-049400-000")</f>
        <v>0</v>
      </c>
      <c r="AF1024">
        <f>sumifs(BOM!af:af,BOM!A:A,".1",BOM!B:B,"212-049400-000")</f>
        <v>0</v>
      </c>
      <c r="AG1024">
        <f>sumifs(BOM!ag:ag,BOM!A:A,".1",BOM!B:B,"212-049400-000")</f>
        <v>0</v>
      </c>
      <c r="AH1024">
        <f>sumifs(BOM!ah:ah,BOM!A:A,".1",BOM!B:B,"212-049400-000")</f>
        <v>0</v>
      </c>
      <c r="AI1024">
        <f>sumifs(BOM!ai:ai,BOM!A:A,".1",BOM!B:B,"212-049400-000")</f>
        <v>0</v>
      </c>
      <c r="AJ1024">
        <f>sumifs(BOM!aj:aj,BOM!A:A,".1",BOM!B:B,"212-049400-000")</f>
        <v>0</v>
      </c>
      <c r="AK1024">
        <f>sumifs(BOM!ak:ak,BOM!A:A,".1",BOM!B:B,"212-049400-000")</f>
        <v>0</v>
      </c>
      <c r="AL1024">
        <f>sumifs(BOM!al:al,BOM!A:A,".1",BOM!B:B,"212-049400-000")</f>
        <v>0</v>
      </c>
      <c r="AM1024">
        <f>sumifs(BOM!am:am,BOM!A:A,".1",BOM!B:B,"212-049400-000")</f>
        <v>0</v>
      </c>
      <c r="AN1024">
        <f>sumifs(BOM!an:an,BOM!A:A,".1",BOM!B:B,"212-049400-000")</f>
        <v>0</v>
      </c>
      <c r="AO1024">
        <f>sumifs(BOM!ao:ao,BOM!A:A,".1",BOM!B:B,"212-049400-000")</f>
        <v>0</v>
      </c>
      <c r="AP1024">
        <f>sumifs(BOM!ap:ap,BOM!A:A,".1",BOM!B:B,"212-049400-000")</f>
        <v>0</v>
      </c>
      <c r="AQ1024">
        <f>sumifs(BOM!aq:aq,BOM!A:A,".1",BOM!B:B,"212-049400-000")</f>
        <v>0</v>
      </c>
      <c r="AR1024">
        <f>sumifs(BOM!ar:ar,BOM!A:A,".1",BOM!B:B,"212-049400-000")</f>
        <v>0</v>
      </c>
      <c r="BX1024">
        <f>sum(j1024:an1024)</f>
        <v>0</v>
      </c>
    </row>
    <row r="1025" spans="1:76">
      <c r="A1025" t="s">
        <v>31</v>
      </c>
      <c r="B1025" t="s">
        <v>428</v>
      </c>
      <c r="C1025" t="s">
        <v>341</v>
      </c>
      <c r="D1025" t="s">
        <v>17</v>
      </c>
      <c r="E1025">
        <v>1</v>
      </c>
      <c r="F1025" t="s">
        <v>429</v>
      </c>
      <c r="K1025" t="s">
        <v>308</v>
      </c>
      <c r="L1025" t="s">
        <v>37</v>
      </c>
    </row>
    <row r="1026" spans="1:76">
      <c r="L1026" t="s">
        <v>662</v>
      </c>
    </row>
    <row r="1027" spans="1:76">
      <c r="L1027" t="s">
        <v>663</v>
      </c>
    </row>
    <row r="1028" spans="1:76">
      <c r="L1028" t="s">
        <v>664</v>
      </c>
    </row>
    <row r="1029" spans="1:76">
      <c r="L1029" t="s">
        <v>665</v>
      </c>
      <c r="M1029">
        <f>IF(DAY(NOW())&lt;M3,INDIRECT(ADDRESS(1029,7))-INDIRECT(ADDRESS(1024,13))+INDIRECT(ADDRESS(1025,13))-INDIRECT(ADDRESS(1028,13)),INDIRECT(ADDRESS(1029,7))-INDIRECT(ADDRESS(1024,13))+INDIRECT(ADDRESS(1027,13))-INDIRECT(ADDRESS(1028,13)))</f>
        <v>0</v>
      </c>
      <c r="N1029">
        <f>IF(DAY(NOW())&lt;M3,INDIRECT(ADDRESS(1029,13))-INDIRECT(ADDRESS(1024,14))+INDIRECT(ADDRESS(1025,14))-INDIRECT(ADDRESS(1028,14)),INDIRECT(ADDRESS(1029,13))-INDIRECT(ADDRESS(1024,14))+INDIRECT(ADDRESS(1027,14))-INDIRECT(ADDRESS(1028,14)))</f>
        <v>0</v>
      </c>
      <c r="O1029">
        <f>IF(DAY(NOW())&lt;M3,INDIRECT(ADDRESS(1029,14))-INDIRECT(ADDRESS(1024,15))+INDIRECT(ADDRESS(1025,15))-INDIRECT(ADDRESS(1028,15)),INDIRECT(ADDRESS(1029,14))-INDIRECT(ADDRESS(1024,15))+INDIRECT(ADDRESS(1027,15))-INDIRECT(ADDRESS(1028,15)))</f>
        <v>0</v>
      </c>
      <c r="P1029">
        <f>IF(DAY(NOW())&lt;M3,INDIRECT(ADDRESS(1029,15))-INDIRECT(ADDRESS(1024,16))+INDIRECT(ADDRESS(1025,16))-INDIRECT(ADDRESS(1028,16)),INDIRECT(ADDRESS(1029,15))-INDIRECT(ADDRESS(1024,16))+INDIRECT(ADDRESS(1027,16))-INDIRECT(ADDRESS(1028,16)))</f>
        <v>0</v>
      </c>
      <c r="Q1029">
        <f>IF(DAY(NOW())&lt;M3,INDIRECT(ADDRESS(1029,16))-INDIRECT(ADDRESS(1024,17))+INDIRECT(ADDRESS(1025,17))-INDIRECT(ADDRESS(1028,17)),INDIRECT(ADDRESS(1029,16))-INDIRECT(ADDRESS(1024,17))+INDIRECT(ADDRESS(1027,17))-INDIRECT(ADDRESS(1028,17)))</f>
        <v>0</v>
      </c>
      <c r="R1029">
        <f>IF(DAY(NOW())&lt;M3,INDIRECT(ADDRESS(1029,17))-INDIRECT(ADDRESS(1024,18))+INDIRECT(ADDRESS(1025,18))-INDIRECT(ADDRESS(1028,18)),INDIRECT(ADDRESS(1029,17))-INDIRECT(ADDRESS(1024,18))+INDIRECT(ADDRESS(1027,18))-INDIRECT(ADDRESS(1028,18)))</f>
        <v>0</v>
      </c>
      <c r="S1029">
        <f>IF(DAY(NOW())&lt;M3,INDIRECT(ADDRESS(1029,18))-INDIRECT(ADDRESS(1024,19))+INDIRECT(ADDRESS(1025,19))-INDIRECT(ADDRESS(1028,19)),INDIRECT(ADDRESS(1029,18))-INDIRECT(ADDRESS(1024,19))+INDIRECT(ADDRESS(1027,19))-INDIRECT(ADDRESS(1028,19)))</f>
        <v>0</v>
      </c>
      <c r="T1029">
        <f>IF(DAY(NOW())&lt;M3,INDIRECT(ADDRESS(1029,19))-INDIRECT(ADDRESS(1024,20))+INDIRECT(ADDRESS(1025,20))-INDIRECT(ADDRESS(1028,20)),INDIRECT(ADDRESS(1029,19))-INDIRECT(ADDRESS(1024,20))+INDIRECT(ADDRESS(1027,20))-INDIRECT(ADDRESS(1028,20)))</f>
        <v>0</v>
      </c>
      <c r="U1029">
        <f>IF(DAY(NOW())&lt;M3,INDIRECT(ADDRESS(1029,20))-INDIRECT(ADDRESS(1024,21))+INDIRECT(ADDRESS(1025,21))-INDIRECT(ADDRESS(1028,21)),INDIRECT(ADDRESS(1029,20))-INDIRECT(ADDRESS(1024,21))+INDIRECT(ADDRESS(1027,21))-INDIRECT(ADDRESS(1028,21)))</f>
        <v>0</v>
      </c>
      <c r="V1029">
        <f>IF(DAY(NOW())&lt;M3,INDIRECT(ADDRESS(1029,21))-INDIRECT(ADDRESS(1024,22))+INDIRECT(ADDRESS(1025,22))-INDIRECT(ADDRESS(1028,22)),INDIRECT(ADDRESS(1029,21))-INDIRECT(ADDRESS(1024,22))+INDIRECT(ADDRESS(1027,22))-INDIRECT(ADDRESS(1028,22)))</f>
        <v>0</v>
      </c>
      <c r="W1029">
        <f>IF(DAY(NOW())&lt;M3,INDIRECT(ADDRESS(1029,22))-INDIRECT(ADDRESS(1024,23))+INDIRECT(ADDRESS(1025,23))-INDIRECT(ADDRESS(1028,23)),INDIRECT(ADDRESS(1029,22))-INDIRECT(ADDRESS(1024,23))+INDIRECT(ADDRESS(1027,23))-INDIRECT(ADDRESS(1028,23)))</f>
        <v>0</v>
      </c>
      <c r="X1029">
        <f>IF(DAY(NOW())&lt;M3,INDIRECT(ADDRESS(1029,23))-INDIRECT(ADDRESS(1024,24))+INDIRECT(ADDRESS(1025,24))-INDIRECT(ADDRESS(1028,24)),INDIRECT(ADDRESS(1029,23))-INDIRECT(ADDRESS(1024,24))+INDIRECT(ADDRESS(1027,24))-INDIRECT(ADDRESS(1028,24)))</f>
        <v>0</v>
      </c>
      <c r="Y1029">
        <f>IF(DAY(NOW())&lt;M3,INDIRECT(ADDRESS(1029,24))-INDIRECT(ADDRESS(1024,25))+INDIRECT(ADDRESS(1025,25))-INDIRECT(ADDRESS(1028,25)),INDIRECT(ADDRESS(1029,24))-INDIRECT(ADDRESS(1024,25))+INDIRECT(ADDRESS(1027,25))-INDIRECT(ADDRESS(1028,25)))</f>
        <v>0</v>
      </c>
      <c r="Z1029">
        <f>IF(DAY(NOW())&lt;M3,INDIRECT(ADDRESS(1029,25))-INDIRECT(ADDRESS(1024,26))+INDIRECT(ADDRESS(1025,26))-INDIRECT(ADDRESS(1028,26)),INDIRECT(ADDRESS(1029,25))-INDIRECT(ADDRESS(1024,26))+INDIRECT(ADDRESS(1027,26))-INDIRECT(ADDRESS(1028,26)))</f>
        <v>0</v>
      </c>
      <c r="AA1029">
        <f>IF(DAY(NOW())&lt;M3,INDIRECT(ADDRESS(1029,26))-INDIRECT(ADDRESS(1024,27))+INDIRECT(ADDRESS(1025,27))-INDIRECT(ADDRESS(1028,27)),INDIRECT(ADDRESS(1029,26))-INDIRECT(ADDRESS(1024,27))+INDIRECT(ADDRESS(1027,27))-INDIRECT(ADDRESS(1028,27)))</f>
        <v>0</v>
      </c>
      <c r="AB1029">
        <f>IF(DAY(NOW())&lt;M3,INDIRECT(ADDRESS(1029,27))-INDIRECT(ADDRESS(1024,28))+INDIRECT(ADDRESS(1025,28))-INDIRECT(ADDRESS(1028,28)),INDIRECT(ADDRESS(1029,27))-INDIRECT(ADDRESS(1024,28))+INDIRECT(ADDRESS(1027,28))-INDIRECT(ADDRESS(1028,28)))</f>
        <v>0</v>
      </c>
      <c r="AC1029">
        <f>IF(DAY(NOW())&lt;M3,INDIRECT(ADDRESS(1029,28))-INDIRECT(ADDRESS(1024,29))+INDIRECT(ADDRESS(1025,29))-INDIRECT(ADDRESS(1028,29)),INDIRECT(ADDRESS(1029,28))-INDIRECT(ADDRESS(1024,29))+INDIRECT(ADDRESS(1027,29))-INDIRECT(ADDRESS(1028,29)))</f>
        <v>0</v>
      </c>
      <c r="AD1029">
        <f>IF(DAY(NOW())&lt;M3,INDIRECT(ADDRESS(1029,29))-INDIRECT(ADDRESS(1024,30))+INDIRECT(ADDRESS(1025,30))-INDIRECT(ADDRESS(1028,30)),INDIRECT(ADDRESS(1029,29))-INDIRECT(ADDRESS(1024,30))+INDIRECT(ADDRESS(1027,30))-INDIRECT(ADDRESS(1028,30)))</f>
        <v>0</v>
      </c>
      <c r="AE1029">
        <f>IF(DAY(NOW())&lt;M3,INDIRECT(ADDRESS(1029,30))-INDIRECT(ADDRESS(1024,31))+INDIRECT(ADDRESS(1025,31))-INDIRECT(ADDRESS(1028,31)),INDIRECT(ADDRESS(1029,30))-INDIRECT(ADDRESS(1024,31))+INDIRECT(ADDRESS(1027,31))-INDIRECT(ADDRESS(1028,31)))</f>
        <v>0</v>
      </c>
      <c r="AF1029">
        <f>IF(DAY(NOW())&lt;M3,INDIRECT(ADDRESS(1029,31))-INDIRECT(ADDRESS(1024,32))+INDIRECT(ADDRESS(1025,32))-INDIRECT(ADDRESS(1028,32)),INDIRECT(ADDRESS(1029,31))-INDIRECT(ADDRESS(1024,32))+INDIRECT(ADDRESS(1027,32))-INDIRECT(ADDRESS(1028,32)))</f>
        <v>0</v>
      </c>
      <c r="AG1029">
        <f>IF(DAY(NOW())&lt;M3,INDIRECT(ADDRESS(1029,32))-INDIRECT(ADDRESS(1024,33))+INDIRECT(ADDRESS(1025,33))-INDIRECT(ADDRESS(1028,33)),INDIRECT(ADDRESS(1029,32))-INDIRECT(ADDRESS(1024,33))+INDIRECT(ADDRESS(1027,33))-INDIRECT(ADDRESS(1028,33)))</f>
        <v>0</v>
      </c>
      <c r="AH1029">
        <f>IF(DAY(NOW())&lt;M3,INDIRECT(ADDRESS(1029,33))-INDIRECT(ADDRESS(1024,34))+INDIRECT(ADDRESS(1025,34))-INDIRECT(ADDRESS(1028,34)),INDIRECT(ADDRESS(1029,33))-INDIRECT(ADDRESS(1024,34))+INDIRECT(ADDRESS(1027,34))-INDIRECT(ADDRESS(1028,34)))</f>
        <v>0</v>
      </c>
      <c r="AI1029">
        <f>IF(DAY(NOW())&lt;M3,INDIRECT(ADDRESS(1029,34))-INDIRECT(ADDRESS(1024,35))+INDIRECT(ADDRESS(1025,35))-INDIRECT(ADDRESS(1028,35)),INDIRECT(ADDRESS(1029,34))-INDIRECT(ADDRESS(1024,35))+INDIRECT(ADDRESS(1027,35))-INDIRECT(ADDRESS(1028,35)))</f>
        <v>0</v>
      </c>
      <c r="AJ1029">
        <f>IF(DAY(NOW())&lt;M3,INDIRECT(ADDRESS(1029,35))-INDIRECT(ADDRESS(1024,36))+INDIRECT(ADDRESS(1025,36))-INDIRECT(ADDRESS(1028,36)),INDIRECT(ADDRESS(1029,35))-INDIRECT(ADDRESS(1024,36))+INDIRECT(ADDRESS(1027,36))-INDIRECT(ADDRESS(1028,36)))</f>
        <v>0</v>
      </c>
      <c r="AK1029">
        <f>IF(DAY(NOW())&lt;M3,INDIRECT(ADDRESS(1029,36))-INDIRECT(ADDRESS(1024,37))+INDIRECT(ADDRESS(1025,37))-INDIRECT(ADDRESS(1028,37)),INDIRECT(ADDRESS(1029,36))-INDIRECT(ADDRESS(1024,37))+INDIRECT(ADDRESS(1027,37))-INDIRECT(ADDRESS(1028,37)))</f>
        <v>0</v>
      </c>
      <c r="AL1029">
        <f>IF(DAY(NOW())&lt;M3,INDIRECT(ADDRESS(1029,37))-INDIRECT(ADDRESS(1024,38))+INDIRECT(ADDRESS(1025,38))-INDIRECT(ADDRESS(1028,38)),INDIRECT(ADDRESS(1029,37))-INDIRECT(ADDRESS(1024,38))+INDIRECT(ADDRESS(1027,38))-INDIRECT(ADDRESS(1028,38)))</f>
        <v>0</v>
      </c>
      <c r="AM1029">
        <f>IF(DAY(NOW())&lt;M3,INDIRECT(ADDRESS(1029,38))-INDIRECT(ADDRESS(1024,39))+INDIRECT(ADDRESS(1025,39))-INDIRECT(ADDRESS(1028,39)),INDIRECT(ADDRESS(1029,38))-INDIRECT(ADDRESS(1024,39))+INDIRECT(ADDRESS(1027,39))-INDIRECT(ADDRESS(1028,39)))</f>
        <v>0</v>
      </c>
      <c r="AN1029">
        <f>IF(DAY(NOW())&lt;M3,INDIRECT(ADDRESS(1029,39))-INDIRECT(ADDRESS(1024,40))+INDIRECT(ADDRESS(1025,40))-INDIRECT(ADDRESS(1028,40)),INDIRECT(ADDRESS(1029,39))-INDIRECT(ADDRESS(1024,40))+INDIRECT(ADDRESS(1027,40))-INDIRECT(ADDRESS(1028,40)))</f>
        <v>0</v>
      </c>
      <c r="AO1029">
        <f>IF(DAY(NOW())&lt;M3,INDIRECT(ADDRESS(1029,40))-INDIRECT(ADDRESS(1024,41))+INDIRECT(ADDRESS(1025,41))-INDIRECT(ADDRESS(1028,41)),INDIRECT(ADDRESS(1029,40))-INDIRECT(ADDRESS(1024,41))+INDIRECT(ADDRESS(1027,41))-INDIRECT(ADDRESS(1028,41)))</f>
        <v>0</v>
      </c>
      <c r="AP1029">
        <f>IF(DAY(NOW())&lt;M3,INDIRECT(ADDRESS(1029,41))-INDIRECT(ADDRESS(1024,42))+INDIRECT(ADDRESS(1025,42))-INDIRECT(ADDRESS(1028,42)),INDIRECT(ADDRESS(1029,41))-INDIRECT(ADDRESS(1024,42))+INDIRECT(ADDRESS(1027,42))-INDIRECT(ADDRESS(1028,42)))</f>
        <v>0</v>
      </c>
      <c r="AQ1029">
        <f>IF(DAY(NOW())&lt;M3,INDIRECT(ADDRESS(1029,42))-INDIRECT(ADDRESS(1024,43))+INDIRECT(ADDRESS(1025,43))-INDIRECT(ADDRESS(1028,43)),INDIRECT(ADDRESS(1029,42))-INDIRECT(ADDRESS(1024,43))+INDIRECT(ADDRESS(1027,43))-INDIRECT(ADDRESS(1028,43)))</f>
        <v>0</v>
      </c>
      <c r="AR1029">
        <f>IF(DAY(NOW())&lt;M3,INDIRECT(ADDRESS(1029,43))-INDIRECT(ADDRESS(1024,44))+INDIRECT(ADDRESS(1025,44))-INDIRECT(ADDRESS(1028,44)),INDIRECT(ADDRESS(1029,43))-INDIRECT(ADDRESS(1024,44))+INDIRECT(ADDRESS(1027,44))-INDIRECT(ADDRESS(1028,44)))</f>
        <v>0</v>
      </c>
    </row>
    <row r="1030" spans="1:76">
      <c r="A1030" t="s">
        <v>14</v>
      </c>
      <c r="B1030" t="s">
        <v>286</v>
      </c>
      <c r="C1030" t="s">
        <v>272</v>
      </c>
      <c r="D1030" t="s">
        <v>304</v>
      </c>
      <c r="E1030">
        <v>1</v>
      </c>
      <c r="F1030" t="s">
        <v>287</v>
      </c>
      <c r="K1030" t="s">
        <v>305</v>
      </c>
      <c r="L1030" t="s">
        <v>21</v>
      </c>
      <c r="BX1030">
        <f>sum(j1030:an1030)</f>
        <v>0</v>
      </c>
    </row>
    <row r="1031" spans="1:76">
      <c r="A1031" t="s">
        <v>14</v>
      </c>
      <c r="B1031" t="s">
        <v>286</v>
      </c>
      <c r="C1031" t="s">
        <v>272</v>
      </c>
      <c r="D1031" t="s">
        <v>304</v>
      </c>
      <c r="E1031">
        <v>1</v>
      </c>
      <c r="F1031" t="s">
        <v>287</v>
      </c>
      <c r="K1031" t="s">
        <v>305</v>
      </c>
      <c r="L1031" t="s">
        <v>37</v>
      </c>
    </row>
    <row r="1032" spans="1:76">
      <c r="L1032" t="s">
        <v>662</v>
      </c>
    </row>
    <row r="1033" spans="1:76">
      <c r="L1033" t="s">
        <v>663</v>
      </c>
    </row>
    <row r="1034" spans="1:76">
      <c r="L1034" t="s">
        <v>664</v>
      </c>
    </row>
    <row r="1035" spans="1:76">
      <c r="L1035" t="s">
        <v>665</v>
      </c>
      <c r="M1035">
        <f>IF(DAY(NOW())&lt;M3,INDIRECT(ADDRESS(1035,7))-INDIRECT(ADDRESS(1030,13))+INDIRECT(ADDRESS(1031,13))-INDIRECT(ADDRESS(1034,13)),INDIRECT(ADDRESS(1035,7))-INDIRECT(ADDRESS(1030,13))+INDIRECT(ADDRESS(1033,13))-INDIRECT(ADDRESS(1034,13)))</f>
        <v>0</v>
      </c>
      <c r="N1035">
        <f>IF(DAY(NOW())&lt;M3,INDIRECT(ADDRESS(1035,13))-INDIRECT(ADDRESS(1030,14))+INDIRECT(ADDRESS(1031,14))-INDIRECT(ADDRESS(1034,14)),INDIRECT(ADDRESS(1035,13))-INDIRECT(ADDRESS(1030,14))+INDIRECT(ADDRESS(1033,14))-INDIRECT(ADDRESS(1034,14)))</f>
        <v>0</v>
      </c>
      <c r="O1035">
        <f>IF(DAY(NOW())&lt;M3,INDIRECT(ADDRESS(1035,14))-INDIRECT(ADDRESS(1030,15))+INDIRECT(ADDRESS(1031,15))-INDIRECT(ADDRESS(1034,15)),INDIRECT(ADDRESS(1035,14))-INDIRECT(ADDRESS(1030,15))+INDIRECT(ADDRESS(1033,15))-INDIRECT(ADDRESS(1034,15)))</f>
        <v>0</v>
      </c>
      <c r="P1035">
        <f>IF(DAY(NOW())&lt;M3,INDIRECT(ADDRESS(1035,15))-INDIRECT(ADDRESS(1030,16))+INDIRECT(ADDRESS(1031,16))-INDIRECT(ADDRESS(1034,16)),INDIRECT(ADDRESS(1035,15))-INDIRECT(ADDRESS(1030,16))+INDIRECT(ADDRESS(1033,16))-INDIRECT(ADDRESS(1034,16)))</f>
        <v>0</v>
      </c>
      <c r="Q1035">
        <f>IF(DAY(NOW())&lt;M3,INDIRECT(ADDRESS(1035,16))-INDIRECT(ADDRESS(1030,17))+INDIRECT(ADDRESS(1031,17))-INDIRECT(ADDRESS(1034,17)),INDIRECT(ADDRESS(1035,16))-INDIRECT(ADDRESS(1030,17))+INDIRECT(ADDRESS(1033,17))-INDIRECT(ADDRESS(1034,17)))</f>
        <v>0</v>
      </c>
      <c r="R1035">
        <f>IF(DAY(NOW())&lt;M3,INDIRECT(ADDRESS(1035,17))-INDIRECT(ADDRESS(1030,18))+INDIRECT(ADDRESS(1031,18))-INDIRECT(ADDRESS(1034,18)),INDIRECT(ADDRESS(1035,17))-INDIRECT(ADDRESS(1030,18))+INDIRECT(ADDRESS(1033,18))-INDIRECT(ADDRESS(1034,18)))</f>
        <v>0</v>
      </c>
      <c r="S1035">
        <f>IF(DAY(NOW())&lt;M3,INDIRECT(ADDRESS(1035,18))-INDIRECT(ADDRESS(1030,19))+INDIRECT(ADDRESS(1031,19))-INDIRECT(ADDRESS(1034,19)),INDIRECT(ADDRESS(1035,18))-INDIRECT(ADDRESS(1030,19))+INDIRECT(ADDRESS(1033,19))-INDIRECT(ADDRESS(1034,19)))</f>
        <v>0</v>
      </c>
      <c r="T1035">
        <f>IF(DAY(NOW())&lt;M3,INDIRECT(ADDRESS(1035,19))-INDIRECT(ADDRESS(1030,20))+INDIRECT(ADDRESS(1031,20))-INDIRECT(ADDRESS(1034,20)),INDIRECT(ADDRESS(1035,19))-INDIRECT(ADDRESS(1030,20))+INDIRECT(ADDRESS(1033,20))-INDIRECT(ADDRESS(1034,20)))</f>
        <v>0</v>
      </c>
      <c r="U1035">
        <f>IF(DAY(NOW())&lt;M3,INDIRECT(ADDRESS(1035,20))-INDIRECT(ADDRESS(1030,21))+INDIRECT(ADDRESS(1031,21))-INDIRECT(ADDRESS(1034,21)),INDIRECT(ADDRESS(1035,20))-INDIRECT(ADDRESS(1030,21))+INDIRECT(ADDRESS(1033,21))-INDIRECT(ADDRESS(1034,21)))</f>
        <v>0</v>
      </c>
      <c r="V1035">
        <f>IF(DAY(NOW())&lt;M3,INDIRECT(ADDRESS(1035,21))-INDIRECT(ADDRESS(1030,22))+INDIRECT(ADDRESS(1031,22))-INDIRECT(ADDRESS(1034,22)),INDIRECT(ADDRESS(1035,21))-INDIRECT(ADDRESS(1030,22))+INDIRECT(ADDRESS(1033,22))-INDIRECT(ADDRESS(1034,22)))</f>
        <v>0</v>
      </c>
      <c r="W1035">
        <f>IF(DAY(NOW())&lt;M3,INDIRECT(ADDRESS(1035,22))-INDIRECT(ADDRESS(1030,23))+INDIRECT(ADDRESS(1031,23))-INDIRECT(ADDRESS(1034,23)),INDIRECT(ADDRESS(1035,22))-INDIRECT(ADDRESS(1030,23))+INDIRECT(ADDRESS(1033,23))-INDIRECT(ADDRESS(1034,23)))</f>
        <v>0</v>
      </c>
      <c r="X1035">
        <f>IF(DAY(NOW())&lt;M3,INDIRECT(ADDRESS(1035,23))-INDIRECT(ADDRESS(1030,24))+INDIRECT(ADDRESS(1031,24))-INDIRECT(ADDRESS(1034,24)),INDIRECT(ADDRESS(1035,23))-INDIRECT(ADDRESS(1030,24))+INDIRECT(ADDRESS(1033,24))-INDIRECT(ADDRESS(1034,24)))</f>
        <v>0</v>
      </c>
      <c r="Y1035">
        <f>IF(DAY(NOW())&lt;M3,INDIRECT(ADDRESS(1035,24))-INDIRECT(ADDRESS(1030,25))+INDIRECT(ADDRESS(1031,25))-INDIRECT(ADDRESS(1034,25)),INDIRECT(ADDRESS(1035,24))-INDIRECT(ADDRESS(1030,25))+INDIRECT(ADDRESS(1033,25))-INDIRECT(ADDRESS(1034,25)))</f>
        <v>0</v>
      </c>
      <c r="Z1035">
        <f>IF(DAY(NOW())&lt;M3,INDIRECT(ADDRESS(1035,25))-INDIRECT(ADDRESS(1030,26))+INDIRECT(ADDRESS(1031,26))-INDIRECT(ADDRESS(1034,26)),INDIRECT(ADDRESS(1035,25))-INDIRECT(ADDRESS(1030,26))+INDIRECT(ADDRESS(1033,26))-INDIRECT(ADDRESS(1034,26)))</f>
        <v>0</v>
      </c>
      <c r="AA1035">
        <f>IF(DAY(NOW())&lt;M3,INDIRECT(ADDRESS(1035,26))-INDIRECT(ADDRESS(1030,27))+INDIRECT(ADDRESS(1031,27))-INDIRECT(ADDRESS(1034,27)),INDIRECT(ADDRESS(1035,26))-INDIRECT(ADDRESS(1030,27))+INDIRECT(ADDRESS(1033,27))-INDIRECT(ADDRESS(1034,27)))</f>
        <v>0</v>
      </c>
      <c r="AB1035">
        <f>IF(DAY(NOW())&lt;M3,INDIRECT(ADDRESS(1035,27))-INDIRECT(ADDRESS(1030,28))+INDIRECT(ADDRESS(1031,28))-INDIRECT(ADDRESS(1034,28)),INDIRECT(ADDRESS(1035,27))-INDIRECT(ADDRESS(1030,28))+INDIRECT(ADDRESS(1033,28))-INDIRECT(ADDRESS(1034,28)))</f>
        <v>0</v>
      </c>
      <c r="AC1035">
        <f>IF(DAY(NOW())&lt;M3,INDIRECT(ADDRESS(1035,28))-INDIRECT(ADDRESS(1030,29))+INDIRECT(ADDRESS(1031,29))-INDIRECT(ADDRESS(1034,29)),INDIRECT(ADDRESS(1035,28))-INDIRECT(ADDRESS(1030,29))+INDIRECT(ADDRESS(1033,29))-INDIRECT(ADDRESS(1034,29)))</f>
        <v>0</v>
      </c>
      <c r="AD1035">
        <f>IF(DAY(NOW())&lt;M3,INDIRECT(ADDRESS(1035,29))-INDIRECT(ADDRESS(1030,30))+INDIRECT(ADDRESS(1031,30))-INDIRECT(ADDRESS(1034,30)),INDIRECT(ADDRESS(1035,29))-INDIRECT(ADDRESS(1030,30))+INDIRECT(ADDRESS(1033,30))-INDIRECT(ADDRESS(1034,30)))</f>
        <v>0</v>
      </c>
      <c r="AE1035">
        <f>IF(DAY(NOW())&lt;M3,INDIRECT(ADDRESS(1035,30))-INDIRECT(ADDRESS(1030,31))+INDIRECT(ADDRESS(1031,31))-INDIRECT(ADDRESS(1034,31)),INDIRECT(ADDRESS(1035,30))-INDIRECT(ADDRESS(1030,31))+INDIRECT(ADDRESS(1033,31))-INDIRECT(ADDRESS(1034,31)))</f>
        <v>0</v>
      </c>
      <c r="AF1035">
        <f>IF(DAY(NOW())&lt;M3,INDIRECT(ADDRESS(1035,31))-INDIRECT(ADDRESS(1030,32))+INDIRECT(ADDRESS(1031,32))-INDIRECT(ADDRESS(1034,32)),INDIRECT(ADDRESS(1035,31))-INDIRECT(ADDRESS(1030,32))+INDIRECT(ADDRESS(1033,32))-INDIRECT(ADDRESS(1034,32)))</f>
        <v>0</v>
      </c>
      <c r="AG1035">
        <f>IF(DAY(NOW())&lt;M3,INDIRECT(ADDRESS(1035,32))-INDIRECT(ADDRESS(1030,33))+INDIRECT(ADDRESS(1031,33))-INDIRECT(ADDRESS(1034,33)),INDIRECT(ADDRESS(1035,32))-INDIRECT(ADDRESS(1030,33))+INDIRECT(ADDRESS(1033,33))-INDIRECT(ADDRESS(1034,33)))</f>
        <v>0</v>
      </c>
      <c r="AH1035">
        <f>IF(DAY(NOW())&lt;M3,INDIRECT(ADDRESS(1035,33))-INDIRECT(ADDRESS(1030,34))+INDIRECT(ADDRESS(1031,34))-INDIRECT(ADDRESS(1034,34)),INDIRECT(ADDRESS(1035,33))-INDIRECT(ADDRESS(1030,34))+INDIRECT(ADDRESS(1033,34))-INDIRECT(ADDRESS(1034,34)))</f>
        <v>0</v>
      </c>
      <c r="AI1035">
        <f>IF(DAY(NOW())&lt;M3,INDIRECT(ADDRESS(1035,34))-INDIRECT(ADDRESS(1030,35))+INDIRECT(ADDRESS(1031,35))-INDIRECT(ADDRESS(1034,35)),INDIRECT(ADDRESS(1035,34))-INDIRECT(ADDRESS(1030,35))+INDIRECT(ADDRESS(1033,35))-INDIRECT(ADDRESS(1034,35)))</f>
        <v>0</v>
      </c>
      <c r="AJ1035">
        <f>IF(DAY(NOW())&lt;M3,INDIRECT(ADDRESS(1035,35))-INDIRECT(ADDRESS(1030,36))+INDIRECT(ADDRESS(1031,36))-INDIRECT(ADDRESS(1034,36)),INDIRECT(ADDRESS(1035,35))-INDIRECT(ADDRESS(1030,36))+INDIRECT(ADDRESS(1033,36))-INDIRECT(ADDRESS(1034,36)))</f>
        <v>0</v>
      </c>
      <c r="AK1035">
        <f>IF(DAY(NOW())&lt;M3,INDIRECT(ADDRESS(1035,36))-INDIRECT(ADDRESS(1030,37))+INDIRECT(ADDRESS(1031,37))-INDIRECT(ADDRESS(1034,37)),INDIRECT(ADDRESS(1035,36))-INDIRECT(ADDRESS(1030,37))+INDIRECT(ADDRESS(1033,37))-INDIRECT(ADDRESS(1034,37)))</f>
        <v>0</v>
      </c>
      <c r="AL1035">
        <f>IF(DAY(NOW())&lt;M3,INDIRECT(ADDRESS(1035,37))-INDIRECT(ADDRESS(1030,38))+INDIRECT(ADDRESS(1031,38))-INDIRECT(ADDRESS(1034,38)),INDIRECT(ADDRESS(1035,37))-INDIRECT(ADDRESS(1030,38))+INDIRECT(ADDRESS(1033,38))-INDIRECT(ADDRESS(1034,38)))</f>
        <v>0</v>
      </c>
      <c r="AM1035">
        <f>IF(DAY(NOW())&lt;M3,INDIRECT(ADDRESS(1035,38))-INDIRECT(ADDRESS(1030,39))+INDIRECT(ADDRESS(1031,39))-INDIRECT(ADDRESS(1034,39)),INDIRECT(ADDRESS(1035,38))-INDIRECT(ADDRESS(1030,39))+INDIRECT(ADDRESS(1033,39))-INDIRECT(ADDRESS(1034,39)))</f>
        <v>0</v>
      </c>
      <c r="AN1035">
        <f>IF(DAY(NOW())&lt;M3,INDIRECT(ADDRESS(1035,39))-INDIRECT(ADDRESS(1030,40))+INDIRECT(ADDRESS(1031,40))-INDIRECT(ADDRESS(1034,40)),INDIRECT(ADDRESS(1035,39))-INDIRECT(ADDRESS(1030,40))+INDIRECT(ADDRESS(1033,40))-INDIRECT(ADDRESS(1034,40)))</f>
        <v>0</v>
      </c>
      <c r="AO1035">
        <f>IF(DAY(NOW())&lt;M3,INDIRECT(ADDRESS(1035,40))-INDIRECT(ADDRESS(1030,41))+INDIRECT(ADDRESS(1031,41))-INDIRECT(ADDRESS(1034,41)),INDIRECT(ADDRESS(1035,40))-INDIRECT(ADDRESS(1030,41))+INDIRECT(ADDRESS(1033,41))-INDIRECT(ADDRESS(1034,41)))</f>
        <v>0</v>
      </c>
      <c r="AP1035">
        <f>IF(DAY(NOW())&lt;M3,INDIRECT(ADDRESS(1035,41))-INDIRECT(ADDRESS(1030,42))+INDIRECT(ADDRESS(1031,42))-INDIRECT(ADDRESS(1034,42)),INDIRECT(ADDRESS(1035,41))-INDIRECT(ADDRESS(1030,42))+INDIRECT(ADDRESS(1033,42))-INDIRECT(ADDRESS(1034,42)))</f>
        <v>0</v>
      </c>
      <c r="AQ1035">
        <f>IF(DAY(NOW())&lt;M3,INDIRECT(ADDRESS(1035,42))-INDIRECT(ADDRESS(1030,43))+INDIRECT(ADDRESS(1031,43))-INDIRECT(ADDRESS(1034,43)),INDIRECT(ADDRESS(1035,42))-INDIRECT(ADDRESS(1030,43))+INDIRECT(ADDRESS(1033,43))-INDIRECT(ADDRESS(1034,43)))</f>
        <v>0</v>
      </c>
      <c r="AR1035">
        <f>IF(DAY(NOW())&lt;M3,INDIRECT(ADDRESS(1035,43))-INDIRECT(ADDRESS(1030,44))+INDIRECT(ADDRESS(1031,44))-INDIRECT(ADDRESS(1034,44)),INDIRECT(ADDRESS(1035,43))-INDIRECT(ADDRESS(1030,44))+INDIRECT(ADDRESS(1033,44))-INDIRECT(ADDRESS(1034,44)))</f>
        <v>0</v>
      </c>
    </row>
    <row r="1036" spans="1:76">
      <c r="A1036" t="s">
        <v>31</v>
      </c>
      <c r="B1036" t="s">
        <v>423</v>
      </c>
      <c r="C1036" t="s">
        <v>424</v>
      </c>
      <c r="D1036" t="s">
        <v>17</v>
      </c>
      <c r="E1036">
        <v>5</v>
      </c>
      <c r="F1036" t="s">
        <v>430</v>
      </c>
      <c r="K1036" t="s">
        <v>308</v>
      </c>
      <c r="L1036" t="s">
        <v>21</v>
      </c>
      <c r="M1036">
        <f>sumifs(BOM!m:m,BOM!A:A,".1",BOM!B:B,"232-008900-000")</f>
        <v>0</v>
      </c>
      <c r="N1036">
        <f>sumifs(BOM!n:n,BOM!A:A,".1",BOM!B:B,"232-008900-000")</f>
        <v>0</v>
      </c>
      <c r="O1036">
        <f>sumifs(BOM!o:o,BOM!A:A,".1",BOM!B:B,"232-008900-000")</f>
        <v>0</v>
      </c>
      <c r="P1036">
        <f>sumifs(BOM!p:p,BOM!A:A,".1",BOM!B:B,"232-008900-000")</f>
        <v>0</v>
      </c>
      <c r="Q1036">
        <f>sumifs(BOM!q:q,BOM!A:A,".1",BOM!B:B,"232-008900-000")</f>
        <v>0</v>
      </c>
      <c r="R1036">
        <f>sumifs(BOM!r:r,BOM!A:A,".1",BOM!B:B,"232-008900-000")</f>
        <v>0</v>
      </c>
      <c r="S1036">
        <f>sumifs(BOM!s:s,BOM!A:A,".1",BOM!B:B,"232-008900-000")</f>
        <v>0</v>
      </c>
      <c r="T1036">
        <f>sumifs(BOM!t:t,BOM!A:A,".1",BOM!B:B,"232-008900-000")</f>
        <v>0</v>
      </c>
      <c r="U1036">
        <f>sumifs(BOM!u:u,BOM!A:A,".1",BOM!B:B,"232-008900-000")</f>
        <v>0</v>
      </c>
      <c r="V1036">
        <f>sumifs(BOM!v:v,BOM!A:A,".1",BOM!B:B,"232-008900-000")</f>
        <v>0</v>
      </c>
      <c r="W1036">
        <f>sumifs(BOM!w:w,BOM!A:A,".1",BOM!B:B,"232-008900-000")</f>
        <v>0</v>
      </c>
      <c r="X1036">
        <f>sumifs(BOM!x:x,BOM!A:A,".1",BOM!B:B,"232-008900-000")</f>
        <v>0</v>
      </c>
      <c r="Y1036">
        <f>sumifs(BOM!y:y,BOM!A:A,".1",BOM!B:B,"232-008900-000")</f>
        <v>0</v>
      </c>
      <c r="Z1036">
        <f>sumifs(BOM!z:z,BOM!A:A,".1",BOM!B:B,"232-008900-000")</f>
        <v>0</v>
      </c>
      <c r="AA1036">
        <f>sumifs(BOM!aa:aa,BOM!A:A,".1",BOM!B:B,"232-008900-000")</f>
        <v>0</v>
      </c>
      <c r="AB1036">
        <f>sumifs(BOM!ab:ab,BOM!A:A,".1",BOM!B:B,"232-008900-000")</f>
        <v>0</v>
      </c>
      <c r="AC1036">
        <f>sumifs(BOM!ac:ac,BOM!A:A,".1",BOM!B:B,"232-008900-000")</f>
        <v>0</v>
      </c>
      <c r="AD1036">
        <f>sumifs(BOM!ad:ad,BOM!A:A,".1",BOM!B:B,"232-008900-000")</f>
        <v>0</v>
      </c>
      <c r="AE1036">
        <f>sumifs(BOM!ae:ae,BOM!A:A,".1",BOM!B:B,"232-008900-000")</f>
        <v>0</v>
      </c>
      <c r="AF1036">
        <f>sumifs(BOM!af:af,BOM!A:A,".1",BOM!B:B,"232-008900-000")</f>
        <v>0</v>
      </c>
      <c r="AG1036">
        <f>sumifs(BOM!ag:ag,BOM!A:A,".1",BOM!B:B,"232-008900-000")</f>
        <v>0</v>
      </c>
      <c r="AH1036">
        <f>sumifs(BOM!ah:ah,BOM!A:A,".1",BOM!B:B,"232-008900-000")</f>
        <v>0</v>
      </c>
      <c r="AI1036">
        <f>sumifs(BOM!ai:ai,BOM!A:A,".1",BOM!B:B,"232-008900-000")</f>
        <v>0</v>
      </c>
      <c r="AJ1036">
        <f>sumifs(BOM!aj:aj,BOM!A:A,".1",BOM!B:B,"232-008900-000")</f>
        <v>0</v>
      </c>
      <c r="AK1036">
        <f>sumifs(BOM!ak:ak,BOM!A:A,".1",BOM!B:B,"232-008900-000")</f>
        <v>0</v>
      </c>
      <c r="AL1036">
        <f>sumifs(BOM!al:al,BOM!A:A,".1",BOM!B:B,"232-008900-000")</f>
        <v>0</v>
      </c>
      <c r="AM1036">
        <f>sumifs(BOM!am:am,BOM!A:A,".1",BOM!B:B,"232-008900-000")</f>
        <v>0</v>
      </c>
      <c r="AN1036">
        <f>sumifs(BOM!an:an,BOM!A:A,".1",BOM!B:B,"232-008900-000")</f>
        <v>0</v>
      </c>
      <c r="AO1036">
        <f>sumifs(BOM!ao:ao,BOM!A:A,".1",BOM!B:B,"232-008900-000")</f>
        <v>0</v>
      </c>
      <c r="AP1036">
        <f>sumifs(BOM!ap:ap,BOM!A:A,".1",BOM!B:B,"232-008900-000")</f>
        <v>0</v>
      </c>
      <c r="AQ1036">
        <f>sumifs(BOM!aq:aq,BOM!A:A,".1",BOM!B:B,"232-008900-000")</f>
        <v>0</v>
      </c>
      <c r="AR1036">
        <f>sumifs(BOM!ar:ar,BOM!A:A,".1",BOM!B:B,"232-008900-000")</f>
        <v>0</v>
      </c>
      <c r="BX1036">
        <f>sum(j1036:an1036)</f>
        <v>0</v>
      </c>
    </row>
    <row r="1037" spans="1:76">
      <c r="A1037" t="s">
        <v>31</v>
      </c>
      <c r="B1037" t="s">
        <v>423</v>
      </c>
      <c r="C1037" t="s">
        <v>424</v>
      </c>
      <c r="D1037" t="s">
        <v>17</v>
      </c>
      <c r="E1037">
        <v>5</v>
      </c>
      <c r="F1037" t="s">
        <v>430</v>
      </c>
      <c r="K1037" t="s">
        <v>308</v>
      </c>
      <c r="L1037" t="s">
        <v>37</v>
      </c>
    </row>
    <row r="1038" spans="1:76">
      <c r="L1038" t="s">
        <v>662</v>
      </c>
    </row>
    <row r="1039" spans="1:76">
      <c r="L1039" t="s">
        <v>663</v>
      </c>
    </row>
    <row r="1040" spans="1:76">
      <c r="L1040" t="s">
        <v>664</v>
      </c>
    </row>
    <row r="1041" spans="1:76">
      <c r="L1041" t="s">
        <v>665</v>
      </c>
      <c r="M1041">
        <f>IF(DAY(NOW())&lt;M3,INDIRECT(ADDRESS(1041,7))-INDIRECT(ADDRESS(1036,13))+INDIRECT(ADDRESS(1037,13))-INDIRECT(ADDRESS(1040,13)),INDIRECT(ADDRESS(1041,7))-INDIRECT(ADDRESS(1036,13))+INDIRECT(ADDRESS(1039,13))-INDIRECT(ADDRESS(1040,13)))</f>
        <v>0</v>
      </c>
      <c r="N1041">
        <f>IF(DAY(NOW())&lt;M3,INDIRECT(ADDRESS(1041,13))-INDIRECT(ADDRESS(1036,14))+INDIRECT(ADDRESS(1037,14))-INDIRECT(ADDRESS(1040,14)),INDIRECT(ADDRESS(1041,13))-INDIRECT(ADDRESS(1036,14))+INDIRECT(ADDRESS(1039,14))-INDIRECT(ADDRESS(1040,14)))</f>
        <v>0</v>
      </c>
      <c r="O1041">
        <f>IF(DAY(NOW())&lt;M3,INDIRECT(ADDRESS(1041,14))-INDIRECT(ADDRESS(1036,15))+INDIRECT(ADDRESS(1037,15))-INDIRECT(ADDRESS(1040,15)),INDIRECT(ADDRESS(1041,14))-INDIRECT(ADDRESS(1036,15))+INDIRECT(ADDRESS(1039,15))-INDIRECT(ADDRESS(1040,15)))</f>
        <v>0</v>
      </c>
      <c r="P1041">
        <f>IF(DAY(NOW())&lt;M3,INDIRECT(ADDRESS(1041,15))-INDIRECT(ADDRESS(1036,16))+INDIRECT(ADDRESS(1037,16))-INDIRECT(ADDRESS(1040,16)),INDIRECT(ADDRESS(1041,15))-INDIRECT(ADDRESS(1036,16))+INDIRECT(ADDRESS(1039,16))-INDIRECT(ADDRESS(1040,16)))</f>
        <v>0</v>
      </c>
      <c r="Q1041">
        <f>IF(DAY(NOW())&lt;M3,INDIRECT(ADDRESS(1041,16))-INDIRECT(ADDRESS(1036,17))+INDIRECT(ADDRESS(1037,17))-INDIRECT(ADDRESS(1040,17)),INDIRECT(ADDRESS(1041,16))-INDIRECT(ADDRESS(1036,17))+INDIRECT(ADDRESS(1039,17))-INDIRECT(ADDRESS(1040,17)))</f>
        <v>0</v>
      </c>
      <c r="R1041">
        <f>IF(DAY(NOW())&lt;M3,INDIRECT(ADDRESS(1041,17))-INDIRECT(ADDRESS(1036,18))+INDIRECT(ADDRESS(1037,18))-INDIRECT(ADDRESS(1040,18)),INDIRECT(ADDRESS(1041,17))-INDIRECT(ADDRESS(1036,18))+INDIRECT(ADDRESS(1039,18))-INDIRECT(ADDRESS(1040,18)))</f>
        <v>0</v>
      </c>
      <c r="S1041">
        <f>IF(DAY(NOW())&lt;M3,INDIRECT(ADDRESS(1041,18))-INDIRECT(ADDRESS(1036,19))+INDIRECT(ADDRESS(1037,19))-INDIRECT(ADDRESS(1040,19)),INDIRECT(ADDRESS(1041,18))-INDIRECT(ADDRESS(1036,19))+INDIRECT(ADDRESS(1039,19))-INDIRECT(ADDRESS(1040,19)))</f>
        <v>0</v>
      </c>
      <c r="T1041">
        <f>IF(DAY(NOW())&lt;M3,INDIRECT(ADDRESS(1041,19))-INDIRECT(ADDRESS(1036,20))+INDIRECT(ADDRESS(1037,20))-INDIRECT(ADDRESS(1040,20)),INDIRECT(ADDRESS(1041,19))-INDIRECT(ADDRESS(1036,20))+INDIRECT(ADDRESS(1039,20))-INDIRECT(ADDRESS(1040,20)))</f>
        <v>0</v>
      </c>
      <c r="U1041">
        <f>IF(DAY(NOW())&lt;M3,INDIRECT(ADDRESS(1041,20))-INDIRECT(ADDRESS(1036,21))+INDIRECT(ADDRESS(1037,21))-INDIRECT(ADDRESS(1040,21)),INDIRECT(ADDRESS(1041,20))-INDIRECT(ADDRESS(1036,21))+INDIRECT(ADDRESS(1039,21))-INDIRECT(ADDRESS(1040,21)))</f>
        <v>0</v>
      </c>
      <c r="V1041">
        <f>IF(DAY(NOW())&lt;M3,INDIRECT(ADDRESS(1041,21))-INDIRECT(ADDRESS(1036,22))+INDIRECT(ADDRESS(1037,22))-INDIRECT(ADDRESS(1040,22)),INDIRECT(ADDRESS(1041,21))-INDIRECT(ADDRESS(1036,22))+INDIRECT(ADDRESS(1039,22))-INDIRECT(ADDRESS(1040,22)))</f>
        <v>0</v>
      </c>
      <c r="W1041">
        <f>IF(DAY(NOW())&lt;M3,INDIRECT(ADDRESS(1041,22))-INDIRECT(ADDRESS(1036,23))+INDIRECT(ADDRESS(1037,23))-INDIRECT(ADDRESS(1040,23)),INDIRECT(ADDRESS(1041,22))-INDIRECT(ADDRESS(1036,23))+INDIRECT(ADDRESS(1039,23))-INDIRECT(ADDRESS(1040,23)))</f>
        <v>0</v>
      </c>
      <c r="X1041">
        <f>IF(DAY(NOW())&lt;M3,INDIRECT(ADDRESS(1041,23))-INDIRECT(ADDRESS(1036,24))+INDIRECT(ADDRESS(1037,24))-INDIRECT(ADDRESS(1040,24)),INDIRECT(ADDRESS(1041,23))-INDIRECT(ADDRESS(1036,24))+INDIRECT(ADDRESS(1039,24))-INDIRECT(ADDRESS(1040,24)))</f>
        <v>0</v>
      </c>
      <c r="Y1041">
        <f>IF(DAY(NOW())&lt;M3,INDIRECT(ADDRESS(1041,24))-INDIRECT(ADDRESS(1036,25))+INDIRECT(ADDRESS(1037,25))-INDIRECT(ADDRESS(1040,25)),INDIRECT(ADDRESS(1041,24))-INDIRECT(ADDRESS(1036,25))+INDIRECT(ADDRESS(1039,25))-INDIRECT(ADDRESS(1040,25)))</f>
        <v>0</v>
      </c>
      <c r="Z1041">
        <f>IF(DAY(NOW())&lt;M3,INDIRECT(ADDRESS(1041,25))-INDIRECT(ADDRESS(1036,26))+INDIRECT(ADDRESS(1037,26))-INDIRECT(ADDRESS(1040,26)),INDIRECT(ADDRESS(1041,25))-INDIRECT(ADDRESS(1036,26))+INDIRECT(ADDRESS(1039,26))-INDIRECT(ADDRESS(1040,26)))</f>
        <v>0</v>
      </c>
      <c r="AA1041">
        <f>IF(DAY(NOW())&lt;M3,INDIRECT(ADDRESS(1041,26))-INDIRECT(ADDRESS(1036,27))+INDIRECT(ADDRESS(1037,27))-INDIRECT(ADDRESS(1040,27)),INDIRECT(ADDRESS(1041,26))-INDIRECT(ADDRESS(1036,27))+INDIRECT(ADDRESS(1039,27))-INDIRECT(ADDRESS(1040,27)))</f>
        <v>0</v>
      </c>
      <c r="AB1041">
        <f>IF(DAY(NOW())&lt;M3,INDIRECT(ADDRESS(1041,27))-INDIRECT(ADDRESS(1036,28))+INDIRECT(ADDRESS(1037,28))-INDIRECT(ADDRESS(1040,28)),INDIRECT(ADDRESS(1041,27))-INDIRECT(ADDRESS(1036,28))+INDIRECT(ADDRESS(1039,28))-INDIRECT(ADDRESS(1040,28)))</f>
        <v>0</v>
      </c>
      <c r="AC1041">
        <f>IF(DAY(NOW())&lt;M3,INDIRECT(ADDRESS(1041,28))-INDIRECT(ADDRESS(1036,29))+INDIRECT(ADDRESS(1037,29))-INDIRECT(ADDRESS(1040,29)),INDIRECT(ADDRESS(1041,28))-INDIRECT(ADDRESS(1036,29))+INDIRECT(ADDRESS(1039,29))-INDIRECT(ADDRESS(1040,29)))</f>
        <v>0</v>
      </c>
      <c r="AD1041">
        <f>IF(DAY(NOW())&lt;M3,INDIRECT(ADDRESS(1041,29))-INDIRECT(ADDRESS(1036,30))+INDIRECT(ADDRESS(1037,30))-INDIRECT(ADDRESS(1040,30)),INDIRECT(ADDRESS(1041,29))-INDIRECT(ADDRESS(1036,30))+INDIRECT(ADDRESS(1039,30))-INDIRECT(ADDRESS(1040,30)))</f>
        <v>0</v>
      </c>
      <c r="AE1041">
        <f>IF(DAY(NOW())&lt;M3,INDIRECT(ADDRESS(1041,30))-INDIRECT(ADDRESS(1036,31))+INDIRECT(ADDRESS(1037,31))-INDIRECT(ADDRESS(1040,31)),INDIRECT(ADDRESS(1041,30))-INDIRECT(ADDRESS(1036,31))+INDIRECT(ADDRESS(1039,31))-INDIRECT(ADDRESS(1040,31)))</f>
        <v>0</v>
      </c>
      <c r="AF1041">
        <f>IF(DAY(NOW())&lt;M3,INDIRECT(ADDRESS(1041,31))-INDIRECT(ADDRESS(1036,32))+INDIRECT(ADDRESS(1037,32))-INDIRECT(ADDRESS(1040,32)),INDIRECT(ADDRESS(1041,31))-INDIRECT(ADDRESS(1036,32))+INDIRECT(ADDRESS(1039,32))-INDIRECT(ADDRESS(1040,32)))</f>
        <v>0</v>
      </c>
      <c r="AG1041">
        <f>IF(DAY(NOW())&lt;M3,INDIRECT(ADDRESS(1041,32))-INDIRECT(ADDRESS(1036,33))+INDIRECT(ADDRESS(1037,33))-INDIRECT(ADDRESS(1040,33)),INDIRECT(ADDRESS(1041,32))-INDIRECT(ADDRESS(1036,33))+INDIRECT(ADDRESS(1039,33))-INDIRECT(ADDRESS(1040,33)))</f>
        <v>0</v>
      </c>
      <c r="AH1041">
        <f>IF(DAY(NOW())&lt;M3,INDIRECT(ADDRESS(1041,33))-INDIRECT(ADDRESS(1036,34))+INDIRECT(ADDRESS(1037,34))-INDIRECT(ADDRESS(1040,34)),INDIRECT(ADDRESS(1041,33))-INDIRECT(ADDRESS(1036,34))+INDIRECT(ADDRESS(1039,34))-INDIRECT(ADDRESS(1040,34)))</f>
        <v>0</v>
      </c>
      <c r="AI1041">
        <f>IF(DAY(NOW())&lt;M3,INDIRECT(ADDRESS(1041,34))-INDIRECT(ADDRESS(1036,35))+INDIRECT(ADDRESS(1037,35))-INDIRECT(ADDRESS(1040,35)),INDIRECT(ADDRESS(1041,34))-INDIRECT(ADDRESS(1036,35))+INDIRECT(ADDRESS(1039,35))-INDIRECT(ADDRESS(1040,35)))</f>
        <v>0</v>
      </c>
      <c r="AJ1041">
        <f>IF(DAY(NOW())&lt;M3,INDIRECT(ADDRESS(1041,35))-INDIRECT(ADDRESS(1036,36))+INDIRECT(ADDRESS(1037,36))-INDIRECT(ADDRESS(1040,36)),INDIRECT(ADDRESS(1041,35))-INDIRECT(ADDRESS(1036,36))+INDIRECT(ADDRESS(1039,36))-INDIRECT(ADDRESS(1040,36)))</f>
        <v>0</v>
      </c>
      <c r="AK1041">
        <f>IF(DAY(NOW())&lt;M3,INDIRECT(ADDRESS(1041,36))-INDIRECT(ADDRESS(1036,37))+INDIRECT(ADDRESS(1037,37))-INDIRECT(ADDRESS(1040,37)),INDIRECT(ADDRESS(1041,36))-INDIRECT(ADDRESS(1036,37))+INDIRECT(ADDRESS(1039,37))-INDIRECT(ADDRESS(1040,37)))</f>
        <v>0</v>
      </c>
      <c r="AL1041">
        <f>IF(DAY(NOW())&lt;M3,INDIRECT(ADDRESS(1041,37))-INDIRECT(ADDRESS(1036,38))+INDIRECT(ADDRESS(1037,38))-INDIRECT(ADDRESS(1040,38)),INDIRECT(ADDRESS(1041,37))-INDIRECT(ADDRESS(1036,38))+INDIRECT(ADDRESS(1039,38))-INDIRECT(ADDRESS(1040,38)))</f>
        <v>0</v>
      </c>
      <c r="AM1041">
        <f>IF(DAY(NOW())&lt;M3,INDIRECT(ADDRESS(1041,38))-INDIRECT(ADDRESS(1036,39))+INDIRECT(ADDRESS(1037,39))-INDIRECT(ADDRESS(1040,39)),INDIRECT(ADDRESS(1041,38))-INDIRECT(ADDRESS(1036,39))+INDIRECT(ADDRESS(1039,39))-INDIRECT(ADDRESS(1040,39)))</f>
        <v>0</v>
      </c>
      <c r="AN1041">
        <f>IF(DAY(NOW())&lt;M3,INDIRECT(ADDRESS(1041,39))-INDIRECT(ADDRESS(1036,40))+INDIRECT(ADDRESS(1037,40))-INDIRECT(ADDRESS(1040,40)),INDIRECT(ADDRESS(1041,39))-INDIRECT(ADDRESS(1036,40))+INDIRECT(ADDRESS(1039,40))-INDIRECT(ADDRESS(1040,40)))</f>
        <v>0</v>
      </c>
      <c r="AO1041">
        <f>IF(DAY(NOW())&lt;M3,INDIRECT(ADDRESS(1041,40))-INDIRECT(ADDRESS(1036,41))+INDIRECT(ADDRESS(1037,41))-INDIRECT(ADDRESS(1040,41)),INDIRECT(ADDRESS(1041,40))-INDIRECT(ADDRESS(1036,41))+INDIRECT(ADDRESS(1039,41))-INDIRECT(ADDRESS(1040,41)))</f>
        <v>0</v>
      </c>
      <c r="AP1041">
        <f>IF(DAY(NOW())&lt;M3,INDIRECT(ADDRESS(1041,41))-INDIRECT(ADDRESS(1036,42))+INDIRECT(ADDRESS(1037,42))-INDIRECT(ADDRESS(1040,42)),INDIRECT(ADDRESS(1041,41))-INDIRECT(ADDRESS(1036,42))+INDIRECT(ADDRESS(1039,42))-INDIRECT(ADDRESS(1040,42)))</f>
        <v>0</v>
      </c>
      <c r="AQ1041">
        <f>IF(DAY(NOW())&lt;M3,INDIRECT(ADDRESS(1041,42))-INDIRECT(ADDRESS(1036,43))+INDIRECT(ADDRESS(1037,43))-INDIRECT(ADDRESS(1040,43)),INDIRECT(ADDRESS(1041,42))-INDIRECT(ADDRESS(1036,43))+INDIRECT(ADDRESS(1039,43))-INDIRECT(ADDRESS(1040,43)))</f>
        <v>0</v>
      </c>
      <c r="AR1041">
        <f>IF(DAY(NOW())&lt;M3,INDIRECT(ADDRESS(1041,43))-INDIRECT(ADDRESS(1036,44))+INDIRECT(ADDRESS(1037,44))-INDIRECT(ADDRESS(1040,44)),INDIRECT(ADDRESS(1041,43))-INDIRECT(ADDRESS(1036,44))+INDIRECT(ADDRESS(1039,44))-INDIRECT(ADDRESS(1040,44)))</f>
        <v>0</v>
      </c>
    </row>
    <row r="1042" spans="1:76">
      <c r="A1042" t="s">
        <v>14</v>
      </c>
      <c r="B1042" t="s">
        <v>291</v>
      </c>
      <c r="C1042" t="s">
        <v>292</v>
      </c>
      <c r="D1042" t="s">
        <v>304</v>
      </c>
      <c r="E1042">
        <v>1</v>
      </c>
      <c r="F1042" t="s">
        <v>293</v>
      </c>
      <c r="K1042" t="s">
        <v>305</v>
      </c>
      <c r="L1042" t="s">
        <v>21</v>
      </c>
      <c r="BX1042">
        <f>sum(j1042:an1042)</f>
        <v>0</v>
      </c>
    </row>
    <row r="1043" spans="1:76">
      <c r="A1043" t="s">
        <v>14</v>
      </c>
      <c r="B1043" t="s">
        <v>291</v>
      </c>
      <c r="C1043" t="s">
        <v>292</v>
      </c>
      <c r="D1043" t="s">
        <v>304</v>
      </c>
      <c r="E1043">
        <v>1</v>
      </c>
      <c r="F1043" t="s">
        <v>293</v>
      </c>
      <c r="K1043" t="s">
        <v>305</v>
      </c>
      <c r="L1043" t="s">
        <v>37</v>
      </c>
    </row>
    <row r="1044" spans="1:76">
      <c r="L1044" t="s">
        <v>662</v>
      </c>
    </row>
    <row r="1045" spans="1:76">
      <c r="L1045" t="s">
        <v>663</v>
      </c>
    </row>
    <row r="1046" spans="1:76">
      <c r="L1046" t="s">
        <v>664</v>
      </c>
    </row>
    <row r="1047" spans="1:76">
      <c r="L1047" t="s">
        <v>665</v>
      </c>
      <c r="M1047">
        <f>IF(DAY(NOW())&lt;M3,INDIRECT(ADDRESS(1047,7))-INDIRECT(ADDRESS(1042,13))+INDIRECT(ADDRESS(1043,13))-INDIRECT(ADDRESS(1046,13)),INDIRECT(ADDRESS(1047,7))-INDIRECT(ADDRESS(1042,13))+INDIRECT(ADDRESS(1045,13))-INDIRECT(ADDRESS(1046,13)))</f>
        <v>0</v>
      </c>
      <c r="N1047">
        <f>IF(DAY(NOW())&lt;M3,INDIRECT(ADDRESS(1047,13))-INDIRECT(ADDRESS(1042,14))+INDIRECT(ADDRESS(1043,14))-INDIRECT(ADDRESS(1046,14)),INDIRECT(ADDRESS(1047,13))-INDIRECT(ADDRESS(1042,14))+INDIRECT(ADDRESS(1045,14))-INDIRECT(ADDRESS(1046,14)))</f>
        <v>0</v>
      </c>
      <c r="O1047">
        <f>IF(DAY(NOW())&lt;M3,INDIRECT(ADDRESS(1047,14))-INDIRECT(ADDRESS(1042,15))+INDIRECT(ADDRESS(1043,15))-INDIRECT(ADDRESS(1046,15)),INDIRECT(ADDRESS(1047,14))-INDIRECT(ADDRESS(1042,15))+INDIRECT(ADDRESS(1045,15))-INDIRECT(ADDRESS(1046,15)))</f>
        <v>0</v>
      </c>
      <c r="P1047">
        <f>IF(DAY(NOW())&lt;M3,INDIRECT(ADDRESS(1047,15))-INDIRECT(ADDRESS(1042,16))+INDIRECT(ADDRESS(1043,16))-INDIRECT(ADDRESS(1046,16)),INDIRECT(ADDRESS(1047,15))-INDIRECT(ADDRESS(1042,16))+INDIRECT(ADDRESS(1045,16))-INDIRECT(ADDRESS(1046,16)))</f>
        <v>0</v>
      </c>
      <c r="Q1047">
        <f>IF(DAY(NOW())&lt;M3,INDIRECT(ADDRESS(1047,16))-INDIRECT(ADDRESS(1042,17))+INDIRECT(ADDRESS(1043,17))-INDIRECT(ADDRESS(1046,17)),INDIRECT(ADDRESS(1047,16))-INDIRECT(ADDRESS(1042,17))+INDIRECT(ADDRESS(1045,17))-INDIRECT(ADDRESS(1046,17)))</f>
        <v>0</v>
      </c>
      <c r="R1047">
        <f>IF(DAY(NOW())&lt;M3,INDIRECT(ADDRESS(1047,17))-INDIRECT(ADDRESS(1042,18))+INDIRECT(ADDRESS(1043,18))-INDIRECT(ADDRESS(1046,18)),INDIRECT(ADDRESS(1047,17))-INDIRECT(ADDRESS(1042,18))+INDIRECT(ADDRESS(1045,18))-INDIRECT(ADDRESS(1046,18)))</f>
        <v>0</v>
      </c>
      <c r="S1047">
        <f>IF(DAY(NOW())&lt;M3,INDIRECT(ADDRESS(1047,18))-INDIRECT(ADDRESS(1042,19))+INDIRECT(ADDRESS(1043,19))-INDIRECT(ADDRESS(1046,19)),INDIRECT(ADDRESS(1047,18))-INDIRECT(ADDRESS(1042,19))+INDIRECT(ADDRESS(1045,19))-INDIRECT(ADDRESS(1046,19)))</f>
        <v>0</v>
      </c>
      <c r="T1047">
        <f>IF(DAY(NOW())&lt;M3,INDIRECT(ADDRESS(1047,19))-INDIRECT(ADDRESS(1042,20))+INDIRECT(ADDRESS(1043,20))-INDIRECT(ADDRESS(1046,20)),INDIRECT(ADDRESS(1047,19))-INDIRECT(ADDRESS(1042,20))+INDIRECT(ADDRESS(1045,20))-INDIRECT(ADDRESS(1046,20)))</f>
        <v>0</v>
      </c>
      <c r="U1047">
        <f>IF(DAY(NOW())&lt;M3,INDIRECT(ADDRESS(1047,20))-INDIRECT(ADDRESS(1042,21))+INDIRECT(ADDRESS(1043,21))-INDIRECT(ADDRESS(1046,21)),INDIRECT(ADDRESS(1047,20))-INDIRECT(ADDRESS(1042,21))+INDIRECT(ADDRESS(1045,21))-INDIRECT(ADDRESS(1046,21)))</f>
        <v>0</v>
      </c>
      <c r="V1047">
        <f>IF(DAY(NOW())&lt;M3,INDIRECT(ADDRESS(1047,21))-INDIRECT(ADDRESS(1042,22))+INDIRECT(ADDRESS(1043,22))-INDIRECT(ADDRESS(1046,22)),INDIRECT(ADDRESS(1047,21))-INDIRECT(ADDRESS(1042,22))+INDIRECT(ADDRESS(1045,22))-INDIRECT(ADDRESS(1046,22)))</f>
        <v>0</v>
      </c>
      <c r="W1047">
        <f>IF(DAY(NOW())&lt;M3,INDIRECT(ADDRESS(1047,22))-INDIRECT(ADDRESS(1042,23))+INDIRECT(ADDRESS(1043,23))-INDIRECT(ADDRESS(1046,23)),INDIRECT(ADDRESS(1047,22))-INDIRECT(ADDRESS(1042,23))+INDIRECT(ADDRESS(1045,23))-INDIRECT(ADDRESS(1046,23)))</f>
        <v>0</v>
      </c>
      <c r="X1047">
        <f>IF(DAY(NOW())&lt;M3,INDIRECT(ADDRESS(1047,23))-INDIRECT(ADDRESS(1042,24))+INDIRECT(ADDRESS(1043,24))-INDIRECT(ADDRESS(1046,24)),INDIRECT(ADDRESS(1047,23))-INDIRECT(ADDRESS(1042,24))+INDIRECT(ADDRESS(1045,24))-INDIRECT(ADDRESS(1046,24)))</f>
        <v>0</v>
      </c>
      <c r="Y1047">
        <f>IF(DAY(NOW())&lt;M3,INDIRECT(ADDRESS(1047,24))-INDIRECT(ADDRESS(1042,25))+INDIRECT(ADDRESS(1043,25))-INDIRECT(ADDRESS(1046,25)),INDIRECT(ADDRESS(1047,24))-INDIRECT(ADDRESS(1042,25))+INDIRECT(ADDRESS(1045,25))-INDIRECT(ADDRESS(1046,25)))</f>
        <v>0</v>
      </c>
      <c r="Z1047">
        <f>IF(DAY(NOW())&lt;M3,INDIRECT(ADDRESS(1047,25))-INDIRECT(ADDRESS(1042,26))+INDIRECT(ADDRESS(1043,26))-INDIRECT(ADDRESS(1046,26)),INDIRECT(ADDRESS(1047,25))-INDIRECT(ADDRESS(1042,26))+INDIRECT(ADDRESS(1045,26))-INDIRECT(ADDRESS(1046,26)))</f>
        <v>0</v>
      </c>
      <c r="AA1047">
        <f>IF(DAY(NOW())&lt;M3,INDIRECT(ADDRESS(1047,26))-INDIRECT(ADDRESS(1042,27))+INDIRECT(ADDRESS(1043,27))-INDIRECT(ADDRESS(1046,27)),INDIRECT(ADDRESS(1047,26))-INDIRECT(ADDRESS(1042,27))+INDIRECT(ADDRESS(1045,27))-INDIRECT(ADDRESS(1046,27)))</f>
        <v>0</v>
      </c>
      <c r="AB1047">
        <f>IF(DAY(NOW())&lt;M3,INDIRECT(ADDRESS(1047,27))-INDIRECT(ADDRESS(1042,28))+INDIRECT(ADDRESS(1043,28))-INDIRECT(ADDRESS(1046,28)),INDIRECT(ADDRESS(1047,27))-INDIRECT(ADDRESS(1042,28))+INDIRECT(ADDRESS(1045,28))-INDIRECT(ADDRESS(1046,28)))</f>
        <v>0</v>
      </c>
      <c r="AC1047">
        <f>IF(DAY(NOW())&lt;M3,INDIRECT(ADDRESS(1047,28))-INDIRECT(ADDRESS(1042,29))+INDIRECT(ADDRESS(1043,29))-INDIRECT(ADDRESS(1046,29)),INDIRECT(ADDRESS(1047,28))-INDIRECT(ADDRESS(1042,29))+INDIRECT(ADDRESS(1045,29))-INDIRECT(ADDRESS(1046,29)))</f>
        <v>0</v>
      </c>
      <c r="AD1047">
        <f>IF(DAY(NOW())&lt;M3,INDIRECT(ADDRESS(1047,29))-INDIRECT(ADDRESS(1042,30))+INDIRECT(ADDRESS(1043,30))-INDIRECT(ADDRESS(1046,30)),INDIRECT(ADDRESS(1047,29))-INDIRECT(ADDRESS(1042,30))+INDIRECT(ADDRESS(1045,30))-INDIRECT(ADDRESS(1046,30)))</f>
        <v>0</v>
      </c>
      <c r="AE1047">
        <f>IF(DAY(NOW())&lt;M3,INDIRECT(ADDRESS(1047,30))-INDIRECT(ADDRESS(1042,31))+INDIRECT(ADDRESS(1043,31))-INDIRECT(ADDRESS(1046,31)),INDIRECT(ADDRESS(1047,30))-INDIRECT(ADDRESS(1042,31))+INDIRECT(ADDRESS(1045,31))-INDIRECT(ADDRESS(1046,31)))</f>
        <v>0</v>
      </c>
      <c r="AF1047">
        <f>IF(DAY(NOW())&lt;M3,INDIRECT(ADDRESS(1047,31))-INDIRECT(ADDRESS(1042,32))+INDIRECT(ADDRESS(1043,32))-INDIRECT(ADDRESS(1046,32)),INDIRECT(ADDRESS(1047,31))-INDIRECT(ADDRESS(1042,32))+INDIRECT(ADDRESS(1045,32))-INDIRECT(ADDRESS(1046,32)))</f>
        <v>0</v>
      </c>
      <c r="AG1047">
        <f>IF(DAY(NOW())&lt;M3,INDIRECT(ADDRESS(1047,32))-INDIRECT(ADDRESS(1042,33))+INDIRECT(ADDRESS(1043,33))-INDIRECT(ADDRESS(1046,33)),INDIRECT(ADDRESS(1047,32))-INDIRECT(ADDRESS(1042,33))+INDIRECT(ADDRESS(1045,33))-INDIRECT(ADDRESS(1046,33)))</f>
        <v>0</v>
      </c>
      <c r="AH1047">
        <f>IF(DAY(NOW())&lt;M3,INDIRECT(ADDRESS(1047,33))-INDIRECT(ADDRESS(1042,34))+INDIRECT(ADDRESS(1043,34))-INDIRECT(ADDRESS(1046,34)),INDIRECT(ADDRESS(1047,33))-INDIRECT(ADDRESS(1042,34))+INDIRECT(ADDRESS(1045,34))-INDIRECT(ADDRESS(1046,34)))</f>
        <v>0</v>
      </c>
      <c r="AI1047">
        <f>IF(DAY(NOW())&lt;M3,INDIRECT(ADDRESS(1047,34))-INDIRECT(ADDRESS(1042,35))+INDIRECT(ADDRESS(1043,35))-INDIRECT(ADDRESS(1046,35)),INDIRECT(ADDRESS(1047,34))-INDIRECT(ADDRESS(1042,35))+INDIRECT(ADDRESS(1045,35))-INDIRECT(ADDRESS(1046,35)))</f>
        <v>0</v>
      </c>
      <c r="AJ1047">
        <f>IF(DAY(NOW())&lt;M3,INDIRECT(ADDRESS(1047,35))-INDIRECT(ADDRESS(1042,36))+INDIRECT(ADDRESS(1043,36))-INDIRECT(ADDRESS(1046,36)),INDIRECT(ADDRESS(1047,35))-INDIRECT(ADDRESS(1042,36))+INDIRECT(ADDRESS(1045,36))-INDIRECT(ADDRESS(1046,36)))</f>
        <v>0</v>
      </c>
      <c r="AK1047">
        <f>IF(DAY(NOW())&lt;M3,INDIRECT(ADDRESS(1047,36))-INDIRECT(ADDRESS(1042,37))+INDIRECT(ADDRESS(1043,37))-INDIRECT(ADDRESS(1046,37)),INDIRECT(ADDRESS(1047,36))-INDIRECT(ADDRESS(1042,37))+INDIRECT(ADDRESS(1045,37))-INDIRECT(ADDRESS(1046,37)))</f>
        <v>0</v>
      </c>
      <c r="AL1047">
        <f>IF(DAY(NOW())&lt;M3,INDIRECT(ADDRESS(1047,37))-INDIRECT(ADDRESS(1042,38))+INDIRECT(ADDRESS(1043,38))-INDIRECT(ADDRESS(1046,38)),INDIRECT(ADDRESS(1047,37))-INDIRECT(ADDRESS(1042,38))+INDIRECT(ADDRESS(1045,38))-INDIRECT(ADDRESS(1046,38)))</f>
        <v>0</v>
      </c>
      <c r="AM1047">
        <f>IF(DAY(NOW())&lt;M3,INDIRECT(ADDRESS(1047,38))-INDIRECT(ADDRESS(1042,39))+INDIRECT(ADDRESS(1043,39))-INDIRECT(ADDRESS(1046,39)),INDIRECT(ADDRESS(1047,38))-INDIRECT(ADDRESS(1042,39))+INDIRECT(ADDRESS(1045,39))-INDIRECT(ADDRESS(1046,39)))</f>
        <v>0</v>
      </c>
      <c r="AN1047">
        <f>IF(DAY(NOW())&lt;M3,INDIRECT(ADDRESS(1047,39))-INDIRECT(ADDRESS(1042,40))+INDIRECT(ADDRESS(1043,40))-INDIRECT(ADDRESS(1046,40)),INDIRECT(ADDRESS(1047,39))-INDIRECT(ADDRESS(1042,40))+INDIRECT(ADDRESS(1045,40))-INDIRECT(ADDRESS(1046,40)))</f>
        <v>0</v>
      </c>
      <c r="AO1047">
        <f>IF(DAY(NOW())&lt;M3,INDIRECT(ADDRESS(1047,40))-INDIRECT(ADDRESS(1042,41))+INDIRECT(ADDRESS(1043,41))-INDIRECT(ADDRESS(1046,41)),INDIRECT(ADDRESS(1047,40))-INDIRECT(ADDRESS(1042,41))+INDIRECT(ADDRESS(1045,41))-INDIRECT(ADDRESS(1046,41)))</f>
        <v>0</v>
      </c>
      <c r="AP1047">
        <f>IF(DAY(NOW())&lt;M3,INDIRECT(ADDRESS(1047,41))-INDIRECT(ADDRESS(1042,42))+INDIRECT(ADDRESS(1043,42))-INDIRECT(ADDRESS(1046,42)),INDIRECT(ADDRESS(1047,41))-INDIRECT(ADDRESS(1042,42))+INDIRECT(ADDRESS(1045,42))-INDIRECT(ADDRESS(1046,42)))</f>
        <v>0</v>
      </c>
      <c r="AQ1047">
        <f>IF(DAY(NOW())&lt;M3,INDIRECT(ADDRESS(1047,42))-INDIRECT(ADDRESS(1042,43))+INDIRECT(ADDRESS(1043,43))-INDIRECT(ADDRESS(1046,43)),INDIRECT(ADDRESS(1047,42))-INDIRECT(ADDRESS(1042,43))+INDIRECT(ADDRESS(1045,43))-INDIRECT(ADDRESS(1046,43)))</f>
        <v>0</v>
      </c>
      <c r="AR1047">
        <f>IF(DAY(NOW())&lt;M3,INDIRECT(ADDRESS(1047,43))-INDIRECT(ADDRESS(1042,44))+INDIRECT(ADDRESS(1043,44))-INDIRECT(ADDRESS(1046,44)),INDIRECT(ADDRESS(1047,43))-INDIRECT(ADDRESS(1042,44))+INDIRECT(ADDRESS(1045,44))-INDIRECT(ADDRESS(1046,44)))</f>
        <v>0</v>
      </c>
    </row>
    <row r="1048" spans="1:76">
      <c r="A1048" t="s">
        <v>31</v>
      </c>
      <c r="B1048" t="s">
        <v>431</v>
      </c>
      <c r="C1048" t="s">
        <v>432</v>
      </c>
      <c r="D1048" t="s">
        <v>17</v>
      </c>
      <c r="E1048">
        <v>1</v>
      </c>
      <c r="F1048" t="s">
        <v>433</v>
      </c>
      <c r="K1048" t="s">
        <v>308</v>
      </c>
      <c r="L1048" t="s">
        <v>21</v>
      </c>
      <c r="M1048">
        <f>sumifs(BOM!m:m,BOM!A:A,".1",BOM!B:B,"222-278000-000")</f>
        <v>0</v>
      </c>
      <c r="N1048">
        <f>sumifs(BOM!n:n,BOM!A:A,".1",BOM!B:B,"222-278000-000")</f>
        <v>0</v>
      </c>
      <c r="O1048">
        <f>sumifs(BOM!o:o,BOM!A:A,".1",BOM!B:B,"222-278000-000")</f>
        <v>0</v>
      </c>
      <c r="P1048">
        <f>sumifs(BOM!p:p,BOM!A:A,".1",BOM!B:B,"222-278000-000")</f>
        <v>0</v>
      </c>
      <c r="Q1048">
        <f>sumifs(BOM!q:q,BOM!A:A,".1",BOM!B:B,"222-278000-000")</f>
        <v>0</v>
      </c>
      <c r="R1048">
        <f>sumifs(BOM!r:r,BOM!A:A,".1",BOM!B:B,"222-278000-000")</f>
        <v>0</v>
      </c>
      <c r="S1048">
        <f>sumifs(BOM!s:s,BOM!A:A,".1",BOM!B:B,"222-278000-000")</f>
        <v>0</v>
      </c>
      <c r="T1048">
        <f>sumifs(BOM!t:t,BOM!A:A,".1",BOM!B:B,"222-278000-000")</f>
        <v>0</v>
      </c>
      <c r="U1048">
        <f>sumifs(BOM!u:u,BOM!A:A,".1",BOM!B:B,"222-278000-000")</f>
        <v>0</v>
      </c>
      <c r="V1048">
        <f>sumifs(BOM!v:v,BOM!A:A,".1",BOM!B:B,"222-278000-000")</f>
        <v>0</v>
      </c>
      <c r="W1048">
        <f>sumifs(BOM!w:w,BOM!A:A,".1",BOM!B:B,"222-278000-000")</f>
        <v>0</v>
      </c>
      <c r="X1048">
        <f>sumifs(BOM!x:x,BOM!A:A,".1",BOM!B:B,"222-278000-000")</f>
        <v>0</v>
      </c>
      <c r="Y1048">
        <f>sumifs(BOM!y:y,BOM!A:A,".1",BOM!B:B,"222-278000-000")</f>
        <v>0</v>
      </c>
      <c r="Z1048">
        <f>sumifs(BOM!z:z,BOM!A:A,".1",BOM!B:B,"222-278000-000")</f>
        <v>0</v>
      </c>
      <c r="AA1048">
        <f>sumifs(BOM!aa:aa,BOM!A:A,".1",BOM!B:B,"222-278000-000")</f>
        <v>0</v>
      </c>
      <c r="AB1048">
        <f>sumifs(BOM!ab:ab,BOM!A:A,".1",BOM!B:B,"222-278000-000")</f>
        <v>0</v>
      </c>
      <c r="AC1048">
        <f>sumifs(BOM!ac:ac,BOM!A:A,".1",BOM!B:B,"222-278000-000")</f>
        <v>0</v>
      </c>
      <c r="AD1048">
        <f>sumifs(BOM!ad:ad,BOM!A:A,".1",BOM!B:B,"222-278000-000")</f>
        <v>0</v>
      </c>
      <c r="AE1048">
        <f>sumifs(BOM!ae:ae,BOM!A:A,".1",BOM!B:B,"222-278000-000")</f>
        <v>0</v>
      </c>
      <c r="AF1048">
        <f>sumifs(BOM!af:af,BOM!A:A,".1",BOM!B:B,"222-278000-000")</f>
        <v>0</v>
      </c>
      <c r="AG1048">
        <f>sumifs(BOM!ag:ag,BOM!A:A,".1",BOM!B:B,"222-278000-000")</f>
        <v>0</v>
      </c>
      <c r="AH1048">
        <f>sumifs(BOM!ah:ah,BOM!A:A,".1",BOM!B:B,"222-278000-000")</f>
        <v>0</v>
      </c>
      <c r="AI1048">
        <f>sumifs(BOM!ai:ai,BOM!A:A,".1",BOM!B:B,"222-278000-000")</f>
        <v>0</v>
      </c>
      <c r="AJ1048">
        <f>sumifs(BOM!aj:aj,BOM!A:A,".1",BOM!B:B,"222-278000-000")</f>
        <v>0</v>
      </c>
      <c r="AK1048">
        <f>sumifs(BOM!ak:ak,BOM!A:A,".1",BOM!B:B,"222-278000-000")</f>
        <v>0</v>
      </c>
      <c r="AL1048">
        <f>sumifs(BOM!al:al,BOM!A:A,".1",BOM!B:B,"222-278000-000")</f>
        <v>0</v>
      </c>
      <c r="AM1048">
        <f>sumifs(BOM!am:am,BOM!A:A,".1",BOM!B:B,"222-278000-000")</f>
        <v>0</v>
      </c>
      <c r="AN1048">
        <f>sumifs(BOM!an:an,BOM!A:A,".1",BOM!B:B,"222-278000-000")</f>
        <v>0</v>
      </c>
      <c r="AO1048">
        <f>sumifs(BOM!ao:ao,BOM!A:A,".1",BOM!B:B,"222-278000-000")</f>
        <v>0</v>
      </c>
      <c r="AP1048">
        <f>sumifs(BOM!ap:ap,BOM!A:A,".1",BOM!B:B,"222-278000-000")</f>
        <v>0</v>
      </c>
      <c r="AQ1048">
        <f>sumifs(BOM!aq:aq,BOM!A:A,".1",BOM!B:B,"222-278000-000")</f>
        <v>0</v>
      </c>
      <c r="AR1048">
        <f>sumifs(BOM!ar:ar,BOM!A:A,".1",BOM!B:B,"222-278000-000")</f>
        <v>0</v>
      </c>
      <c r="BX1048">
        <f>sum(j1048:an1048)</f>
        <v>0</v>
      </c>
    </row>
    <row r="1049" spans="1:76">
      <c r="A1049" t="s">
        <v>31</v>
      </c>
      <c r="B1049" t="s">
        <v>431</v>
      </c>
      <c r="C1049" t="s">
        <v>432</v>
      </c>
      <c r="D1049" t="s">
        <v>17</v>
      </c>
      <c r="E1049">
        <v>1</v>
      </c>
      <c r="F1049" t="s">
        <v>433</v>
      </c>
      <c r="K1049" t="s">
        <v>308</v>
      </c>
      <c r="L1049" t="s">
        <v>37</v>
      </c>
    </row>
    <row r="1050" spans="1:76">
      <c r="L1050" t="s">
        <v>662</v>
      </c>
    </row>
    <row r="1051" spans="1:76">
      <c r="L1051" t="s">
        <v>663</v>
      </c>
    </row>
    <row r="1052" spans="1:76">
      <c r="L1052" t="s">
        <v>664</v>
      </c>
    </row>
    <row r="1053" spans="1:76">
      <c r="L1053" t="s">
        <v>665</v>
      </c>
      <c r="M1053">
        <f>IF(DAY(NOW())&lt;M3,INDIRECT(ADDRESS(1053,7))-INDIRECT(ADDRESS(1048,13))+INDIRECT(ADDRESS(1049,13))-INDIRECT(ADDRESS(1052,13)),INDIRECT(ADDRESS(1053,7))-INDIRECT(ADDRESS(1048,13))+INDIRECT(ADDRESS(1051,13))-INDIRECT(ADDRESS(1052,13)))</f>
        <v>0</v>
      </c>
      <c r="N1053">
        <f>IF(DAY(NOW())&lt;M3,INDIRECT(ADDRESS(1053,13))-INDIRECT(ADDRESS(1048,14))+INDIRECT(ADDRESS(1049,14))-INDIRECT(ADDRESS(1052,14)),INDIRECT(ADDRESS(1053,13))-INDIRECT(ADDRESS(1048,14))+INDIRECT(ADDRESS(1051,14))-INDIRECT(ADDRESS(1052,14)))</f>
        <v>0</v>
      </c>
      <c r="O1053">
        <f>IF(DAY(NOW())&lt;M3,INDIRECT(ADDRESS(1053,14))-INDIRECT(ADDRESS(1048,15))+INDIRECT(ADDRESS(1049,15))-INDIRECT(ADDRESS(1052,15)),INDIRECT(ADDRESS(1053,14))-INDIRECT(ADDRESS(1048,15))+INDIRECT(ADDRESS(1051,15))-INDIRECT(ADDRESS(1052,15)))</f>
        <v>0</v>
      </c>
      <c r="P1053">
        <f>IF(DAY(NOW())&lt;M3,INDIRECT(ADDRESS(1053,15))-INDIRECT(ADDRESS(1048,16))+INDIRECT(ADDRESS(1049,16))-INDIRECT(ADDRESS(1052,16)),INDIRECT(ADDRESS(1053,15))-INDIRECT(ADDRESS(1048,16))+INDIRECT(ADDRESS(1051,16))-INDIRECT(ADDRESS(1052,16)))</f>
        <v>0</v>
      </c>
      <c r="Q1053">
        <f>IF(DAY(NOW())&lt;M3,INDIRECT(ADDRESS(1053,16))-INDIRECT(ADDRESS(1048,17))+INDIRECT(ADDRESS(1049,17))-INDIRECT(ADDRESS(1052,17)),INDIRECT(ADDRESS(1053,16))-INDIRECT(ADDRESS(1048,17))+INDIRECT(ADDRESS(1051,17))-INDIRECT(ADDRESS(1052,17)))</f>
        <v>0</v>
      </c>
      <c r="R1053">
        <f>IF(DAY(NOW())&lt;M3,INDIRECT(ADDRESS(1053,17))-INDIRECT(ADDRESS(1048,18))+INDIRECT(ADDRESS(1049,18))-INDIRECT(ADDRESS(1052,18)),INDIRECT(ADDRESS(1053,17))-INDIRECT(ADDRESS(1048,18))+INDIRECT(ADDRESS(1051,18))-INDIRECT(ADDRESS(1052,18)))</f>
        <v>0</v>
      </c>
      <c r="S1053">
        <f>IF(DAY(NOW())&lt;M3,INDIRECT(ADDRESS(1053,18))-INDIRECT(ADDRESS(1048,19))+INDIRECT(ADDRESS(1049,19))-INDIRECT(ADDRESS(1052,19)),INDIRECT(ADDRESS(1053,18))-INDIRECT(ADDRESS(1048,19))+INDIRECT(ADDRESS(1051,19))-INDIRECT(ADDRESS(1052,19)))</f>
        <v>0</v>
      </c>
      <c r="T1053">
        <f>IF(DAY(NOW())&lt;M3,INDIRECT(ADDRESS(1053,19))-INDIRECT(ADDRESS(1048,20))+INDIRECT(ADDRESS(1049,20))-INDIRECT(ADDRESS(1052,20)),INDIRECT(ADDRESS(1053,19))-INDIRECT(ADDRESS(1048,20))+INDIRECT(ADDRESS(1051,20))-INDIRECT(ADDRESS(1052,20)))</f>
        <v>0</v>
      </c>
      <c r="U1053">
        <f>IF(DAY(NOW())&lt;M3,INDIRECT(ADDRESS(1053,20))-INDIRECT(ADDRESS(1048,21))+INDIRECT(ADDRESS(1049,21))-INDIRECT(ADDRESS(1052,21)),INDIRECT(ADDRESS(1053,20))-INDIRECT(ADDRESS(1048,21))+INDIRECT(ADDRESS(1051,21))-INDIRECT(ADDRESS(1052,21)))</f>
        <v>0</v>
      </c>
      <c r="V1053">
        <f>IF(DAY(NOW())&lt;M3,INDIRECT(ADDRESS(1053,21))-INDIRECT(ADDRESS(1048,22))+INDIRECT(ADDRESS(1049,22))-INDIRECT(ADDRESS(1052,22)),INDIRECT(ADDRESS(1053,21))-INDIRECT(ADDRESS(1048,22))+INDIRECT(ADDRESS(1051,22))-INDIRECT(ADDRESS(1052,22)))</f>
        <v>0</v>
      </c>
      <c r="W1053">
        <f>IF(DAY(NOW())&lt;M3,INDIRECT(ADDRESS(1053,22))-INDIRECT(ADDRESS(1048,23))+INDIRECT(ADDRESS(1049,23))-INDIRECT(ADDRESS(1052,23)),INDIRECT(ADDRESS(1053,22))-INDIRECT(ADDRESS(1048,23))+INDIRECT(ADDRESS(1051,23))-INDIRECT(ADDRESS(1052,23)))</f>
        <v>0</v>
      </c>
      <c r="X1053">
        <f>IF(DAY(NOW())&lt;M3,INDIRECT(ADDRESS(1053,23))-INDIRECT(ADDRESS(1048,24))+INDIRECT(ADDRESS(1049,24))-INDIRECT(ADDRESS(1052,24)),INDIRECT(ADDRESS(1053,23))-INDIRECT(ADDRESS(1048,24))+INDIRECT(ADDRESS(1051,24))-INDIRECT(ADDRESS(1052,24)))</f>
        <v>0</v>
      </c>
      <c r="Y1053">
        <f>IF(DAY(NOW())&lt;M3,INDIRECT(ADDRESS(1053,24))-INDIRECT(ADDRESS(1048,25))+INDIRECT(ADDRESS(1049,25))-INDIRECT(ADDRESS(1052,25)),INDIRECT(ADDRESS(1053,24))-INDIRECT(ADDRESS(1048,25))+INDIRECT(ADDRESS(1051,25))-INDIRECT(ADDRESS(1052,25)))</f>
        <v>0</v>
      </c>
      <c r="Z1053">
        <f>IF(DAY(NOW())&lt;M3,INDIRECT(ADDRESS(1053,25))-INDIRECT(ADDRESS(1048,26))+INDIRECT(ADDRESS(1049,26))-INDIRECT(ADDRESS(1052,26)),INDIRECT(ADDRESS(1053,25))-INDIRECT(ADDRESS(1048,26))+INDIRECT(ADDRESS(1051,26))-INDIRECT(ADDRESS(1052,26)))</f>
        <v>0</v>
      </c>
      <c r="AA1053">
        <f>IF(DAY(NOW())&lt;M3,INDIRECT(ADDRESS(1053,26))-INDIRECT(ADDRESS(1048,27))+INDIRECT(ADDRESS(1049,27))-INDIRECT(ADDRESS(1052,27)),INDIRECT(ADDRESS(1053,26))-INDIRECT(ADDRESS(1048,27))+INDIRECT(ADDRESS(1051,27))-INDIRECT(ADDRESS(1052,27)))</f>
        <v>0</v>
      </c>
      <c r="AB1053">
        <f>IF(DAY(NOW())&lt;M3,INDIRECT(ADDRESS(1053,27))-INDIRECT(ADDRESS(1048,28))+INDIRECT(ADDRESS(1049,28))-INDIRECT(ADDRESS(1052,28)),INDIRECT(ADDRESS(1053,27))-INDIRECT(ADDRESS(1048,28))+INDIRECT(ADDRESS(1051,28))-INDIRECT(ADDRESS(1052,28)))</f>
        <v>0</v>
      </c>
      <c r="AC1053">
        <f>IF(DAY(NOW())&lt;M3,INDIRECT(ADDRESS(1053,28))-INDIRECT(ADDRESS(1048,29))+INDIRECT(ADDRESS(1049,29))-INDIRECT(ADDRESS(1052,29)),INDIRECT(ADDRESS(1053,28))-INDIRECT(ADDRESS(1048,29))+INDIRECT(ADDRESS(1051,29))-INDIRECT(ADDRESS(1052,29)))</f>
        <v>0</v>
      </c>
      <c r="AD1053">
        <f>IF(DAY(NOW())&lt;M3,INDIRECT(ADDRESS(1053,29))-INDIRECT(ADDRESS(1048,30))+INDIRECT(ADDRESS(1049,30))-INDIRECT(ADDRESS(1052,30)),INDIRECT(ADDRESS(1053,29))-INDIRECT(ADDRESS(1048,30))+INDIRECT(ADDRESS(1051,30))-INDIRECT(ADDRESS(1052,30)))</f>
        <v>0</v>
      </c>
      <c r="AE1053">
        <f>IF(DAY(NOW())&lt;M3,INDIRECT(ADDRESS(1053,30))-INDIRECT(ADDRESS(1048,31))+INDIRECT(ADDRESS(1049,31))-INDIRECT(ADDRESS(1052,31)),INDIRECT(ADDRESS(1053,30))-INDIRECT(ADDRESS(1048,31))+INDIRECT(ADDRESS(1051,31))-INDIRECT(ADDRESS(1052,31)))</f>
        <v>0</v>
      </c>
      <c r="AF1053">
        <f>IF(DAY(NOW())&lt;M3,INDIRECT(ADDRESS(1053,31))-INDIRECT(ADDRESS(1048,32))+INDIRECT(ADDRESS(1049,32))-INDIRECT(ADDRESS(1052,32)),INDIRECT(ADDRESS(1053,31))-INDIRECT(ADDRESS(1048,32))+INDIRECT(ADDRESS(1051,32))-INDIRECT(ADDRESS(1052,32)))</f>
        <v>0</v>
      </c>
      <c r="AG1053">
        <f>IF(DAY(NOW())&lt;M3,INDIRECT(ADDRESS(1053,32))-INDIRECT(ADDRESS(1048,33))+INDIRECT(ADDRESS(1049,33))-INDIRECT(ADDRESS(1052,33)),INDIRECT(ADDRESS(1053,32))-INDIRECT(ADDRESS(1048,33))+INDIRECT(ADDRESS(1051,33))-INDIRECT(ADDRESS(1052,33)))</f>
        <v>0</v>
      </c>
      <c r="AH1053">
        <f>IF(DAY(NOW())&lt;M3,INDIRECT(ADDRESS(1053,33))-INDIRECT(ADDRESS(1048,34))+INDIRECT(ADDRESS(1049,34))-INDIRECT(ADDRESS(1052,34)),INDIRECT(ADDRESS(1053,33))-INDIRECT(ADDRESS(1048,34))+INDIRECT(ADDRESS(1051,34))-INDIRECT(ADDRESS(1052,34)))</f>
        <v>0</v>
      </c>
      <c r="AI1053">
        <f>IF(DAY(NOW())&lt;M3,INDIRECT(ADDRESS(1053,34))-INDIRECT(ADDRESS(1048,35))+INDIRECT(ADDRESS(1049,35))-INDIRECT(ADDRESS(1052,35)),INDIRECT(ADDRESS(1053,34))-INDIRECT(ADDRESS(1048,35))+INDIRECT(ADDRESS(1051,35))-INDIRECT(ADDRESS(1052,35)))</f>
        <v>0</v>
      </c>
      <c r="AJ1053">
        <f>IF(DAY(NOW())&lt;M3,INDIRECT(ADDRESS(1053,35))-INDIRECT(ADDRESS(1048,36))+INDIRECT(ADDRESS(1049,36))-INDIRECT(ADDRESS(1052,36)),INDIRECT(ADDRESS(1053,35))-INDIRECT(ADDRESS(1048,36))+INDIRECT(ADDRESS(1051,36))-INDIRECT(ADDRESS(1052,36)))</f>
        <v>0</v>
      </c>
      <c r="AK1053">
        <f>IF(DAY(NOW())&lt;M3,INDIRECT(ADDRESS(1053,36))-INDIRECT(ADDRESS(1048,37))+INDIRECT(ADDRESS(1049,37))-INDIRECT(ADDRESS(1052,37)),INDIRECT(ADDRESS(1053,36))-INDIRECT(ADDRESS(1048,37))+INDIRECT(ADDRESS(1051,37))-INDIRECT(ADDRESS(1052,37)))</f>
        <v>0</v>
      </c>
      <c r="AL1053">
        <f>IF(DAY(NOW())&lt;M3,INDIRECT(ADDRESS(1053,37))-INDIRECT(ADDRESS(1048,38))+INDIRECT(ADDRESS(1049,38))-INDIRECT(ADDRESS(1052,38)),INDIRECT(ADDRESS(1053,37))-INDIRECT(ADDRESS(1048,38))+INDIRECT(ADDRESS(1051,38))-INDIRECT(ADDRESS(1052,38)))</f>
        <v>0</v>
      </c>
      <c r="AM1053">
        <f>IF(DAY(NOW())&lt;M3,INDIRECT(ADDRESS(1053,38))-INDIRECT(ADDRESS(1048,39))+INDIRECT(ADDRESS(1049,39))-INDIRECT(ADDRESS(1052,39)),INDIRECT(ADDRESS(1053,38))-INDIRECT(ADDRESS(1048,39))+INDIRECT(ADDRESS(1051,39))-INDIRECT(ADDRESS(1052,39)))</f>
        <v>0</v>
      </c>
      <c r="AN1053">
        <f>IF(DAY(NOW())&lt;M3,INDIRECT(ADDRESS(1053,39))-INDIRECT(ADDRESS(1048,40))+INDIRECT(ADDRESS(1049,40))-INDIRECT(ADDRESS(1052,40)),INDIRECT(ADDRESS(1053,39))-INDIRECT(ADDRESS(1048,40))+INDIRECT(ADDRESS(1051,40))-INDIRECT(ADDRESS(1052,40)))</f>
        <v>0</v>
      </c>
      <c r="AO1053">
        <f>IF(DAY(NOW())&lt;M3,INDIRECT(ADDRESS(1053,40))-INDIRECT(ADDRESS(1048,41))+INDIRECT(ADDRESS(1049,41))-INDIRECT(ADDRESS(1052,41)),INDIRECT(ADDRESS(1053,40))-INDIRECT(ADDRESS(1048,41))+INDIRECT(ADDRESS(1051,41))-INDIRECT(ADDRESS(1052,41)))</f>
        <v>0</v>
      </c>
      <c r="AP1053">
        <f>IF(DAY(NOW())&lt;M3,INDIRECT(ADDRESS(1053,41))-INDIRECT(ADDRESS(1048,42))+INDIRECT(ADDRESS(1049,42))-INDIRECT(ADDRESS(1052,42)),INDIRECT(ADDRESS(1053,41))-INDIRECT(ADDRESS(1048,42))+INDIRECT(ADDRESS(1051,42))-INDIRECT(ADDRESS(1052,42)))</f>
        <v>0</v>
      </c>
      <c r="AQ1053">
        <f>IF(DAY(NOW())&lt;M3,INDIRECT(ADDRESS(1053,42))-INDIRECT(ADDRESS(1048,43))+INDIRECT(ADDRESS(1049,43))-INDIRECT(ADDRESS(1052,43)),INDIRECT(ADDRESS(1053,42))-INDIRECT(ADDRESS(1048,43))+INDIRECT(ADDRESS(1051,43))-INDIRECT(ADDRESS(1052,43)))</f>
        <v>0</v>
      </c>
      <c r="AR1053">
        <f>IF(DAY(NOW())&lt;M3,INDIRECT(ADDRESS(1053,43))-INDIRECT(ADDRESS(1048,44))+INDIRECT(ADDRESS(1049,44))-INDIRECT(ADDRESS(1052,44)),INDIRECT(ADDRESS(1053,43))-INDIRECT(ADDRESS(1048,44))+INDIRECT(ADDRESS(1051,44))-INDIRECT(ADDRESS(1052,44)))</f>
        <v>0</v>
      </c>
    </row>
    <row r="1054" spans="1:76">
      <c r="A1054" t="s">
        <v>14</v>
      </c>
      <c r="B1054" t="s">
        <v>298</v>
      </c>
      <c r="C1054" t="s">
        <v>299</v>
      </c>
      <c r="D1054" t="s">
        <v>36</v>
      </c>
      <c r="E1054">
        <v>1</v>
      </c>
      <c r="F1054" t="s">
        <v>300</v>
      </c>
      <c r="K1054" t="s">
        <v>305</v>
      </c>
      <c r="L1054" t="s">
        <v>21</v>
      </c>
      <c r="BX1054">
        <f>sum(j1054:an1054)</f>
        <v>0</v>
      </c>
    </row>
    <row r="1055" spans="1:76">
      <c r="A1055" t="s">
        <v>14</v>
      </c>
      <c r="B1055" t="s">
        <v>298</v>
      </c>
      <c r="C1055" t="s">
        <v>299</v>
      </c>
      <c r="D1055" t="s">
        <v>36</v>
      </c>
      <c r="E1055">
        <v>1</v>
      </c>
      <c r="F1055" t="s">
        <v>300</v>
      </c>
      <c r="K1055" t="s">
        <v>305</v>
      </c>
      <c r="L1055" t="s">
        <v>37</v>
      </c>
    </row>
    <row r="1056" spans="1:76">
      <c r="L1056" t="s">
        <v>662</v>
      </c>
    </row>
    <row r="1057" spans="1:76">
      <c r="L1057" t="s">
        <v>663</v>
      </c>
    </row>
    <row r="1058" spans="1:76">
      <c r="L1058" t="s">
        <v>664</v>
      </c>
    </row>
    <row r="1059" spans="1:76">
      <c r="L1059" t="s">
        <v>665</v>
      </c>
      <c r="M1059">
        <f>IF(DAY(NOW())&lt;M3,INDIRECT(ADDRESS(1059,7))-INDIRECT(ADDRESS(1054,13))+INDIRECT(ADDRESS(1055,13))-INDIRECT(ADDRESS(1058,13)),INDIRECT(ADDRESS(1059,7))-INDIRECT(ADDRESS(1054,13))+INDIRECT(ADDRESS(1057,13))-INDIRECT(ADDRESS(1058,13)))</f>
        <v>0</v>
      </c>
      <c r="N1059">
        <f>IF(DAY(NOW())&lt;M3,INDIRECT(ADDRESS(1059,13))-INDIRECT(ADDRESS(1054,14))+INDIRECT(ADDRESS(1055,14))-INDIRECT(ADDRESS(1058,14)),INDIRECT(ADDRESS(1059,13))-INDIRECT(ADDRESS(1054,14))+INDIRECT(ADDRESS(1057,14))-INDIRECT(ADDRESS(1058,14)))</f>
        <v>0</v>
      </c>
      <c r="O1059">
        <f>IF(DAY(NOW())&lt;M3,INDIRECT(ADDRESS(1059,14))-INDIRECT(ADDRESS(1054,15))+INDIRECT(ADDRESS(1055,15))-INDIRECT(ADDRESS(1058,15)),INDIRECT(ADDRESS(1059,14))-INDIRECT(ADDRESS(1054,15))+INDIRECT(ADDRESS(1057,15))-INDIRECT(ADDRESS(1058,15)))</f>
        <v>0</v>
      </c>
      <c r="P1059">
        <f>IF(DAY(NOW())&lt;M3,INDIRECT(ADDRESS(1059,15))-INDIRECT(ADDRESS(1054,16))+INDIRECT(ADDRESS(1055,16))-INDIRECT(ADDRESS(1058,16)),INDIRECT(ADDRESS(1059,15))-INDIRECT(ADDRESS(1054,16))+INDIRECT(ADDRESS(1057,16))-INDIRECT(ADDRESS(1058,16)))</f>
        <v>0</v>
      </c>
      <c r="Q1059">
        <f>IF(DAY(NOW())&lt;M3,INDIRECT(ADDRESS(1059,16))-INDIRECT(ADDRESS(1054,17))+INDIRECT(ADDRESS(1055,17))-INDIRECT(ADDRESS(1058,17)),INDIRECT(ADDRESS(1059,16))-INDIRECT(ADDRESS(1054,17))+INDIRECT(ADDRESS(1057,17))-INDIRECT(ADDRESS(1058,17)))</f>
        <v>0</v>
      </c>
      <c r="R1059">
        <f>IF(DAY(NOW())&lt;M3,INDIRECT(ADDRESS(1059,17))-INDIRECT(ADDRESS(1054,18))+INDIRECT(ADDRESS(1055,18))-INDIRECT(ADDRESS(1058,18)),INDIRECT(ADDRESS(1059,17))-INDIRECT(ADDRESS(1054,18))+INDIRECT(ADDRESS(1057,18))-INDIRECT(ADDRESS(1058,18)))</f>
        <v>0</v>
      </c>
      <c r="S1059">
        <f>IF(DAY(NOW())&lt;M3,INDIRECT(ADDRESS(1059,18))-INDIRECT(ADDRESS(1054,19))+INDIRECT(ADDRESS(1055,19))-INDIRECT(ADDRESS(1058,19)),INDIRECT(ADDRESS(1059,18))-INDIRECT(ADDRESS(1054,19))+INDIRECT(ADDRESS(1057,19))-INDIRECT(ADDRESS(1058,19)))</f>
        <v>0</v>
      </c>
      <c r="T1059">
        <f>IF(DAY(NOW())&lt;M3,INDIRECT(ADDRESS(1059,19))-INDIRECT(ADDRESS(1054,20))+INDIRECT(ADDRESS(1055,20))-INDIRECT(ADDRESS(1058,20)),INDIRECT(ADDRESS(1059,19))-INDIRECT(ADDRESS(1054,20))+INDIRECT(ADDRESS(1057,20))-INDIRECT(ADDRESS(1058,20)))</f>
        <v>0</v>
      </c>
      <c r="U1059">
        <f>IF(DAY(NOW())&lt;M3,INDIRECT(ADDRESS(1059,20))-INDIRECT(ADDRESS(1054,21))+INDIRECT(ADDRESS(1055,21))-INDIRECT(ADDRESS(1058,21)),INDIRECT(ADDRESS(1059,20))-INDIRECT(ADDRESS(1054,21))+INDIRECT(ADDRESS(1057,21))-INDIRECT(ADDRESS(1058,21)))</f>
        <v>0</v>
      </c>
      <c r="V1059">
        <f>IF(DAY(NOW())&lt;M3,INDIRECT(ADDRESS(1059,21))-INDIRECT(ADDRESS(1054,22))+INDIRECT(ADDRESS(1055,22))-INDIRECT(ADDRESS(1058,22)),INDIRECT(ADDRESS(1059,21))-INDIRECT(ADDRESS(1054,22))+INDIRECT(ADDRESS(1057,22))-INDIRECT(ADDRESS(1058,22)))</f>
        <v>0</v>
      </c>
      <c r="W1059">
        <f>IF(DAY(NOW())&lt;M3,INDIRECT(ADDRESS(1059,22))-INDIRECT(ADDRESS(1054,23))+INDIRECT(ADDRESS(1055,23))-INDIRECT(ADDRESS(1058,23)),INDIRECT(ADDRESS(1059,22))-INDIRECT(ADDRESS(1054,23))+INDIRECT(ADDRESS(1057,23))-INDIRECT(ADDRESS(1058,23)))</f>
        <v>0</v>
      </c>
      <c r="X1059">
        <f>IF(DAY(NOW())&lt;M3,INDIRECT(ADDRESS(1059,23))-INDIRECT(ADDRESS(1054,24))+INDIRECT(ADDRESS(1055,24))-INDIRECT(ADDRESS(1058,24)),INDIRECT(ADDRESS(1059,23))-INDIRECT(ADDRESS(1054,24))+INDIRECT(ADDRESS(1057,24))-INDIRECT(ADDRESS(1058,24)))</f>
        <v>0</v>
      </c>
      <c r="Y1059">
        <f>IF(DAY(NOW())&lt;M3,INDIRECT(ADDRESS(1059,24))-INDIRECT(ADDRESS(1054,25))+INDIRECT(ADDRESS(1055,25))-INDIRECT(ADDRESS(1058,25)),INDIRECT(ADDRESS(1059,24))-INDIRECT(ADDRESS(1054,25))+INDIRECT(ADDRESS(1057,25))-INDIRECT(ADDRESS(1058,25)))</f>
        <v>0</v>
      </c>
      <c r="Z1059">
        <f>IF(DAY(NOW())&lt;M3,INDIRECT(ADDRESS(1059,25))-INDIRECT(ADDRESS(1054,26))+INDIRECT(ADDRESS(1055,26))-INDIRECT(ADDRESS(1058,26)),INDIRECT(ADDRESS(1059,25))-INDIRECT(ADDRESS(1054,26))+INDIRECT(ADDRESS(1057,26))-INDIRECT(ADDRESS(1058,26)))</f>
        <v>0</v>
      </c>
      <c r="AA1059">
        <f>IF(DAY(NOW())&lt;M3,INDIRECT(ADDRESS(1059,26))-INDIRECT(ADDRESS(1054,27))+INDIRECT(ADDRESS(1055,27))-INDIRECT(ADDRESS(1058,27)),INDIRECT(ADDRESS(1059,26))-INDIRECT(ADDRESS(1054,27))+INDIRECT(ADDRESS(1057,27))-INDIRECT(ADDRESS(1058,27)))</f>
        <v>0</v>
      </c>
      <c r="AB1059">
        <f>IF(DAY(NOW())&lt;M3,INDIRECT(ADDRESS(1059,27))-INDIRECT(ADDRESS(1054,28))+INDIRECT(ADDRESS(1055,28))-INDIRECT(ADDRESS(1058,28)),INDIRECT(ADDRESS(1059,27))-INDIRECT(ADDRESS(1054,28))+INDIRECT(ADDRESS(1057,28))-INDIRECT(ADDRESS(1058,28)))</f>
        <v>0</v>
      </c>
      <c r="AC1059">
        <f>IF(DAY(NOW())&lt;M3,INDIRECT(ADDRESS(1059,28))-INDIRECT(ADDRESS(1054,29))+INDIRECT(ADDRESS(1055,29))-INDIRECT(ADDRESS(1058,29)),INDIRECT(ADDRESS(1059,28))-INDIRECT(ADDRESS(1054,29))+INDIRECT(ADDRESS(1057,29))-INDIRECT(ADDRESS(1058,29)))</f>
        <v>0</v>
      </c>
      <c r="AD1059">
        <f>IF(DAY(NOW())&lt;M3,INDIRECT(ADDRESS(1059,29))-INDIRECT(ADDRESS(1054,30))+INDIRECT(ADDRESS(1055,30))-INDIRECT(ADDRESS(1058,30)),INDIRECT(ADDRESS(1059,29))-INDIRECT(ADDRESS(1054,30))+INDIRECT(ADDRESS(1057,30))-INDIRECT(ADDRESS(1058,30)))</f>
        <v>0</v>
      </c>
      <c r="AE1059">
        <f>IF(DAY(NOW())&lt;M3,INDIRECT(ADDRESS(1059,30))-INDIRECT(ADDRESS(1054,31))+INDIRECT(ADDRESS(1055,31))-INDIRECT(ADDRESS(1058,31)),INDIRECT(ADDRESS(1059,30))-INDIRECT(ADDRESS(1054,31))+INDIRECT(ADDRESS(1057,31))-INDIRECT(ADDRESS(1058,31)))</f>
        <v>0</v>
      </c>
      <c r="AF1059">
        <f>IF(DAY(NOW())&lt;M3,INDIRECT(ADDRESS(1059,31))-INDIRECT(ADDRESS(1054,32))+INDIRECT(ADDRESS(1055,32))-INDIRECT(ADDRESS(1058,32)),INDIRECT(ADDRESS(1059,31))-INDIRECT(ADDRESS(1054,32))+INDIRECT(ADDRESS(1057,32))-INDIRECT(ADDRESS(1058,32)))</f>
        <v>0</v>
      </c>
      <c r="AG1059">
        <f>IF(DAY(NOW())&lt;M3,INDIRECT(ADDRESS(1059,32))-INDIRECT(ADDRESS(1054,33))+INDIRECT(ADDRESS(1055,33))-INDIRECT(ADDRESS(1058,33)),INDIRECT(ADDRESS(1059,32))-INDIRECT(ADDRESS(1054,33))+INDIRECT(ADDRESS(1057,33))-INDIRECT(ADDRESS(1058,33)))</f>
        <v>0</v>
      </c>
      <c r="AH1059">
        <f>IF(DAY(NOW())&lt;M3,INDIRECT(ADDRESS(1059,33))-INDIRECT(ADDRESS(1054,34))+INDIRECT(ADDRESS(1055,34))-INDIRECT(ADDRESS(1058,34)),INDIRECT(ADDRESS(1059,33))-INDIRECT(ADDRESS(1054,34))+INDIRECT(ADDRESS(1057,34))-INDIRECT(ADDRESS(1058,34)))</f>
        <v>0</v>
      </c>
      <c r="AI1059">
        <f>IF(DAY(NOW())&lt;M3,INDIRECT(ADDRESS(1059,34))-INDIRECT(ADDRESS(1054,35))+INDIRECT(ADDRESS(1055,35))-INDIRECT(ADDRESS(1058,35)),INDIRECT(ADDRESS(1059,34))-INDIRECT(ADDRESS(1054,35))+INDIRECT(ADDRESS(1057,35))-INDIRECT(ADDRESS(1058,35)))</f>
        <v>0</v>
      </c>
      <c r="AJ1059">
        <f>IF(DAY(NOW())&lt;M3,INDIRECT(ADDRESS(1059,35))-INDIRECT(ADDRESS(1054,36))+INDIRECT(ADDRESS(1055,36))-INDIRECT(ADDRESS(1058,36)),INDIRECT(ADDRESS(1059,35))-INDIRECT(ADDRESS(1054,36))+INDIRECT(ADDRESS(1057,36))-INDIRECT(ADDRESS(1058,36)))</f>
        <v>0</v>
      </c>
      <c r="AK1059">
        <f>IF(DAY(NOW())&lt;M3,INDIRECT(ADDRESS(1059,36))-INDIRECT(ADDRESS(1054,37))+INDIRECT(ADDRESS(1055,37))-INDIRECT(ADDRESS(1058,37)),INDIRECT(ADDRESS(1059,36))-INDIRECT(ADDRESS(1054,37))+INDIRECT(ADDRESS(1057,37))-INDIRECT(ADDRESS(1058,37)))</f>
        <v>0</v>
      </c>
      <c r="AL1059">
        <f>IF(DAY(NOW())&lt;M3,INDIRECT(ADDRESS(1059,37))-INDIRECT(ADDRESS(1054,38))+INDIRECT(ADDRESS(1055,38))-INDIRECT(ADDRESS(1058,38)),INDIRECT(ADDRESS(1059,37))-INDIRECT(ADDRESS(1054,38))+INDIRECT(ADDRESS(1057,38))-INDIRECT(ADDRESS(1058,38)))</f>
        <v>0</v>
      </c>
      <c r="AM1059">
        <f>IF(DAY(NOW())&lt;M3,INDIRECT(ADDRESS(1059,38))-INDIRECT(ADDRESS(1054,39))+INDIRECT(ADDRESS(1055,39))-INDIRECT(ADDRESS(1058,39)),INDIRECT(ADDRESS(1059,38))-INDIRECT(ADDRESS(1054,39))+INDIRECT(ADDRESS(1057,39))-INDIRECT(ADDRESS(1058,39)))</f>
        <v>0</v>
      </c>
      <c r="AN1059">
        <f>IF(DAY(NOW())&lt;M3,INDIRECT(ADDRESS(1059,39))-INDIRECT(ADDRESS(1054,40))+INDIRECT(ADDRESS(1055,40))-INDIRECT(ADDRESS(1058,40)),INDIRECT(ADDRESS(1059,39))-INDIRECT(ADDRESS(1054,40))+INDIRECT(ADDRESS(1057,40))-INDIRECT(ADDRESS(1058,40)))</f>
        <v>0</v>
      </c>
      <c r="AO1059">
        <f>IF(DAY(NOW())&lt;M3,INDIRECT(ADDRESS(1059,40))-INDIRECT(ADDRESS(1054,41))+INDIRECT(ADDRESS(1055,41))-INDIRECT(ADDRESS(1058,41)),INDIRECT(ADDRESS(1059,40))-INDIRECT(ADDRESS(1054,41))+INDIRECT(ADDRESS(1057,41))-INDIRECT(ADDRESS(1058,41)))</f>
        <v>0</v>
      </c>
      <c r="AP1059">
        <f>IF(DAY(NOW())&lt;M3,INDIRECT(ADDRESS(1059,41))-INDIRECT(ADDRESS(1054,42))+INDIRECT(ADDRESS(1055,42))-INDIRECT(ADDRESS(1058,42)),INDIRECT(ADDRESS(1059,41))-INDIRECT(ADDRESS(1054,42))+INDIRECT(ADDRESS(1057,42))-INDIRECT(ADDRESS(1058,42)))</f>
        <v>0</v>
      </c>
      <c r="AQ1059">
        <f>IF(DAY(NOW())&lt;M3,INDIRECT(ADDRESS(1059,42))-INDIRECT(ADDRESS(1054,43))+INDIRECT(ADDRESS(1055,43))-INDIRECT(ADDRESS(1058,43)),INDIRECT(ADDRESS(1059,42))-INDIRECT(ADDRESS(1054,43))+INDIRECT(ADDRESS(1057,43))-INDIRECT(ADDRESS(1058,43)))</f>
        <v>0</v>
      </c>
      <c r="AR1059">
        <f>IF(DAY(NOW())&lt;M3,INDIRECT(ADDRESS(1059,43))-INDIRECT(ADDRESS(1054,44))+INDIRECT(ADDRESS(1055,44))-INDIRECT(ADDRESS(1058,44)),INDIRECT(ADDRESS(1059,43))-INDIRECT(ADDRESS(1054,44))+INDIRECT(ADDRESS(1057,44))-INDIRECT(ADDRESS(1058,44)))</f>
        <v>0</v>
      </c>
    </row>
    <row r="1060" spans="1:76">
      <c r="A1060" t="s">
        <v>31</v>
      </c>
      <c r="B1060" t="s">
        <v>423</v>
      </c>
      <c r="C1060" t="s">
        <v>424</v>
      </c>
      <c r="E1060">
        <v>1</v>
      </c>
      <c r="F1060" t="s">
        <v>430</v>
      </c>
      <c r="K1060" t="s">
        <v>308</v>
      </c>
      <c r="L1060" t="s">
        <v>21</v>
      </c>
      <c r="M1060">
        <f>sumifs(BOM!m:m,BOM!A:A,".1",BOM!B:B,"232-008900-000")</f>
        <v>0</v>
      </c>
      <c r="N1060">
        <f>sumifs(BOM!n:n,BOM!A:A,".1",BOM!B:B,"232-008900-000")</f>
        <v>0</v>
      </c>
      <c r="O1060">
        <f>sumifs(BOM!o:o,BOM!A:A,".1",BOM!B:B,"232-008900-000")</f>
        <v>0</v>
      </c>
      <c r="P1060">
        <f>sumifs(BOM!p:p,BOM!A:A,".1",BOM!B:B,"232-008900-000")</f>
        <v>0</v>
      </c>
      <c r="Q1060">
        <f>sumifs(BOM!q:q,BOM!A:A,".1",BOM!B:B,"232-008900-000")</f>
        <v>0</v>
      </c>
      <c r="R1060">
        <f>sumifs(BOM!r:r,BOM!A:A,".1",BOM!B:B,"232-008900-000")</f>
        <v>0</v>
      </c>
      <c r="S1060">
        <f>sumifs(BOM!s:s,BOM!A:A,".1",BOM!B:B,"232-008900-000")</f>
        <v>0</v>
      </c>
      <c r="T1060">
        <f>sumifs(BOM!t:t,BOM!A:A,".1",BOM!B:B,"232-008900-000")</f>
        <v>0</v>
      </c>
      <c r="U1060">
        <f>sumifs(BOM!u:u,BOM!A:A,".1",BOM!B:B,"232-008900-000")</f>
        <v>0</v>
      </c>
      <c r="V1060">
        <f>sumifs(BOM!v:v,BOM!A:A,".1",BOM!B:B,"232-008900-000")</f>
        <v>0</v>
      </c>
      <c r="W1060">
        <f>sumifs(BOM!w:w,BOM!A:A,".1",BOM!B:B,"232-008900-000")</f>
        <v>0</v>
      </c>
      <c r="X1060">
        <f>sumifs(BOM!x:x,BOM!A:A,".1",BOM!B:B,"232-008900-000")</f>
        <v>0</v>
      </c>
      <c r="Y1060">
        <f>sumifs(BOM!y:y,BOM!A:A,".1",BOM!B:B,"232-008900-000")</f>
        <v>0</v>
      </c>
      <c r="Z1060">
        <f>sumifs(BOM!z:z,BOM!A:A,".1",BOM!B:B,"232-008900-000")</f>
        <v>0</v>
      </c>
      <c r="AA1060">
        <f>sumifs(BOM!aa:aa,BOM!A:A,".1",BOM!B:B,"232-008900-000")</f>
        <v>0</v>
      </c>
      <c r="AB1060">
        <f>sumifs(BOM!ab:ab,BOM!A:A,".1",BOM!B:B,"232-008900-000")</f>
        <v>0</v>
      </c>
      <c r="AC1060">
        <f>sumifs(BOM!ac:ac,BOM!A:A,".1",BOM!B:B,"232-008900-000")</f>
        <v>0</v>
      </c>
      <c r="AD1060">
        <f>sumifs(BOM!ad:ad,BOM!A:A,".1",BOM!B:B,"232-008900-000")</f>
        <v>0</v>
      </c>
      <c r="AE1060">
        <f>sumifs(BOM!ae:ae,BOM!A:A,".1",BOM!B:B,"232-008900-000")</f>
        <v>0</v>
      </c>
      <c r="AF1060">
        <f>sumifs(BOM!af:af,BOM!A:A,".1",BOM!B:B,"232-008900-000")</f>
        <v>0</v>
      </c>
      <c r="AG1060">
        <f>sumifs(BOM!ag:ag,BOM!A:A,".1",BOM!B:B,"232-008900-000")</f>
        <v>0</v>
      </c>
      <c r="AH1060">
        <f>sumifs(BOM!ah:ah,BOM!A:A,".1",BOM!B:B,"232-008900-000")</f>
        <v>0</v>
      </c>
      <c r="AI1060">
        <f>sumifs(BOM!ai:ai,BOM!A:A,".1",BOM!B:B,"232-008900-000")</f>
        <v>0</v>
      </c>
      <c r="AJ1060">
        <f>sumifs(BOM!aj:aj,BOM!A:A,".1",BOM!B:B,"232-008900-000")</f>
        <v>0</v>
      </c>
      <c r="AK1060">
        <f>sumifs(BOM!ak:ak,BOM!A:A,".1",BOM!B:B,"232-008900-000")</f>
        <v>0</v>
      </c>
      <c r="AL1060">
        <f>sumifs(BOM!al:al,BOM!A:A,".1",BOM!B:B,"232-008900-000")</f>
        <v>0</v>
      </c>
      <c r="AM1060">
        <f>sumifs(BOM!am:am,BOM!A:A,".1",BOM!B:B,"232-008900-000")</f>
        <v>0</v>
      </c>
      <c r="AN1060">
        <f>sumifs(BOM!an:an,BOM!A:A,".1",BOM!B:B,"232-008900-000")</f>
        <v>0</v>
      </c>
      <c r="AO1060">
        <f>sumifs(BOM!ao:ao,BOM!A:A,".1",BOM!B:B,"232-008900-000")</f>
        <v>0</v>
      </c>
      <c r="AP1060">
        <f>sumifs(BOM!ap:ap,BOM!A:A,".1",BOM!B:B,"232-008900-000")</f>
        <v>0</v>
      </c>
      <c r="AQ1060">
        <f>sumifs(BOM!aq:aq,BOM!A:A,".1",BOM!B:B,"232-008900-000")</f>
        <v>0</v>
      </c>
      <c r="AR1060">
        <f>sumifs(BOM!ar:ar,BOM!A:A,".1",BOM!B:B,"232-008900-000")</f>
        <v>0</v>
      </c>
      <c r="BX1060">
        <f>sum(j1060:an1060)</f>
        <v>0</v>
      </c>
    </row>
    <row r="1061" spans="1:76">
      <c r="A1061" t="s">
        <v>31</v>
      </c>
      <c r="B1061" t="s">
        <v>423</v>
      </c>
      <c r="C1061" t="s">
        <v>424</v>
      </c>
      <c r="E1061">
        <v>1</v>
      </c>
      <c r="F1061" t="s">
        <v>430</v>
      </c>
      <c r="K1061" t="s">
        <v>308</v>
      </c>
      <c r="L1061" t="s">
        <v>37</v>
      </c>
    </row>
    <row r="1062" spans="1:76">
      <c r="L1062" t="s">
        <v>662</v>
      </c>
    </row>
    <row r="1063" spans="1:76">
      <c r="L1063" t="s">
        <v>663</v>
      </c>
    </row>
    <row r="1064" spans="1:76">
      <c r="L1064" t="s">
        <v>664</v>
      </c>
    </row>
    <row r="1065" spans="1:76">
      <c r="L1065" t="s">
        <v>665</v>
      </c>
      <c r="M1065">
        <f>IF(DAY(NOW())&lt;M3,INDIRECT(ADDRESS(1065,7))-INDIRECT(ADDRESS(1060,13))+INDIRECT(ADDRESS(1061,13))-INDIRECT(ADDRESS(1064,13)),INDIRECT(ADDRESS(1065,7))-INDIRECT(ADDRESS(1060,13))+INDIRECT(ADDRESS(1063,13))-INDIRECT(ADDRESS(1064,13)))</f>
        <v>0</v>
      </c>
      <c r="N1065">
        <f>IF(DAY(NOW())&lt;M3,INDIRECT(ADDRESS(1065,13))-INDIRECT(ADDRESS(1060,14))+INDIRECT(ADDRESS(1061,14))-INDIRECT(ADDRESS(1064,14)),INDIRECT(ADDRESS(1065,13))-INDIRECT(ADDRESS(1060,14))+INDIRECT(ADDRESS(1063,14))-INDIRECT(ADDRESS(1064,14)))</f>
        <v>0</v>
      </c>
      <c r="O1065">
        <f>IF(DAY(NOW())&lt;M3,INDIRECT(ADDRESS(1065,14))-INDIRECT(ADDRESS(1060,15))+INDIRECT(ADDRESS(1061,15))-INDIRECT(ADDRESS(1064,15)),INDIRECT(ADDRESS(1065,14))-INDIRECT(ADDRESS(1060,15))+INDIRECT(ADDRESS(1063,15))-INDIRECT(ADDRESS(1064,15)))</f>
        <v>0</v>
      </c>
      <c r="P1065">
        <f>IF(DAY(NOW())&lt;M3,INDIRECT(ADDRESS(1065,15))-INDIRECT(ADDRESS(1060,16))+INDIRECT(ADDRESS(1061,16))-INDIRECT(ADDRESS(1064,16)),INDIRECT(ADDRESS(1065,15))-INDIRECT(ADDRESS(1060,16))+INDIRECT(ADDRESS(1063,16))-INDIRECT(ADDRESS(1064,16)))</f>
        <v>0</v>
      </c>
      <c r="Q1065">
        <f>IF(DAY(NOW())&lt;M3,INDIRECT(ADDRESS(1065,16))-INDIRECT(ADDRESS(1060,17))+INDIRECT(ADDRESS(1061,17))-INDIRECT(ADDRESS(1064,17)),INDIRECT(ADDRESS(1065,16))-INDIRECT(ADDRESS(1060,17))+INDIRECT(ADDRESS(1063,17))-INDIRECT(ADDRESS(1064,17)))</f>
        <v>0</v>
      </c>
      <c r="R1065">
        <f>IF(DAY(NOW())&lt;M3,INDIRECT(ADDRESS(1065,17))-INDIRECT(ADDRESS(1060,18))+INDIRECT(ADDRESS(1061,18))-INDIRECT(ADDRESS(1064,18)),INDIRECT(ADDRESS(1065,17))-INDIRECT(ADDRESS(1060,18))+INDIRECT(ADDRESS(1063,18))-INDIRECT(ADDRESS(1064,18)))</f>
        <v>0</v>
      </c>
      <c r="S1065">
        <f>IF(DAY(NOW())&lt;M3,INDIRECT(ADDRESS(1065,18))-INDIRECT(ADDRESS(1060,19))+INDIRECT(ADDRESS(1061,19))-INDIRECT(ADDRESS(1064,19)),INDIRECT(ADDRESS(1065,18))-INDIRECT(ADDRESS(1060,19))+INDIRECT(ADDRESS(1063,19))-INDIRECT(ADDRESS(1064,19)))</f>
        <v>0</v>
      </c>
      <c r="T1065">
        <f>IF(DAY(NOW())&lt;M3,INDIRECT(ADDRESS(1065,19))-INDIRECT(ADDRESS(1060,20))+INDIRECT(ADDRESS(1061,20))-INDIRECT(ADDRESS(1064,20)),INDIRECT(ADDRESS(1065,19))-INDIRECT(ADDRESS(1060,20))+INDIRECT(ADDRESS(1063,20))-INDIRECT(ADDRESS(1064,20)))</f>
        <v>0</v>
      </c>
      <c r="U1065">
        <f>IF(DAY(NOW())&lt;M3,INDIRECT(ADDRESS(1065,20))-INDIRECT(ADDRESS(1060,21))+INDIRECT(ADDRESS(1061,21))-INDIRECT(ADDRESS(1064,21)),INDIRECT(ADDRESS(1065,20))-INDIRECT(ADDRESS(1060,21))+INDIRECT(ADDRESS(1063,21))-INDIRECT(ADDRESS(1064,21)))</f>
        <v>0</v>
      </c>
      <c r="V1065">
        <f>IF(DAY(NOW())&lt;M3,INDIRECT(ADDRESS(1065,21))-INDIRECT(ADDRESS(1060,22))+INDIRECT(ADDRESS(1061,22))-INDIRECT(ADDRESS(1064,22)),INDIRECT(ADDRESS(1065,21))-INDIRECT(ADDRESS(1060,22))+INDIRECT(ADDRESS(1063,22))-INDIRECT(ADDRESS(1064,22)))</f>
        <v>0</v>
      </c>
      <c r="W1065">
        <f>IF(DAY(NOW())&lt;M3,INDIRECT(ADDRESS(1065,22))-INDIRECT(ADDRESS(1060,23))+INDIRECT(ADDRESS(1061,23))-INDIRECT(ADDRESS(1064,23)),INDIRECT(ADDRESS(1065,22))-INDIRECT(ADDRESS(1060,23))+INDIRECT(ADDRESS(1063,23))-INDIRECT(ADDRESS(1064,23)))</f>
        <v>0</v>
      </c>
      <c r="X1065">
        <f>IF(DAY(NOW())&lt;M3,INDIRECT(ADDRESS(1065,23))-INDIRECT(ADDRESS(1060,24))+INDIRECT(ADDRESS(1061,24))-INDIRECT(ADDRESS(1064,24)),INDIRECT(ADDRESS(1065,23))-INDIRECT(ADDRESS(1060,24))+INDIRECT(ADDRESS(1063,24))-INDIRECT(ADDRESS(1064,24)))</f>
        <v>0</v>
      </c>
      <c r="Y1065">
        <f>IF(DAY(NOW())&lt;M3,INDIRECT(ADDRESS(1065,24))-INDIRECT(ADDRESS(1060,25))+INDIRECT(ADDRESS(1061,25))-INDIRECT(ADDRESS(1064,25)),INDIRECT(ADDRESS(1065,24))-INDIRECT(ADDRESS(1060,25))+INDIRECT(ADDRESS(1063,25))-INDIRECT(ADDRESS(1064,25)))</f>
        <v>0</v>
      </c>
      <c r="Z1065">
        <f>IF(DAY(NOW())&lt;M3,INDIRECT(ADDRESS(1065,25))-INDIRECT(ADDRESS(1060,26))+INDIRECT(ADDRESS(1061,26))-INDIRECT(ADDRESS(1064,26)),INDIRECT(ADDRESS(1065,25))-INDIRECT(ADDRESS(1060,26))+INDIRECT(ADDRESS(1063,26))-INDIRECT(ADDRESS(1064,26)))</f>
        <v>0</v>
      </c>
      <c r="AA1065">
        <f>IF(DAY(NOW())&lt;M3,INDIRECT(ADDRESS(1065,26))-INDIRECT(ADDRESS(1060,27))+INDIRECT(ADDRESS(1061,27))-INDIRECT(ADDRESS(1064,27)),INDIRECT(ADDRESS(1065,26))-INDIRECT(ADDRESS(1060,27))+INDIRECT(ADDRESS(1063,27))-INDIRECT(ADDRESS(1064,27)))</f>
        <v>0</v>
      </c>
      <c r="AB1065">
        <f>IF(DAY(NOW())&lt;M3,INDIRECT(ADDRESS(1065,27))-INDIRECT(ADDRESS(1060,28))+INDIRECT(ADDRESS(1061,28))-INDIRECT(ADDRESS(1064,28)),INDIRECT(ADDRESS(1065,27))-INDIRECT(ADDRESS(1060,28))+INDIRECT(ADDRESS(1063,28))-INDIRECT(ADDRESS(1064,28)))</f>
        <v>0</v>
      </c>
      <c r="AC1065">
        <f>IF(DAY(NOW())&lt;M3,INDIRECT(ADDRESS(1065,28))-INDIRECT(ADDRESS(1060,29))+INDIRECT(ADDRESS(1061,29))-INDIRECT(ADDRESS(1064,29)),INDIRECT(ADDRESS(1065,28))-INDIRECT(ADDRESS(1060,29))+INDIRECT(ADDRESS(1063,29))-INDIRECT(ADDRESS(1064,29)))</f>
        <v>0</v>
      </c>
      <c r="AD1065">
        <f>IF(DAY(NOW())&lt;M3,INDIRECT(ADDRESS(1065,29))-INDIRECT(ADDRESS(1060,30))+INDIRECT(ADDRESS(1061,30))-INDIRECT(ADDRESS(1064,30)),INDIRECT(ADDRESS(1065,29))-INDIRECT(ADDRESS(1060,30))+INDIRECT(ADDRESS(1063,30))-INDIRECT(ADDRESS(1064,30)))</f>
        <v>0</v>
      </c>
      <c r="AE1065">
        <f>IF(DAY(NOW())&lt;M3,INDIRECT(ADDRESS(1065,30))-INDIRECT(ADDRESS(1060,31))+INDIRECT(ADDRESS(1061,31))-INDIRECT(ADDRESS(1064,31)),INDIRECT(ADDRESS(1065,30))-INDIRECT(ADDRESS(1060,31))+INDIRECT(ADDRESS(1063,31))-INDIRECT(ADDRESS(1064,31)))</f>
        <v>0</v>
      </c>
      <c r="AF1065">
        <f>IF(DAY(NOW())&lt;M3,INDIRECT(ADDRESS(1065,31))-INDIRECT(ADDRESS(1060,32))+INDIRECT(ADDRESS(1061,32))-INDIRECT(ADDRESS(1064,32)),INDIRECT(ADDRESS(1065,31))-INDIRECT(ADDRESS(1060,32))+INDIRECT(ADDRESS(1063,32))-INDIRECT(ADDRESS(1064,32)))</f>
        <v>0</v>
      </c>
      <c r="AG1065">
        <f>IF(DAY(NOW())&lt;M3,INDIRECT(ADDRESS(1065,32))-INDIRECT(ADDRESS(1060,33))+INDIRECT(ADDRESS(1061,33))-INDIRECT(ADDRESS(1064,33)),INDIRECT(ADDRESS(1065,32))-INDIRECT(ADDRESS(1060,33))+INDIRECT(ADDRESS(1063,33))-INDIRECT(ADDRESS(1064,33)))</f>
        <v>0</v>
      </c>
      <c r="AH1065">
        <f>IF(DAY(NOW())&lt;M3,INDIRECT(ADDRESS(1065,33))-INDIRECT(ADDRESS(1060,34))+INDIRECT(ADDRESS(1061,34))-INDIRECT(ADDRESS(1064,34)),INDIRECT(ADDRESS(1065,33))-INDIRECT(ADDRESS(1060,34))+INDIRECT(ADDRESS(1063,34))-INDIRECT(ADDRESS(1064,34)))</f>
        <v>0</v>
      </c>
      <c r="AI1065">
        <f>IF(DAY(NOW())&lt;M3,INDIRECT(ADDRESS(1065,34))-INDIRECT(ADDRESS(1060,35))+INDIRECT(ADDRESS(1061,35))-INDIRECT(ADDRESS(1064,35)),INDIRECT(ADDRESS(1065,34))-INDIRECT(ADDRESS(1060,35))+INDIRECT(ADDRESS(1063,35))-INDIRECT(ADDRESS(1064,35)))</f>
        <v>0</v>
      </c>
      <c r="AJ1065">
        <f>IF(DAY(NOW())&lt;M3,INDIRECT(ADDRESS(1065,35))-INDIRECT(ADDRESS(1060,36))+INDIRECT(ADDRESS(1061,36))-INDIRECT(ADDRESS(1064,36)),INDIRECT(ADDRESS(1065,35))-INDIRECT(ADDRESS(1060,36))+INDIRECT(ADDRESS(1063,36))-INDIRECT(ADDRESS(1064,36)))</f>
        <v>0</v>
      </c>
      <c r="AK1065">
        <f>IF(DAY(NOW())&lt;M3,INDIRECT(ADDRESS(1065,36))-INDIRECT(ADDRESS(1060,37))+INDIRECT(ADDRESS(1061,37))-INDIRECT(ADDRESS(1064,37)),INDIRECT(ADDRESS(1065,36))-INDIRECT(ADDRESS(1060,37))+INDIRECT(ADDRESS(1063,37))-INDIRECT(ADDRESS(1064,37)))</f>
        <v>0</v>
      </c>
      <c r="AL1065">
        <f>IF(DAY(NOW())&lt;M3,INDIRECT(ADDRESS(1065,37))-INDIRECT(ADDRESS(1060,38))+INDIRECT(ADDRESS(1061,38))-INDIRECT(ADDRESS(1064,38)),INDIRECT(ADDRESS(1065,37))-INDIRECT(ADDRESS(1060,38))+INDIRECT(ADDRESS(1063,38))-INDIRECT(ADDRESS(1064,38)))</f>
        <v>0</v>
      </c>
      <c r="AM1065">
        <f>IF(DAY(NOW())&lt;M3,INDIRECT(ADDRESS(1065,38))-INDIRECT(ADDRESS(1060,39))+INDIRECT(ADDRESS(1061,39))-INDIRECT(ADDRESS(1064,39)),INDIRECT(ADDRESS(1065,38))-INDIRECT(ADDRESS(1060,39))+INDIRECT(ADDRESS(1063,39))-INDIRECT(ADDRESS(1064,39)))</f>
        <v>0</v>
      </c>
      <c r="AN1065">
        <f>IF(DAY(NOW())&lt;M3,INDIRECT(ADDRESS(1065,39))-INDIRECT(ADDRESS(1060,40))+INDIRECT(ADDRESS(1061,40))-INDIRECT(ADDRESS(1064,40)),INDIRECT(ADDRESS(1065,39))-INDIRECT(ADDRESS(1060,40))+INDIRECT(ADDRESS(1063,40))-INDIRECT(ADDRESS(1064,40)))</f>
        <v>0</v>
      </c>
      <c r="AO1065">
        <f>IF(DAY(NOW())&lt;M3,INDIRECT(ADDRESS(1065,40))-INDIRECT(ADDRESS(1060,41))+INDIRECT(ADDRESS(1061,41))-INDIRECT(ADDRESS(1064,41)),INDIRECT(ADDRESS(1065,40))-INDIRECT(ADDRESS(1060,41))+INDIRECT(ADDRESS(1063,41))-INDIRECT(ADDRESS(1064,41)))</f>
        <v>0</v>
      </c>
      <c r="AP1065">
        <f>IF(DAY(NOW())&lt;M3,INDIRECT(ADDRESS(1065,41))-INDIRECT(ADDRESS(1060,42))+INDIRECT(ADDRESS(1061,42))-INDIRECT(ADDRESS(1064,42)),INDIRECT(ADDRESS(1065,41))-INDIRECT(ADDRESS(1060,42))+INDIRECT(ADDRESS(1063,42))-INDIRECT(ADDRESS(1064,42)))</f>
        <v>0</v>
      </c>
      <c r="AQ1065">
        <f>IF(DAY(NOW())&lt;M3,INDIRECT(ADDRESS(1065,42))-INDIRECT(ADDRESS(1060,43))+INDIRECT(ADDRESS(1061,43))-INDIRECT(ADDRESS(1064,43)),INDIRECT(ADDRESS(1065,42))-INDIRECT(ADDRESS(1060,43))+INDIRECT(ADDRESS(1063,43))-INDIRECT(ADDRESS(1064,43)))</f>
        <v>0</v>
      </c>
      <c r="AR1065">
        <f>IF(DAY(NOW())&lt;M3,INDIRECT(ADDRESS(1065,43))-INDIRECT(ADDRESS(1060,44))+INDIRECT(ADDRESS(1061,44))-INDIRECT(ADDRESS(1064,44)),INDIRECT(ADDRESS(1065,43))-INDIRECT(ADDRESS(1060,44))+INDIRECT(ADDRESS(1063,44))-INDIRECT(ADDRESS(1064,44)))</f>
        <v>0</v>
      </c>
    </row>
    <row r="1066" spans="1:76">
      <c r="A1066" t="s">
        <v>14</v>
      </c>
      <c r="B1066" t="s">
        <v>434</v>
      </c>
      <c r="C1066" t="s">
        <v>435</v>
      </c>
      <c r="E1066">
        <v>1</v>
      </c>
      <c r="F1066" t="s">
        <v>436</v>
      </c>
      <c r="K1066" t="s">
        <v>437</v>
      </c>
      <c r="L1066" t="s">
        <v>21</v>
      </c>
      <c r="BX1066">
        <f>sum(j1066:an1066)</f>
        <v>0</v>
      </c>
    </row>
    <row r="1067" spans="1:76">
      <c r="A1067" t="s">
        <v>14</v>
      </c>
      <c r="B1067" t="s">
        <v>434</v>
      </c>
      <c r="C1067" t="s">
        <v>435</v>
      </c>
      <c r="E1067">
        <v>1</v>
      </c>
      <c r="F1067" t="s">
        <v>436</v>
      </c>
      <c r="K1067" t="s">
        <v>437</v>
      </c>
      <c r="L1067" t="s">
        <v>37</v>
      </c>
    </row>
    <row r="1068" spans="1:76">
      <c r="L1068" t="s">
        <v>662</v>
      </c>
    </row>
    <row r="1069" spans="1:76">
      <c r="L1069" t="s">
        <v>663</v>
      </c>
    </row>
    <row r="1070" spans="1:76">
      <c r="L1070" t="s">
        <v>664</v>
      </c>
    </row>
    <row r="1071" spans="1:76">
      <c r="L1071" t="s">
        <v>665</v>
      </c>
      <c r="M1071">
        <f>IF(DAY(NOW())&lt;M3,INDIRECT(ADDRESS(1071,7))-INDIRECT(ADDRESS(1066,13))+INDIRECT(ADDRESS(1067,13))-INDIRECT(ADDRESS(1070,13)),INDIRECT(ADDRESS(1071,7))-INDIRECT(ADDRESS(1066,13))+INDIRECT(ADDRESS(1069,13))-INDIRECT(ADDRESS(1070,13)))</f>
        <v>0</v>
      </c>
      <c r="N1071">
        <f>IF(DAY(NOW())&lt;M3,INDIRECT(ADDRESS(1071,13))-INDIRECT(ADDRESS(1066,14))+INDIRECT(ADDRESS(1067,14))-INDIRECT(ADDRESS(1070,14)),INDIRECT(ADDRESS(1071,13))-INDIRECT(ADDRESS(1066,14))+INDIRECT(ADDRESS(1069,14))-INDIRECT(ADDRESS(1070,14)))</f>
        <v>0</v>
      </c>
      <c r="O1071">
        <f>IF(DAY(NOW())&lt;M3,INDIRECT(ADDRESS(1071,14))-INDIRECT(ADDRESS(1066,15))+INDIRECT(ADDRESS(1067,15))-INDIRECT(ADDRESS(1070,15)),INDIRECT(ADDRESS(1071,14))-INDIRECT(ADDRESS(1066,15))+INDIRECT(ADDRESS(1069,15))-INDIRECT(ADDRESS(1070,15)))</f>
        <v>0</v>
      </c>
      <c r="P1071">
        <f>IF(DAY(NOW())&lt;M3,INDIRECT(ADDRESS(1071,15))-INDIRECT(ADDRESS(1066,16))+INDIRECT(ADDRESS(1067,16))-INDIRECT(ADDRESS(1070,16)),INDIRECT(ADDRESS(1071,15))-INDIRECT(ADDRESS(1066,16))+INDIRECT(ADDRESS(1069,16))-INDIRECT(ADDRESS(1070,16)))</f>
        <v>0</v>
      </c>
      <c r="Q1071">
        <f>IF(DAY(NOW())&lt;M3,INDIRECT(ADDRESS(1071,16))-INDIRECT(ADDRESS(1066,17))+INDIRECT(ADDRESS(1067,17))-INDIRECT(ADDRESS(1070,17)),INDIRECT(ADDRESS(1071,16))-INDIRECT(ADDRESS(1066,17))+INDIRECT(ADDRESS(1069,17))-INDIRECT(ADDRESS(1070,17)))</f>
        <v>0</v>
      </c>
      <c r="R1071">
        <f>IF(DAY(NOW())&lt;M3,INDIRECT(ADDRESS(1071,17))-INDIRECT(ADDRESS(1066,18))+INDIRECT(ADDRESS(1067,18))-INDIRECT(ADDRESS(1070,18)),INDIRECT(ADDRESS(1071,17))-INDIRECT(ADDRESS(1066,18))+INDIRECT(ADDRESS(1069,18))-INDIRECT(ADDRESS(1070,18)))</f>
        <v>0</v>
      </c>
      <c r="S1071">
        <f>IF(DAY(NOW())&lt;M3,INDIRECT(ADDRESS(1071,18))-INDIRECT(ADDRESS(1066,19))+INDIRECT(ADDRESS(1067,19))-INDIRECT(ADDRESS(1070,19)),INDIRECT(ADDRESS(1071,18))-INDIRECT(ADDRESS(1066,19))+INDIRECT(ADDRESS(1069,19))-INDIRECT(ADDRESS(1070,19)))</f>
        <v>0</v>
      </c>
      <c r="T1071">
        <f>IF(DAY(NOW())&lt;M3,INDIRECT(ADDRESS(1071,19))-INDIRECT(ADDRESS(1066,20))+INDIRECT(ADDRESS(1067,20))-INDIRECT(ADDRESS(1070,20)),INDIRECT(ADDRESS(1071,19))-INDIRECT(ADDRESS(1066,20))+INDIRECT(ADDRESS(1069,20))-INDIRECT(ADDRESS(1070,20)))</f>
        <v>0</v>
      </c>
      <c r="U1071">
        <f>IF(DAY(NOW())&lt;M3,INDIRECT(ADDRESS(1071,20))-INDIRECT(ADDRESS(1066,21))+INDIRECT(ADDRESS(1067,21))-INDIRECT(ADDRESS(1070,21)),INDIRECT(ADDRESS(1071,20))-INDIRECT(ADDRESS(1066,21))+INDIRECT(ADDRESS(1069,21))-INDIRECT(ADDRESS(1070,21)))</f>
        <v>0</v>
      </c>
      <c r="V1071">
        <f>IF(DAY(NOW())&lt;M3,INDIRECT(ADDRESS(1071,21))-INDIRECT(ADDRESS(1066,22))+INDIRECT(ADDRESS(1067,22))-INDIRECT(ADDRESS(1070,22)),INDIRECT(ADDRESS(1071,21))-INDIRECT(ADDRESS(1066,22))+INDIRECT(ADDRESS(1069,22))-INDIRECT(ADDRESS(1070,22)))</f>
        <v>0</v>
      </c>
      <c r="W1071">
        <f>IF(DAY(NOW())&lt;M3,INDIRECT(ADDRESS(1071,22))-INDIRECT(ADDRESS(1066,23))+INDIRECT(ADDRESS(1067,23))-INDIRECT(ADDRESS(1070,23)),INDIRECT(ADDRESS(1071,22))-INDIRECT(ADDRESS(1066,23))+INDIRECT(ADDRESS(1069,23))-INDIRECT(ADDRESS(1070,23)))</f>
        <v>0</v>
      </c>
      <c r="X1071">
        <f>IF(DAY(NOW())&lt;M3,INDIRECT(ADDRESS(1071,23))-INDIRECT(ADDRESS(1066,24))+INDIRECT(ADDRESS(1067,24))-INDIRECT(ADDRESS(1070,24)),INDIRECT(ADDRESS(1071,23))-INDIRECT(ADDRESS(1066,24))+INDIRECT(ADDRESS(1069,24))-INDIRECT(ADDRESS(1070,24)))</f>
        <v>0</v>
      </c>
      <c r="Y1071">
        <f>IF(DAY(NOW())&lt;M3,INDIRECT(ADDRESS(1071,24))-INDIRECT(ADDRESS(1066,25))+INDIRECT(ADDRESS(1067,25))-INDIRECT(ADDRESS(1070,25)),INDIRECT(ADDRESS(1071,24))-INDIRECT(ADDRESS(1066,25))+INDIRECT(ADDRESS(1069,25))-INDIRECT(ADDRESS(1070,25)))</f>
        <v>0</v>
      </c>
      <c r="Z1071">
        <f>IF(DAY(NOW())&lt;M3,INDIRECT(ADDRESS(1071,25))-INDIRECT(ADDRESS(1066,26))+INDIRECT(ADDRESS(1067,26))-INDIRECT(ADDRESS(1070,26)),INDIRECT(ADDRESS(1071,25))-INDIRECT(ADDRESS(1066,26))+INDIRECT(ADDRESS(1069,26))-INDIRECT(ADDRESS(1070,26)))</f>
        <v>0</v>
      </c>
      <c r="AA1071">
        <f>IF(DAY(NOW())&lt;M3,INDIRECT(ADDRESS(1071,26))-INDIRECT(ADDRESS(1066,27))+INDIRECT(ADDRESS(1067,27))-INDIRECT(ADDRESS(1070,27)),INDIRECT(ADDRESS(1071,26))-INDIRECT(ADDRESS(1066,27))+INDIRECT(ADDRESS(1069,27))-INDIRECT(ADDRESS(1070,27)))</f>
        <v>0</v>
      </c>
      <c r="AB1071">
        <f>IF(DAY(NOW())&lt;M3,INDIRECT(ADDRESS(1071,27))-INDIRECT(ADDRESS(1066,28))+INDIRECT(ADDRESS(1067,28))-INDIRECT(ADDRESS(1070,28)),INDIRECT(ADDRESS(1071,27))-INDIRECT(ADDRESS(1066,28))+INDIRECT(ADDRESS(1069,28))-INDIRECT(ADDRESS(1070,28)))</f>
        <v>0</v>
      </c>
      <c r="AC1071">
        <f>IF(DAY(NOW())&lt;M3,INDIRECT(ADDRESS(1071,28))-INDIRECT(ADDRESS(1066,29))+INDIRECT(ADDRESS(1067,29))-INDIRECT(ADDRESS(1070,29)),INDIRECT(ADDRESS(1071,28))-INDIRECT(ADDRESS(1066,29))+INDIRECT(ADDRESS(1069,29))-INDIRECT(ADDRESS(1070,29)))</f>
        <v>0</v>
      </c>
      <c r="AD1071">
        <f>IF(DAY(NOW())&lt;M3,INDIRECT(ADDRESS(1071,29))-INDIRECT(ADDRESS(1066,30))+INDIRECT(ADDRESS(1067,30))-INDIRECT(ADDRESS(1070,30)),INDIRECT(ADDRESS(1071,29))-INDIRECT(ADDRESS(1066,30))+INDIRECT(ADDRESS(1069,30))-INDIRECT(ADDRESS(1070,30)))</f>
        <v>0</v>
      </c>
      <c r="AE1071">
        <f>IF(DAY(NOW())&lt;M3,INDIRECT(ADDRESS(1071,30))-INDIRECT(ADDRESS(1066,31))+INDIRECT(ADDRESS(1067,31))-INDIRECT(ADDRESS(1070,31)),INDIRECT(ADDRESS(1071,30))-INDIRECT(ADDRESS(1066,31))+INDIRECT(ADDRESS(1069,31))-INDIRECT(ADDRESS(1070,31)))</f>
        <v>0</v>
      </c>
      <c r="AF1071">
        <f>IF(DAY(NOW())&lt;M3,INDIRECT(ADDRESS(1071,31))-INDIRECT(ADDRESS(1066,32))+INDIRECT(ADDRESS(1067,32))-INDIRECT(ADDRESS(1070,32)),INDIRECT(ADDRESS(1071,31))-INDIRECT(ADDRESS(1066,32))+INDIRECT(ADDRESS(1069,32))-INDIRECT(ADDRESS(1070,32)))</f>
        <v>0</v>
      </c>
      <c r="AG1071">
        <f>IF(DAY(NOW())&lt;M3,INDIRECT(ADDRESS(1071,32))-INDIRECT(ADDRESS(1066,33))+INDIRECT(ADDRESS(1067,33))-INDIRECT(ADDRESS(1070,33)),INDIRECT(ADDRESS(1071,32))-INDIRECT(ADDRESS(1066,33))+INDIRECT(ADDRESS(1069,33))-INDIRECT(ADDRESS(1070,33)))</f>
        <v>0</v>
      </c>
      <c r="AH1071">
        <f>IF(DAY(NOW())&lt;M3,INDIRECT(ADDRESS(1071,33))-INDIRECT(ADDRESS(1066,34))+INDIRECT(ADDRESS(1067,34))-INDIRECT(ADDRESS(1070,34)),INDIRECT(ADDRESS(1071,33))-INDIRECT(ADDRESS(1066,34))+INDIRECT(ADDRESS(1069,34))-INDIRECT(ADDRESS(1070,34)))</f>
        <v>0</v>
      </c>
      <c r="AI1071">
        <f>IF(DAY(NOW())&lt;M3,INDIRECT(ADDRESS(1071,34))-INDIRECT(ADDRESS(1066,35))+INDIRECT(ADDRESS(1067,35))-INDIRECT(ADDRESS(1070,35)),INDIRECT(ADDRESS(1071,34))-INDIRECT(ADDRESS(1066,35))+INDIRECT(ADDRESS(1069,35))-INDIRECT(ADDRESS(1070,35)))</f>
        <v>0</v>
      </c>
      <c r="AJ1071">
        <f>IF(DAY(NOW())&lt;M3,INDIRECT(ADDRESS(1071,35))-INDIRECT(ADDRESS(1066,36))+INDIRECT(ADDRESS(1067,36))-INDIRECT(ADDRESS(1070,36)),INDIRECT(ADDRESS(1071,35))-INDIRECT(ADDRESS(1066,36))+INDIRECT(ADDRESS(1069,36))-INDIRECT(ADDRESS(1070,36)))</f>
        <v>0</v>
      </c>
      <c r="AK1071">
        <f>IF(DAY(NOW())&lt;M3,INDIRECT(ADDRESS(1071,36))-INDIRECT(ADDRESS(1066,37))+INDIRECT(ADDRESS(1067,37))-INDIRECT(ADDRESS(1070,37)),INDIRECT(ADDRESS(1071,36))-INDIRECT(ADDRESS(1066,37))+INDIRECT(ADDRESS(1069,37))-INDIRECT(ADDRESS(1070,37)))</f>
        <v>0</v>
      </c>
      <c r="AL1071">
        <f>IF(DAY(NOW())&lt;M3,INDIRECT(ADDRESS(1071,37))-INDIRECT(ADDRESS(1066,38))+INDIRECT(ADDRESS(1067,38))-INDIRECT(ADDRESS(1070,38)),INDIRECT(ADDRESS(1071,37))-INDIRECT(ADDRESS(1066,38))+INDIRECT(ADDRESS(1069,38))-INDIRECT(ADDRESS(1070,38)))</f>
        <v>0</v>
      </c>
      <c r="AM1071">
        <f>IF(DAY(NOW())&lt;M3,INDIRECT(ADDRESS(1071,38))-INDIRECT(ADDRESS(1066,39))+INDIRECT(ADDRESS(1067,39))-INDIRECT(ADDRESS(1070,39)),INDIRECT(ADDRESS(1071,38))-INDIRECT(ADDRESS(1066,39))+INDIRECT(ADDRESS(1069,39))-INDIRECT(ADDRESS(1070,39)))</f>
        <v>0</v>
      </c>
      <c r="AN1071">
        <f>IF(DAY(NOW())&lt;M3,INDIRECT(ADDRESS(1071,39))-INDIRECT(ADDRESS(1066,40))+INDIRECT(ADDRESS(1067,40))-INDIRECT(ADDRESS(1070,40)),INDIRECT(ADDRESS(1071,39))-INDIRECT(ADDRESS(1066,40))+INDIRECT(ADDRESS(1069,40))-INDIRECT(ADDRESS(1070,40)))</f>
        <v>0</v>
      </c>
      <c r="AO1071">
        <f>IF(DAY(NOW())&lt;M3,INDIRECT(ADDRESS(1071,40))-INDIRECT(ADDRESS(1066,41))+INDIRECT(ADDRESS(1067,41))-INDIRECT(ADDRESS(1070,41)),INDIRECT(ADDRESS(1071,40))-INDIRECT(ADDRESS(1066,41))+INDIRECT(ADDRESS(1069,41))-INDIRECT(ADDRESS(1070,41)))</f>
        <v>0</v>
      </c>
      <c r="AP1071">
        <f>IF(DAY(NOW())&lt;M3,INDIRECT(ADDRESS(1071,41))-INDIRECT(ADDRESS(1066,42))+INDIRECT(ADDRESS(1067,42))-INDIRECT(ADDRESS(1070,42)),INDIRECT(ADDRESS(1071,41))-INDIRECT(ADDRESS(1066,42))+INDIRECT(ADDRESS(1069,42))-INDIRECT(ADDRESS(1070,42)))</f>
        <v>0</v>
      </c>
      <c r="AQ1071">
        <f>IF(DAY(NOW())&lt;M3,INDIRECT(ADDRESS(1071,42))-INDIRECT(ADDRESS(1066,43))+INDIRECT(ADDRESS(1067,43))-INDIRECT(ADDRESS(1070,43)),INDIRECT(ADDRESS(1071,42))-INDIRECT(ADDRESS(1066,43))+INDIRECT(ADDRESS(1069,43))-INDIRECT(ADDRESS(1070,43)))</f>
        <v>0</v>
      </c>
      <c r="AR1071">
        <f>IF(DAY(NOW())&lt;M3,INDIRECT(ADDRESS(1071,43))-INDIRECT(ADDRESS(1066,44))+INDIRECT(ADDRESS(1067,44))-INDIRECT(ADDRESS(1070,44)),INDIRECT(ADDRESS(1071,43))-INDIRECT(ADDRESS(1066,44))+INDIRECT(ADDRESS(1069,44))-INDIRECT(ADDRESS(1070,44)))</f>
        <v>0</v>
      </c>
    </row>
    <row r="1072" spans="1:76">
      <c r="A1072" t="s">
        <v>31</v>
      </c>
      <c r="B1072" t="s">
        <v>438</v>
      </c>
      <c r="C1072" t="s">
        <v>439</v>
      </c>
      <c r="D1072" t="s">
        <v>440</v>
      </c>
      <c r="E1072">
        <v>1</v>
      </c>
      <c r="F1072" t="s">
        <v>441</v>
      </c>
      <c r="K1072" t="s">
        <v>437</v>
      </c>
      <c r="L1072" t="s">
        <v>21</v>
      </c>
      <c r="M1072">
        <f>sumifs(BOM!m:m,BOM!A:A,".1",BOM!B:B,"852-221000-100")</f>
        <v>0</v>
      </c>
      <c r="N1072">
        <f>sumifs(BOM!n:n,BOM!A:A,".1",BOM!B:B,"852-221000-100")</f>
        <v>0</v>
      </c>
      <c r="O1072">
        <f>sumifs(BOM!o:o,BOM!A:A,".1",BOM!B:B,"852-221000-100")</f>
        <v>0</v>
      </c>
      <c r="P1072">
        <f>sumifs(BOM!p:p,BOM!A:A,".1",BOM!B:B,"852-221000-100")</f>
        <v>0</v>
      </c>
      <c r="Q1072">
        <f>sumifs(BOM!q:q,BOM!A:A,".1",BOM!B:B,"852-221000-100")</f>
        <v>0</v>
      </c>
      <c r="R1072">
        <f>sumifs(BOM!r:r,BOM!A:A,".1",BOM!B:B,"852-221000-100")</f>
        <v>0</v>
      </c>
      <c r="S1072">
        <f>sumifs(BOM!s:s,BOM!A:A,".1",BOM!B:B,"852-221000-100")</f>
        <v>0</v>
      </c>
      <c r="T1072">
        <f>sumifs(BOM!t:t,BOM!A:A,".1",BOM!B:B,"852-221000-100")</f>
        <v>0</v>
      </c>
      <c r="U1072">
        <f>sumifs(BOM!u:u,BOM!A:A,".1",BOM!B:B,"852-221000-100")</f>
        <v>0</v>
      </c>
      <c r="V1072">
        <f>sumifs(BOM!v:v,BOM!A:A,".1",BOM!B:B,"852-221000-100")</f>
        <v>0</v>
      </c>
      <c r="W1072">
        <f>sumifs(BOM!w:w,BOM!A:A,".1",BOM!B:B,"852-221000-100")</f>
        <v>0</v>
      </c>
      <c r="X1072">
        <f>sumifs(BOM!x:x,BOM!A:A,".1",BOM!B:B,"852-221000-100")</f>
        <v>0</v>
      </c>
      <c r="Y1072">
        <f>sumifs(BOM!y:y,BOM!A:A,".1",BOM!B:B,"852-221000-100")</f>
        <v>0</v>
      </c>
      <c r="Z1072">
        <f>sumifs(BOM!z:z,BOM!A:A,".1",BOM!B:B,"852-221000-100")</f>
        <v>0</v>
      </c>
      <c r="AA1072">
        <f>sumifs(BOM!aa:aa,BOM!A:A,".1",BOM!B:B,"852-221000-100")</f>
        <v>0</v>
      </c>
      <c r="AB1072">
        <f>sumifs(BOM!ab:ab,BOM!A:A,".1",BOM!B:B,"852-221000-100")</f>
        <v>0</v>
      </c>
      <c r="AC1072">
        <f>sumifs(BOM!ac:ac,BOM!A:A,".1",BOM!B:B,"852-221000-100")</f>
        <v>0</v>
      </c>
      <c r="AD1072">
        <f>sumifs(BOM!ad:ad,BOM!A:A,".1",BOM!B:B,"852-221000-100")</f>
        <v>0</v>
      </c>
      <c r="AE1072">
        <f>sumifs(BOM!ae:ae,BOM!A:A,".1",BOM!B:B,"852-221000-100")</f>
        <v>0</v>
      </c>
      <c r="AF1072">
        <f>sumifs(BOM!af:af,BOM!A:A,".1",BOM!B:B,"852-221000-100")</f>
        <v>0</v>
      </c>
      <c r="AG1072">
        <f>sumifs(BOM!ag:ag,BOM!A:A,".1",BOM!B:B,"852-221000-100")</f>
        <v>0</v>
      </c>
      <c r="AH1072">
        <f>sumifs(BOM!ah:ah,BOM!A:A,".1",BOM!B:B,"852-221000-100")</f>
        <v>0</v>
      </c>
      <c r="AI1072">
        <f>sumifs(BOM!ai:ai,BOM!A:A,".1",BOM!B:B,"852-221000-100")</f>
        <v>0</v>
      </c>
      <c r="AJ1072">
        <f>sumifs(BOM!aj:aj,BOM!A:A,".1",BOM!B:B,"852-221000-100")</f>
        <v>0</v>
      </c>
      <c r="AK1072">
        <f>sumifs(BOM!ak:ak,BOM!A:A,".1",BOM!B:B,"852-221000-100")</f>
        <v>0</v>
      </c>
      <c r="AL1072">
        <f>sumifs(BOM!al:al,BOM!A:A,".1",BOM!B:B,"852-221000-100")</f>
        <v>0</v>
      </c>
      <c r="AM1072">
        <f>sumifs(BOM!am:am,BOM!A:A,".1",BOM!B:B,"852-221000-100")</f>
        <v>0</v>
      </c>
      <c r="AN1072">
        <f>sumifs(BOM!an:an,BOM!A:A,".1",BOM!B:B,"852-221000-100")</f>
        <v>0</v>
      </c>
      <c r="AO1072">
        <f>sumifs(BOM!ao:ao,BOM!A:A,".1",BOM!B:B,"852-221000-100")</f>
        <v>0</v>
      </c>
      <c r="AP1072">
        <f>sumifs(BOM!ap:ap,BOM!A:A,".1",BOM!B:B,"852-221000-100")</f>
        <v>0</v>
      </c>
      <c r="AQ1072">
        <f>sumifs(BOM!aq:aq,BOM!A:A,".1",BOM!B:B,"852-221000-100")</f>
        <v>0</v>
      </c>
      <c r="AR1072">
        <f>sumifs(BOM!ar:ar,BOM!A:A,".1",BOM!B:B,"852-221000-100")</f>
        <v>0</v>
      </c>
      <c r="BX1072">
        <f>sum(j1072:an1072)</f>
        <v>0</v>
      </c>
    </row>
    <row r="1073" spans="1:76">
      <c r="A1073" t="s">
        <v>31</v>
      </c>
      <c r="B1073" t="s">
        <v>438</v>
      </c>
      <c r="C1073" t="s">
        <v>439</v>
      </c>
      <c r="D1073" t="s">
        <v>440</v>
      </c>
      <c r="E1073">
        <v>1</v>
      </c>
      <c r="F1073" t="s">
        <v>441</v>
      </c>
      <c r="K1073" t="s">
        <v>437</v>
      </c>
      <c r="L1073" t="s">
        <v>37</v>
      </c>
    </row>
    <row r="1074" spans="1:76">
      <c r="L1074" t="s">
        <v>662</v>
      </c>
    </row>
    <row r="1075" spans="1:76">
      <c r="L1075" t="s">
        <v>663</v>
      </c>
    </row>
    <row r="1076" spans="1:76">
      <c r="L1076" t="s">
        <v>664</v>
      </c>
    </row>
    <row r="1077" spans="1:76">
      <c r="L1077" t="s">
        <v>665</v>
      </c>
      <c r="M1077">
        <f>IF(DAY(NOW())&lt;M3,INDIRECT(ADDRESS(1077,7))-INDIRECT(ADDRESS(1072,13))+INDIRECT(ADDRESS(1073,13))-INDIRECT(ADDRESS(1076,13)),INDIRECT(ADDRESS(1077,7))-INDIRECT(ADDRESS(1072,13))+INDIRECT(ADDRESS(1075,13))-INDIRECT(ADDRESS(1076,13)))</f>
        <v>0</v>
      </c>
      <c r="N1077">
        <f>IF(DAY(NOW())&lt;M3,INDIRECT(ADDRESS(1077,13))-INDIRECT(ADDRESS(1072,14))+INDIRECT(ADDRESS(1073,14))-INDIRECT(ADDRESS(1076,14)),INDIRECT(ADDRESS(1077,13))-INDIRECT(ADDRESS(1072,14))+INDIRECT(ADDRESS(1075,14))-INDIRECT(ADDRESS(1076,14)))</f>
        <v>0</v>
      </c>
      <c r="O1077">
        <f>IF(DAY(NOW())&lt;M3,INDIRECT(ADDRESS(1077,14))-INDIRECT(ADDRESS(1072,15))+INDIRECT(ADDRESS(1073,15))-INDIRECT(ADDRESS(1076,15)),INDIRECT(ADDRESS(1077,14))-INDIRECT(ADDRESS(1072,15))+INDIRECT(ADDRESS(1075,15))-INDIRECT(ADDRESS(1076,15)))</f>
        <v>0</v>
      </c>
      <c r="P1077">
        <f>IF(DAY(NOW())&lt;M3,INDIRECT(ADDRESS(1077,15))-INDIRECT(ADDRESS(1072,16))+INDIRECT(ADDRESS(1073,16))-INDIRECT(ADDRESS(1076,16)),INDIRECT(ADDRESS(1077,15))-INDIRECT(ADDRESS(1072,16))+INDIRECT(ADDRESS(1075,16))-INDIRECT(ADDRESS(1076,16)))</f>
        <v>0</v>
      </c>
      <c r="Q1077">
        <f>IF(DAY(NOW())&lt;M3,INDIRECT(ADDRESS(1077,16))-INDIRECT(ADDRESS(1072,17))+INDIRECT(ADDRESS(1073,17))-INDIRECT(ADDRESS(1076,17)),INDIRECT(ADDRESS(1077,16))-INDIRECT(ADDRESS(1072,17))+INDIRECT(ADDRESS(1075,17))-INDIRECT(ADDRESS(1076,17)))</f>
        <v>0</v>
      </c>
      <c r="R1077">
        <f>IF(DAY(NOW())&lt;M3,INDIRECT(ADDRESS(1077,17))-INDIRECT(ADDRESS(1072,18))+INDIRECT(ADDRESS(1073,18))-INDIRECT(ADDRESS(1076,18)),INDIRECT(ADDRESS(1077,17))-INDIRECT(ADDRESS(1072,18))+INDIRECT(ADDRESS(1075,18))-INDIRECT(ADDRESS(1076,18)))</f>
        <v>0</v>
      </c>
      <c r="S1077">
        <f>IF(DAY(NOW())&lt;M3,INDIRECT(ADDRESS(1077,18))-INDIRECT(ADDRESS(1072,19))+INDIRECT(ADDRESS(1073,19))-INDIRECT(ADDRESS(1076,19)),INDIRECT(ADDRESS(1077,18))-INDIRECT(ADDRESS(1072,19))+INDIRECT(ADDRESS(1075,19))-INDIRECT(ADDRESS(1076,19)))</f>
        <v>0</v>
      </c>
      <c r="T1077">
        <f>IF(DAY(NOW())&lt;M3,INDIRECT(ADDRESS(1077,19))-INDIRECT(ADDRESS(1072,20))+INDIRECT(ADDRESS(1073,20))-INDIRECT(ADDRESS(1076,20)),INDIRECT(ADDRESS(1077,19))-INDIRECT(ADDRESS(1072,20))+INDIRECT(ADDRESS(1075,20))-INDIRECT(ADDRESS(1076,20)))</f>
        <v>0</v>
      </c>
      <c r="U1077">
        <f>IF(DAY(NOW())&lt;M3,INDIRECT(ADDRESS(1077,20))-INDIRECT(ADDRESS(1072,21))+INDIRECT(ADDRESS(1073,21))-INDIRECT(ADDRESS(1076,21)),INDIRECT(ADDRESS(1077,20))-INDIRECT(ADDRESS(1072,21))+INDIRECT(ADDRESS(1075,21))-INDIRECT(ADDRESS(1076,21)))</f>
        <v>0</v>
      </c>
      <c r="V1077">
        <f>IF(DAY(NOW())&lt;M3,INDIRECT(ADDRESS(1077,21))-INDIRECT(ADDRESS(1072,22))+INDIRECT(ADDRESS(1073,22))-INDIRECT(ADDRESS(1076,22)),INDIRECT(ADDRESS(1077,21))-INDIRECT(ADDRESS(1072,22))+INDIRECT(ADDRESS(1075,22))-INDIRECT(ADDRESS(1076,22)))</f>
        <v>0</v>
      </c>
      <c r="W1077">
        <f>IF(DAY(NOW())&lt;M3,INDIRECT(ADDRESS(1077,22))-INDIRECT(ADDRESS(1072,23))+INDIRECT(ADDRESS(1073,23))-INDIRECT(ADDRESS(1076,23)),INDIRECT(ADDRESS(1077,22))-INDIRECT(ADDRESS(1072,23))+INDIRECT(ADDRESS(1075,23))-INDIRECT(ADDRESS(1076,23)))</f>
        <v>0</v>
      </c>
      <c r="X1077">
        <f>IF(DAY(NOW())&lt;M3,INDIRECT(ADDRESS(1077,23))-INDIRECT(ADDRESS(1072,24))+INDIRECT(ADDRESS(1073,24))-INDIRECT(ADDRESS(1076,24)),INDIRECT(ADDRESS(1077,23))-INDIRECT(ADDRESS(1072,24))+INDIRECT(ADDRESS(1075,24))-INDIRECT(ADDRESS(1076,24)))</f>
        <v>0</v>
      </c>
      <c r="Y1077">
        <f>IF(DAY(NOW())&lt;M3,INDIRECT(ADDRESS(1077,24))-INDIRECT(ADDRESS(1072,25))+INDIRECT(ADDRESS(1073,25))-INDIRECT(ADDRESS(1076,25)),INDIRECT(ADDRESS(1077,24))-INDIRECT(ADDRESS(1072,25))+INDIRECT(ADDRESS(1075,25))-INDIRECT(ADDRESS(1076,25)))</f>
        <v>0</v>
      </c>
      <c r="Z1077">
        <f>IF(DAY(NOW())&lt;M3,INDIRECT(ADDRESS(1077,25))-INDIRECT(ADDRESS(1072,26))+INDIRECT(ADDRESS(1073,26))-INDIRECT(ADDRESS(1076,26)),INDIRECT(ADDRESS(1077,25))-INDIRECT(ADDRESS(1072,26))+INDIRECT(ADDRESS(1075,26))-INDIRECT(ADDRESS(1076,26)))</f>
        <v>0</v>
      </c>
      <c r="AA1077">
        <f>IF(DAY(NOW())&lt;M3,INDIRECT(ADDRESS(1077,26))-INDIRECT(ADDRESS(1072,27))+INDIRECT(ADDRESS(1073,27))-INDIRECT(ADDRESS(1076,27)),INDIRECT(ADDRESS(1077,26))-INDIRECT(ADDRESS(1072,27))+INDIRECT(ADDRESS(1075,27))-INDIRECT(ADDRESS(1076,27)))</f>
        <v>0</v>
      </c>
      <c r="AB1077">
        <f>IF(DAY(NOW())&lt;M3,INDIRECT(ADDRESS(1077,27))-INDIRECT(ADDRESS(1072,28))+INDIRECT(ADDRESS(1073,28))-INDIRECT(ADDRESS(1076,28)),INDIRECT(ADDRESS(1077,27))-INDIRECT(ADDRESS(1072,28))+INDIRECT(ADDRESS(1075,28))-INDIRECT(ADDRESS(1076,28)))</f>
        <v>0</v>
      </c>
      <c r="AC1077">
        <f>IF(DAY(NOW())&lt;M3,INDIRECT(ADDRESS(1077,28))-INDIRECT(ADDRESS(1072,29))+INDIRECT(ADDRESS(1073,29))-INDIRECT(ADDRESS(1076,29)),INDIRECT(ADDRESS(1077,28))-INDIRECT(ADDRESS(1072,29))+INDIRECT(ADDRESS(1075,29))-INDIRECT(ADDRESS(1076,29)))</f>
        <v>0</v>
      </c>
      <c r="AD1077">
        <f>IF(DAY(NOW())&lt;M3,INDIRECT(ADDRESS(1077,29))-INDIRECT(ADDRESS(1072,30))+INDIRECT(ADDRESS(1073,30))-INDIRECT(ADDRESS(1076,30)),INDIRECT(ADDRESS(1077,29))-INDIRECT(ADDRESS(1072,30))+INDIRECT(ADDRESS(1075,30))-INDIRECT(ADDRESS(1076,30)))</f>
        <v>0</v>
      </c>
      <c r="AE1077">
        <f>IF(DAY(NOW())&lt;M3,INDIRECT(ADDRESS(1077,30))-INDIRECT(ADDRESS(1072,31))+INDIRECT(ADDRESS(1073,31))-INDIRECT(ADDRESS(1076,31)),INDIRECT(ADDRESS(1077,30))-INDIRECT(ADDRESS(1072,31))+INDIRECT(ADDRESS(1075,31))-INDIRECT(ADDRESS(1076,31)))</f>
        <v>0</v>
      </c>
      <c r="AF1077">
        <f>IF(DAY(NOW())&lt;M3,INDIRECT(ADDRESS(1077,31))-INDIRECT(ADDRESS(1072,32))+INDIRECT(ADDRESS(1073,32))-INDIRECT(ADDRESS(1076,32)),INDIRECT(ADDRESS(1077,31))-INDIRECT(ADDRESS(1072,32))+INDIRECT(ADDRESS(1075,32))-INDIRECT(ADDRESS(1076,32)))</f>
        <v>0</v>
      </c>
      <c r="AG1077">
        <f>IF(DAY(NOW())&lt;M3,INDIRECT(ADDRESS(1077,32))-INDIRECT(ADDRESS(1072,33))+INDIRECT(ADDRESS(1073,33))-INDIRECT(ADDRESS(1076,33)),INDIRECT(ADDRESS(1077,32))-INDIRECT(ADDRESS(1072,33))+INDIRECT(ADDRESS(1075,33))-INDIRECT(ADDRESS(1076,33)))</f>
        <v>0</v>
      </c>
      <c r="AH1077">
        <f>IF(DAY(NOW())&lt;M3,INDIRECT(ADDRESS(1077,33))-INDIRECT(ADDRESS(1072,34))+INDIRECT(ADDRESS(1073,34))-INDIRECT(ADDRESS(1076,34)),INDIRECT(ADDRESS(1077,33))-INDIRECT(ADDRESS(1072,34))+INDIRECT(ADDRESS(1075,34))-INDIRECT(ADDRESS(1076,34)))</f>
        <v>0</v>
      </c>
      <c r="AI1077">
        <f>IF(DAY(NOW())&lt;M3,INDIRECT(ADDRESS(1077,34))-INDIRECT(ADDRESS(1072,35))+INDIRECT(ADDRESS(1073,35))-INDIRECT(ADDRESS(1076,35)),INDIRECT(ADDRESS(1077,34))-INDIRECT(ADDRESS(1072,35))+INDIRECT(ADDRESS(1075,35))-INDIRECT(ADDRESS(1076,35)))</f>
        <v>0</v>
      </c>
      <c r="AJ1077">
        <f>IF(DAY(NOW())&lt;M3,INDIRECT(ADDRESS(1077,35))-INDIRECT(ADDRESS(1072,36))+INDIRECT(ADDRESS(1073,36))-INDIRECT(ADDRESS(1076,36)),INDIRECT(ADDRESS(1077,35))-INDIRECT(ADDRESS(1072,36))+INDIRECT(ADDRESS(1075,36))-INDIRECT(ADDRESS(1076,36)))</f>
        <v>0</v>
      </c>
      <c r="AK1077">
        <f>IF(DAY(NOW())&lt;M3,INDIRECT(ADDRESS(1077,36))-INDIRECT(ADDRESS(1072,37))+INDIRECT(ADDRESS(1073,37))-INDIRECT(ADDRESS(1076,37)),INDIRECT(ADDRESS(1077,36))-INDIRECT(ADDRESS(1072,37))+INDIRECT(ADDRESS(1075,37))-INDIRECT(ADDRESS(1076,37)))</f>
        <v>0</v>
      </c>
      <c r="AL1077">
        <f>IF(DAY(NOW())&lt;M3,INDIRECT(ADDRESS(1077,37))-INDIRECT(ADDRESS(1072,38))+INDIRECT(ADDRESS(1073,38))-INDIRECT(ADDRESS(1076,38)),INDIRECT(ADDRESS(1077,37))-INDIRECT(ADDRESS(1072,38))+INDIRECT(ADDRESS(1075,38))-INDIRECT(ADDRESS(1076,38)))</f>
        <v>0</v>
      </c>
      <c r="AM1077">
        <f>IF(DAY(NOW())&lt;M3,INDIRECT(ADDRESS(1077,38))-INDIRECT(ADDRESS(1072,39))+INDIRECT(ADDRESS(1073,39))-INDIRECT(ADDRESS(1076,39)),INDIRECT(ADDRESS(1077,38))-INDIRECT(ADDRESS(1072,39))+INDIRECT(ADDRESS(1075,39))-INDIRECT(ADDRESS(1076,39)))</f>
        <v>0</v>
      </c>
      <c r="AN1077">
        <f>IF(DAY(NOW())&lt;M3,INDIRECT(ADDRESS(1077,39))-INDIRECT(ADDRESS(1072,40))+INDIRECT(ADDRESS(1073,40))-INDIRECT(ADDRESS(1076,40)),INDIRECT(ADDRESS(1077,39))-INDIRECT(ADDRESS(1072,40))+INDIRECT(ADDRESS(1075,40))-INDIRECT(ADDRESS(1076,40)))</f>
        <v>0</v>
      </c>
      <c r="AO1077">
        <f>IF(DAY(NOW())&lt;M3,INDIRECT(ADDRESS(1077,40))-INDIRECT(ADDRESS(1072,41))+INDIRECT(ADDRESS(1073,41))-INDIRECT(ADDRESS(1076,41)),INDIRECT(ADDRESS(1077,40))-INDIRECT(ADDRESS(1072,41))+INDIRECT(ADDRESS(1075,41))-INDIRECT(ADDRESS(1076,41)))</f>
        <v>0</v>
      </c>
      <c r="AP1077">
        <f>IF(DAY(NOW())&lt;M3,INDIRECT(ADDRESS(1077,41))-INDIRECT(ADDRESS(1072,42))+INDIRECT(ADDRESS(1073,42))-INDIRECT(ADDRESS(1076,42)),INDIRECT(ADDRESS(1077,41))-INDIRECT(ADDRESS(1072,42))+INDIRECT(ADDRESS(1075,42))-INDIRECT(ADDRESS(1076,42)))</f>
        <v>0</v>
      </c>
      <c r="AQ1077">
        <f>IF(DAY(NOW())&lt;M3,INDIRECT(ADDRESS(1077,42))-INDIRECT(ADDRESS(1072,43))+INDIRECT(ADDRESS(1073,43))-INDIRECT(ADDRESS(1076,43)),INDIRECT(ADDRESS(1077,42))-INDIRECT(ADDRESS(1072,43))+INDIRECT(ADDRESS(1075,43))-INDIRECT(ADDRESS(1076,43)))</f>
        <v>0</v>
      </c>
      <c r="AR1077">
        <f>IF(DAY(NOW())&lt;M3,INDIRECT(ADDRESS(1077,43))-INDIRECT(ADDRESS(1072,44))+INDIRECT(ADDRESS(1073,44))-INDIRECT(ADDRESS(1076,44)),INDIRECT(ADDRESS(1077,43))-INDIRECT(ADDRESS(1072,44))+INDIRECT(ADDRESS(1075,44))-INDIRECT(ADDRESS(1076,44)))</f>
        <v>0</v>
      </c>
    </row>
    <row r="1078" spans="1:76">
      <c r="A1078" t="s">
        <v>14</v>
      </c>
      <c r="B1078" t="s">
        <v>442</v>
      </c>
      <c r="C1078" t="s">
        <v>443</v>
      </c>
      <c r="E1078" t="s">
        <v>444</v>
      </c>
      <c r="F1078" t="s">
        <v>445</v>
      </c>
      <c r="K1078" t="s">
        <v>437</v>
      </c>
      <c r="L1078" t="s">
        <v>21</v>
      </c>
      <c r="BX1078">
        <f>sum(j1078:an1078)</f>
        <v>0</v>
      </c>
    </row>
    <row r="1079" spans="1:76">
      <c r="A1079" t="s">
        <v>14</v>
      </c>
      <c r="B1079" t="s">
        <v>442</v>
      </c>
      <c r="C1079" t="s">
        <v>443</v>
      </c>
      <c r="E1079" t="s">
        <v>444</v>
      </c>
      <c r="F1079" t="s">
        <v>445</v>
      </c>
      <c r="K1079" t="s">
        <v>437</v>
      </c>
      <c r="L1079" t="s">
        <v>37</v>
      </c>
    </row>
    <row r="1080" spans="1:76">
      <c r="L1080" t="s">
        <v>662</v>
      </c>
    </row>
    <row r="1081" spans="1:76">
      <c r="L1081" t="s">
        <v>663</v>
      </c>
    </row>
    <row r="1082" spans="1:76">
      <c r="L1082" t="s">
        <v>664</v>
      </c>
    </row>
    <row r="1083" spans="1:76">
      <c r="L1083" t="s">
        <v>665</v>
      </c>
      <c r="M1083">
        <f>IF(DAY(NOW())&lt;M3,INDIRECT(ADDRESS(1083,7))-INDIRECT(ADDRESS(1078,13))+INDIRECT(ADDRESS(1079,13))-INDIRECT(ADDRESS(1082,13)),INDIRECT(ADDRESS(1083,7))-INDIRECT(ADDRESS(1078,13))+INDIRECT(ADDRESS(1081,13))-INDIRECT(ADDRESS(1082,13)))</f>
        <v>0</v>
      </c>
      <c r="N1083">
        <f>IF(DAY(NOW())&lt;M3,INDIRECT(ADDRESS(1083,13))-INDIRECT(ADDRESS(1078,14))+INDIRECT(ADDRESS(1079,14))-INDIRECT(ADDRESS(1082,14)),INDIRECT(ADDRESS(1083,13))-INDIRECT(ADDRESS(1078,14))+INDIRECT(ADDRESS(1081,14))-INDIRECT(ADDRESS(1082,14)))</f>
        <v>0</v>
      </c>
      <c r="O1083">
        <f>IF(DAY(NOW())&lt;M3,INDIRECT(ADDRESS(1083,14))-INDIRECT(ADDRESS(1078,15))+INDIRECT(ADDRESS(1079,15))-INDIRECT(ADDRESS(1082,15)),INDIRECT(ADDRESS(1083,14))-INDIRECT(ADDRESS(1078,15))+INDIRECT(ADDRESS(1081,15))-INDIRECT(ADDRESS(1082,15)))</f>
        <v>0</v>
      </c>
      <c r="P1083">
        <f>IF(DAY(NOW())&lt;M3,INDIRECT(ADDRESS(1083,15))-INDIRECT(ADDRESS(1078,16))+INDIRECT(ADDRESS(1079,16))-INDIRECT(ADDRESS(1082,16)),INDIRECT(ADDRESS(1083,15))-INDIRECT(ADDRESS(1078,16))+INDIRECT(ADDRESS(1081,16))-INDIRECT(ADDRESS(1082,16)))</f>
        <v>0</v>
      </c>
      <c r="Q1083">
        <f>IF(DAY(NOW())&lt;M3,INDIRECT(ADDRESS(1083,16))-INDIRECT(ADDRESS(1078,17))+INDIRECT(ADDRESS(1079,17))-INDIRECT(ADDRESS(1082,17)),INDIRECT(ADDRESS(1083,16))-INDIRECT(ADDRESS(1078,17))+INDIRECT(ADDRESS(1081,17))-INDIRECT(ADDRESS(1082,17)))</f>
        <v>0</v>
      </c>
      <c r="R1083">
        <f>IF(DAY(NOW())&lt;M3,INDIRECT(ADDRESS(1083,17))-INDIRECT(ADDRESS(1078,18))+INDIRECT(ADDRESS(1079,18))-INDIRECT(ADDRESS(1082,18)),INDIRECT(ADDRESS(1083,17))-INDIRECT(ADDRESS(1078,18))+INDIRECT(ADDRESS(1081,18))-INDIRECT(ADDRESS(1082,18)))</f>
        <v>0</v>
      </c>
      <c r="S1083">
        <f>IF(DAY(NOW())&lt;M3,INDIRECT(ADDRESS(1083,18))-INDIRECT(ADDRESS(1078,19))+INDIRECT(ADDRESS(1079,19))-INDIRECT(ADDRESS(1082,19)),INDIRECT(ADDRESS(1083,18))-INDIRECT(ADDRESS(1078,19))+INDIRECT(ADDRESS(1081,19))-INDIRECT(ADDRESS(1082,19)))</f>
        <v>0</v>
      </c>
      <c r="T1083">
        <f>IF(DAY(NOW())&lt;M3,INDIRECT(ADDRESS(1083,19))-INDIRECT(ADDRESS(1078,20))+INDIRECT(ADDRESS(1079,20))-INDIRECT(ADDRESS(1082,20)),INDIRECT(ADDRESS(1083,19))-INDIRECT(ADDRESS(1078,20))+INDIRECT(ADDRESS(1081,20))-INDIRECT(ADDRESS(1082,20)))</f>
        <v>0</v>
      </c>
      <c r="U1083">
        <f>IF(DAY(NOW())&lt;M3,INDIRECT(ADDRESS(1083,20))-INDIRECT(ADDRESS(1078,21))+INDIRECT(ADDRESS(1079,21))-INDIRECT(ADDRESS(1082,21)),INDIRECT(ADDRESS(1083,20))-INDIRECT(ADDRESS(1078,21))+INDIRECT(ADDRESS(1081,21))-INDIRECT(ADDRESS(1082,21)))</f>
        <v>0</v>
      </c>
      <c r="V1083">
        <f>IF(DAY(NOW())&lt;M3,INDIRECT(ADDRESS(1083,21))-INDIRECT(ADDRESS(1078,22))+INDIRECT(ADDRESS(1079,22))-INDIRECT(ADDRESS(1082,22)),INDIRECT(ADDRESS(1083,21))-INDIRECT(ADDRESS(1078,22))+INDIRECT(ADDRESS(1081,22))-INDIRECT(ADDRESS(1082,22)))</f>
        <v>0</v>
      </c>
      <c r="W1083">
        <f>IF(DAY(NOW())&lt;M3,INDIRECT(ADDRESS(1083,22))-INDIRECT(ADDRESS(1078,23))+INDIRECT(ADDRESS(1079,23))-INDIRECT(ADDRESS(1082,23)),INDIRECT(ADDRESS(1083,22))-INDIRECT(ADDRESS(1078,23))+INDIRECT(ADDRESS(1081,23))-INDIRECT(ADDRESS(1082,23)))</f>
        <v>0</v>
      </c>
      <c r="X1083">
        <f>IF(DAY(NOW())&lt;M3,INDIRECT(ADDRESS(1083,23))-INDIRECT(ADDRESS(1078,24))+INDIRECT(ADDRESS(1079,24))-INDIRECT(ADDRESS(1082,24)),INDIRECT(ADDRESS(1083,23))-INDIRECT(ADDRESS(1078,24))+INDIRECT(ADDRESS(1081,24))-INDIRECT(ADDRESS(1082,24)))</f>
        <v>0</v>
      </c>
      <c r="Y1083">
        <f>IF(DAY(NOW())&lt;M3,INDIRECT(ADDRESS(1083,24))-INDIRECT(ADDRESS(1078,25))+INDIRECT(ADDRESS(1079,25))-INDIRECT(ADDRESS(1082,25)),INDIRECT(ADDRESS(1083,24))-INDIRECT(ADDRESS(1078,25))+INDIRECT(ADDRESS(1081,25))-INDIRECT(ADDRESS(1082,25)))</f>
        <v>0</v>
      </c>
      <c r="Z1083">
        <f>IF(DAY(NOW())&lt;M3,INDIRECT(ADDRESS(1083,25))-INDIRECT(ADDRESS(1078,26))+INDIRECT(ADDRESS(1079,26))-INDIRECT(ADDRESS(1082,26)),INDIRECT(ADDRESS(1083,25))-INDIRECT(ADDRESS(1078,26))+INDIRECT(ADDRESS(1081,26))-INDIRECT(ADDRESS(1082,26)))</f>
        <v>0</v>
      </c>
      <c r="AA1083">
        <f>IF(DAY(NOW())&lt;M3,INDIRECT(ADDRESS(1083,26))-INDIRECT(ADDRESS(1078,27))+INDIRECT(ADDRESS(1079,27))-INDIRECT(ADDRESS(1082,27)),INDIRECT(ADDRESS(1083,26))-INDIRECT(ADDRESS(1078,27))+INDIRECT(ADDRESS(1081,27))-INDIRECT(ADDRESS(1082,27)))</f>
        <v>0</v>
      </c>
      <c r="AB1083">
        <f>IF(DAY(NOW())&lt;M3,INDIRECT(ADDRESS(1083,27))-INDIRECT(ADDRESS(1078,28))+INDIRECT(ADDRESS(1079,28))-INDIRECT(ADDRESS(1082,28)),INDIRECT(ADDRESS(1083,27))-INDIRECT(ADDRESS(1078,28))+INDIRECT(ADDRESS(1081,28))-INDIRECT(ADDRESS(1082,28)))</f>
        <v>0</v>
      </c>
      <c r="AC1083">
        <f>IF(DAY(NOW())&lt;M3,INDIRECT(ADDRESS(1083,28))-INDIRECT(ADDRESS(1078,29))+INDIRECT(ADDRESS(1079,29))-INDIRECT(ADDRESS(1082,29)),INDIRECT(ADDRESS(1083,28))-INDIRECT(ADDRESS(1078,29))+INDIRECT(ADDRESS(1081,29))-INDIRECT(ADDRESS(1082,29)))</f>
        <v>0</v>
      </c>
      <c r="AD1083">
        <f>IF(DAY(NOW())&lt;M3,INDIRECT(ADDRESS(1083,29))-INDIRECT(ADDRESS(1078,30))+INDIRECT(ADDRESS(1079,30))-INDIRECT(ADDRESS(1082,30)),INDIRECT(ADDRESS(1083,29))-INDIRECT(ADDRESS(1078,30))+INDIRECT(ADDRESS(1081,30))-INDIRECT(ADDRESS(1082,30)))</f>
        <v>0</v>
      </c>
      <c r="AE1083">
        <f>IF(DAY(NOW())&lt;M3,INDIRECT(ADDRESS(1083,30))-INDIRECT(ADDRESS(1078,31))+INDIRECT(ADDRESS(1079,31))-INDIRECT(ADDRESS(1082,31)),INDIRECT(ADDRESS(1083,30))-INDIRECT(ADDRESS(1078,31))+INDIRECT(ADDRESS(1081,31))-INDIRECT(ADDRESS(1082,31)))</f>
        <v>0</v>
      </c>
      <c r="AF1083">
        <f>IF(DAY(NOW())&lt;M3,INDIRECT(ADDRESS(1083,31))-INDIRECT(ADDRESS(1078,32))+INDIRECT(ADDRESS(1079,32))-INDIRECT(ADDRESS(1082,32)),INDIRECT(ADDRESS(1083,31))-INDIRECT(ADDRESS(1078,32))+INDIRECT(ADDRESS(1081,32))-INDIRECT(ADDRESS(1082,32)))</f>
        <v>0</v>
      </c>
      <c r="AG1083">
        <f>IF(DAY(NOW())&lt;M3,INDIRECT(ADDRESS(1083,32))-INDIRECT(ADDRESS(1078,33))+INDIRECT(ADDRESS(1079,33))-INDIRECT(ADDRESS(1082,33)),INDIRECT(ADDRESS(1083,32))-INDIRECT(ADDRESS(1078,33))+INDIRECT(ADDRESS(1081,33))-INDIRECT(ADDRESS(1082,33)))</f>
        <v>0</v>
      </c>
      <c r="AH1083">
        <f>IF(DAY(NOW())&lt;M3,INDIRECT(ADDRESS(1083,33))-INDIRECT(ADDRESS(1078,34))+INDIRECT(ADDRESS(1079,34))-INDIRECT(ADDRESS(1082,34)),INDIRECT(ADDRESS(1083,33))-INDIRECT(ADDRESS(1078,34))+INDIRECT(ADDRESS(1081,34))-INDIRECT(ADDRESS(1082,34)))</f>
        <v>0</v>
      </c>
      <c r="AI1083">
        <f>IF(DAY(NOW())&lt;M3,INDIRECT(ADDRESS(1083,34))-INDIRECT(ADDRESS(1078,35))+INDIRECT(ADDRESS(1079,35))-INDIRECT(ADDRESS(1082,35)),INDIRECT(ADDRESS(1083,34))-INDIRECT(ADDRESS(1078,35))+INDIRECT(ADDRESS(1081,35))-INDIRECT(ADDRESS(1082,35)))</f>
        <v>0</v>
      </c>
      <c r="AJ1083">
        <f>IF(DAY(NOW())&lt;M3,INDIRECT(ADDRESS(1083,35))-INDIRECT(ADDRESS(1078,36))+INDIRECT(ADDRESS(1079,36))-INDIRECT(ADDRESS(1082,36)),INDIRECT(ADDRESS(1083,35))-INDIRECT(ADDRESS(1078,36))+INDIRECT(ADDRESS(1081,36))-INDIRECT(ADDRESS(1082,36)))</f>
        <v>0</v>
      </c>
      <c r="AK1083">
        <f>IF(DAY(NOW())&lt;M3,INDIRECT(ADDRESS(1083,36))-INDIRECT(ADDRESS(1078,37))+INDIRECT(ADDRESS(1079,37))-INDIRECT(ADDRESS(1082,37)),INDIRECT(ADDRESS(1083,36))-INDIRECT(ADDRESS(1078,37))+INDIRECT(ADDRESS(1081,37))-INDIRECT(ADDRESS(1082,37)))</f>
        <v>0</v>
      </c>
      <c r="AL1083">
        <f>IF(DAY(NOW())&lt;M3,INDIRECT(ADDRESS(1083,37))-INDIRECT(ADDRESS(1078,38))+INDIRECT(ADDRESS(1079,38))-INDIRECT(ADDRESS(1082,38)),INDIRECT(ADDRESS(1083,37))-INDIRECT(ADDRESS(1078,38))+INDIRECT(ADDRESS(1081,38))-INDIRECT(ADDRESS(1082,38)))</f>
        <v>0</v>
      </c>
      <c r="AM1083">
        <f>IF(DAY(NOW())&lt;M3,INDIRECT(ADDRESS(1083,38))-INDIRECT(ADDRESS(1078,39))+INDIRECT(ADDRESS(1079,39))-INDIRECT(ADDRESS(1082,39)),INDIRECT(ADDRESS(1083,38))-INDIRECT(ADDRESS(1078,39))+INDIRECT(ADDRESS(1081,39))-INDIRECT(ADDRESS(1082,39)))</f>
        <v>0</v>
      </c>
      <c r="AN1083">
        <f>IF(DAY(NOW())&lt;M3,INDIRECT(ADDRESS(1083,39))-INDIRECT(ADDRESS(1078,40))+INDIRECT(ADDRESS(1079,40))-INDIRECT(ADDRESS(1082,40)),INDIRECT(ADDRESS(1083,39))-INDIRECT(ADDRESS(1078,40))+INDIRECT(ADDRESS(1081,40))-INDIRECT(ADDRESS(1082,40)))</f>
        <v>0</v>
      </c>
      <c r="AO1083">
        <f>IF(DAY(NOW())&lt;M3,INDIRECT(ADDRESS(1083,40))-INDIRECT(ADDRESS(1078,41))+INDIRECT(ADDRESS(1079,41))-INDIRECT(ADDRESS(1082,41)),INDIRECT(ADDRESS(1083,40))-INDIRECT(ADDRESS(1078,41))+INDIRECT(ADDRESS(1081,41))-INDIRECT(ADDRESS(1082,41)))</f>
        <v>0</v>
      </c>
      <c r="AP1083">
        <f>IF(DAY(NOW())&lt;M3,INDIRECT(ADDRESS(1083,41))-INDIRECT(ADDRESS(1078,42))+INDIRECT(ADDRESS(1079,42))-INDIRECT(ADDRESS(1082,42)),INDIRECT(ADDRESS(1083,41))-INDIRECT(ADDRESS(1078,42))+INDIRECT(ADDRESS(1081,42))-INDIRECT(ADDRESS(1082,42)))</f>
        <v>0</v>
      </c>
      <c r="AQ1083">
        <f>IF(DAY(NOW())&lt;M3,INDIRECT(ADDRESS(1083,42))-INDIRECT(ADDRESS(1078,43))+INDIRECT(ADDRESS(1079,43))-INDIRECT(ADDRESS(1082,43)),INDIRECT(ADDRESS(1083,42))-INDIRECT(ADDRESS(1078,43))+INDIRECT(ADDRESS(1081,43))-INDIRECT(ADDRESS(1082,43)))</f>
        <v>0</v>
      </c>
      <c r="AR1083">
        <f>IF(DAY(NOW())&lt;M3,INDIRECT(ADDRESS(1083,43))-INDIRECT(ADDRESS(1078,44))+INDIRECT(ADDRESS(1079,44))-INDIRECT(ADDRESS(1082,44)),INDIRECT(ADDRESS(1083,43))-INDIRECT(ADDRESS(1078,44))+INDIRECT(ADDRESS(1081,44))-INDIRECT(ADDRESS(1082,44)))</f>
        <v>0</v>
      </c>
    </row>
    <row r="1084" spans="1:76">
      <c r="A1084" t="s">
        <v>31</v>
      </c>
      <c r="B1084" t="s">
        <v>446</v>
      </c>
      <c r="C1084" t="s">
        <v>447</v>
      </c>
      <c r="D1084" t="s">
        <v>448</v>
      </c>
      <c r="E1084">
        <v>1</v>
      </c>
      <c r="F1084" t="s">
        <v>449</v>
      </c>
      <c r="K1084" t="s">
        <v>437</v>
      </c>
      <c r="L1084" t="s">
        <v>21</v>
      </c>
      <c r="M1084">
        <f>sumifs(BOM!m:m,BOM!A:A,".1",BOM!B:B,"852-222000-100")</f>
        <v>0</v>
      </c>
      <c r="N1084">
        <f>sumifs(BOM!n:n,BOM!A:A,".1",BOM!B:B,"852-222000-100")</f>
        <v>0</v>
      </c>
      <c r="O1084">
        <f>sumifs(BOM!o:o,BOM!A:A,".1",BOM!B:B,"852-222000-100")</f>
        <v>0</v>
      </c>
      <c r="P1084">
        <f>sumifs(BOM!p:p,BOM!A:A,".1",BOM!B:B,"852-222000-100")</f>
        <v>0</v>
      </c>
      <c r="Q1084">
        <f>sumifs(BOM!q:q,BOM!A:A,".1",BOM!B:B,"852-222000-100")</f>
        <v>0</v>
      </c>
      <c r="R1084">
        <f>sumifs(BOM!r:r,BOM!A:A,".1",BOM!B:B,"852-222000-100")</f>
        <v>0</v>
      </c>
      <c r="S1084">
        <f>sumifs(BOM!s:s,BOM!A:A,".1",BOM!B:B,"852-222000-100")</f>
        <v>0</v>
      </c>
      <c r="T1084">
        <f>sumifs(BOM!t:t,BOM!A:A,".1",BOM!B:B,"852-222000-100")</f>
        <v>0</v>
      </c>
      <c r="U1084">
        <f>sumifs(BOM!u:u,BOM!A:A,".1",BOM!B:B,"852-222000-100")</f>
        <v>0</v>
      </c>
      <c r="V1084">
        <f>sumifs(BOM!v:v,BOM!A:A,".1",BOM!B:B,"852-222000-100")</f>
        <v>0</v>
      </c>
      <c r="W1084">
        <f>sumifs(BOM!w:w,BOM!A:A,".1",BOM!B:B,"852-222000-100")</f>
        <v>0</v>
      </c>
      <c r="X1084">
        <f>sumifs(BOM!x:x,BOM!A:A,".1",BOM!B:B,"852-222000-100")</f>
        <v>0</v>
      </c>
      <c r="Y1084">
        <f>sumifs(BOM!y:y,BOM!A:A,".1",BOM!B:B,"852-222000-100")</f>
        <v>0</v>
      </c>
      <c r="Z1084">
        <f>sumifs(BOM!z:z,BOM!A:A,".1",BOM!B:B,"852-222000-100")</f>
        <v>0</v>
      </c>
      <c r="AA1084">
        <f>sumifs(BOM!aa:aa,BOM!A:A,".1",BOM!B:B,"852-222000-100")</f>
        <v>0</v>
      </c>
      <c r="AB1084">
        <f>sumifs(BOM!ab:ab,BOM!A:A,".1",BOM!B:B,"852-222000-100")</f>
        <v>0</v>
      </c>
      <c r="AC1084">
        <f>sumifs(BOM!ac:ac,BOM!A:A,".1",BOM!B:B,"852-222000-100")</f>
        <v>0</v>
      </c>
      <c r="AD1084">
        <f>sumifs(BOM!ad:ad,BOM!A:A,".1",BOM!B:B,"852-222000-100")</f>
        <v>0</v>
      </c>
      <c r="AE1084">
        <f>sumifs(BOM!ae:ae,BOM!A:A,".1",BOM!B:B,"852-222000-100")</f>
        <v>0</v>
      </c>
      <c r="AF1084">
        <f>sumifs(BOM!af:af,BOM!A:A,".1",BOM!B:B,"852-222000-100")</f>
        <v>0</v>
      </c>
      <c r="AG1084">
        <f>sumifs(BOM!ag:ag,BOM!A:A,".1",BOM!B:B,"852-222000-100")</f>
        <v>0</v>
      </c>
      <c r="AH1084">
        <f>sumifs(BOM!ah:ah,BOM!A:A,".1",BOM!B:B,"852-222000-100")</f>
        <v>0</v>
      </c>
      <c r="AI1084">
        <f>sumifs(BOM!ai:ai,BOM!A:A,".1",BOM!B:B,"852-222000-100")</f>
        <v>0</v>
      </c>
      <c r="AJ1084">
        <f>sumifs(BOM!aj:aj,BOM!A:A,".1",BOM!B:B,"852-222000-100")</f>
        <v>0</v>
      </c>
      <c r="AK1084">
        <f>sumifs(BOM!ak:ak,BOM!A:A,".1",BOM!B:B,"852-222000-100")</f>
        <v>0</v>
      </c>
      <c r="AL1084">
        <f>sumifs(BOM!al:al,BOM!A:A,".1",BOM!B:B,"852-222000-100")</f>
        <v>0</v>
      </c>
      <c r="AM1084">
        <f>sumifs(BOM!am:am,BOM!A:A,".1",BOM!B:B,"852-222000-100")</f>
        <v>0</v>
      </c>
      <c r="AN1084">
        <f>sumifs(BOM!an:an,BOM!A:A,".1",BOM!B:B,"852-222000-100")</f>
        <v>0</v>
      </c>
      <c r="AO1084">
        <f>sumifs(BOM!ao:ao,BOM!A:A,".1",BOM!B:B,"852-222000-100")</f>
        <v>0</v>
      </c>
      <c r="AP1084">
        <f>sumifs(BOM!ap:ap,BOM!A:A,".1",BOM!B:B,"852-222000-100")</f>
        <v>0</v>
      </c>
      <c r="AQ1084">
        <f>sumifs(BOM!aq:aq,BOM!A:A,".1",BOM!B:B,"852-222000-100")</f>
        <v>0</v>
      </c>
      <c r="AR1084">
        <f>sumifs(BOM!ar:ar,BOM!A:A,".1",BOM!B:B,"852-222000-100")</f>
        <v>0</v>
      </c>
      <c r="BX1084">
        <f>sum(j1084:an1084)</f>
        <v>0</v>
      </c>
    </row>
    <row r="1085" spans="1:76">
      <c r="A1085" t="s">
        <v>31</v>
      </c>
      <c r="B1085" t="s">
        <v>446</v>
      </c>
      <c r="C1085" t="s">
        <v>447</v>
      </c>
      <c r="D1085" t="s">
        <v>448</v>
      </c>
      <c r="E1085">
        <v>1</v>
      </c>
      <c r="F1085" t="s">
        <v>449</v>
      </c>
      <c r="K1085" t="s">
        <v>437</v>
      </c>
      <c r="L1085" t="s">
        <v>37</v>
      </c>
    </row>
    <row r="1086" spans="1:76">
      <c r="L1086" t="s">
        <v>662</v>
      </c>
    </row>
    <row r="1087" spans="1:76">
      <c r="L1087" t="s">
        <v>663</v>
      </c>
    </row>
    <row r="1088" spans="1:76">
      <c r="L1088" t="s">
        <v>664</v>
      </c>
    </row>
    <row r="1089" spans="1:76">
      <c r="L1089" t="s">
        <v>665</v>
      </c>
      <c r="M1089">
        <f>IF(DAY(NOW())&lt;M3,INDIRECT(ADDRESS(1089,7))-INDIRECT(ADDRESS(1084,13))+INDIRECT(ADDRESS(1085,13))-INDIRECT(ADDRESS(1088,13)),INDIRECT(ADDRESS(1089,7))-INDIRECT(ADDRESS(1084,13))+INDIRECT(ADDRESS(1087,13))-INDIRECT(ADDRESS(1088,13)))</f>
        <v>0</v>
      </c>
      <c r="N1089">
        <f>IF(DAY(NOW())&lt;M3,INDIRECT(ADDRESS(1089,13))-INDIRECT(ADDRESS(1084,14))+INDIRECT(ADDRESS(1085,14))-INDIRECT(ADDRESS(1088,14)),INDIRECT(ADDRESS(1089,13))-INDIRECT(ADDRESS(1084,14))+INDIRECT(ADDRESS(1087,14))-INDIRECT(ADDRESS(1088,14)))</f>
        <v>0</v>
      </c>
      <c r="O1089">
        <f>IF(DAY(NOW())&lt;M3,INDIRECT(ADDRESS(1089,14))-INDIRECT(ADDRESS(1084,15))+INDIRECT(ADDRESS(1085,15))-INDIRECT(ADDRESS(1088,15)),INDIRECT(ADDRESS(1089,14))-INDIRECT(ADDRESS(1084,15))+INDIRECT(ADDRESS(1087,15))-INDIRECT(ADDRESS(1088,15)))</f>
        <v>0</v>
      </c>
      <c r="P1089">
        <f>IF(DAY(NOW())&lt;M3,INDIRECT(ADDRESS(1089,15))-INDIRECT(ADDRESS(1084,16))+INDIRECT(ADDRESS(1085,16))-INDIRECT(ADDRESS(1088,16)),INDIRECT(ADDRESS(1089,15))-INDIRECT(ADDRESS(1084,16))+INDIRECT(ADDRESS(1087,16))-INDIRECT(ADDRESS(1088,16)))</f>
        <v>0</v>
      </c>
      <c r="Q1089">
        <f>IF(DAY(NOW())&lt;M3,INDIRECT(ADDRESS(1089,16))-INDIRECT(ADDRESS(1084,17))+INDIRECT(ADDRESS(1085,17))-INDIRECT(ADDRESS(1088,17)),INDIRECT(ADDRESS(1089,16))-INDIRECT(ADDRESS(1084,17))+INDIRECT(ADDRESS(1087,17))-INDIRECT(ADDRESS(1088,17)))</f>
        <v>0</v>
      </c>
      <c r="R1089">
        <f>IF(DAY(NOW())&lt;M3,INDIRECT(ADDRESS(1089,17))-INDIRECT(ADDRESS(1084,18))+INDIRECT(ADDRESS(1085,18))-INDIRECT(ADDRESS(1088,18)),INDIRECT(ADDRESS(1089,17))-INDIRECT(ADDRESS(1084,18))+INDIRECT(ADDRESS(1087,18))-INDIRECT(ADDRESS(1088,18)))</f>
        <v>0</v>
      </c>
      <c r="S1089">
        <f>IF(DAY(NOW())&lt;M3,INDIRECT(ADDRESS(1089,18))-INDIRECT(ADDRESS(1084,19))+INDIRECT(ADDRESS(1085,19))-INDIRECT(ADDRESS(1088,19)),INDIRECT(ADDRESS(1089,18))-INDIRECT(ADDRESS(1084,19))+INDIRECT(ADDRESS(1087,19))-INDIRECT(ADDRESS(1088,19)))</f>
        <v>0</v>
      </c>
      <c r="T1089">
        <f>IF(DAY(NOW())&lt;M3,INDIRECT(ADDRESS(1089,19))-INDIRECT(ADDRESS(1084,20))+INDIRECT(ADDRESS(1085,20))-INDIRECT(ADDRESS(1088,20)),INDIRECT(ADDRESS(1089,19))-INDIRECT(ADDRESS(1084,20))+INDIRECT(ADDRESS(1087,20))-INDIRECT(ADDRESS(1088,20)))</f>
        <v>0</v>
      </c>
      <c r="U1089">
        <f>IF(DAY(NOW())&lt;M3,INDIRECT(ADDRESS(1089,20))-INDIRECT(ADDRESS(1084,21))+INDIRECT(ADDRESS(1085,21))-INDIRECT(ADDRESS(1088,21)),INDIRECT(ADDRESS(1089,20))-INDIRECT(ADDRESS(1084,21))+INDIRECT(ADDRESS(1087,21))-INDIRECT(ADDRESS(1088,21)))</f>
        <v>0</v>
      </c>
      <c r="V1089">
        <f>IF(DAY(NOW())&lt;M3,INDIRECT(ADDRESS(1089,21))-INDIRECT(ADDRESS(1084,22))+INDIRECT(ADDRESS(1085,22))-INDIRECT(ADDRESS(1088,22)),INDIRECT(ADDRESS(1089,21))-INDIRECT(ADDRESS(1084,22))+INDIRECT(ADDRESS(1087,22))-INDIRECT(ADDRESS(1088,22)))</f>
        <v>0</v>
      </c>
      <c r="W1089">
        <f>IF(DAY(NOW())&lt;M3,INDIRECT(ADDRESS(1089,22))-INDIRECT(ADDRESS(1084,23))+INDIRECT(ADDRESS(1085,23))-INDIRECT(ADDRESS(1088,23)),INDIRECT(ADDRESS(1089,22))-INDIRECT(ADDRESS(1084,23))+INDIRECT(ADDRESS(1087,23))-INDIRECT(ADDRESS(1088,23)))</f>
        <v>0</v>
      </c>
      <c r="X1089">
        <f>IF(DAY(NOW())&lt;M3,INDIRECT(ADDRESS(1089,23))-INDIRECT(ADDRESS(1084,24))+INDIRECT(ADDRESS(1085,24))-INDIRECT(ADDRESS(1088,24)),INDIRECT(ADDRESS(1089,23))-INDIRECT(ADDRESS(1084,24))+INDIRECT(ADDRESS(1087,24))-INDIRECT(ADDRESS(1088,24)))</f>
        <v>0</v>
      </c>
      <c r="Y1089">
        <f>IF(DAY(NOW())&lt;M3,INDIRECT(ADDRESS(1089,24))-INDIRECT(ADDRESS(1084,25))+INDIRECT(ADDRESS(1085,25))-INDIRECT(ADDRESS(1088,25)),INDIRECT(ADDRESS(1089,24))-INDIRECT(ADDRESS(1084,25))+INDIRECT(ADDRESS(1087,25))-INDIRECT(ADDRESS(1088,25)))</f>
        <v>0</v>
      </c>
      <c r="Z1089">
        <f>IF(DAY(NOW())&lt;M3,INDIRECT(ADDRESS(1089,25))-INDIRECT(ADDRESS(1084,26))+INDIRECT(ADDRESS(1085,26))-INDIRECT(ADDRESS(1088,26)),INDIRECT(ADDRESS(1089,25))-INDIRECT(ADDRESS(1084,26))+INDIRECT(ADDRESS(1087,26))-INDIRECT(ADDRESS(1088,26)))</f>
        <v>0</v>
      </c>
      <c r="AA1089">
        <f>IF(DAY(NOW())&lt;M3,INDIRECT(ADDRESS(1089,26))-INDIRECT(ADDRESS(1084,27))+INDIRECT(ADDRESS(1085,27))-INDIRECT(ADDRESS(1088,27)),INDIRECT(ADDRESS(1089,26))-INDIRECT(ADDRESS(1084,27))+INDIRECT(ADDRESS(1087,27))-INDIRECT(ADDRESS(1088,27)))</f>
        <v>0</v>
      </c>
      <c r="AB1089">
        <f>IF(DAY(NOW())&lt;M3,INDIRECT(ADDRESS(1089,27))-INDIRECT(ADDRESS(1084,28))+INDIRECT(ADDRESS(1085,28))-INDIRECT(ADDRESS(1088,28)),INDIRECT(ADDRESS(1089,27))-INDIRECT(ADDRESS(1084,28))+INDIRECT(ADDRESS(1087,28))-INDIRECT(ADDRESS(1088,28)))</f>
        <v>0</v>
      </c>
      <c r="AC1089">
        <f>IF(DAY(NOW())&lt;M3,INDIRECT(ADDRESS(1089,28))-INDIRECT(ADDRESS(1084,29))+INDIRECT(ADDRESS(1085,29))-INDIRECT(ADDRESS(1088,29)),INDIRECT(ADDRESS(1089,28))-INDIRECT(ADDRESS(1084,29))+INDIRECT(ADDRESS(1087,29))-INDIRECT(ADDRESS(1088,29)))</f>
        <v>0</v>
      </c>
      <c r="AD1089">
        <f>IF(DAY(NOW())&lt;M3,INDIRECT(ADDRESS(1089,29))-INDIRECT(ADDRESS(1084,30))+INDIRECT(ADDRESS(1085,30))-INDIRECT(ADDRESS(1088,30)),INDIRECT(ADDRESS(1089,29))-INDIRECT(ADDRESS(1084,30))+INDIRECT(ADDRESS(1087,30))-INDIRECT(ADDRESS(1088,30)))</f>
        <v>0</v>
      </c>
      <c r="AE1089">
        <f>IF(DAY(NOW())&lt;M3,INDIRECT(ADDRESS(1089,30))-INDIRECT(ADDRESS(1084,31))+INDIRECT(ADDRESS(1085,31))-INDIRECT(ADDRESS(1088,31)),INDIRECT(ADDRESS(1089,30))-INDIRECT(ADDRESS(1084,31))+INDIRECT(ADDRESS(1087,31))-INDIRECT(ADDRESS(1088,31)))</f>
        <v>0</v>
      </c>
      <c r="AF1089">
        <f>IF(DAY(NOW())&lt;M3,INDIRECT(ADDRESS(1089,31))-INDIRECT(ADDRESS(1084,32))+INDIRECT(ADDRESS(1085,32))-INDIRECT(ADDRESS(1088,32)),INDIRECT(ADDRESS(1089,31))-INDIRECT(ADDRESS(1084,32))+INDIRECT(ADDRESS(1087,32))-INDIRECT(ADDRESS(1088,32)))</f>
        <v>0</v>
      </c>
      <c r="AG1089">
        <f>IF(DAY(NOW())&lt;M3,INDIRECT(ADDRESS(1089,32))-INDIRECT(ADDRESS(1084,33))+INDIRECT(ADDRESS(1085,33))-INDIRECT(ADDRESS(1088,33)),INDIRECT(ADDRESS(1089,32))-INDIRECT(ADDRESS(1084,33))+INDIRECT(ADDRESS(1087,33))-INDIRECT(ADDRESS(1088,33)))</f>
        <v>0</v>
      </c>
      <c r="AH1089">
        <f>IF(DAY(NOW())&lt;M3,INDIRECT(ADDRESS(1089,33))-INDIRECT(ADDRESS(1084,34))+INDIRECT(ADDRESS(1085,34))-INDIRECT(ADDRESS(1088,34)),INDIRECT(ADDRESS(1089,33))-INDIRECT(ADDRESS(1084,34))+INDIRECT(ADDRESS(1087,34))-INDIRECT(ADDRESS(1088,34)))</f>
        <v>0</v>
      </c>
      <c r="AI1089">
        <f>IF(DAY(NOW())&lt;M3,INDIRECT(ADDRESS(1089,34))-INDIRECT(ADDRESS(1084,35))+INDIRECT(ADDRESS(1085,35))-INDIRECT(ADDRESS(1088,35)),INDIRECT(ADDRESS(1089,34))-INDIRECT(ADDRESS(1084,35))+INDIRECT(ADDRESS(1087,35))-INDIRECT(ADDRESS(1088,35)))</f>
        <v>0</v>
      </c>
      <c r="AJ1089">
        <f>IF(DAY(NOW())&lt;M3,INDIRECT(ADDRESS(1089,35))-INDIRECT(ADDRESS(1084,36))+INDIRECT(ADDRESS(1085,36))-INDIRECT(ADDRESS(1088,36)),INDIRECT(ADDRESS(1089,35))-INDIRECT(ADDRESS(1084,36))+INDIRECT(ADDRESS(1087,36))-INDIRECT(ADDRESS(1088,36)))</f>
        <v>0</v>
      </c>
      <c r="AK1089">
        <f>IF(DAY(NOW())&lt;M3,INDIRECT(ADDRESS(1089,36))-INDIRECT(ADDRESS(1084,37))+INDIRECT(ADDRESS(1085,37))-INDIRECT(ADDRESS(1088,37)),INDIRECT(ADDRESS(1089,36))-INDIRECT(ADDRESS(1084,37))+INDIRECT(ADDRESS(1087,37))-INDIRECT(ADDRESS(1088,37)))</f>
        <v>0</v>
      </c>
      <c r="AL1089">
        <f>IF(DAY(NOW())&lt;M3,INDIRECT(ADDRESS(1089,37))-INDIRECT(ADDRESS(1084,38))+INDIRECT(ADDRESS(1085,38))-INDIRECT(ADDRESS(1088,38)),INDIRECT(ADDRESS(1089,37))-INDIRECT(ADDRESS(1084,38))+INDIRECT(ADDRESS(1087,38))-INDIRECT(ADDRESS(1088,38)))</f>
        <v>0</v>
      </c>
      <c r="AM1089">
        <f>IF(DAY(NOW())&lt;M3,INDIRECT(ADDRESS(1089,38))-INDIRECT(ADDRESS(1084,39))+INDIRECT(ADDRESS(1085,39))-INDIRECT(ADDRESS(1088,39)),INDIRECT(ADDRESS(1089,38))-INDIRECT(ADDRESS(1084,39))+INDIRECT(ADDRESS(1087,39))-INDIRECT(ADDRESS(1088,39)))</f>
        <v>0</v>
      </c>
      <c r="AN1089">
        <f>IF(DAY(NOW())&lt;M3,INDIRECT(ADDRESS(1089,39))-INDIRECT(ADDRESS(1084,40))+INDIRECT(ADDRESS(1085,40))-INDIRECT(ADDRESS(1088,40)),INDIRECT(ADDRESS(1089,39))-INDIRECT(ADDRESS(1084,40))+INDIRECT(ADDRESS(1087,40))-INDIRECT(ADDRESS(1088,40)))</f>
        <v>0</v>
      </c>
      <c r="AO1089">
        <f>IF(DAY(NOW())&lt;M3,INDIRECT(ADDRESS(1089,40))-INDIRECT(ADDRESS(1084,41))+INDIRECT(ADDRESS(1085,41))-INDIRECT(ADDRESS(1088,41)),INDIRECT(ADDRESS(1089,40))-INDIRECT(ADDRESS(1084,41))+INDIRECT(ADDRESS(1087,41))-INDIRECT(ADDRESS(1088,41)))</f>
        <v>0</v>
      </c>
      <c r="AP1089">
        <f>IF(DAY(NOW())&lt;M3,INDIRECT(ADDRESS(1089,41))-INDIRECT(ADDRESS(1084,42))+INDIRECT(ADDRESS(1085,42))-INDIRECT(ADDRESS(1088,42)),INDIRECT(ADDRESS(1089,41))-INDIRECT(ADDRESS(1084,42))+INDIRECT(ADDRESS(1087,42))-INDIRECT(ADDRESS(1088,42)))</f>
        <v>0</v>
      </c>
      <c r="AQ1089">
        <f>IF(DAY(NOW())&lt;M3,INDIRECT(ADDRESS(1089,42))-INDIRECT(ADDRESS(1084,43))+INDIRECT(ADDRESS(1085,43))-INDIRECT(ADDRESS(1088,43)),INDIRECT(ADDRESS(1089,42))-INDIRECT(ADDRESS(1084,43))+INDIRECT(ADDRESS(1087,43))-INDIRECT(ADDRESS(1088,43)))</f>
        <v>0</v>
      </c>
      <c r="AR1089">
        <f>IF(DAY(NOW())&lt;M3,INDIRECT(ADDRESS(1089,43))-INDIRECT(ADDRESS(1084,44))+INDIRECT(ADDRESS(1085,44))-INDIRECT(ADDRESS(1088,44)),INDIRECT(ADDRESS(1089,43))-INDIRECT(ADDRESS(1084,44))+INDIRECT(ADDRESS(1087,44))-INDIRECT(ADDRESS(1088,44)))</f>
        <v>0</v>
      </c>
    </row>
    <row r="1090" spans="1:76">
      <c r="A1090" t="s">
        <v>31</v>
      </c>
      <c r="B1090" t="s">
        <v>450</v>
      </c>
      <c r="C1090" t="s">
        <v>451</v>
      </c>
      <c r="D1090" t="s">
        <v>452</v>
      </c>
      <c r="E1090" t="s">
        <v>453</v>
      </c>
      <c r="F1090" t="s">
        <v>454</v>
      </c>
      <c r="K1090" t="s">
        <v>437</v>
      </c>
      <c r="L1090" t="s">
        <v>21</v>
      </c>
      <c r="M1090">
        <f>sumifs(BOM!m:m,BOM!A:A,".1",BOM!B:B,"852-223000-100")</f>
        <v>0</v>
      </c>
      <c r="N1090">
        <f>sumifs(BOM!n:n,BOM!A:A,".1",BOM!B:B,"852-223000-100")</f>
        <v>0</v>
      </c>
      <c r="O1090">
        <f>sumifs(BOM!o:o,BOM!A:A,".1",BOM!B:B,"852-223000-100")</f>
        <v>0</v>
      </c>
      <c r="P1090">
        <f>sumifs(BOM!p:p,BOM!A:A,".1",BOM!B:B,"852-223000-100")</f>
        <v>0</v>
      </c>
      <c r="Q1090">
        <f>sumifs(BOM!q:q,BOM!A:A,".1",BOM!B:B,"852-223000-100")</f>
        <v>0</v>
      </c>
      <c r="R1090">
        <f>sumifs(BOM!r:r,BOM!A:A,".1",BOM!B:B,"852-223000-100")</f>
        <v>0</v>
      </c>
      <c r="S1090">
        <f>sumifs(BOM!s:s,BOM!A:A,".1",BOM!B:B,"852-223000-100")</f>
        <v>0</v>
      </c>
      <c r="T1090">
        <f>sumifs(BOM!t:t,BOM!A:A,".1",BOM!B:B,"852-223000-100")</f>
        <v>0</v>
      </c>
      <c r="U1090">
        <f>sumifs(BOM!u:u,BOM!A:A,".1",BOM!B:B,"852-223000-100")</f>
        <v>0</v>
      </c>
      <c r="V1090">
        <f>sumifs(BOM!v:v,BOM!A:A,".1",BOM!B:B,"852-223000-100")</f>
        <v>0</v>
      </c>
      <c r="W1090">
        <f>sumifs(BOM!w:w,BOM!A:A,".1",BOM!B:B,"852-223000-100")</f>
        <v>0</v>
      </c>
      <c r="X1090">
        <f>sumifs(BOM!x:x,BOM!A:A,".1",BOM!B:B,"852-223000-100")</f>
        <v>0</v>
      </c>
      <c r="Y1090">
        <f>sumifs(BOM!y:y,BOM!A:A,".1",BOM!B:B,"852-223000-100")</f>
        <v>0</v>
      </c>
      <c r="Z1090">
        <f>sumifs(BOM!z:z,BOM!A:A,".1",BOM!B:B,"852-223000-100")</f>
        <v>0</v>
      </c>
      <c r="AA1090">
        <f>sumifs(BOM!aa:aa,BOM!A:A,".1",BOM!B:B,"852-223000-100")</f>
        <v>0</v>
      </c>
      <c r="AB1090">
        <f>sumifs(BOM!ab:ab,BOM!A:A,".1",BOM!B:B,"852-223000-100")</f>
        <v>0</v>
      </c>
      <c r="AC1090">
        <f>sumifs(BOM!ac:ac,BOM!A:A,".1",BOM!B:B,"852-223000-100")</f>
        <v>0</v>
      </c>
      <c r="AD1090">
        <f>sumifs(BOM!ad:ad,BOM!A:A,".1",BOM!B:B,"852-223000-100")</f>
        <v>0</v>
      </c>
      <c r="AE1090">
        <f>sumifs(BOM!ae:ae,BOM!A:A,".1",BOM!B:B,"852-223000-100")</f>
        <v>0</v>
      </c>
      <c r="AF1090">
        <f>sumifs(BOM!af:af,BOM!A:A,".1",BOM!B:B,"852-223000-100")</f>
        <v>0</v>
      </c>
      <c r="AG1090">
        <f>sumifs(BOM!ag:ag,BOM!A:A,".1",BOM!B:B,"852-223000-100")</f>
        <v>0</v>
      </c>
      <c r="AH1090">
        <f>sumifs(BOM!ah:ah,BOM!A:A,".1",BOM!B:B,"852-223000-100")</f>
        <v>0</v>
      </c>
      <c r="AI1090">
        <f>sumifs(BOM!ai:ai,BOM!A:A,".1",BOM!B:B,"852-223000-100")</f>
        <v>0</v>
      </c>
      <c r="AJ1090">
        <f>sumifs(BOM!aj:aj,BOM!A:A,".1",BOM!B:B,"852-223000-100")</f>
        <v>0</v>
      </c>
      <c r="AK1090">
        <f>sumifs(BOM!ak:ak,BOM!A:A,".1",BOM!B:B,"852-223000-100")</f>
        <v>0</v>
      </c>
      <c r="AL1090">
        <f>sumifs(BOM!al:al,BOM!A:A,".1",BOM!B:B,"852-223000-100")</f>
        <v>0</v>
      </c>
      <c r="AM1090">
        <f>sumifs(BOM!am:am,BOM!A:A,".1",BOM!B:B,"852-223000-100")</f>
        <v>0</v>
      </c>
      <c r="AN1090">
        <f>sumifs(BOM!an:an,BOM!A:A,".1",BOM!B:B,"852-223000-100")</f>
        <v>0</v>
      </c>
      <c r="AO1090">
        <f>sumifs(BOM!ao:ao,BOM!A:A,".1",BOM!B:B,"852-223000-100")</f>
        <v>0</v>
      </c>
      <c r="AP1090">
        <f>sumifs(BOM!ap:ap,BOM!A:A,".1",BOM!B:B,"852-223000-100")</f>
        <v>0</v>
      </c>
      <c r="AQ1090">
        <f>sumifs(BOM!aq:aq,BOM!A:A,".1",BOM!B:B,"852-223000-100")</f>
        <v>0</v>
      </c>
      <c r="AR1090">
        <f>sumifs(BOM!ar:ar,BOM!A:A,".1",BOM!B:B,"852-223000-100")</f>
        <v>0</v>
      </c>
      <c r="BX1090">
        <f>sum(j1090:an1090)</f>
        <v>0</v>
      </c>
    </row>
    <row r="1091" spans="1:76">
      <c r="A1091" t="s">
        <v>31</v>
      </c>
      <c r="B1091" t="s">
        <v>450</v>
      </c>
      <c r="C1091" t="s">
        <v>451</v>
      </c>
      <c r="D1091" t="s">
        <v>452</v>
      </c>
      <c r="E1091" t="s">
        <v>453</v>
      </c>
      <c r="F1091" t="s">
        <v>454</v>
      </c>
      <c r="K1091" t="s">
        <v>437</v>
      </c>
      <c r="L1091" t="s">
        <v>37</v>
      </c>
    </row>
    <row r="1092" spans="1:76">
      <c r="L1092" t="s">
        <v>662</v>
      </c>
    </row>
    <row r="1093" spans="1:76">
      <c r="L1093" t="s">
        <v>663</v>
      </c>
    </row>
    <row r="1094" spans="1:76">
      <c r="L1094" t="s">
        <v>664</v>
      </c>
    </row>
    <row r="1095" spans="1:76">
      <c r="L1095" t="s">
        <v>665</v>
      </c>
      <c r="M1095">
        <f>IF(DAY(NOW())&lt;M3,INDIRECT(ADDRESS(1095,7))-INDIRECT(ADDRESS(1090,13))+INDIRECT(ADDRESS(1091,13))-INDIRECT(ADDRESS(1094,13)),INDIRECT(ADDRESS(1095,7))-INDIRECT(ADDRESS(1090,13))+INDIRECT(ADDRESS(1093,13))-INDIRECT(ADDRESS(1094,13)))</f>
        <v>0</v>
      </c>
      <c r="N1095">
        <f>IF(DAY(NOW())&lt;M3,INDIRECT(ADDRESS(1095,13))-INDIRECT(ADDRESS(1090,14))+INDIRECT(ADDRESS(1091,14))-INDIRECT(ADDRESS(1094,14)),INDIRECT(ADDRESS(1095,13))-INDIRECT(ADDRESS(1090,14))+INDIRECT(ADDRESS(1093,14))-INDIRECT(ADDRESS(1094,14)))</f>
        <v>0</v>
      </c>
      <c r="O1095">
        <f>IF(DAY(NOW())&lt;M3,INDIRECT(ADDRESS(1095,14))-INDIRECT(ADDRESS(1090,15))+INDIRECT(ADDRESS(1091,15))-INDIRECT(ADDRESS(1094,15)),INDIRECT(ADDRESS(1095,14))-INDIRECT(ADDRESS(1090,15))+INDIRECT(ADDRESS(1093,15))-INDIRECT(ADDRESS(1094,15)))</f>
        <v>0</v>
      </c>
      <c r="P1095">
        <f>IF(DAY(NOW())&lt;M3,INDIRECT(ADDRESS(1095,15))-INDIRECT(ADDRESS(1090,16))+INDIRECT(ADDRESS(1091,16))-INDIRECT(ADDRESS(1094,16)),INDIRECT(ADDRESS(1095,15))-INDIRECT(ADDRESS(1090,16))+INDIRECT(ADDRESS(1093,16))-INDIRECT(ADDRESS(1094,16)))</f>
        <v>0</v>
      </c>
      <c r="Q1095">
        <f>IF(DAY(NOW())&lt;M3,INDIRECT(ADDRESS(1095,16))-INDIRECT(ADDRESS(1090,17))+INDIRECT(ADDRESS(1091,17))-INDIRECT(ADDRESS(1094,17)),INDIRECT(ADDRESS(1095,16))-INDIRECT(ADDRESS(1090,17))+INDIRECT(ADDRESS(1093,17))-INDIRECT(ADDRESS(1094,17)))</f>
        <v>0</v>
      </c>
      <c r="R1095">
        <f>IF(DAY(NOW())&lt;M3,INDIRECT(ADDRESS(1095,17))-INDIRECT(ADDRESS(1090,18))+INDIRECT(ADDRESS(1091,18))-INDIRECT(ADDRESS(1094,18)),INDIRECT(ADDRESS(1095,17))-INDIRECT(ADDRESS(1090,18))+INDIRECT(ADDRESS(1093,18))-INDIRECT(ADDRESS(1094,18)))</f>
        <v>0</v>
      </c>
      <c r="S1095">
        <f>IF(DAY(NOW())&lt;M3,INDIRECT(ADDRESS(1095,18))-INDIRECT(ADDRESS(1090,19))+INDIRECT(ADDRESS(1091,19))-INDIRECT(ADDRESS(1094,19)),INDIRECT(ADDRESS(1095,18))-INDIRECT(ADDRESS(1090,19))+INDIRECT(ADDRESS(1093,19))-INDIRECT(ADDRESS(1094,19)))</f>
        <v>0</v>
      </c>
      <c r="T1095">
        <f>IF(DAY(NOW())&lt;M3,INDIRECT(ADDRESS(1095,19))-INDIRECT(ADDRESS(1090,20))+INDIRECT(ADDRESS(1091,20))-INDIRECT(ADDRESS(1094,20)),INDIRECT(ADDRESS(1095,19))-INDIRECT(ADDRESS(1090,20))+INDIRECT(ADDRESS(1093,20))-INDIRECT(ADDRESS(1094,20)))</f>
        <v>0</v>
      </c>
      <c r="U1095">
        <f>IF(DAY(NOW())&lt;M3,INDIRECT(ADDRESS(1095,20))-INDIRECT(ADDRESS(1090,21))+INDIRECT(ADDRESS(1091,21))-INDIRECT(ADDRESS(1094,21)),INDIRECT(ADDRESS(1095,20))-INDIRECT(ADDRESS(1090,21))+INDIRECT(ADDRESS(1093,21))-INDIRECT(ADDRESS(1094,21)))</f>
        <v>0</v>
      </c>
      <c r="V1095">
        <f>IF(DAY(NOW())&lt;M3,INDIRECT(ADDRESS(1095,21))-INDIRECT(ADDRESS(1090,22))+INDIRECT(ADDRESS(1091,22))-INDIRECT(ADDRESS(1094,22)),INDIRECT(ADDRESS(1095,21))-INDIRECT(ADDRESS(1090,22))+INDIRECT(ADDRESS(1093,22))-INDIRECT(ADDRESS(1094,22)))</f>
        <v>0</v>
      </c>
      <c r="W1095">
        <f>IF(DAY(NOW())&lt;M3,INDIRECT(ADDRESS(1095,22))-INDIRECT(ADDRESS(1090,23))+INDIRECT(ADDRESS(1091,23))-INDIRECT(ADDRESS(1094,23)),INDIRECT(ADDRESS(1095,22))-INDIRECT(ADDRESS(1090,23))+INDIRECT(ADDRESS(1093,23))-INDIRECT(ADDRESS(1094,23)))</f>
        <v>0</v>
      </c>
      <c r="X1095">
        <f>IF(DAY(NOW())&lt;M3,INDIRECT(ADDRESS(1095,23))-INDIRECT(ADDRESS(1090,24))+INDIRECT(ADDRESS(1091,24))-INDIRECT(ADDRESS(1094,24)),INDIRECT(ADDRESS(1095,23))-INDIRECT(ADDRESS(1090,24))+INDIRECT(ADDRESS(1093,24))-INDIRECT(ADDRESS(1094,24)))</f>
        <v>0</v>
      </c>
      <c r="Y1095">
        <f>IF(DAY(NOW())&lt;M3,INDIRECT(ADDRESS(1095,24))-INDIRECT(ADDRESS(1090,25))+INDIRECT(ADDRESS(1091,25))-INDIRECT(ADDRESS(1094,25)),INDIRECT(ADDRESS(1095,24))-INDIRECT(ADDRESS(1090,25))+INDIRECT(ADDRESS(1093,25))-INDIRECT(ADDRESS(1094,25)))</f>
        <v>0</v>
      </c>
      <c r="Z1095">
        <f>IF(DAY(NOW())&lt;M3,INDIRECT(ADDRESS(1095,25))-INDIRECT(ADDRESS(1090,26))+INDIRECT(ADDRESS(1091,26))-INDIRECT(ADDRESS(1094,26)),INDIRECT(ADDRESS(1095,25))-INDIRECT(ADDRESS(1090,26))+INDIRECT(ADDRESS(1093,26))-INDIRECT(ADDRESS(1094,26)))</f>
        <v>0</v>
      </c>
      <c r="AA1095">
        <f>IF(DAY(NOW())&lt;M3,INDIRECT(ADDRESS(1095,26))-INDIRECT(ADDRESS(1090,27))+INDIRECT(ADDRESS(1091,27))-INDIRECT(ADDRESS(1094,27)),INDIRECT(ADDRESS(1095,26))-INDIRECT(ADDRESS(1090,27))+INDIRECT(ADDRESS(1093,27))-INDIRECT(ADDRESS(1094,27)))</f>
        <v>0</v>
      </c>
      <c r="AB1095">
        <f>IF(DAY(NOW())&lt;M3,INDIRECT(ADDRESS(1095,27))-INDIRECT(ADDRESS(1090,28))+INDIRECT(ADDRESS(1091,28))-INDIRECT(ADDRESS(1094,28)),INDIRECT(ADDRESS(1095,27))-INDIRECT(ADDRESS(1090,28))+INDIRECT(ADDRESS(1093,28))-INDIRECT(ADDRESS(1094,28)))</f>
        <v>0</v>
      </c>
      <c r="AC1095">
        <f>IF(DAY(NOW())&lt;M3,INDIRECT(ADDRESS(1095,28))-INDIRECT(ADDRESS(1090,29))+INDIRECT(ADDRESS(1091,29))-INDIRECT(ADDRESS(1094,29)),INDIRECT(ADDRESS(1095,28))-INDIRECT(ADDRESS(1090,29))+INDIRECT(ADDRESS(1093,29))-INDIRECT(ADDRESS(1094,29)))</f>
        <v>0</v>
      </c>
      <c r="AD1095">
        <f>IF(DAY(NOW())&lt;M3,INDIRECT(ADDRESS(1095,29))-INDIRECT(ADDRESS(1090,30))+INDIRECT(ADDRESS(1091,30))-INDIRECT(ADDRESS(1094,30)),INDIRECT(ADDRESS(1095,29))-INDIRECT(ADDRESS(1090,30))+INDIRECT(ADDRESS(1093,30))-INDIRECT(ADDRESS(1094,30)))</f>
        <v>0</v>
      </c>
      <c r="AE1095">
        <f>IF(DAY(NOW())&lt;M3,INDIRECT(ADDRESS(1095,30))-INDIRECT(ADDRESS(1090,31))+INDIRECT(ADDRESS(1091,31))-INDIRECT(ADDRESS(1094,31)),INDIRECT(ADDRESS(1095,30))-INDIRECT(ADDRESS(1090,31))+INDIRECT(ADDRESS(1093,31))-INDIRECT(ADDRESS(1094,31)))</f>
        <v>0</v>
      </c>
      <c r="AF1095">
        <f>IF(DAY(NOW())&lt;M3,INDIRECT(ADDRESS(1095,31))-INDIRECT(ADDRESS(1090,32))+INDIRECT(ADDRESS(1091,32))-INDIRECT(ADDRESS(1094,32)),INDIRECT(ADDRESS(1095,31))-INDIRECT(ADDRESS(1090,32))+INDIRECT(ADDRESS(1093,32))-INDIRECT(ADDRESS(1094,32)))</f>
        <v>0</v>
      </c>
      <c r="AG1095">
        <f>IF(DAY(NOW())&lt;M3,INDIRECT(ADDRESS(1095,32))-INDIRECT(ADDRESS(1090,33))+INDIRECT(ADDRESS(1091,33))-INDIRECT(ADDRESS(1094,33)),INDIRECT(ADDRESS(1095,32))-INDIRECT(ADDRESS(1090,33))+INDIRECT(ADDRESS(1093,33))-INDIRECT(ADDRESS(1094,33)))</f>
        <v>0</v>
      </c>
      <c r="AH1095">
        <f>IF(DAY(NOW())&lt;M3,INDIRECT(ADDRESS(1095,33))-INDIRECT(ADDRESS(1090,34))+INDIRECT(ADDRESS(1091,34))-INDIRECT(ADDRESS(1094,34)),INDIRECT(ADDRESS(1095,33))-INDIRECT(ADDRESS(1090,34))+INDIRECT(ADDRESS(1093,34))-INDIRECT(ADDRESS(1094,34)))</f>
        <v>0</v>
      </c>
      <c r="AI1095">
        <f>IF(DAY(NOW())&lt;M3,INDIRECT(ADDRESS(1095,34))-INDIRECT(ADDRESS(1090,35))+INDIRECT(ADDRESS(1091,35))-INDIRECT(ADDRESS(1094,35)),INDIRECT(ADDRESS(1095,34))-INDIRECT(ADDRESS(1090,35))+INDIRECT(ADDRESS(1093,35))-INDIRECT(ADDRESS(1094,35)))</f>
        <v>0</v>
      </c>
      <c r="AJ1095">
        <f>IF(DAY(NOW())&lt;M3,INDIRECT(ADDRESS(1095,35))-INDIRECT(ADDRESS(1090,36))+INDIRECT(ADDRESS(1091,36))-INDIRECT(ADDRESS(1094,36)),INDIRECT(ADDRESS(1095,35))-INDIRECT(ADDRESS(1090,36))+INDIRECT(ADDRESS(1093,36))-INDIRECT(ADDRESS(1094,36)))</f>
        <v>0</v>
      </c>
      <c r="AK1095">
        <f>IF(DAY(NOW())&lt;M3,INDIRECT(ADDRESS(1095,36))-INDIRECT(ADDRESS(1090,37))+INDIRECT(ADDRESS(1091,37))-INDIRECT(ADDRESS(1094,37)),INDIRECT(ADDRESS(1095,36))-INDIRECT(ADDRESS(1090,37))+INDIRECT(ADDRESS(1093,37))-INDIRECT(ADDRESS(1094,37)))</f>
        <v>0</v>
      </c>
      <c r="AL1095">
        <f>IF(DAY(NOW())&lt;M3,INDIRECT(ADDRESS(1095,37))-INDIRECT(ADDRESS(1090,38))+INDIRECT(ADDRESS(1091,38))-INDIRECT(ADDRESS(1094,38)),INDIRECT(ADDRESS(1095,37))-INDIRECT(ADDRESS(1090,38))+INDIRECT(ADDRESS(1093,38))-INDIRECT(ADDRESS(1094,38)))</f>
        <v>0</v>
      </c>
      <c r="AM1095">
        <f>IF(DAY(NOW())&lt;M3,INDIRECT(ADDRESS(1095,38))-INDIRECT(ADDRESS(1090,39))+INDIRECT(ADDRESS(1091,39))-INDIRECT(ADDRESS(1094,39)),INDIRECT(ADDRESS(1095,38))-INDIRECT(ADDRESS(1090,39))+INDIRECT(ADDRESS(1093,39))-INDIRECT(ADDRESS(1094,39)))</f>
        <v>0</v>
      </c>
      <c r="AN1095">
        <f>IF(DAY(NOW())&lt;M3,INDIRECT(ADDRESS(1095,39))-INDIRECT(ADDRESS(1090,40))+INDIRECT(ADDRESS(1091,40))-INDIRECT(ADDRESS(1094,40)),INDIRECT(ADDRESS(1095,39))-INDIRECT(ADDRESS(1090,40))+INDIRECT(ADDRESS(1093,40))-INDIRECT(ADDRESS(1094,40)))</f>
        <v>0</v>
      </c>
      <c r="AO1095">
        <f>IF(DAY(NOW())&lt;M3,INDIRECT(ADDRESS(1095,40))-INDIRECT(ADDRESS(1090,41))+INDIRECT(ADDRESS(1091,41))-INDIRECT(ADDRESS(1094,41)),INDIRECT(ADDRESS(1095,40))-INDIRECT(ADDRESS(1090,41))+INDIRECT(ADDRESS(1093,41))-INDIRECT(ADDRESS(1094,41)))</f>
        <v>0</v>
      </c>
      <c r="AP1095">
        <f>IF(DAY(NOW())&lt;M3,INDIRECT(ADDRESS(1095,41))-INDIRECT(ADDRESS(1090,42))+INDIRECT(ADDRESS(1091,42))-INDIRECT(ADDRESS(1094,42)),INDIRECT(ADDRESS(1095,41))-INDIRECT(ADDRESS(1090,42))+INDIRECT(ADDRESS(1093,42))-INDIRECT(ADDRESS(1094,42)))</f>
        <v>0</v>
      </c>
      <c r="AQ1095">
        <f>IF(DAY(NOW())&lt;M3,INDIRECT(ADDRESS(1095,42))-INDIRECT(ADDRESS(1090,43))+INDIRECT(ADDRESS(1091,43))-INDIRECT(ADDRESS(1094,43)),INDIRECT(ADDRESS(1095,42))-INDIRECT(ADDRESS(1090,43))+INDIRECT(ADDRESS(1093,43))-INDIRECT(ADDRESS(1094,43)))</f>
        <v>0</v>
      </c>
      <c r="AR1095">
        <f>IF(DAY(NOW())&lt;M3,INDIRECT(ADDRESS(1095,43))-INDIRECT(ADDRESS(1090,44))+INDIRECT(ADDRESS(1091,44))-INDIRECT(ADDRESS(1094,44)),INDIRECT(ADDRESS(1095,43))-INDIRECT(ADDRESS(1090,44))+INDIRECT(ADDRESS(1093,44))-INDIRECT(ADDRESS(1094,44)))</f>
        <v>0</v>
      </c>
    </row>
    <row r="1096" spans="1:76">
      <c r="A1096" t="s">
        <v>14</v>
      </c>
      <c r="B1096" t="s">
        <v>455</v>
      </c>
      <c r="C1096" t="s">
        <v>456</v>
      </c>
      <c r="E1096">
        <v>1</v>
      </c>
      <c r="F1096" t="s">
        <v>457</v>
      </c>
      <c r="K1096" t="s">
        <v>437</v>
      </c>
      <c r="L1096" t="s">
        <v>21</v>
      </c>
      <c r="BX1096">
        <f>sum(j1096:an1096)</f>
        <v>0</v>
      </c>
    </row>
    <row r="1097" spans="1:76">
      <c r="A1097" t="s">
        <v>14</v>
      </c>
      <c r="B1097" t="s">
        <v>455</v>
      </c>
      <c r="C1097" t="s">
        <v>456</v>
      </c>
      <c r="E1097">
        <v>1</v>
      </c>
      <c r="F1097" t="s">
        <v>457</v>
      </c>
      <c r="K1097" t="s">
        <v>437</v>
      </c>
      <c r="L1097" t="s">
        <v>37</v>
      </c>
    </row>
    <row r="1098" spans="1:76">
      <c r="L1098" t="s">
        <v>662</v>
      </c>
    </row>
    <row r="1099" spans="1:76">
      <c r="L1099" t="s">
        <v>663</v>
      </c>
    </row>
    <row r="1100" spans="1:76">
      <c r="L1100" t="s">
        <v>664</v>
      </c>
    </row>
    <row r="1101" spans="1:76">
      <c r="L1101" t="s">
        <v>665</v>
      </c>
      <c r="M1101">
        <f>IF(DAY(NOW())&lt;M3,INDIRECT(ADDRESS(1101,7))-INDIRECT(ADDRESS(1096,13))+INDIRECT(ADDRESS(1097,13))-INDIRECT(ADDRESS(1100,13)),INDIRECT(ADDRESS(1101,7))-INDIRECT(ADDRESS(1096,13))+INDIRECT(ADDRESS(1099,13))-INDIRECT(ADDRESS(1100,13)))</f>
        <v>0</v>
      </c>
      <c r="N1101">
        <f>IF(DAY(NOW())&lt;M3,INDIRECT(ADDRESS(1101,13))-INDIRECT(ADDRESS(1096,14))+INDIRECT(ADDRESS(1097,14))-INDIRECT(ADDRESS(1100,14)),INDIRECT(ADDRESS(1101,13))-INDIRECT(ADDRESS(1096,14))+INDIRECT(ADDRESS(1099,14))-INDIRECT(ADDRESS(1100,14)))</f>
        <v>0</v>
      </c>
      <c r="O1101">
        <f>IF(DAY(NOW())&lt;M3,INDIRECT(ADDRESS(1101,14))-INDIRECT(ADDRESS(1096,15))+INDIRECT(ADDRESS(1097,15))-INDIRECT(ADDRESS(1100,15)),INDIRECT(ADDRESS(1101,14))-INDIRECT(ADDRESS(1096,15))+INDIRECT(ADDRESS(1099,15))-INDIRECT(ADDRESS(1100,15)))</f>
        <v>0</v>
      </c>
      <c r="P1101">
        <f>IF(DAY(NOW())&lt;M3,INDIRECT(ADDRESS(1101,15))-INDIRECT(ADDRESS(1096,16))+INDIRECT(ADDRESS(1097,16))-INDIRECT(ADDRESS(1100,16)),INDIRECT(ADDRESS(1101,15))-INDIRECT(ADDRESS(1096,16))+INDIRECT(ADDRESS(1099,16))-INDIRECT(ADDRESS(1100,16)))</f>
        <v>0</v>
      </c>
      <c r="Q1101">
        <f>IF(DAY(NOW())&lt;M3,INDIRECT(ADDRESS(1101,16))-INDIRECT(ADDRESS(1096,17))+INDIRECT(ADDRESS(1097,17))-INDIRECT(ADDRESS(1100,17)),INDIRECT(ADDRESS(1101,16))-INDIRECT(ADDRESS(1096,17))+INDIRECT(ADDRESS(1099,17))-INDIRECT(ADDRESS(1100,17)))</f>
        <v>0</v>
      </c>
      <c r="R1101">
        <f>IF(DAY(NOW())&lt;M3,INDIRECT(ADDRESS(1101,17))-INDIRECT(ADDRESS(1096,18))+INDIRECT(ADDRESS(1097,18))-INDIRECT(ADDRESS(1100,18)),INDIRECT(ADDRESS(1101,17))-INDIRECT(ADDRESS(1096,18))+INDIRECT(ADDRESS(1099,18))-INDIRECT(ADDRESS(1100,18)))</f>
        <v>0</v>
      </c>
      <c r="S1101">
        <f>IF(DAY(NOW())&lt;M3,INDIRECT(ADDRESS(1101,18))-INDIRECT(ADDRESS(1096,19))+INDIRECT(ADDRESS(1097,19))-INDIRECT(ADDRESS(1100,19)),INDIRECT(ADDRESS(1101,18))-INDIRECT(ADDRESS(1096,19))+INDIRECT(ADDRESS(1099,19))-INDIRECT(ADDRESS(1100,19)))</f>
        <v>0</v>
      </c>
      <c r="T1101">
        <f>IF(DAY(NOW())&lt;M3,INDIRECT(ADDRESS(1101,19))-INDIRECT(ADDRESS(1096,20))+INDIRECT(ADDRESS(1097,20))-INDIRECT(ADDRESS(1100,20)),INDIRECT(ADDRESS(1101,19))-INDIRECT(ADDRESS(1096,20))+INDIRECT(ADDRESS(1099,20))-INDIRECT(ADDRESS(1100,20)))</f>
        <v>0</v>
      </c>
      <c r="U1101">
        <f>IF(DAY(NOW())&lt;M3,INDIRECT(ADDRESS(1101,20))-INDIRECT(ADDRESS(1096,21))+INDIRECT(ADDRESS(1097,21))-INDIRECT(ADDRESS(1100,21)),INDIRECT(ADDRESS(1101,20))-INDIRECT(ADDRESS(1096,21))+INDIRECT(ADDRESS(1099,21))-INDIRECT(ADDRESS(1100,21)))</f>
        <v>0</v>
      </c>
      <c r="V1101">
        <f>IF(DAY(NOW())&lt;M3,INDIRECT(ADDRESS(1101,21))-INDIRECT(ADDRESS(1096,22))+INDIRECT(ADDRESS(1097,22))-INDIRECT(ADDRESS(1100,22)),INDIRECT(ADDRESS(1101,21))-INDIRECT(ADDRESS(1096,22))+INDIRECT(ADDRESS(1099,22))-INDIRECT(ADDRESS(1100,22)))</f>
        <v>0</v>
      </c>
      <c r="W1101">
        <f>IF(DAY(NOW())&lt;M3,INDIRECT(ADDRESS(1101,22))-INDIRECT(ADDRESS(1096,23))+INDIRECT(ADDRESS(1097,23))-INDIRECT(ADDRESS(1100,23)),INDIRECT(ADDRESS(1101,22))-INDIRECT(ADDRESS(1096,23))+INDIRECT(ADDRESS(1099,23))-INDIRECT(ADDRESS(1100,23)))</f>
        <v>0</v>
      </c>
      <c r="X1101">
        <f>IF(DAY(NOW())&lt;M3,INDIRECT(ADDRESS(1101,23))-INDIRECT(ADDRESS(1096,24))+INDIRECT(ADDRESS(1097,24))-INDIRECT(ADDRESS(1100,24)),INDIRECT(ADDRESS(1101,23))-INDIRECT(ADDRESS(1096,24))+INDIRECT(ADDRESS(1099,24))-INDIRECT(ADDRESS(1100,24)))</f>
        <v>0</v>
      </c>
      <c r="Y1101">
        <f>IF(DAY(NOW())&lt;M3,INDIRECT(ADDRESS(1101,24))-INDIRECT(ADDRESS(1096,25))+INDIRECT(ADDRESS(1097,25))-INDIRECT(ADDRESS(1100,25)),INDIRECT(ADDRESS(1101,24))-INDIRECT(ADDRESS(1096,25))+INDIRECT(ADDRESS(1099,25))-INDIRECT(ADDRESS(1100,25)))</f>
        <v>0</v>
      </c>
      <c r="Z1101">
        <f>IF(DAY(NOW())&lt;M3,INDIRECT(ADDRESS(1101,25))-INDIRECT(ADDRESS(1096,26))+INDIRECT(ADDRESS(1097,26))-INDIRECT(ADDRESS(1100,26)),INDIRECT(ADDRESS(1101,25))-INDIRECT(ADDRESS(1096,26))+INDIRECT(ADDRESS(1099,26))-INDIRECT(ADDRESS(1100,26)))</f>
        <v>0</v>
      </c>
      <c r="AA1101">
        <f>IF(DAY(NOW())&lt;M3,INDIRECT(ADDRESS(1101,26))-INDIRECT(ADDRESS(1096,27))+INDIRECT(ADDRESS(1097,27))-INDIRECT(ADDRESS(1100,27)),INDIRECT(ADDRESS(1101,26))-INDIRECT(ADDRESS(1096,27))+INDIRECT(ADDRESS(1099,27))-INDIRECT(ADDRESS(1100,27)))</f>
        <v>0</v>
      </c>
      <c r="AB1101">
        <f>IF(DAY(NOW())&lt;M3,INDIRECT(ADDRESS(1101,27))-INDIRECT(ADDRESS(1096,28))+INDIRECT(ADDRESS(1097,28))-INDIRECT(ADDRESS(1100,28)),INDIRECT(ADDRESS(1101,27))-INDIRECT(ADDRESS(1096,28))+INDIRECT(ADDRESS(1099,28))-INDIRECT(ADDRESS(1100,28)))</f>
        <v>0</v>
      </c>
      <c r="AC1101">
        <f>IF(DAY(NOW())&lt;M3,INDIRECT(ADDRESS(1101,28))-INDIRECT(ADDRESS(1096,29))+INDIRECT(ADDRESS(1097,29))-INDIRECT(ADDRESS(1100,29)),INDIRECT(ADDRESS(1101,28))-INDIRECT(ADDRESS(1096,29))+INDIRECT(ADDRESS(1099,29))-INDIRECT(ADDRESS(1100,29)))</f>
        <v>0</v>
      </c>
      <c r="AD1101">
        <f>IF(DAY(NOW())&lt;M3,INDIRECT(ADDRESS(1101,29))-INDIRECT(ADDRESS(1096,30))+INDIRECT(ADDRESS(1097,30))-INDIRECT(ADDRESS(1100,30)),INDIRECT(ADDRESS(1101,29))-INDIRECT(ADDRESS(1096,30))+INDIRECT(ADDRESS(1099,30))-INDIRECT(ADDRESS(1100,30)))</f>
        <v>0</v>
      </c>
      <c r="AE1101">
        <f>IF(DAY(NOW())&lt;M3,INDIRECT(ADDRESS(1101,30))-INDIRECT(ADDRESS(1096,31))+INDIRECT(ADDRESS(1097,31))-INDIRECT(ADDRESS(1100,31)),INDIRECT(ADDRESS(1101,30))-INDIRECT(ADDRESS(1096,31))+INDIRECT(ADDRESS(1099,31))-INDIRECT(ADDRESS(1100,31)))</f>
        <v>0</v>
      </c>
      <c r="AF1101">
        <f>IF(DAY(NOW())&lt;M3,INDIRECT(ADDRESS(1101,31))-INDIRECT(ADDRESS(1096,32))+INDIRECT(ADDRESS(1097,32))-INDIRECT(ADDRESS(1100,32)),INDIRECT(ADDRESS(1101,31))-INDIRECT(ADDRESS(1096,32))+INDIRECT(ADDRESS(1099,32))-INDIRECT(ADDRESS(1100,32)))</f>
        <v>0</v>
      </c>
      <c r="AG1101">
        <f>IF(DAY(NOW())&lt;M3,INDIRECT(ADDRESS(1101,32))-INDIRECT(ADDRESS(1096,33))+INDIRECT(ADDRESS(1097,33))-INDIRECT(ADDRESS(1100,33)),INDIRECT(ADDRESS(1101,32))-INDIRECT(ADDRESS(1096,33))+INDIRECT(ADDRESS(1099,33))-INDIRECT(ADDRESS(1100,33)))</f>
        <v>0</v>
      </c>
      <c r="AH1101">
        <f>IF(DAY(NOW())&lt;M3,INDIRECT(ADDRESS(1101,33))-INDIRECT(ADDRESS(1096,34))+INDIRECT(ADDRESS(1097,34))-INDIRECT(ADDRESS(1100,34)),INDIRECT(ADDRESS(1101,33))-INDIRECT(ADDRESS(1096,34))+INDIRECT(ADDRESS(1099,34))-INDIRECT(ADDRESS(1100,34)))</f>
        <v>0</v>
      </c>
      <c r="AI1101">
        <f>IF(DAY(NOW())&lt;M3,INDIRECT(ADDRESS(1101,34))-INDIRECT(ADDRESS(1096,35))+INDIRECT(ADDRESS(1097,35))-INDIRECT(ADDRESS(1100,35)),INDIRECT(ADDRESS(1101,34))-INDIRECT(ADDRESS(1096,35))+INDIRECT(ADDRESS(1099,35))-INDIRECT(ADDRESS(1100,35)))</f>
        <v>0</v>
      </c>
      <c r="AJ1101">
        <f>IF(DAY(NOW())&lt;M3,INDIRECT(ADDRESS(1101,35))-INDIRECT(ADDRESS(1096,36))+INDIRECT(ADDRESS(1097,36))-INDIRECT(ADDRESS(1100,36)),INDIRECT(ADDRESS(1101,35))-INDIRECT(ADDRESS(1096,36))+INDIRECT(ADDRESS(1099,36))-INDIRECT(ADDRESS(1100,36)))</f>
        <v>0</v>
      </c>
      <c r="AK1101">
        <f>IF(DAY(NOW())&lt;M3,INDIRECT(ADDRESS(1101,36))-INDIRECT(ADDRESS(1096,37))+INDIRECT(ADDRESS(1097,37))-INDIRECT(ADDRESS(1100,37)),INDIRECT(ADDRESS(1101,36))-INDIRECT(ADDRESS(1096,37))+INDIRECT(ADDRESS(1099,37))-INDIRECT(ADDRESS(1100,37)))</f>
        <v>0</v>
      </c>
      <c r="AL1101">
        <f>IF(DAY(NOW())&lt;M3,INDIRECT(ADDRESS(1101,37))-INDIRECT(ADDRESS(1096,38))+INDIRECT(ADDRESS(1097,38))-INDIRECT(ADDRESS(1100,38)),INDIRECT(ADDRESS(1101,37))-INDIRECT(ADDRESS(1096,38))+INDIRECT(ADDRESS(1099,38))-INDIRECT(ADDRESS(1100,38)))</f>
        <v>0</v>
      </c>
      <c r="AM1101">
        <f>IF(DAY(NOW())&lt;M3,INDIRECT(ADDRESS(1101,38))-INDIRECT(ADDRESS(1096,39))+INDIRECT(ADDRESS(1097,39))-INDIRECT(ADDRESS(1100,39)),INDIRECT(ADDRESS(1101,38))-INDIRECT(ADDRESS(1096,39))+INDIRECT(ADDRESS(1099,39))-INDIRECT(ADDRESS(1100,39)))</f>
        <v>0</v>
      </c>
      <c r="AN1101">
        <f>IF(DAY(NOW())&lt;M3,INDIRECT(ADDRESS(1101,39))-INDIRECT(ADDRESS(1096,40))+INDIRECT(ADDRESS(1097,40))-INDIRECT(ADDRESS(1100,40)),INDIRECT(ADDRESS(1101,39))-INDIRECT(ADDRESS(1096,40))+INDIRECT(ADDRESS(1099,40))-INDIRECT(ADDRESS(1100,40)))</f>
        <v>0</v>
      </c>
      <c r="AO1101">
        <f>IF(DAY(NOW())&lt;M3,INDIRECT(ADDRESS(1101,40))-INDIRECT(ADDRESS(1096,41))+INDIRECT(ADDRESS(1097,41))-INDIRECT(ADDRESS(1100,41)),INDIRECT(ADDRESS(1101,40))-INDIRECT(ADDRESS(1096,41))+INDIRECT(ADDRESS(1099,41))-INDIRECT(ADDRESS(1100,41)))</f>
        <v>0</v>
      </c>
      <c r="AP1101">
        <f>IF(DAY(NOW())&lt;M3,INDIRECT(ADDRESS(1101,41))-INDIRECT(ADDRESS(1096,42))+INDIRECT(ADDRESS(1097,42))-INDIRECT(ADDRESS(1100,42)),INDIRECT(ADDRESS(1101,41))-INDIRECT(ADDRESS(1096,42))+INDIRECT(ADDRESS(1099,42))-INDIRECT(ADDRESS(1100,42)))</f>
        <v>0</v>
      </c>
      <c r="AQ1101">
        <f>IF(DAY(NOW())&lt;M3,INDIRECT(ADDRESS(1101,42))-INDIRECT(ADDRESS(1096,43))+INDIRECT(ADDRESS(1097,43))-INDIRECT(ADDRESS(1100,43)),INDIRECT(ADDRESS(1101,42))-INDIRECT(ADDRESS(1096,43))+INDIRECT(ADDRESS(1099,43))-INDIRECT(ADDRESS(1100,43)))</f>
        <v>0</v>
      </c>
      <c r="AR1101">
        <f>IF(DAY(NOW())&lt;M3,INDIRECT(ADDRESS(1101,43))-INDIRECT(ADDRESS(1096,44))+INDIRECT(ADDRESS(1097,44))-INDIRECT(ADDRESS(1100,44)),INDIRECT(ADDRESS(1101,43))-INDIRECT(ADDRESS(1096,44))+INDIRECT(ADDRESS(1099,44))-INDIRECT(ADDRESS(1100,44)))</f>
        <v>0</v>
      </c>
    </row>
    <row r="1102" spans="1:76">
      <c r="A1102" t="s">
        <v>31</v>
      </c>
      <c r="B1102" t="s">
        <v>458</v>
      </c>
      <c r="C1102" t="s">
        <v>459</v>
      </c>
      <c r="D1102" t="s">
        <v>448</v>
      </c>
      <c r="E1102">
        <v>1</v>
      </c>
      <c r="F1102" t="s">
        <v>460</v>
      </c>
      <c r="K1102" t="s">
        <v>437</v>
      </c>
      <c r="L1102" t="s">
        <v>21</v>
      </c>
      <c r="M1102">
        <f>sumifs(BOM!m:m,BOM!A:A,".1",BOM!B:B,"852-222000-200")</f>
        <v>0</v>
      </c>
      <c r="N1102">
        <f>sumifs(BOM!n:n,BOM!A:A,".1",BOM!B:B,"852-222000-200")</f>
        <v>0</v>
      </c>
      <c r="O1102">
        <f>sumifs(BOM!o:o,BOM!A:A,".1",BOM!B:B,"852-222000-200")</f>
        <v>0</v>
      </c>
      <c r="P1102">
        <f>sumifs(BOM!p:p,BOM!A:A,".1",BOM!B:B,"852-222000-200")</f>
        <v>0</v>
      </c>
      <c r="Q1102">
        <f>sumifs(BOM!q:q,BOM!A:A,".1",BOM!B:B,"852-222000-200")</f>
        <v>0</v>
      </c>
      <c r="R1102">
        <f>sumifs(BOM!r:r,BOM!A:A,".1",BOM!B:B,"852-222000-200")</f>
        <v>0</v>
      </c>
      <c r="S1102">
        <f>sumifs(BOM!s:s,BOM!A:A,".1",BOM!B:B,"852-222000-200")</f>
        <v>0</v>
      </c>
      <c r="T1102">
        <f>sumifs(BOM!t:t,BOM!A:A,".1",BOM!B:B,"852-222000-200")</f>
        <v>0</v>
      </c>
      <c r="U1102">
        <f>sumifs(BOM!u:u,BOM!A:A,".1",BOM!B:B,"852-222000-200")</f>
        <v>0</v>
      </c>
      <c r="V1102">
        <f>sumifs(BOM!v:v,BOM!A:A,".1",BOM!B:B,"852-222000-200")</f>
        <v>0</v>
      </c>
      <c r="W1102">
        <f>sumifs(BOM!w:w,BOM!A:A,".1",BOM!B:B,"852-222000-200")</f>
        <v>0</v>
      </c>
      <c r="X1102">
        <f>sumifs(BOM!x:x,BOM!A:A,".1",BOM!B:B,"852-222000-200")</f>
        <v>0</v>
      </c>
      <c r="Y1102">
        <f>sumifs(BOM!y:y,BOM!A:A,".1",BOM!B:B,"852-222000-200")</f>
        <v>0</v>
      </c>
      <c r="Z1102">
        <f>sumifs(BOM!z:z,BOM!A:A,".1",BOM!B:B,"852-222000-200")</f>
        <v>0</v>
      </c>
      <c r="AA1102">
        <f>sumifs(BOM!aa:aa,BOM!A:A,".1",BOM!B:B,"852-222000-200")</f>
        <v>0</v>
      </c>
      <c r="AB1102">
        <f>sumifs(BOM!ab:ab,BOM!A:A,".1",BOM!B:B,"852-222000-200")</f>
        <v>0</v>
      </c>
      <c r="AC1102">
        <f>sumifs(BOM!ac:ac,BOM!A:A,".1",BOM!B:B,"852-222000-200")</f>
        <v>0</v>
      </c>
      <c r="AD1102">
        <f>sumifs(BOM!ad:ad,BOM!A:A,".1",BOM!B:B,"852-222000-200")</f>
        <v>0</v>
      </c>
      <c r="AE1102">
        <f>sumifs(BOM!ae:ae,BOM!A:A,".1",BOM!B:B,"852-222000-200")</f>
        <v>0</v>
      </c>
      <c r="AF1102">
        <f>sumifs(BOM!af:af,BOM!A:A,".1",BOM!B:B,"852-222000-200")</f>
        <v>0</v>
      </c>
      <c r="AG1102">
        <f>sumifs(BOM!ag:ag,BOM!A:A,".1",BOM!B:B,"852-222000-200")</f>
        <v>0</v>
      </c>
      <c r="AH1102">
        <f>sumifs(BOM!ah:ah,BOM!A:A,".1",BOM!B:B,"852-222000-200")</f>
        <v>0</v>
      </c>
      <c r="AI1102">
        <f>sumifs(BOM!ai:ai,BOM!A:A,".1",BOM!B:B,"852-222000-200")</f>
        <v>0</v>
      </c>
      <c r="AJ1102">
        <f>sumifs(BOM!aj:aj,BOM!A:A,".1",BOM!B:B,"852-222000-200")</f>
        <v>0</v>
      </c>
      <c r="AK1102">
        <f>sumifs(BOM!ak:ak,BOM!A:A,".1",BOM!B:B,"852-222000-200")</f>
        <v>0</v>
      </c>
      <c r="AL1102">
        <f>sumifs(BOM!al:al,BOM!A:A,".1",BOM!B:B,"852-222000-200")</f>
        <v>0</v>
      </c>
      <c r="AM1102">
        <f>sumifs(BOM!am:am,BOM!A:A,".1",BOM!B:B,"852-222000-200")</f>
        <v>0</v>
      </c>
      <c r="AN1102">
        <f>sumifs(BOM!an:an,BOM!A:A,".1",BOM!B:B,"852-222000-200")</f>
        <v>0</v>
      </c>
      <c r="AO1102">
        <f>sumifs(BOM!ao:ao,BOM!A:A,".1",BOM!B:B,"852-222000-200")</f>
        <v>0</v>
      </c>
      <c r="AP1102">
        <f>sumifs(BOM!ap:ap,BOM!A:A,".1",BOM!B:B,"852-222000-200")</f>
        <v>0</v>
      </c>
      <c r="AQ1102">
        <f>sumifs(BOM!aq:aq,BOM!A:A,".1",BOM!B:B,"852-222000-200")</f>
        <v>0</v>
      </c>
      <c r="AR1102">
        <f>sumifs(BOM!ar:ar,BOM!A:A,".1",BOM!B:B,"852-222000-200")</f>
        <v>0</v>
      </c>
      <c r="BX1102">
        <f>sum(j1102:an1102)</f>
        <v>0</v>
      </c>
    </row>
    <row r="1103" spans="1:76">
      <c r="A1103" t="s">
        <v>31</v>
      </c>
      <c r="B1103" t="s">
        <v>458</v>
      </c>
      <c r="C1103" t="s">
        <v>459</v>
      </c>
      <c r="D1103" t="s">
        <v>448</v>
      </c>
      <c r="E1103">
        <v>1</v>
      </c>
      <c r="F1103" t="s">
        <v>460</v>
      </c>
      <c r="K1103" t="s">
        <v>437</v>
      </c>
      <c r="L1103" t="s">
        <v>37</v>
      </c>
    </row>
    <row r="1104" spans="1:76">
      <c r="L1104" t="s">
        <v>662</v>
      </c>
    </row>
    <row r="1105" spans="1:76">
      <c r="L1105" t="s">
        <v>663</v>
      </c>
    </row>
    <row r="1106" spans="1:76">
      <c r="L1106" t="s">
        <v>664</v>
      </c>
    </row>
    <row r="1107" spans="1:76">
      <c r="L1107" t="s">
        <v>665</v>
      </c>
      <c r="M1107">
        <f>IF(DAY(NOW())&lt;M3,INDIRECT(ADDRESS(1107,7))-INDIRECT(ADDRESS(1102,13))+INDIRECT(ADDRESS(1103,13))-INDIRECT(ADDRESS(1106,13)),INDIRECT(ADDRESS(1107,7))-INDIRECT(ADDRESS(1102,13))+INDIRECT(ADDRESS(1105,13))-INDIRECT(ADDRESS(1106,13)))</f>
        <v>0</v>
      </c>
      <c r="N1107">
        <f>IF(DAY(NOW())&lt;M3,INDIRECT(ADDRESS(1107,13))-INDIRECT(ADDRESS(1102,14))+INDIRECT(ADDRESS(1103,14))-INDIRECT(ADDRESS(1106,14)),INDIRECT(ADDRESS(1107,13))-INDIRECT(ADDRESS(1102,14))+INDIRECT(ADDRESS(1105,14))-INDIRECT(ADDRESS(1106,14)))</f>
        <v>0</v>
      </c>
      <c r="O1107">
        <f>IF(DAY(NOW())&lt;M3,INDIRECT(ADDRESS(1107,14))-INDIRECT(ADDRESS(1102,15))+INDIRECT(ADDRESS(1103,15))-INDIRECT(ADDRESS(1106,15)),INDIRECT(ADDRESS(1107,14))-INDIRECT(ADDRESS(1102,15))+INDIRECT(ADDRESS(1105,15))-INDIRECT(ADDRESS(1106,15)))</f>
        <v>0</v>
      </c>
      <c r="P1107">
        <f>IF(DAY(NOW())&lt;M3,INDIRECT(ADDRESS(1107,15))-INDIRECT(ADDRESS(1102,16))+INDIRECT(ADDRESS(1103,16))-INDIRECT(ADDRESS(1106,16)),INDIRECT(ADDRESS(1107,15))-INDIRECT(ADDRESS(1102,16))+INDIRECT(ADDRESS(1105,16))-INDIRECT(ADDRESS(1106,16)))</f>
        <v>0</v>
      </c>
      <c r="Q1107">
        <f>IF(DAY(NOW())&lt;M3,INDIRECT(ADDRESS(1107,16))-INDIRECT(ADDRESS(1102,17))+INDIRECT(ADDRESS(1103,17))-INDIRECT(ADDRESS(1106,17)),INDIRECT(ADDRESS(1107,16))-INDIRECT(ADDRESS(1102,17))+INDIRECT(ADDRESS(1105,17))-INDIRECT(ADDRESS(1106,17)))</f>
        <v>0</v>
      </c>
      <c r="R1107">
        <f>IF(DAY(NOW())&lt;M3,INDIRECT(ADDRESS(1107,17))-INDIRECT(ADDRESS(1102,18))+INDIRECT(ADDRESS(1103,18))-INDIRECT(ADDRESS(1106,18)),INDIRECT(ADDRESS(1107,17))-INDIRECT(ADDRESS(1102,18))+INDIRECT(ADDRESS(1105,18))-INDIRECT(ADDRESS(1106,18)))</f>
        <v>0</v>
      </c>
      <c r="S1107">
        <f>IF(DAY(NOW())&lt;M3,INDIRECT(ADDRESS(1107,18))-INDIRECT(ADDRESS(1102,19))+INDIRECT(ADDRESS(1103,19))-INDIRECT(ADDRESS(1106,19)),INDIRECT(ADDRESS(1107,18))-INDIRECT(ADDRESS(1102,19))+INDIRECT(ADDRESS(1105,19))-INDIRECT(ADDRESS(1106,19)))</f>
        <v>0</v>
      </c>
      <c r="T1107">
        <f>IF(DAY(NOW())&lt;M3,INDIRECT(ADDRESS(1107,19))-INDIRECT(ADDRESS(1102,20))+INDIRECT(ADDRESS(1103,20))-INDIRECT(ADDRESS(1106,20)),INDIRECT(ADDRESS(1107,19))-INDIRECT(ADDRESS(1102,20))+INDIRECT(ADDRESS(1105,20))-INDIRECT(ADDRESS(1106,20)))</f>
        <v>0</v>
      </c>
      <c r="U1107">
        <f>IF(DAY(NOW())&lt;M3,INDIRECT(ADDRESS(1107,20))-INDIRECT(ADDRESS(1102,21))+INDIRECT(ADDRESS(1103,21))-INDIRECT(ADDRESS(1106,21)),INDIRECT(ADDRESS(1107,20))-INDIRECT(ADDRESS(1102,21))+INDIRECT(ADDRESS(1105,21))-INDIRECT(ADDRESS(1106,21)))</f>
        <v>0</v>
      </c>
      <c r="V1107">
        <f>IF(DAY(NOW())&lt;M3,INDIRECT(ADDRESS(1107,21))-INDIRECT(ADDRESS(1102,22))+INDIRECT(ADDRESS(1103,22))-INDIRECT(ADDRESS(1106,22)),INDIRECT(ADDRESS(1107,21))-INDIRECT(ADDRESS(1102,22))+INDIRECT(ADDRESS(1105,22))-INDIRECT(ADDRESS(1106,22)))</f>
        <v>0</v>
      </c>
      <c r="W1107">
        <f>IF(DAY(NOW())&lt;M3,INDIRECT(ADDRESS(1107,22))-INDIRECT(ADDRESS(1102,23))+INDIRECT(ADDRESS(1103,23))-INDIRECT(ADDRESS(1106,23)),INDIRECT(ADDRESS(1107,22))-INDIRECT(ADDRESS(1102,23))+INDIRECT(ADDRESS(1105,23))-INDIRECT(ADDRESS(1106,23)))</f>
        <v>0</v>
      </c>
      <c r="X1107">
        <f>IF(DAY(NOW())&lt;M3,INDIRECT(ADDRESS(1107,23))-INDIRECT(ADDRESS(1102,24))+INDIRECT(ADDRESS(1103,24))-INDIRECT(ADDRESS(1106,24)),INDIRECT(ADDRESS(1107,23))-INDIRECT(ADDRESS(1102,24))+INDIRECT(ADDRESS(1105,24))-INDIRECT(ADDRESS(1106,24)))</f>
        <v>0</v>
      </c>
      <c r="Y1107">
        <f>IF(DAY(NOW())&lt;M3,INDIRECT(ADDRESS(1107,24))-INDIRECT(ADDRESS(1102,25))+INDIRECT(ADDRESS(1103,25))-INDIRECT(ADDRESS(1106,25)),INDIRECT(ADDRESS(1107,24))-INDIRECT(ADDRESS(1102,25))+INDIRECT(ADDRESS(1105,25))-INDIRECT(ADDRESS(1106,25)))</f>
        <v>0</v>
      </c>
      <c r="Z1107">
        <f>IF(DAY(NOW())&lt;M3,INDIRECT(ADDRESS(1107,25))-INDIRECT(ADDRESS(1102,26))+INDIRECT(ADDRESS(1103,26))-INDIRECT(ADDRESS(1106,26)),INDIRECT(ADDRESS(1107,25))-INDIRECT(ADDRESS(1102,26))+INDIRECT(ADDRESS(1105,26))-INDIRECT(ADDRESS(1106,26)))</f>
        <v>0</v>
      </c>
      <c r="AA1107">
        <f>IF(DAY(NOW())&lt;M3,INDIRECT(ADDRESS(1107,26))-INDIRECT(ADDRESS(1102,27))+INDIRECT(ADDRESS(1103,27))-INDIRECT(ADDRESS(1106,27)),INDIRECT(ADDRESS(1107,26))-INDIRECT(ADDRESS(1102,27))+INDIRECT(ADDRESS(1105,27))-INDIRECT(ADDRESS(1106,27)))</f>
        <v>0</v>
      </c>
      <c r="AB1107">
        <f>IF(DAY(NOW())&lt;M3,INDIRECT(ADDRESS(1107,27))-INDIRECT(ADDRESS(1102,28))+INDIRECT(ADDRESS(1103,28))-INDIRECT(ADDRESS(1106,28)),INDIRECT(ADDRESS(1107,27))-INDIRECT(ADDRESS(1102,28))+INDIRECT(ADDRESS(1105,28))-INDIRECT(ADDRESS(1106,28)))</f>
        <v>0</v>
      </c>
      <c r="AC1107">
        <f>IF(DAY(NOW())&lt;M3,INDIRECT(ADDRESS(1107,28))-INDIRECT(ADDRESS(1102,29))+INDIRECT(ADDRESS(1103,29))-INDIRECT(ADDRESS(1106,29)),INDIRECT(ADDRESS(1107,28))-INDIRECT(ADDRESS(1102,29))+INDIRECT(ADDRESS(1105,29))-INDIRECT(ADDRESS(1106,29)))</f>
        <v>0</v>
      </c>
      <c r="AD1107">
        <f>IF(DAY(NOW())&lt;M3,INDIRECT(ADDRESS(1107,29))-INDIRECT(ADDRESS(1102,30))+INDIRECT(ADDRESS(1103,30))-INDIRECT(ADDRESS(1106,30)),INDIRECT(ADDRESS(1107,29))-INDIRECT(ADDRESS(1102,30))+INDIRECT(ADDRESS(1105,30))-INDIRECT(ADDRESS(1106,30)))</f>
        <v>0</v>
      </c>
      <c r="AE1107">
        <f>IF(DAY(NOW())&lt;M3,INDIRECT(ADDRESS(1107,30))-INDIRECT(ADDRESS(1102,31))+INDIRECT(ADDRESS(1103,31))-INDIRECT(ADDRESS(1106,31)),INDIRECT(ADDRESS(1107,30))-INDIRECT(ADDRESS(1102,31))+INDIRECT(ADDRESS(1105,31))-INDIRECT(ADDRESS(1106,31)))</f>
        <v>0</v>
      </c>
      <c r="AF1107">
        <f>IF(DAY(NOW())&lt;M3,INDIRECT(ADDRESS(1107,31))-INDIRECT(ADDRESS(1102,32))+INDIRECT(ADDRESS(1103,32))-INDIRECT(ADDRESS(1106,32)),INDIRECT(ADDRESS(1107,31))-INDIRECT(ADDRESS(1102,32))+INDIRECT(ADDRESS(1105,32))-INDIRECT(ADDRESS(1106,32)))</f>
        <v>0</v>
      </c>
      <c r="AG1107">
        <f>IF(DAY(NOW())&lt;M3,INDIRECT(ADDRESS(1107,32))-INDIRECT(ADDRESS(1102,33))+INDIRECT(ADDRESS(1103,33))-INDIRECT(ADDRESS(1106,33)),INDIRECT(ADDRESS(1107,32))-INDIRECT(ADDRESS(1102,33))+INDIRECT(ADDRESS(1105,33))-INDIRECT(ADDRESS(1106,33)))</f>
        <v>0</v>
      </c>
      <c r="AH1107">
        <f>IF(DAY(NOW())&lt;M3,INDIRECT(ADDRESS(1107,33))-INDIRECT(ADDRESS(1102,34))+INDIRECT(ADDRESS(1103,34))-INDIRECT(ADDRESS(1106,34)),INDIRECT(ADDRESS(1107,33))-INDIRECT(ADDRESS(1102,34))+INDIRECT(ADDRESS(1105,34))-INDIRECT(ADDRESS(1106,34)))</f>
        <v>0</v>
      </c>
      <c r="AI1107">
        <f>IF(DAY(NOW())&lt;M3,INDIRECT(ADDRESS(1107,34))-INDIRECT(ADDRESS(1102,35))+INDIRECT(ADDRESS(1103,35))-INDIRECT(ADDRESS(1106,35)),INDIRECT(ADDRESS(1107,34))-INDIRECT(ADDRESS(1102,35))+INDIRECT(ADDRESS(1105,35))-INDIRECT(ADDRESS(1106,35)))</f>
        <v>0</v>
      </c>
      <c r="AJ1107">
        <f>IF(DAY(NOW())&lt;M3,INDIRECT(ADDRESS(1107,35))-INDIRECT(ADDRESS(1102,36))+INDIRECT(ADDRESS(1103,36))-INDIRECT(ADDRESS(1106,36)),INDIRECT(ADDRESS(1107,35))-INDIRECT(ADDRESS(1102,36))+INDIRECT(ADDRESS(1105,36))-INDIRECT(ADDRESS(1106,36)))</f>
        <v>0</v>
      </c>
      <c r="AK1107">
        <f>IF(DAY(NOW())&lt;M3,INDIRECT(ADDRESS(1107,36))-INDIRECT(ADDRESS(1102,37))+INDIRECT(ADDRESS(1103,37))-INDIRECT(ADDRESS(1106,37)),INDIRECT(ADDRESS(1107,36))-INDIRECT(ADDRESS(1102,37))+INDIRECT(ADDRESS(1105,37))-INDIRECT(ADDRESS(1106,37)))</f>
        <v>0</v>
      </c>
      <c r="AL1107">
        <f>IF(DAY(NOW())&lt;M3,INDIRECT(ADDRESS(1107,37))-INDIRECT(ADDRESS(1102,38))+INDIRECT(ADDRESS(1103,38))-INDIRECT(ADDRESS(1106,38)),INDIRECT(ADDRESS(1107,37))-INDIRECT(ADDRESS(1102,38))+INDIRECT(ADDRESS(1105,38))-INDIRECT(ADDRESS(1106,38)))</f>
        <v>0</v>
      </c>
      <c r="AM1107">
        <f>IF(DAY(NOW())&lt;M3,INDIRECT(ADDRESS(1107,38))-INDIRECT(ADDRESS(1102,39))+INDIRECT(ADDRESS(1103,39))-INDIRECT(ADDRESS(1106,39)),INDIRECT(ADDRESS(1107,38))-INDIRECT(ADDRESS(1102,39))+INDIRECT(ADDRESS(1105,39))-INDIRECT(ADDRESS(1106,39)))</f>
        <v>0</v>
      </c>
      <c r="AN1107">
        <f>IF(DAY(NOW())&lt;M3,INDIRECT(ADDRESS(1107,39))-INDIRECT(ADDRESS(1102,40))+INDIRECT(ADDRESS(1103,40))-INDIRECT(ADDRESS(1106,40)),INDIRECT(ADDRESS(1107,39))-INDIRECT(ADDRESS(1102,40))+INDIRECT(ADDRESS(1105,40))-INDIRECT(ADDRESS(1106,40)))</f>
        <v>0</v>
      </c>
      <c r="AO1107">
        <f>IF(DAY(NOW())&lt;M3,INDIRECT(ADDRESS(1107,40))-INDIRECT(ADDRESS(1102,41))+INDIRECT(ADDRESS(1103,41))-INDIRECT(ADDRESS(1106,41)),INDIRECT(ADDRESS(1107,40))-INDIRECT(ADDRESS(1102,41))+INDIRECT(ADDRESS(1105,41))-INDIRECT(ADDRESS(1106,41)))</f>
        <v>0</v>
      </c>
      <c r="AP1107">
        <f>IF(DAY(NOW())&lt;M3,INDIRECT(ADDRESS(1107,41))-INDIRECT(ADDRESS(1102,42))+INDIRECT(ADDRESS(1103,42))-INDIRECT(ADDRESS(1106,42)),INDIRECT(ADDRESS(1107,41))-INDIRECT(ADDRESS(1102,42))+INDIRECT(ADDRESS(1105,42))-INDIRECT(ADDRESS(1106,42)))</f>
        <v>0</v>
      </c>
      <c r="AQ1107">
        <f>IF(DAY(NOW())&lt;M3,INDIRECT(ADDRESS(1107,42))-INDIRECT(ADDRESS(1102,43))+INDIRECT(ADDRESS(1103,43))-INDIRECT(ADDRESS(1106,43)),INDIRECT(ADDRESS(1107,42))-INDIRECT(ADDRESS(1102,43))+INDIRECT(ADDRESS(1105,43))-INDIRECT(ADDRESS(1106,43)))</f>
        <v>0</v>
      </c>
      <c r="AR1107">
        <f>IF(DAY(NOW())&lt;M3,INDIRECT(ADDRESS(1107,43))-INDIRECT(ADDRESS(1102,44))+INDIRECT(ADDRESS(1103,44))-INDIRECT(ADDRESS(1106,44)),INDIRECT(ADDRESS(1107,43))-INDIRECT(ADDRESS(1102,44))+INDIRECT(ADDRESS(1105,44))-INDIRECT(ADDRESS(1106,44)))</f>
        <v>0</v>
      </c>
    </row>
    <row r="1108" spans="1:76">
      <c r="A1108" t="s">
        <v>31</v>
      </c>
      <c r="B1108" t="s">
        <v>461</v>
      </c>
      <c r="C1108" t="s">
        <v>462</v>
      </c>
      <c r="D1108" t="s">
        <v>452</v>
      </c>
      <c r="E1108" t="s">
        <v>453</v>
      </c>
      <c r="F1108" t="s">
        <v>463</v>
      </c>
      <c r="K1108" t="s">
        <v>437</v>
      </c>
      <c r="L1108" t="s">
        <v>21</v>
      </c>
      <c r="M1108">
        <f>sumifs(BOM!m:m,BOM!A:A,".1",BOM!B:B,"852-223000-200")</f>
        <v>0</v>
      </c>
      <c r="N1108">
        <f>sumifs(BOM!n:n,BOM!A:A,".1",BOM!B:B,"852-223000-200")</f>
        <v>0</v>
      </c>
      <c r="O1108">
        <f>sumifs(BOM!o:o,BOM!A:A,".1",BOM!B:B,"852-223000-200")</f>
        <v>0</v>
      </c>
      <c r="P1108">
        <f>sumifs(BOM!p:p,BOM!A:A,".1",BOM!B:B,"852-223000-200")</f>
        <v>0</v>
      </c>
      <c r="Q1108">
        <f>sumifs(BOM!q:q,BOM!A:A,".1",BOM!B:B,"852-223000-200")</f>
        <v>0</v>
      </c>
      <c r="R1108">
        <f>sumifs(BOM!r:r,BOM!A:A,".1",BOM!B:B,"852-223000-200")</f>
        <v>0</v>
      </c>
      <c r="S1108">
        <f>sumifs(BOM!s:s,BOM!A:A,".1",BOM!B:B,"852-223000-200")</f>
        <v>0</v>
      </c>
      <c r="T1108">
        <f>sumifs(BOM!t:t,BOM!A:A,".1",BOM!B:B,"852-223000-200")</f>
        <v>0</v>
      </c>
      <c r="U1108">
        <f>sumifs(BOM!u:u,BOM!A:A,".1",BOM!B:B,"852-223000-200")</f>
        <v>0</v>
      </c>
      <c r="V1108">
        <f>sumifs(BOM!v:v,BOM!A:A,".1",BOM!B:B,"852-223000-200")</f>
        <v>0</v>
      </c>
      <c r="W1108">
        <f>sumifs(BOM!w:w,BOM!A:A,".1",BOM!B:B,"852-223000-200")</f>
        <v>0</v>
      </c>
      <c r="X1108">
        <f>sumifs(BOM!x:x,BOM!A:A,".1",BOM!B:B,"852-223000-200")</f>
        <v>0</v>
      </c>
      <c r="Y1108">
        <f>sumifs(BOM!y:y,BOM!A:A,".1",BOM!B:B,"852-223000-200")</f>
        <v>0</v>
      </c>
      <c r="Z1108">
        <f>sumifs(BOM!z:z,BOM!A:A,".1",BOM!B:B,"852-223000-200")</f>
        <v>0</v>
      </c>
      <c r="AA1108">
        <f>sumifs(BOM!aa:aa,BOM!A:A,".1",BOM!B:B,"852-223000-200")</f>
        <v>0</v>
      </c>
      <c r="AB1108">
        <f>sumifs(BOM!ab:ab,BOM!A:A,".1",BOM!B:B,"852-223000-200")</f>
        <v>0</v>
      </c>
      <c r="AC1108">
        <f>sumifs(BOM!ac:ac,BOM!A:A,".1",BOM!B:B,"852-223000-200")</f>
        <v>0</v>
      </c>
      <c r="AD1108">
        <f>sumifs(BOM!ad:ad,BOM!A:A,".1",BOM!B:B,"852-223000-200")</f>
        <v>0</v>
      </c>
      <c r="AE1108">
        <f>sumifs(BOM!ae:ae,BOM!A:A,".1",BOM!B:B,"852-223000-200")</f>
        <v>0</v>
      </c>
      <c r="AF1108">
        <f>sumifs(BOM!af:af,BOM!A:A,".1",BOM!B:B,"852-223000-200")</f>
        <v>0</v>
      </c>
      <c r="AG1108">
        <f>sumifs(BOM!ag:ag,BOM!A:A,".1",BOM!B:B,"852-223000-200")</f>
        <v>0</v>
      </c>
      <c r="AH1108">
        <f>sumifs(BOM!ah:ah,BOM!A:A,".1",BOM!B:B,"852-223000-200")</f>
        <v>0</v>
      </c>
      <c r="AI1108">
        <f>sumifs(BOM!ai:ai,BOM!A:A,".1",BOM!B:B,"852-223000-200")</f>
        <v>0</v>
      </c>
      <c r="AJ1108">
        <f>sumifs(BOM!aj:aj,BOM!A:A,".1",BOM!B:B,"852-223000-200")</f>
        <v>0</v>
      </c>
      <c r="AK1108">
        <f>sumifs(BOM!ak:ak,BOM!A:A,".1",BOM!B:B,"852-223000-200")</f>
        <v>0</v>
      </c>
      <c r="AL1108">
        <f>sumifs(BOM!al:al,BOM!A:A,".1",BOM!B:B,"852-223000-200")</f>
        <v>0</v>
      </c>
      <c r="AM1108">
        <f>sumifs(BOM!am:am,BOM!A:A,".1",BOM!B:B,"852-223000-200")</f>
        <v>0</v>
      </c>
      <c r="AN1108">
        <f>sumifs(BOM!an:an,BOM!A:A,".1",BOM!B:B,"852-223000-200")</f>
        <v>0</v>
      </c>
      <c r="AO1108">
        <f>sumifs(BOM!ao:ao,BOM!A:A,".1",BOM!B:B,"852-223000-200")</f>
        <v>0</v>
      </c>
      <c r="AP1108">
        <f>sumifs(BOM!ap:ap,BOM!A:A,".1",BOM!B:B,"852-223000-200")</f>
        <v>0</v>
      </c>
      <c r="AQ1108">
        <f>sumifs(BOM!aq:aq,BOM!A:A,".1",BOM!B:B,"852-223000-200")</f>
        <v>0</v>
      </c>
      <c r="AR1108">
        <f>sumifs(BOM!ar:ar,BOM!A:A,".1",BOM!B:B,"852-223000-200")</f>
        <v>0</v>
      </c>
      <c r="BX1108">
        <f>sum(j1108:an1108)</f>
        <v>0</v>
      </c>
    </row>
    <row r="1109" spans="1:76">
      <c r="A1109" t="s">
        <v>31</v>
      </c>
      <c r="B1109" t="s">
        <v>461</v>
      </c>
      <c r="C1109" t="s">
        <v>462</v>
      </c>
      <c r="D1109" t="s">
        <v>452</v>
      </c>
      <c r="E1109" t="s">
        <v>453</v>
      </c>
      <c r="F1109" t="s">
        <v>463</v>
      </c>
      <c r="K1109" t="s">
        <v>437</v>
      </c>
      <c r="L1109" t="s">
        <v>37</v>
      </c>
    </row>
    <row r="1110" spans="1:76">
      <c r="L1110" t="s">
        <v>662</v>
      </c>
    </row>
    <row r="1111" spans="1:76">
      <c r="L1111" t="s">
        <v>663</v>
      </c>
    </row>
    <row r="1112" spans="1:76">
      <c r="L1112" t="s">
        <v>664</v>
      </c>
    </row>
    <row r="1113" spans="1:76">
      <c r="L1113" t="s">
        <v>665</v>
      </c>
      <c r="M1113">
        <f>IF(DAY(NOW())&lt;M3,INDIRECT(ADDRESS(1113,7))-INDIRECT(ADDRESS(1108,13))+INDIRECT(ADDRESS(1109,13))-INDIRECT(ADDRESS(1112,13)),INDIRECT(ADDRESS(1113,7))-INDIRECT(ADDRESS(1108,13))+INDIRECT(ADDRESS(1111,13))-INDIRECT(ADDRESS(1112,13)))</f>
        <v>0</v>
      </c>
      <c r="N1113">
        <f>IF(DAY(NOW())&lt;M3,INDIRECT(ADDRESS(1113,13))-INDIRECT(ADDRESS(1108,14))+INDIRECT(ADDRESS(1109,14))-INDIRECT(ADDRESS(1112,14)),INDIRECT(ADDRESS(1113,13))-INDIRECT(ADDRESS(1108,14))+INDIRECT(ADDRESS(1111,14))-INDIRECT(ADDRESS(1112,14)))</f>
        <v>0</v>
      </c>
      <c r="O1113">
        <f>IF(DAY(NOW())&lt;M3,INDIRECT(ADDRESS(1113,14))-INDIRECT(ADDRESS(1108,15))+INDIRECT(ADDRESS(1109,15))-INDIRECT(ADDRESS(1112,15)),INDIRECT(ADDRESS(1113,14))-INDIRECT(ADDRESS(1108,15))+INDIRECT(ADDRESS(1111,15))-INDIRECT(ADDRESS(1112,15)))</f>
        <v>0</v>
      </c>
      <c r="P1113">
        <f>IF(DAY(NOW())&lt;M3,INDIRECT(ADDRESS(1113,15))-INDIRECT(ADDRESS(1108,16))+INDIRECT(ADDRESS(1109,16))-INDIRECT(ADDRESS(1112,16)),INDIRECT(ADDRESS(1113,15))-INDIRECT(ADDRESS(1108,16))+INDIRECT(ADDRESS(1111,16))-INDIRECT(ADDRESS(1112,16)))</f>
        <v>0</v>
      </c>
      <c r="Q1113">
        <f>IF(DAY(NOW())&lt;M3,INDIRECT(ADDRESS(1113,16))-INDIRECT(ADDRESS(1108,17))+INDIRECT(ADDRESS(1109,17))-INDIRECT(ADDRESS(1112,17)),INDIRECT(ADDRESS(1113,16))-INDIRECT(ADDRESS(1108,17))+INDIRECT(ADDRESS(1111,17))-INDIRECT(ADDRESS(1112,17)))</f>
        <v>0</v>
      </c>
      <c r="R1113">
        <f>IF(DAY(NOW())&lt;M3,INDIRECT(ADDRESS(1113,17))-INDIRECT(ADDRESS(1108,18))+INDIRECT(ADDRESS(1109,18))-INDIRECT(ADDRESS(1112,18)),INDIRECT(ADDRESS(1113,17))-INDIRECT(ADDRESS(1108,18))+INDIRECT(ADDRESS(1111,18))-INDIRECT(ADDRESS(1112,18)))</f>
        <v>0</v>
      </c>
      <c r="S1113">
        <f>IF(DAY(NOW())&lt;M3,INDIRECT(ADDRESS(1113,18))-INDIRECT(ADDRESS(1108,19))+INDIRECT(ADDRESS(1109,19))-INDIRECT(ADDRESS(1112,19)),INDIRECT(ADDRESS(1113,18))-INDIRECT(ADDRESS(1108,19))+INDIRECT(ADDRESS(1111,19))-INDIRECT(ADDRESS(1112,19)))</f>
        <v>0</v>
      </c>
      <c r="T1113">
        <f>IF(DAY(NOW())&lt;M3,INDIRECT(ADDRESS(1113,19))-INDIRECT(ADDRESS(1108,20))+INDIRECT(ADDRESS(1109,20))-INDIRECT(ADDRESS(1112,20)),INDIRECT(ADDRESS(1113,19))-INDIRECT(ADDRESS(1108,20))+INDIRECT(ADDRESS(1111,20))-INDIRECT(ADDRESS(1112,20)))</f>
        <v>0</v>
      </c>
      <c r="U1113">
        <f>IF(DAY(NOW())&lt;M3,INDIRECT(ADDRESS(1113,20))-INDIRECT(ADDRESS(1108,21))+INDIRECT(ADDRESS(1109,21))-INDIRECT(ADDRESS(1112,21)),INDIRECT(ADDRESS(1113,20))-INDIRECT(ADDRESS(1108,21))+INDIRECT(ADDRESS(1111,21))-INDIRECT(ADDRESS(1112,21)))</f>
        <v>0</v>
      </c>
      <c r="V1113">
        <f>IF(DAY(NOW())&lt;M3,INDIRECT(ADDRESS(1113,21))-INDIRECT(ADDRESS(1108,22))+INDIRECT(ADDRESS(1109,22))-INDIRECT(ADDRESS(1112,22)),INDIRECT(ADDRESS(1113,21))-INDIRECT(ADDRESS(1108,22))+INDIRECT(ADDRESS(1111,22))-INDIRECT(ADDRESS(1112,22)))</f>
        <v>0</v>
      </c>
      <c r="W1113">
        <f>IF(DAY(NOW())&lt;M3,INDIRECT(ADDRESS(1113,22))-INDIRECT(ADDRESS(1108,23))+INDIRECT(ADDRESS(1109,23))-INDIRECT(ADDRESS(1112,23)),INDIRECT(ADDRESS(1113,22))-INDIRECT(ADDRESS(1108,23))+INDIRECT(ADDRESS(1111,23))-INDIRECT(ADDRESS(1112,23)))</f>
        <v>0</v>
      </c>
      <c r="X1113">
        <f>IF(DAY(NOW())&lt;M3,INDIRECT(ADDRESS(1113,23))-INDIRECT(ADDRESS(1108,24))+INDIRECT(ADDRESS(1109,24))-INDIRECT(ADDRESS(1112,24)),INDIRECT(ADDRESS(1113,23))-INDIRECT(ADDRESS(1108,24))+INDIRECT(ADDRESS(1111,24))-INDIRECT(ADDRESS(1112,24)))</f>
        <v>0</v>
      </c>
      <c r="Y1113">
        <f>IF(DAY(NOW())&lt;M3,INDIRECT(ADDRESS(1113,24))-INDIRECT(ADDRESS(1108,25))+INDIRECT(ADDRESS(1109,25))-INDIRECT(ADDRESS(1112,25)),INDIRECT(ADDRESS(1113,24))-INDIRECT(ADDRESS(1108,25))+INDIRECT(ADDRESS(1111,25))-INDIRECT(ADDRESS(1112,25)))</f>
        <v>0</v>
      </c>
      <c r="Z1113">
        <f>IF(DAY(NOW())&lt;M3,INDIRECT(ADDRESS(1113,25))-INDIRECT(ADDRESS(1108,26))+INDIRECT(ADDRESS(1109,26))-INDIRECT(ADDRESS(1112,26)),INDIRECT(ADDRESS(1113,25))-INDIRECT(ADDRESS(1108,26))+INDIRECT(ADDRESS(1111,26))-INDIRECT(ADDRESS(1112,26)))</f>
        <v>0</v>
      </c>
      <c r="AA1113">
        <f>IF(DAY(NOW())&lt;M3,INDIRECT(ADDRESS(1113,26))-INDIRECT(ADDRESS(1108,27))+INDIRECT(ADDRESS(1109,27))-INDIRECT(ADDRESS(1112,27)),INDIRECT(ADDRESS(1113,26))-INDIRECT(ADDRESS(1108,27))+INDIRECT(ADDRESS(1111,27))-INDIRECT(ADDRESS(1112,27)))</f>
        <v>0</v>
      </c>
      <c r="AB1113">
        <f>IF(DAY(NOW())&lt;M3,INDIRECT(ADDRESS(1113,27))-INDIRECT(ADDRESS(1108,28))+INDIRECT(ADDRESS(1109,28))-INDIRECT(ADDRESS(1112,28)),INDIRECT(ADDRESS(1113,27))-INDIRECT(ADDRESS(1108,28))+INDIRECT(ADDRESS(1111,28))-INDIRECT(ADDRESS(1112,28)))</f>
        <v>0</v>
      </c>
      <c r="AC1113">
        <f>IF(DAY(NOW())&lt;M3,INDIRECT(ADDRESS(1113,28))-INDIRECT(ADDRESS(1108,29))+INDIRECT(ADDRESS(1109,29))-INDIRECT(ADDRESS(1112,29)),INDIRECT(ADDRESS(1113,28))-INDIRECT(ADDRESS(1108,29))+INDIRECT(ADDRESS(1111,29))-INDIRECT(ADDRESS(1112,29)))</f>
        <v>0</v>
      </c>
      <c r="AD1113">
        <f>IF(DAY(NOW())&lt;M3,INDIRECT(ADDRESS(1113,29))-INDIRECT(ADDRESS(1108,30))+INDIRECT(ADDRESS(1109,30))-INDIRECT(ADDRESS(1112,30)),INDIRECT(ADDRESS(1113,29))-INDIRECT(ADDRESS(1108,30))+INDIRECT(ADDRESS(1111,30))-INDIRECT(ADDRESS(1112,30)))</f>
        <v>0</v>
      </c>
      <c r="AE1113">
        <f>IF(DAY(NOW())&lt;M3,INDIRECT(ADDRESS(1113,30))-INDIRECT(ADDRESS(1108,31))+INDIRECT(ADDRESS(1109,31))-INDIRECT(ADDRESS(1112,31)),INDIRECT(ADDRESS(1113,30))-INDIRECT(ADDRESS(1108,31))+INDIRECT(ADDRESS(1111,31))-INDIRECT(ADDRESS(1112,31)))</f>
        <v>0</v>
      </c>
      <c r="AF1113">
        <f>IF(DAY(NOW())&lt;M3,INDIRECT(ADDRESS(1113,31))-INDIRECT(ADDRESS(1108,32))+INDIRECT(ADDRESS(1109,32))-INDIRECT(ADDRESS(1112,32)),INDIRECT(ADDRESS(1113,31))-INDIRECT(ADDRESS(1108,32))+INDIRECT(ADDRESS(1111,32))-INDIRECT(ADDRESS(1112,32)))</f>
        <v>0</v>
      </c>
      <c r="AG1113">
        <f>IF(DAY(NOW())&lt;M3,INDIRECT(ADDRESS(1113,32))-INDIRECT(ADDRESS(1108,33))+INDIRECT(ADDRESS(1109,33))-INDIRECT(ADDRESS(1112,33)),INDIRECT(ADDRESS(1113,32))-INDIRECT(ADDRESS(1108,33))+INDIRECT(ADDRESS(1111,33))-INDIRECT(ADDRESS(1112,33)))</f>
        <v>0</v>
      </c>
      <c r="AH1113">
        <f>IF(DAY(NOW())&lt;M3,INDIRECT(ADDRESS(1113,33))-INDIRECT(ADDRESS(1108,34))+INDIRECT(ADDRESS(1109,34))-INDIRECT(ADDRESS(1112,34)),INDIRECT(ADDRESS(1113,33))-INDIRECT(ADDRESS(1108,34))+INDIRECT(ADDRESS(1111,34))-INDIRECT(ADDRESS(1112,34)))</f>
        <v>0</v>
      </c>
      <c r="AI1113">
        <f>IF(DAY(NOW())&lt;M3,INDIRECT(ADDRESS(1113,34))-INDIRECT(ADDRESS(1108,35))+INDIRECT(ADDRESS(1109,35))-INDIRECT(ADDRESS(1112,35)),INDIRECT(ADDRESS(1113,34))-INDIRECT(ADDRESS(1108,35))+INDIRECT(ADDRESS(1111,35))-INDIRECT(ADDRESS(1112,35)))</f>
        <v>0</v>
      </c>
      <c r="AJ1113">
        <f>IF(DAY(NOW())&lt;M3,INDIRECT(ADDRESS(1113,35))-INDIRECT(ADDRESS(1108,36))+INDIRECT(ADDRESS(1109,36))-INDIRECT(ADDRESS(1112,36)),INDIRECT(ADDRESS(1113,35))-INDIRECT(ADDRESS(1108,36))+INDIRECT(ADDRESS(1111,36))-INDIRECT(ADDRESS(1112,36)))</f>
        <v>0</v>
      </c>
      <c r="AK1113">
        <f>IF(DAY(NOW())&lt;M3,INDIRECT(ADDRESS(1113,36))-INDIRECT(ADDRESS(1108,37))+INDIRECT(ADDRESS(1109,37))-INDIRECT(ADDRESS(1112,37)),INDIRECT(ADDRESS(1113,36))-INDIRECT(ADDRESS(1108,37))+INDIRECT(ADDRESS(1111,37))-INDIRECT(ADDRESS(1112,37)))</f>
        <v>0</v>
      </c>
      <c r="AL1113">
        <f>IF(DAY(NOW())&lt;M3,INDIRECT(ADDRESS(1113,37))-INDIRECT(ADDRESS(1108,38))+INDIRECT(ADDRESS(1109,38))-INDIRECT(ADDRESS(1112,38)),INDIRECT(ADDRESS(1113,37))-INDIRECT(ADDRESS(1108,38))+INDIRECT(ADDRESS(1111,38))-INDIRECT(ADDRESS(1112,38)))</f>
        <v>0</v>
      </c>
      <c r="AM1113">
        <f>IF(DAY(NOW())&lt;M3,INDIRECT(ADDRESS(1113,38))-INDIRECT(ADDRESS(1108,39))+INDIRECT(ADDRESS(1109,39))-INDIRECT(ADDRESS(1112,39)),INDIRECT(ADDRESS(1113,38))-INDIRECT(ADDRESS(1108,39))+INDIRECT(ADDRESS(1111,39))-INDIRECT(ADDRESS(1112,39)))</f>
        <v>0</v>
      </c>
      <c r="AN1113">
        <f>IF(DAY(NOW())&lt;M3,INDIRECT(ADDRESS(1113,39))-INDIRECT(ADDRESS(1108,40))+INDIRECT(ADDRESS(1109,40))-INDIRECT(ADDRESS(1112,40)),INDIRECT(ADDRESS(1113,39))-INDIRECT(ADDRESS(1108,40))+INDIRECT(ADDRESS(1111,40))-INDIRECT(ADDRESS(1112,40)))</f>
        <v>0</v>
      </c>
      <c r="AO1113">
        <f>IF(DAY(NOW())&lt;M3,INDIRECT(ADDRESS(1113,40))-INDIRECT(ADDRESS(1108,41))+INDIRECT(ADDRESS(1109,41))-INDIRECT(ADDRESS(1112,41)),INDIRECT(ADDRESS(1113,40))-INDIRECT(ADDRESS(1108,41))+INDIRECT(ADDRESS(1111,41))-INDIRECT(ADDRESS(1112,41)))</f>
        <v>0</v>
      </c>
      <c r="AP1113">
        <f>IF(DAY(NOW())&lt;M3,INDIRECT(ADDRESS(1113,41))-INDIRECT(ADDRESS(1108,42))+INDIRECT(ADDRESS(1109,42))-INDIRECT(ADDRESS(1112,42)),INDIRECT(ADDRESS(1113,41))-INDIRECT(ADDRESS(1108,42))+INDIRECT(ADDRESS(1111,42))-INDIRECT(ADDRESS(1112,42)))</f>
        <v>0</v>
      </c>
      <c r="AQ1113">
        <f>IF(DAY(NOW())&lt;M3,INDIRECT(ADDRESS(1113,42))-INDIRECT(ADDRESS(1108,43))+INDIRECT(ADDRESS(1109,43))-INDIRECT(ADDRESS(1112,43)),INDIRECT(ADDRESS(1113,42))-INDIRECT(ADDRESS(1108,43))+INDIRECT(ADDRESS(1111,43))-INDIRECT(ADDRESS(1112,43)))</f>
        <v>0</v>
      </c>
      <c r="AR1113">
        <f>IF(DAY(NOW())&lt;M3,INDIRECT(ADDRESS(1113,43))-INDIRECT(ADDRESS(1108,44))+INDIRECT(ADDRESS(1109,44))-INDIRECT(ADDRESS(1112,44)),INDIRECT(ADDRESS(1113,43))-INDIRECT(ADDRESS(1108,44))+INDIRECT(ADDRESS(1111,44))-INDIRECT(ADDRESS(1112,44)))</f>
        <v>0</v>
      </c>
    </row>
    <row r="1114" spans="1:76">
      <c r="A1114" t="s">
        <v>14</v>
      </c>
      <c r="B1114" t="s">
        <v>464</v>
      </c>
      <c r="C1114" t="s">
        <v>465</v>
      </c>
      <c r="E1114" t="s">
        <v>444</v>
      </c>
      <c r="F1114" t="s">
        <v>466</v>
      </c>
      <c r="K1114" t="s">
        <v>437</v>
      </c>
      <c r="L1114" t="s">
        <v>21</v>
      </c>
      <c r="BX1114">
        <f>sum(j1114:an1114)</f>
        <v>0</v>
      </c>
    </row>
    <row r="1115" spans="1:76">
      <c r="A1115" t="s">
        <v>14</v>
      </c>
      <c r="B1115" t="s">
        <v>464</v>
      </c>
      <c r="C1115" t="s">
        <v>465</v>
      </c>
      <c r="E1115" t="s">
        <v>444</v>
      </c>
      <c r="F1115" t="s">
        <v>466</v>
      </c>
      <c r="K1115" t="s">
        <v>437</v>
      </c>
      <c r="L1115" t="s">
        <v>37</v>
      </c>
    </row>
    <row r="1116" spans="1:76">
      <c r="L1116" t="s">
        <v>662</v>
      </c>
    </row>
    <row r="1117" spans="1:76">
      <c r="L1117" t="s">
        <v>663</v>
      </c>
    </row>
    <row r="1118" spans="1:76">
      <c r="L1118" t="s">
        <v>664</v>
      </c>
    </row>
    <row r="1119" spans="1:76">
      <c r="L1119" t="s">
        <v>665</v>
      </c>
      <c r="M1119">
        <f>IF(DAY(NOW())&lt;M3,INDIRECT(ADDRESS(1119,7))-INDIRECT(ADDRESS(1114,13))+INDIRECT(ADDRESS(1115,13))-INDIRECT(ADDRESS(1118,13)),INDIRECT(ADDRESS(1119,7))-INDIRECT(ADDRESS(1114,13))+INDIRECT(ADDRESS(1117,13))-INDIRECT(ADDRESS(1118,13)))</f>
        <v>0</v>
      </c>
      <c r="N1119">
        <f>IF(DAY(NOW())&lt;M3,INDIRECT(ADDRESS(1119,13))-INDIRECT(ADDRESS(1114,14))+INDIRECT(ADDRESS(1115,14))-INDIRECT(ADDRESS(1118,14)),INDIRECT(ADDRESS(1119,13))-INDIRECT(ADDRESS(1114,14))+INDIRECT(ADDRESS(1117,14))-INDIRECT(ADDRESS(1118,14)))</f>
        <v>0</v>
      </c>
      <c r="O1119">
        <f>IF(DAY(NOW())&lt;M3,INDIRECT(ADDRESS(1119,14))-INDIRECT(ADDRESS(1114,15))+INDIRECT(ADDRESS(1115,15))-INDIRECT(ADDRESS(1118,15)),INDIRECT(ADDRESS(1119,14))-INDIRECT(ADDRESS(1114,15))+INDIRECT(ADDRESS(1117,15))-INDIRECT(ADDRESS(1118,15)))</f>
        <v>0</v>
      </c>
      <c r="P1119">
        <f>IF(DAY(NOW())&lt;M3,INDIRECT(ADDRESS(1119,15))-INDIRECT(ADDRESS(1114,16))+INDIRECT(ADDRESS(1115,16))-INDIRECT(ADDRESS(1118,16)),INDIRECT(ADDRESS(1119,15))-INDIRECT(ADDRESS(1114,16))+INDIRECT(ADDRESS(1117,16))-INDIRECT(ADDRESS(1118,16)))</f>
        <v>0</v>
      </c>
      <c r="Q1119">
        <f>IF(DAY(NOW())&lt;M3,INDIRECT(ADDRESS(1119,16))-INDIRECT(ADDRESS(1114,17))+INDIRECT(ADDRESS(1115,17))-INDIRECT(ADDRESS(1118,17)),INDIRECT(ADDRESS(1119,16))-INDIRECT(ADDRESS(1114,17))+INDIRECT(ADDRESS(1117,17))-INDIRECT(ADDRESS(1118,17)))</f>
        <v>0</v>
      </c>
      <c r="R1119">
        <f>IF(DAY(NOW())&lt;M3,INDIRECT(ADDRESS(1119,17))-INDIRECT(ADDRESS(1114,18))+INDIRECT(ADDRESS(1115,18))-INDIRECT(ADDRESS(1118,18)),INDIRECT(ADDRESS(1119,17))-INDIRECT(ADDRESS(1114,18))+INDIRECT(ADDRESS(1117,18))-INDIRECT(ADDRESS(1118,18)))</f>
        <v>0</v>
      </c>
      <c r="S1119">
        <f>IF(DAY(NOW())&lt;M3,INDIRECT(ADDRESS(1119,18))-INDIRECT(ADDRESS(1114,19))+INDIRECT(ADDRESS(1115,19))-INDIRECT(ADDRESS(1118,19)),INDIRECT(ADDRESS(1119,18))-INDIRECT(ADDRESS(1114,19))+INDIRECT(ADDRESS(1117,19))-INDIRECT(ADDRESS(1118,19)))</f>
        <v>0</v>
      </c>
      <c r="T1119">
        <f>IF(DAY(NOW())&lt;M3,INDIRECT(ADDRESS(1119,19))-INDIRECT(ADDRESS(1114,20))+INDIRECT(ADDRESS(1115,20))-INDIRECT(ADDRESS(1118,20)),INDIRECT(ADDRESS(1119,19))-INDIRECT(ADDRESS(1114,20))+INDIRECT(ADDRESS(1117,20))-INDIRECT(ADDRESS(1118,20)))</f>
        <v>0</v>
      </c>
      <c r="U1119">
        <f>IF(DAY(NOW())&lt;M3,INDIRECT(ADDRESS(1119,20))-INDIRECT(ADDRESS(1114,21))+INDIRECT(ADDRESS(1115,21))-INDIRECT(ADDRESS(1118,21)),INDIRECT(ADDRESS(1119,20))-INDIRECT(ADDRESS(1114,21))+INDIRECT(ADDRESS(1117,21))-INDIRECT(ADDRESS(1118,21)))</f>
        <v>0</v>
      </c>
      <c r="V1119">
        <f>IF(DAY(NOW())&lt;M3,INDIRECT(ADDRESS(1119,21))-INDIRECT(ADDRESS(1114,22))+INDIRECT(ADDRESS(1115,22))-INDIRECT(ADDRESS(1118,22)),INDIRECT(ADDRESS(1119,21))-INDIRECT(ADDRESS(1114,22))+INDIRECT(ADDRESS(1117,22))-INDIRECT(ADDRESS(1118,22)))</f>
        <v>0</v>
      </c>
      <c r="W1119">
        <f>IF(DAY(NOW())&lt;M3,INDIRECT(ADDRESS(1119,22))-INDIRECT(ADDRESS(1114,23))+INDIRECT(ADDRESS(1115,23))-INDIRECT(ADDRESS(1118,23)),INDIRECT(ADDRESS(1119,22))-INDIRECT(ADDRESS(1114,23))+INDIRECT(ADDRESS(1117,23))-INDIRECT(ADDRESS(1118,23)))</f>
        <v>0</v>
      </c>
      <c r="X1119">
        <f>IF(DAY(NOW())&lt;M3,INDIRECT(ADDRESS(1119,23))-INDIRECT(ADDRESS(1114,24))+INDIRECT(ADDRESS(1115,24))-INDIRECT(ADDRESS(1118,24)),INDIRECT(ADDRESS(1119,23))-INDIRECT(ADDRESS(1114,24))+INDIRECT(ADDRESS(1117,24))-INDIRECT(ADDRESS(1118,24)))</f>
        <v>0</v>
      </c>
      <c r="Y1119">
        <f>IF(DAY(NOW())&lt;M3,INDIRECT(ADDRESS(1119,24))-INDIRECT(ADDRESS(1114,25))+INDIRECT(ADDRESS(1115,25))-INDIRECT(ADDRESS(1118,25)),INDIRECT(ADDRESS(1119,24))-INDIRECT(ADDRESS(1114,25))+INDIRECT(ADDRESS(1117,25))-INDIRECT(ADDRESS(1118,25)))</f>
        <v>0</v>
      </c>
      <c r="Z1119">
        <f>IF(DAY(NOW())&lt;M3,INDIRECT(ADDRESS(1119,25))-INDIRECT(ADDRESS(1114,26))+INDIRECT(ADDRESS(1115,26))-INDIRECT(ADDRESS(1118,26)),INDIRECT(ADDRESS(1119,25))-INDIRECT(ADDRESS(1114,26))+INDIRECT(ADDRESS(1117,26))-INDIRECT(ADDRESS(1118,26)))</f>
        <v>0</v>
      </c>
      <c r="AA1119">
        <f>IF(DAY(NOW())&lt;M3,INDIRECT(ADDRESS(1119,26))-INDIRECT(ADDRESS(1114,27))+INDIRECT(ADDRESS(1115,27))-INDIRECT(ADDRESS(1118,27)),INDIRECT(ADDRESS(1119,26))-INDIRECT(ADDRESS(1114,27))+INDIRECT(ADDRESS(1117,27))-INDIRECT(ADDRESS(1118,27)))</f>
        <v>0</v>
      </c>
      <c r="AB1119">
        <f>IF(DAY(NOW())&lt;M3,INDIRECT(ADDRESS(1119,27))-INDIRECT(ADDRESS(1114,28))+INDIRECT(ADDRESS(1115,28))-INDIRECT(ADDRESS(1118,28)),INDIRECT(ADDRESS(1119,27))-INDIRECT(ADDRESS(1114,28))+INDIRECT(ADDRESS(1117,28))-INDIRECT(ADDRESS(1118,28)))</f>
        <v>0</v>
      </c>
      <c r="AC1119">
        <f>IF(DAY(NOW())&lt;M3,INDIRECT(ADDRESS(1119,28))-INDIRECT(ADDRESS(1114,29))+INDIRECT(ADDRESS(1115,29))-INDIRECT(ADDRESS(1118,29)),INDIRECT(ADDRESS(1119,28))-INDIRECT(ADDRESS(1114,29))+INDIRECT(ADDRESS(1117,29))-INDIRECT(ADDRESS(1118,29)))</f>
        <v>0</v>
      </c>
      <c r="AD1119">
        <f>IF(DAY(NOW())&lt;M3,INDIRECT(ADDRESS(1119,29))-INDIRECT(ADDRESS(1114,30))+INDIRECT(ADDRESS(1115,30))-INDIRECT(ADDRESS(1118,30)),INDIRECT(ADDRESS(1119,29))-INDIRECT(ADDRESS(1114,30))+INDIRECT(ADDRESS(1117,30))-INDIRECT(ADDRESS(1118,30)))</f>
        <v>0</v>
      </c>
      <c r="AE1119">
        <f>IF(DAY(NOW())&lt;M3,INDIRECT(ADDRESS(1119,30))-INDIRECT(ADDRESS(1114,31))+INDIRECT(ADDRESS(1115,31))-INDIRECT(ADDRESS(1118,31)),INDIRECT(ADDRESS(1119,30))-INDIRECT(ADDRESS(1114,31))+INDIRECT(ADDRESS(1117,31))-INDIRECT(ADDRESS(1118,31)))</f>
        <v>0</v>
      </c>
      <c r="AF1119">
        <f>IF(DAY(NOW())&lt;M3,INDIRECT(ADDRESS(1119,31))-INDIRECT(ADDRESS(1114,32))+INDIRECT(ADDRESS(1115,32))-INDIRECT(ADDRESS(1118,32)),INDIRECT(ADDRESS(1119,31))-INDIRECT(ADDRESS(1114,32))+INDIRECT(ADDRESS(1117,32))-INDIRECT(ADDRESS(1118,32)))</f>
        <v>0</v>
      </c>
      <c r="AG1119">
        <f>IF(DAY(NOW())&lt;M3,INDIRECT(ADDRESS(1119,32))-INDIRECT(ADDRESS(1114,33))+INDIRECT(ADDRESS(1115,33))-INDIRECT(ADDRESS(1118,33)),INDIRECT(ADDRESS(1119,32))-INDIRECT(ADDRESS(1114,33))+INDIRECT(ADDRESS(1117,33))-INDIRECT(ADDRESS(1118,33)))</f>
        <v>0</v>
      </c>
      <c r="AH1119">
        <f>IF(DAY(NOW())&lt;M3,INDIRECT(ADDRESS(1119,33))-INDIRECT(ADDRESS(1114,34))+INDIRECT(ADDRESS(1115,34))-INDIRECT(ADDRESS(1118,34)),INDIRECT(ADDRESS(1119,33))-INDIRECT(ADDRESS(1114,34))+INDIRECT(ADDRESS(1117,34))-INDIRECT(ADDRESS(1118,34)))</f>
        <v>0</v>
      </c>
      <c r="AI1119">
        <f>IF(DAY(NOW())&lt;M3,INDIRECT(ADDRESS(1119,34))-INDIRECT(ADDRESS(1114,35))+INDIRECT(ADDRESS(1115,35))-INDIRECT(ADDRESS(1118,35)),INDIRECT(ADDRESS(1119,34))-INDIRECT(ADDRESS(1114,35))+INDIRECT(ADDRESS(1117,35))-INDIRECT(ADDRESS(1118,35)))</f>
        <v>0</v>
      </c>
      <c r="AJ1119">
        <f>IF(DAY(NOW())&lt;M3,INDIRECT(ADDRESS(1119,35))-INDIRECT(ADDRESS(1114,36))+INDIRECT(ADDRESS(1115,36))-INDIRECT(ADDRESS(1118,36)),INDIRECT(ADDRESS(1119,35))-INDIRECT(ADDRESS(1114,36))+INDIRECT(ADDRESS(1117,36))-INDIRECT(ADDRESS(1118,36)))</f>
        <v>0</v>
      </c>
      <c r="AK1119">
        <f>IF(DAY(NOW())&lt;M3,INDIRECT(ADDRESS(1119,36))-INDIRECT(ADDRESS(1114,37))+INDIRECT(ADDRESS(1115,37))-INDIRECT(ADDRESS(1118,37)),INDIRECT(ADDRESS(1119,36))-INDIRECT(ADDRESS(1114,37))+INDIRECT(ADDRESS(1117,37))-INDIRECT(ADDRESS(1118,37)))</f>
        <v>0</v>
      </c>
      <c r="AL1119">
        <f>IF(DAY(NOW())&lt;M3,INDIRECT(ADDRESS(1119,37))-INDIRECT(ADDRESS(1114,38))+INDIRECT(ADDRESS(1115,38))-INDIRECT(ADDRESS(1118,38)),INDIRECT(ADDRESS(1119,37))-INDIRECT(ADDRESS(1114,38))+INDIRECT(ADDRESS(1117,38))-INDIRECT(ADDRESS(1118,38)))</f>
        <v>0</v>
      </c>
      <c r="AM1119">
        <f>IF(DAY(NOW())&lt;M3,INDIRECT(ADDRESS(1119,38))-INDIRECT(ADDRESS(1114,39))+INDIRECT(ADDRESS(1115,39))-INDIRECT(ADDRESS(1118,39)),INDIRECT(ADDRESS(1119,38))-INDIRECT(ADDRESS(1114,39))+INDIRECT(ADDRESS(1117,39))-INDIRECT(ADDRESS(1118,39)))</f>
        <v>0</v>
      </c>
      <c r="AN1119">
        <f>IF(DAY(NOW())&lt;M3,INDIRECT(ADDRESS(1119,39))-INDIRECT(ADDRESS(1114,40))+INDIRECT(ADDRESS(1115,40))-INDIRECT(ADDRESS(1118,40)),INDIRECT(ADDRESS(1119,39))-INDIRECT(ADDRESS(1114,40))+INDIRECT(ADDRESS(1117,40))-INDIRECT(ADDRESS(1118,40)))</f>
        <v>0</v>
      </c>
      <c r="AO1119">
        <f>IF(DAY(NOW())&lt;M3,INDIRECT(ADDRESS(1119,40))-INDIRECT(ADDRESS(1114,41))+INDIRECT(ADDRESS(1115,41))-INDIRECT(ADDRESS(1118,41)),INDIRECT(ADDRESS(1119,40))-INDIRECT(ADDRESS(1114,41))+INDIRECT(ADDRESS(1117,41))-INDIRECT(ADDRESS(1118,41)))</f>
        <v>0</v>
      </c>
      <c r="AP1119">
        <f>IF(DAY(NOW())&lt;M3,INDIRECT(ADDRESS(1119,41))-INDIRECT(ADDRESS(1114,42))+INDIRECT(ADDRESS(1115,42))-INDIRECT(ADDRESS(1118,42)),INDIRECT(ADDRESS(1119,41))-INDIRECT(ADDRESS(1114,42))+INDIRECT(ADDRESS(1117,42))-INDIRECT(ADDRESS(1118,42)))</f>
        <v>0</v>
      </c>
      <c r="AQ1119">
        <f>IF(DAY(NOW())&lt;M3,INDIRECT(ADDRESS(1119,42))-INDIRECT(ADDRESS(1114,43))+INDIRECT(ADDRESS(1115,43))-INDIRECT(ADDRESS(1118,43)),INDIRECT(ADDRESS(1119,42))-INDIRECT(ADDRESS(1114,43))+INDIRECT(ADDRESS(1117,43))-INDIRECT(ADDRESS(1118,43)))</f>
        <v>0</v>
      </c>
      <c r="AR1119">
        <f>IF(DAY(NOW())&lt;M3,INDIRECT(ADDRESS(1119,43))-INDIRECT(ADDRESS(1114,44))+INDIRECT(ADDRESS(1115,44))-INDIRECT(ADDRESS(1118,44)),INDIRECT(ADDRESS(1119,43))-INDIRECT(ADDRESS(1114,44))+INDIRECT(ADDRESS(1117,44))-INDIRECT(ADDRESS(1118,44)))</f>
        <v>0</v>
      </c>
    </row>
    <row r="1120" spans="1:76">
      <c r="A1120" t="s">
        <v>31</v>
      </c>
      <c r="B1120" t="s">
        <v>467</v>
      </c>
      <c r="C1120" t="s">
        <v>468</v>
      </c>
      <c r="D1120" t="s">
        <v>469</v>
      </c>
      <c r="E1120" t="s">
        <v>444</v>
      </c>
      <c r="F1120" t="s">
        <v>470</v>
      </c>
      <c r="K1120" t="s">
        <v>437</v>
      </c>
      <c r="L1120" t="s">
        <v>21</v>
      </c>
      <c r="M1120">
        <f>sumifs(BOM!m:m,BOM!A:A,".1",BOM!B:B,"852-220000-100")</f>
        <v>0</v>
      </c>
      <c r="N1120">
        <f>sumifs(BOM!n:n,BOM!A:A,".1",BOM!B:B,"852-220000-100")</f>
        <v>0</v>
      </c>
      <c r="O1120">
        <f>sumifs(BOM!o:o,BOM!A:A,".1",BOM!B:B,"852-220000-100")</f>
        <v>0</v>
      </c>
      <c r="P1120">
        <f>sumifs(BOM!p:p,BOM!A:A,".1",BOM!B:B,"852-220000-100")</f>
        <v>0</v>
      </c>
      <c r="Q1120">
        <f>sumifs(BOM!q:q,BOM!A:A,".1",BOM!B:B,"852-220000-100")</f>
        <v>0</v>
      </c>
      <c r="R1120">
        <f>sumifs(BOM!r:r,BOM!A:A,".1",BOM!B:B,"852-220000-100")</f>
        <v>0</v>
      </c>
      <c r="S1120">
        <f>sumifs(BOM!s:s,BOM!A:A,".1",BOM!B:B,"852-220000-100")</f>
        <v>0</v>
      </c>
      <c r="T1120">
        <f>sumifs(BOM!t:t,BOM!A:A,".1",BOM!B:B,"852-220000-100")</f>
        <v>0</v>
      </c>
      <c r="U1120">
        <f>sumifs(BOM!u:u,BOM!A:A,".1",BOM!B:B,"852-220000-100")</f>
        <v>0</v>
      </c>
      <c r="V1120">
        <f>sumifs(BOM!v:v,BOM!A:A,".1",BOM!B:B,"852-220000-100")</f>
        <v>0</v>
      </c>
      <c r="W1120">
        <f>sumifs(BOM!w:w,BOM!A:A,".1",BOM!B:B,"852-220000-100")</f>
        <v>0</v>
      </c>
      <c r="X1120">
        <f>sumifs(BOM!x:x,BOM!A:A,".1",BOM!B:B,"852-220000-100")</f>
        <v>0</v>
      </c>
      <c r="Y1120">
        <f>sumifs(BOM!y:y,BOM!A:A,".1",BOM!B:B,"852-220000-100")</f>
        <v>0</v>
      </c>
      <c r="Z1120">
        <f>sumifs(BOM!z:z,BOM!A:A,".1",BOM!B:B,"852-220000-100")</f>
        <v>0</v>
      </c>
      <c r="AA1120">
        <f>sumifs(BOM!aa:aa,BOM!A:A,".1",BOM!B:B,"852-220000-100")</f>
        <v>0</v>
      </c>
      <c r="AB1120">
        <f>sumifs(BOM!ab:ab,BOM!A:A,".1",BOM!B:B,"852-220000-100")</f>
        <v>0</v>
      </c>
      <c r="AC1120">
        <f>sumifs(BOM!ac:ac,BOM!A:A,".1",BOM!B:B,"852-220000-100")</f>
        <v>0</v>
      </c>
      <c r="AD1120">
        <f>sumifs(BOM!ad:ad,BOM!A:A,".1",BOM!B:B,"852-220000-100")</f>
        <v>0</v>
      </c>
      <c r="AE1120">
        <f>sumifs(BOM!ae:ae,BOM!A:A,".1",BOM!B:B,"852-220000-100")</f>
        <v>0</v>
      </c>
      <c r="AF1120">
        <f>sumifs(BOM!af:af,BOM!A:A,".1",BOM!B:B,"852-220000-100")</f>
        <v>0</v>
      </c>
      <c r="AG1120">
        <f>sumifs(BOM!ag:ag,BOM!A:A,".1",BOM!B:B,"852-220000-100")</f>
        <v>0</v>
      </c>
      <c r="AH1120">
        <f>sumifs(BOM!ah:ah,BOM!A:A,".1",BOM!B:B,"852-220000-100")</f>
        <v>0</v>
      </c>
      <c r="AI1120">
        <f>sumifs(BOM!ai:ai,BOM!A:A,".1",BOM!B:B,"852-220000-100")</f>
        <v>0</v>
      </c>
      <c r="AJ1120">
        <f>sumifs(BOM!aj:aj,BOM!A:A,".1",BOM!B:B,"852-220000-100")</f>
        <v>0</v>
      </c>
      <c r="AK1120">
        <f>sumifs(BOM!ak:ak,BOM!A:A,".1",BOM!B:B,"852-220000-100")</f>
        <v>0</v>
      </c>
      <c r="AL1120">
        <f>sumifs(BOM!al:al,BOM!A:A,".1",BOM!B:B,"852-220000-100")</f>
        <v>0</v>
      </c>
      <c r="AM1120">
        <f>sumifs(BOM!am:am,BOM!A:A,".1",BOM!B:B,"852-220000-100")</f>
        <v>0</v>
      </c>
      <c r="AN1120">
        <f>sumifs(BOM!an:an,BOM!A:A,".1",BOM!B:B,"852-220000-100")</f>
        <v>0</v>
      </c>
      <c r="AO1120">
        <f>sumifs(BOM!ao:ao,BOM!A:A,".1",BOM!B:B,"852-220000-100")</f>
        <v>0</v>
      </c>
      <c r="AP1120">
        <f>sumifs(BOM!ap:ap,BOM!A:A,".1",BOM!B:B,"852-220000-100")</f>
        <v>0</v>
      </c>
      <c r="AQ1120">
        <f>sumifs(BOM!aq:aq,BOM!A:A,".1",BOM!B:B,"852-220000-100")</f>
        <v>0</v>
      </c>
      <c r="AR1120">
        <f>sumifs(BOM!ar:ar,BOM!A:A,".1",BOM!B:B,"852-220000-100")</f>
        <v>0</v>
      </c>
      <c r="BX1120">
        <f>sum(j1120:an1120)</f>
        <v>0</v>
      </c>
    </row>
    <row r="1121" spans="1:76">
      <c r="A1121" t="s">
        <v>31</v>
      </c>
      <c r="B1121" t="s">
        <v>467</v>
      </c>
      <c r="C1121" t="s">
        <v>468</v>
      </c>
      <c r="D1121" t="s">
        <v>469</v>
      </c>
      <c r="E1121" t="s">
        <v>444</v>
      </c>
      <c r="F1121" t="s">
        <v>470</v>
      </c>
      <c r="K1121" t="s">
        <v>437</v>
      </c>
      <c r="L1121" t="s">
        <v>37</v>
      </c>
    </row>
    <row r="1122" spans="1:76">
      <c r="L1122" t="s">
        <v>662</v>
      </c>
    </row>
    <row r="1123" spans="1:76">
      <c r="L1123" t="s">
        <v>663</v>
      </c>
    </row>
    <row r="1124" spans="1:76">
      <c r="L1124" t="s">
        <v>664</v>
      </c>
    </row>
    <row r="1125" spans="1:76">
      <c r="L1125" t="s">
        <v>665</v>
      </c>
      <c r="M1125">
        <f>IF(DAY(NOW())&lt;M3,INDIRECT(ADDRESS(1125,7))-INDIRECT(ADDRESS(1120,13))+INDIRECT(ADDRESS(1121,13))-INDIRECT(ADDRESS(1124,13)),INDIRECT(ADDRESS(1125,7))-INDIRECT(ADDRESS(1120,13))+INDIRECT(ADDRESS(1123,13))-INDIRECT(ADDRESS(1124,13)))</f>
        <v>0</v>
      </c>
      <c r="N1125">
        <f>IF(DAY(NOW())&lt;M3,INDIRECT(ADDRESS(1125,13))-INDIRECT(ADDRESS(1120,14))+INDIRECT(ADDRESS(1121,14))-INDIRECT(ADDRESS(1124,14)),INDIRECT(ADDRESS(1125,13))-INDIRECT(ADDRESS(1120,14))+INDIRECT(ADDRESS(1123,14))-INDIRECT(ADDRESS(1124,14)))</f>
        <v>0</v>
      </c>
      <c r="O1125">
        <f>IF(DAY(NOW())&lt;M3,INDIRECT(ADDRESS(1125,14))-INDIRECT(ADDRESS(1120,15))+INDIRECT(ADDRESS(1121,15))-INDIRECT(ADDRESS(1124,15)),INDIRECT(ADDRESS(1125,14))-INDIRECT(ADDRESS(1120,15))+INDIRECT(ADDRESS(1123,15))-INDIRECT(ADDRESS(1124,15)))</f>
        <v>0</v>
      </c>
      <c r="P1125">
        <f>IF(DAY(NOW())&lt;M3,INDIRECT(ADDRESS(1125,15))-INDIRECT(ADDRESS(1120,16))+INDIRECT(ADDRESS(1121,16))-INDIRECT(ADDRESS(1124,16)),INDIRECT(ADDRESS(1125,15))-INDIRECT(ADDRESS(1120,16))+INDIRECT(ADDRESS(1123,16))-INDIRECT(ADDRESS(1124,16)))</f>
        <v>0</v>
      </c>
      <c r="Q1125">
        <f>IF(DAY(NOW())&lt;M3,INDIRECT(ADDRESS(1125,16))-INDIRECT(ADDRESS(1120,17))+INDIRECT(ADDRESS(1121,17))-INDIRECT(ADDRESS(1124,17)),INDIRECT(ADDRESS(1125,16))-INDIRECT(ADDRESS(1120,17))+INDIRECT(ADDRESS(1123,17))-INDIRECT(ADDRESS(1124,17)))</f>
        <v>0</v>
      </c>
      <c r="R1125">
        <f>IF(DAY(NOW())&lt;M3,INDIRECT(ADDRESS(1125,17))-INDIRECT(ADDRESS(1120,18))+INDIRECT(ADDRESS(1121,18))-INDIRECT(ADDRESS(1124,18)),INDIRECT(ADDRESS(1125,17))-INDIRECT(ADDRESS(1120,18))+INDIRECT(ADDRESS(1123,18))-INDIRECT(ADDRESS(1124,18)))</f>
        <v>0</v>
      </c>
      <c r="S1125">
        <f>IF(DAY(NOW())&lt;M3,INDIRECT(ADDRESS(1125,18))-INDIRECT(ADDRESS(1120,19))+INDIRECT(ADDRESS(1121,19))-INDIRECT(ADDRESS(1124,19)),INDIRECT(ADDRESS(1125,18))-INDIRECT(ADDRESS(1120,19))+INDIRECT(ADDRESS(1123,19))-INDIRECT(ADDRESS(1124,19)))</f>
        <v>0</v>
      </c>
      <c r="T1125">
        <f>IF(DAY(NOW())&lt;M3,INDIRECT(ADDRESS(1125,19))-INDIRECT(ADDRESS(1120,20))+INDIRECT(ADDRESS(1121,20))-INDIRECT(ADDRESS(1124,20)),INDIRECT(ADDRESS(1125,19))-INDIRECT(ADDRESS(1120,20))+INDIRECT(ADDRESS(1123,20))-INDIRECT(ADDRESS(1124,20)))</f>
        <v>0</v>
      </c>
      <c r="U1125">
        <f>IF(DAY(NOW())&lt;M3,INDIRECT(ADDRESS(1125,20))-INDIRECT(ADDRESS(1120,21))+INDIRECT(ADDRESS(1121,21))-INDIRECT(ADDRESS(1124,21)),INDIRECT(ADDRESS(1125,20))-INDIRECT(ADDRESS(1120,21))+INDIRECT(ADDRESS(1123,21))-INDIRECT(ADDRESS(1124,21)))</f>
        <v>0</v>
      </c>
      <c r="V1125">
        <f>IF(DAY(NOW())&lt;M3,INDIRECT(ADDRESS(1125,21))-INDIRECT(ADDRESS(1120,22))+INDIRECT(ADDRESS(1121,22))-INDIRECT(ADDRESS(1124,22)),INDIRECT(ADDRESS(1125,21))-INDIRECT(ADDRESS(1120,22))+INDIRECT(ADDRESS(1123,22))-INDIRECT(ADDRESS(1124,22)))</f>
        <v>0</v>
      </c>
      <c r="W1125">
        <f>IF(DAY(NOW())&lt;M3,INDIRECT(ADDRESS(1125,22))-INDIRECT(ADDRESS(1120,23))+INDIRECT(ADDRESS(1121,23))-INDIRECT(ADDRESS(1124,23)),INDIRECT(ADDRESS(1125,22))-INDIRECT(ADDRESS(1120,23))+INDIRECT(ADDRESS(1123,23))-INDIRECT(ADDRESS(1124,23)))</f>
        <v>0</v>
      </c>
      <c r="X1125">
        <f>IF(DAY(NOW())&lt;M3,INDIRECT(ADDRESS(1125,23))-INDIRECT(ADDRESS(1120,24))+INDIRECT(ADDRESS(1121,24))-INDIRECT(ADDRESS(1124,24)),INDIRECT(ADDRESS(1125,23))-INDIRECT(ADDRESS(1120,24))+INDIRECT(ADDRESS(1123,24))-INDIRECT(ADDRESS(1124,24)))</f>
        <v>0</v>
      </c>
      <c r="Y1125">
        <f>IF(DAY(NOW())&lt;M3,INDIRECT(ADDRESS(1125,24))-INDIRECT(ADDRESS(1120,25))+INDIRECT(ADDRESS(1121,25))-INDIRECT(ADDRESS(1124,25)),INDIRECT(ADDRESS(1125,24))-INDIRECT(ADDRESS(1120,25))+INDIRECT(ADDRESS(1123,25))-INDIRECT(ADDRESS(1124,25)))</f>
        <v>0</v>
      </c>
      <c r="Z1125">
        <f>IF(DAY(NOW())&lt;M3,INDIRECT(ADDRESS(1125,25))-INDIRECT(ADDRESS(1120,26))+INDIRECT(ADDRESS(1121,26))-INDIRECT(ADDRESS(1124,26)),INDIRECT(ADDRESS(1125,25))-INDIRECT(ADDRESS(1120,26))+INDIRECT(ADDRESS(1123,26))-INDIRECT(ADDRESS(1124,26)))</f>
        <v>0</v>
      </c>
      <c r="AA1125">
        <f>IF(DAY(NOW())&lt;M3,INDIRECT(ADDRESS(1125,26))-INDIRECT(ADDRESS(1120,27))+INDIRECT(ADDRESS(1121,27))-INDIRECT(ADDRESS(1124,27)),INDIRECT(ADDRESS(1125,26))-INDIRECT(ADDRESS(1120,27))+INDIRECT(ADDRESS(1123,27))-INDIRECT(ADDRESS(1124,27)))</f>
        <v>0</v>
      </c>
      <c r="AB1125">
        <f>IF(DAY(NOW())&lt;M3,INDIRECT(ADDRESS(1125,27))-INDIRECT(ADDRESS(1120,28))+INDIRECT(ADDRESS(1121,28))-INDIRECT(ADDRESS(1124,28)),INDIRECT(ADDRESS(1125,27))-INDIRECT(ADDRESS(1120,28))+INDIRECT(ADDRESS(1123,28))-INDIRECT(ADDRESS(1124,28)))</f>
        <v>0</v>
      </c>
      <c r="AC1125">
        <f>IF(DAY(NOW())&lt;M3,INDIRECT(ADDRESS(1125,28))-INDIRECT(ADDRESS(1120,29))+INDIRECT(ADDRESS(1121,29))-INDIRECT(ADDRESS(1124,29)),INDIRECT(ADDRESS(1125,28))-INDIRECT(ADDRESS(1120,29))+INDIRECT(ADDRESS(1123,29))-INDIRECT(ADDRESS(1124,29)))</f>
        <v>0</v>
      </c>
      <c r="AD1125">
        <f>IF(DAY(NOW())&lt;M3,INDIRECT(ADDRESS(1125,29))-INDIRECT(ADDRESS(1120,30))+INDIRECT(ADDRESS(1121,30))-INDIRECT(ADDRESS(1124,30)),INDIRECT(ADDRESS(1125,29))-INDIRECT(ADDRESS(1120,30))+INDIRECT(ADDRESS(1123,30))-INDIRECT(ADDRESS(1124,30)))</f>
        <v>0</v>
      </c>
      <c r="AE1125">
        <f>IF(DAY(NOW())&lt;M3,INDIRECT(ADDRESS(1125,30))-INDIRECT(ADDRESS(1120,31))+INDIRECT(ADDRESS(1121,31))-INDIRECT(ADDRESS(1124,31)),INDIRECT(ADDRESS(1125,30))-INDIRECT(ADDRESS(1120,31))+INDIRECT(ADDRESS(1123,31))-INDIRECT(ADDRESS(1124,31)))</f>
        <v>0</v>
      </c>
      <c r="AF1125">
        <f>IF(DAY(NOW())&lt;M3,INDIRECT(ADDRESS(1125,31))-INDIRECT(ADDRESS(1120,32))+INDIRECT(ADDRESS(1121,32))-INDIRECT(ADDRESS(1124,32)),INDIRECT(ADDRESS(1125,31))-INDIRECT(ADDRESS(1120,32))+INDIRECT(ADDRESS(1123,32))-INDIRECT(ADDRESS(1124,32)))</f>
        <v>0</v>
      </c>
      <c r="AG1125">
        <f>IF(DAY(NOW())&lt;M3,INDIRECT(ADDRESS(1125,32))-INDIRECT(ADDRESS(1120,33))+INDIRECT(ADDRESS(1121,33))-INDIRECT(ADDRESS(1124,33)),INDIRECT(ADDRESS(1125,32))-INDIRECT(ADDRESS(1120,33))+INDIRECT(ADDRESS(1123,33))-INDIRECT(ADDRESS(1124,33)))</f>
        <v>0</v>
      </c>
      <c r="AH1125">
        <f>IF(DAY(NOW())&lt;M3,INDIRECT(ADDRESS(1125,33))-INDIRECT(ADDRESS(1120,34))+INDIRECT(ADDRESS(1121,34))-INDIRECT(ADDRESS(1124,34)),INDIRECT(ADDRESS(1125,33))-INDIRECT(ADDRESS(1120,34))+INDIRECT(ADDRESS(1123,34))-INDIRECT(ADDRESS(1124,34)))</f>
        <v>0</v>
      </c>
      <c r="AI1125">
        <f>IF(DAY(NOW())&lt;M3,INDIRECT(ADDRESS(1125,34))-INDIRECT(ADDRESS(1120,35))+INDIRECT(ADDRESS(1121,35))-INDIRECT(ADDRESS(1124,35)),INDIRECT(ADDRESS(1125,34))-INDIRECT(ADDRESS(1120,35))+INDIRECT(ADDRESS(1123,35))-INDIRECT(ADDRESS(1124,35)))</f>
        <v>0</v>
      </c>
      <c r="AJ1125">
        <f>IF(DAY(NOW())&lt;M3,INDIRECT(ADDRESS(1125,35))-INDIRECT(ADDRESS(1120,36))+INDIRECT(ADDRESS(1121,36))-INDIRECT(ADDRESS(1124,36)),INDIRECT(ADDRESS(1125,35))-INDIRECT(ADDRESS(1120,36))+INDIRECT(ADDRESS(1123,36))-INDIRECT(ADDRESS(1124,36)))</f>
        <v>0</v>
      </c>
      <c r="AK1125">
        <f>IF(DAY(NOW())&lt;M3,INDIRECT(ADDRESS(1125,36))-INDIRECT(ADDRESS(1120,37))+INDIRECT(ADDRESS(1121,37))-INDIRECT(ADDRESS(1124,37)),INDIRECT(ADDRESS(1125,36))-INDIRECT(ADDRESS(1120,37))+INDIRECT(ADDRESS(1123,37))-INDIRECT(ADDRESS(1124,37)))</f>
        <v>0</v>
      </c>
      <c r="AL1125">
        <f>IF(DAY(NOW())&lt;M3,INDIRECT(ADDRESS(1125,37))-INDIRECT(ADDRESS(1120,38))+INDIRECT(ADDRESS(1121,38))-INDIRECT(ADDRESS(1124,38)),INDIRECT(ADDRESS(1125,37))-INDIRECT(ADDRESS(1120,38))+INDIRECT(ADDRESS(1123,38))-INDIRECT(ADDRESS(1124,38)))</f>
        <v>0</v>
      </c>
      <c r="AM1125">
        <f>IF(DAY(NOW())&lt;M3,INDIRECT(ADDRESS(1125,38))-INDIRECT(ADDRESS(1120,39))+INDIRECT(ADDRESS(1121,39))-INDIRECT(ADDRESS(1124,39)),INDIRECT(ADDRESS(1125,38))-INDIRECT(ADDRESS(1120,39))+INDIRECT(ADDRESS(1123,39))-INDIRECT(ADDRESS(1124,39)))</f>
        <v>0</v>
      </c>
      <c r="AN1125">
        <f>IF(DAY(NOW())&lt;M3,INDIRECT(ADDRESS(1125,39))-INDIRECT(ADDRESS(1120,40))+INDIRECT(ADDRESS(1121,40))-INDIRECT(ADDRESS(1124,40)),INDIRECT(ADDRESS(1125,39))-INDIRECT(ADDRESS(1120,40))+INDIRECT(ADDRESS(1123,40))-INDIRECT(ADDRESS(1124,40)))</f>
        <v>0</v>
      </c>
      <c r="AO1125">
        <f>IF(DAY(NOW())&lt;M3,INDIRECT(ADDRESS(1125,40))-INDIRECT(ADDRESS(1120,41))+INDIRECT(ADDRESS(1121,41))-INDIRECT(ADDRESS(1124,41)),INDIRECT(ADDRESS(1125,40))-INDIRECT(ADDRESS(1120,41))+INDIRECT(ADDRESS(1123,41))-INDIRECT(ADDRESS(1124,41)))</f>
        <v>0</v>
      </c>
      <c r="AP1125">
        <f>IF(DAY(NOW())&lt;M3,INDIRECT(ADDRESS(1125,41))-INDIRECT(ADDRESS(1120,42))+INDIRECT(ADDRESS(1121,42))-INDIRECT(ADDRESS(1124,42)),INDIRECT(ADDRESS(1125,41))-INDIRECT(ADDRESS(1120,42))+INDIRECT(ADDRESS(1123,42))-INDIRECT(ADDRESS(1124,42)))</f>
        <v>0</v>
      </c>
      <c r="AQ1125">
        <f>IF(DAY(NOW())&lt;M3,INDIRECT(ADDRESS(1125,42))-INDIRECT(ADDRESS(1120,43))+INDIRECT(ADDRESS(1121,43))-INDIRECT(ADDRESS(1124,43)),INDIRECT(ADDRESS(1125,42))-INDIRECT(ADDRESS(1120,43))+INDIRECT(ADDRESS(1123,43))-INDIRECT(ADDRESS(1124,43)))</f>
        <v>0</v>
      </c>
      <c r="AR1125">
        <f>IF(DAY(NOW())&lt;M3,INDIRECT(ADDRESS(1125,43))-INDIRECT(ADDRESS(1120,44))+INDIRECT(ADDRESS(1121,44))-INDIRECT(ADDRESS(1124,44)),INDIRECT(ADDRESS(1125,43))-INDIRECT(ADDRESS(1120,44))+INDIRECT(ADDRESS(1123,44))-INDIRECT(ADDRESS(1124,44)))</f>
        <v>0</v>
      </c>
    </row>
    <row r="1126" spans="1:76">
      <c r="A1126" t="s">
        <v>31</v>
      </c>
      <c r="B1126" t="s">
        <v>471</v>
      </c>
      <c r="C1126" t="s">
        <v>472</v>
      </c>
      <c r="D1126" t="s">
        <v>473</v>
      </c>
      <c r="E1126">
        <v>1</v>
      </c>
      <c r="F1126" t="s">
        <v>474</v>
      </c>
      <c r="K1126" t="s">
        <v>437</v>
      </c>
      <c r="L1126" t="s">
        <v>21</v>
      </c>
      <c r="M1126">
        <f>sumifs(BOM!m:m,BOM!A:A,".1",BOM!B:B,"852-224000-100")</f>
        <v>0</v>
      </c>
      <c r="N1126">
        <f>sumifs(BOM!n:n,BOM!A:A,".1",BOM!B:B,"852-224000-100")</f>
        <v>0</v>
      </c>
      <c r="O1126">
        <f>sumifs(BOM!o:o,BOM!A:A,".1",BOM!B:B,"852-224000-100")</f>
        <v>0</v>
      </c>
      <c r="P1126">
        <f>sumifs(BOM!p:p,BOM!A:A,".1",BOM!B:B,"852-224000-100")</f>
        <v>0</v>
      </c>
      <c r="Q1126">
        <f>sumifs(BOM!q:q,BOM!A:A,".1",BOM!B:B,"852-224000-100")</f>
        <v>0</v>
      </c>
      <c r="R1126">
        <f>sumifs(BOM!r:r,BOM!A:A,".1",BOM!B:B,"852-224000-100")</f>
        <v>0</v>
      </c>
      <c r="S1126">
        <f>sumifs(BOM!s:s,BOM!A:A,".1",BOM!B:B,"852-224000-100")</f>
        <v>0</v>
      </c>
      <c r="T1126">
        <f>sumifs(BOM!t:t,BOM!A:A,".1",BOM!B:B,"852-224000-100")</f>
        <v>0</v>
      </c>
      <c r="U1126">
        <f>sumifs(BOM!u:u,BOM!A:A,".1",BOM!B:B,"852-224000-100")</f>
        <v>0</v>
      </c>
      <c r="V1126">
        <f>sumifs(BOM!v:v,BOM!A:A,".1",BOM!B:B,"852-224000-100")</f>
        <v>0</v>
      </c>
      <c r="W1126">
        <f>sumifs(BOM!w:w,BOM!A:A,".1",BOM!B:B,"852-224000-100")</f>
        <v>0</v>
      </c>
      <c r="X1126">
        <f>sumifs(BOM!x:x,BOM!A:A,".1",BOM!B:B,"852-224000-100")</f>
        <v>0</v>
      </c>
      <c r="Y1126">
        <f>sumifs(BOM!y:y,BOM!A:A,".1",BOM!B:B,"852-224000-100")</f>
        <v>0</v>
      </c>
      <c r="Z1126">
        <f>sumifs(BOM!z:z,BOM!A:A,".1",BOM!B:B,"852-224000-100")</f>
        <v>0</v>
      </c>
      <c r="AA1126">
        <f>sumifs(BOM!aa:aa,BOM!A:A,".1",BOM!B:B,"852-224000-100")</f>
        <v>0</v>
      </c>
      <c r="AB1126">
        <f>sumifs(BOM!ab:ab,BOM!A:A,".1",BOM!B:B,"852-224000-100")</f>
        <v>0</v>
      </c>
      <c r="AC1126">
        <f>sumifs(BOM!ac:ac,BOM!A:A,".1",BOM!B:B,"852-224000-100")</f>
        <v>0</v>
      </c>
      <c r="AD1126">
        <f>sumifs(BOM!ad:ad,BOM!A:A,".1",BOM!B:B,"852-224000-100")</f>
        <v>0</v>
      </c>
      <c r="AE1126">
        <f>sumifs(BOM!ae:ae,BOM!A:A,".1",BOM!B:B,"852-224000-100")</f>
        <v>0</v>
      </c>
      <c r="AF1126">
        <f>sumifs(BOM!af:af,BOM!A:A,".1",BOM!B:B,"852-224000-100")</f>
        <v>0</v>
      </c>
      <c r="AG1126">
        <f>sumifs(BOM!ag:ag,BOM!A:A,".1",BOM!B:B,"852-224000-100")</f>
        <v>0</v>
      </c>
      <c r="AH1126">
        <f>sumifs(BOM!ah:ah,BOM!A:A,".1",BOM!B:B,"852-224000-100")</f>
        <v>0</v>
      </c>
      <c r="AI1126">
        <f>sumifs(BOM!ai:ai,BOM!A:A,".1",BOM!B:B,"852-224000-100")</f>
        <v>0</v>
      </c>
      <c r="AJ1126">
        <f>sumifs(BOM!aj:aj,BOM!A:A,".1",BOM!B:B,"852-224000-100")</f>
        <v>0</v>
      </c>
      <c r="AK1126">
        <f>sumifs(BOM!ak:ak,BOM!A:A,".1",BOM!B:B,"852-224000-100")</f>
        <v>0</v>
      </c>
      <c r="AL1126">
        <f>sumifs(BOM!al:al,BOM!A:A,".1",BOM!B:B,"852-224000-100")</f>
        <v>0</v>
      </c>
      <c r="AM1126">
        <f>sumifs(BOM!am:am,BOM!A:A,".1",BOM!B:B,"852-224000-100")</f>
        <v>0</v>
      </c>
      <c r="AN1126">
        <f>sumifs(BOM!an:an,BOM!A:A,".1",BOM!B:B,"852-224000-100")</f>
        <v>0</v>
      </c>
      <c r="AO1126">
        <f>sumifs(BOM!ao:ao,BOM!A:A,".1",BOM!B:B,"852-224000-100")</f>
        <v>0</v>
      </c>
      <c r="AP1126">
        <f>sumifs(BOM!ap:ap,BOM!A:A,".1",BOM!B:B,"852-224000-100")</f>
        <v>0</v>
      </c>
      <c r="AQ1126">
        <f>sumifs(BOM!aq:aq,BOM!A:A,".1",BOM!B:B,"852-224000-100")</f>
        <v>0</v>
      </c>
      <c r="AR1126">
        <f>sumifs(BOM!ar:ar,BOM!A:A,".1",BOM!B:B,"852-224000-100")</f>
        <v>0</v>
      </c>
      <c r="BX1126">
        <f>sum(j1126:an1126)</f>
        <v>0</v>
      </c>
    </row>
    <row r="1127" spans="1:76">
      <c r="A1127" t="s">
        <v>31</v>
      </c>
      <c r="B1127" t="s">
        <v>471</v>
      </c>
      <c r="C1127" t="s">
        <v>472</v>
      </c>
      <c r="D1127" t="s">
        <v>473</v>
      </c>
      <c r="E1127">
        <v>1</v>
      </c>
      <c r="F1127" t="s">
        <v>474</v>
      </c>
      <c r="K1127" t="s">
        <v>437</v>
      </c>
      <c r="L1127" t="s">
        <v>37</v>
      </c>
    </row>
    <row r="1128" spans="1:76">
      <c r="L1128" t="s">
        <v>662</v>
      </c>
    </row>
    <row r="1129" spans="1:76">
      <c r="L1129" t="s">
        <v>663</v>
      </c>
    </row>
    <row r="1130" spans="1:76">
      <c r="L1130" t="s">
        <v>664</v>
      </c>
    </row>
    <row r="1131" spans="1:76">
      <c r="L1131" t="s">
        <v>665</v>
      </c>
      <c r="M1131">
        <f>IF(DAY(NOW())&lt;M3,INDIRECT(ADDRESS(1131,7))-INDIRECT(ADDRESS(1126,13))+INDIRECT(ADDRESS(1127,13))-INDIRECT(ADDRESS(1130,13)),INDIRECT(ADDRESS(1131,7))-INDIRECT(ADDRESS(1126,13))+INDIRECT(ADDRESS(1129,13))-INDIRECT(ADDRESS(1130,13)))</f>
        <v>0</v>
      </c>
      <c r="N1131">
        <f>IF(DAY(NOW())&lt;M3,INDIRECT(ADDRESS(1131,13))-INDIRECT(ADDRESS(1126,14))+INDIRECT(ADDRESS(1127,14))-INDIRECT(ADDRESS(1130,14)),INDIRECT(ADDRESS(1131,13))-INDIRECT(ADDRESS(1126,14))+INDIRECT(ADDRESS(1129,14))-INDIRECT(ADDRESS(1130,14)))</f>
        <v>0</v>
      </c>
      <c r="O1131">
        <f>IF(DAY(NOW())&lt;M3,INDIRECT(ADDRESS(1131,14))-INDIRECT(ADDRESS(1126,15))+INDIRECT(ADDRESS(1127,15))-INDIRECT(ADDRESS(1130,15)),INDIRECT(ADDRESS(1131,14))-INDIRECT(ADDRESS(1126,15))+INDIRECT(ADDRESS(1129,15))-INDIRECT(ADDRESS(1130,15)))</f>
        <v>0</v>
      </c>
      <c r="P1131">
        <f>IF(DAY(NOW())&lt;M3,INDIRECT(ADDRESS(1131,15))-INDIRECT(ADDRESS(1126,16))+INDIRECT(ADDRESS(1127,16))-INDIRECT(ADDRESS(1130,16)),INDIRECT(ADDRESS(1131,15))-INDIRECT(ADDRESS(1126,16))+INDIRECT(ADDRESS(1129,16))-INDIRECT(ADDRESS(1130,16)))</f>
        <v>0</v>
      </c>
      <c r="Q1131">
        <f>IF(DAY(NOW())&lt;M3,INDIRECT(ADDRESS(1131,16))-INDIRECT(ADDRESS(1126,17))+INDIRECT(ADDRESS(1127,17))-INDIRECT(ADDRESS(1130,17)),INDIRECT(ADDRESS(1131,16))-INDIRECT(ADDRESS(1126,17))+INDIRECT(ADDRESS(1129,17))-INDIRECT(ADDRESS(1130,17)))</f>
        <v>0</v>
      </c>
      <c r="R1131">
        <f>IF(DAY(NOW())&lt;M3,INDIRECT(ADDRESS(1131,17))-INDIRECT(ADDRESS(1126,18))+INDIRECT(ADDRESS(1127,18))-INDIRECT(ADDRESS(1130,18)),INDIRECT(ADDRESS(1131,17))-INDIRECT(ADDRESS(1126,18))+INDIRECT(ADDRESS(1129,18))-INDIRECT(ADDRESS(1130,18)))</f>
        <v>0</v>
      </c>
      <c r="S1131">
        <f>IF(DAY(NOW())&lt;M3,INDIRECT(ADDRESS(1131,18))-INDIRECT(ADDRESS(1126,19))+INDIRECT(ADDRESS(1127,19))-INDIRECT(ADDRESS(1130,19)),INDIRECT(ADDRESS(1131,18))-INDIRECT(ADDRESS(1126,19))+INDIRECT(ADDRESS(1129,19))-INDIRECT(ADDRESS(1130,19)))</f>
        <v>0</v>
      </c>
      <c r="T1131">
        <f>IF(DAY(NOW())&lt;M3,INDIRECT(ADDRESS(1131,19))-INDIRECT(ADDRESS(1126,20))+INDIRECT(ADDRESS(1127,20))-INDIRECT(ADDRESS(1130,20)),INDIRECT(ADDRESS(1131,19))-INDIRECT(ADDRESS(1126,20))+INDIRECT(ADDRESS(1129,20))-INDIRECT(ADDRESS(1130,20)))</f>
        <v>0</v>
      </c>
      <c r="U1131">
        <f>IF(DAY(NOW())&lt;M3,INDIRECT(ADDRESS(1131,20))-INDIRECT(ADDRESS(1126,21))+INDIRECT(ADDRESS(1127,21))-INDIRECT(ADDRESS(1130,21)),INDIRECT(ADDRESS(1131,20))-INDIRECT(ADDRESS(1126,21))+INDIRECT(ADDRESS(1129,21))-INDIRECT(ADDRESS(1130,21)))</f>
        <v>0</v>
      </c>
      <c r="V1131">
        <f>IF(DAY(NOW())&lt;M3,INDIRECT(ADDRESS(1131,21))-INDIRECT(ADDRESS(1126,22))+INDIRECT(ADDRESS(1127,22))-INDIRECT(ADDRESS(1130,22)),INDIRECT(ADDRESS(1131,21))-INDIRECT(ADDRESS(1126,22))+INDIRECT(ADDRESS(1129,22))-INDIRECT(ADDRESS(1130,22)))</f>
        <v>0</v>
      </c>
      <c r="W1131">
        <f>IF(DAY(NOW())&lt;M3,INDIRECT(ADDRESS(1131,22))-INDIRECT(ADDRESS(1126,23))+INDIRECT(ADDRESS(1127,23))-INDIRECT(ADDRESS(1130,23)),INDIRECT(ADDRESS(1131,22))-INDIRECT(ADDRESS(1126,23))+INDIRECT(ADDRESS(1129,23))-INDIRECT(ADDRESS(1130,23)))</f>
        <v>0</v>
      </c>
      <c r="X1131">
        <f>IF(DAY(NOW())&lt;M3,INDIRECT(ADDRESS(1131,23))-INDIRECT(ADDRESS(1126,24))+INDIRECT(ADDRESS(1127,24))-INDIRECT(ADDRESS(1130,24)),INDIRECT(ADDRESS(1131,23))-INDIRECT(ADDRESS(1126,24))+INDIRECT(ADDRESS(1129,24))-INDIRECT(ADDRESS(1130,24)))</f>
        <v>0</v>
      </c>
      <c r="Y1131">
        <f>IF(DAY(NOW())&lt;M3,INDIRECT(ADDRESS(1131,24))-INDIRECT(ADDRESS(1126,25))+INDIRECT(ADDRESS(1127,25))-INDIRECT(ADDRESS(1130,25)),INDIRECT(ADDRESS(1131,24))-INDIRECT(ADDRESS(1126,25))+INDIRECT(ADDRESS(1129,25))-INDIRECT(ADDRESS(1130,25)))</f>
        <v>0</v>
      </c>
      <c r="Z1131">
        <f>IF(DAY(NOW())&lt;M3,INDIRECT(ADDRESS(1131,25))-INDIRECT(ADDRESS(1126,26))+INDIRECT(ADDRESS(1127,26))-INDIRECT(ADDRESS(1130,26)),INDIRECT(ADDRESS(1131,25))-INDIRECT(ADDRESS(1126,26))+INDIRECT(ADDRESS(1129,26))-INDIRECT(ADDRESS(1130,26)))</f>
        <v>0</v>
      </c>
      <c r="AA1131">
        <f>IF(DAY(NOW())&lt;M3,INDIRECT(ADDRESS(1131,26))-INDIRECT(ADDRESS(1126,27))+INDIRECT(ADDRESS(1127,27))-INDIRECT(ADDRESS(1130,27)),INDIRECT(ADDRESS(1131,26))-INDIRECT(ADDRESS(1126,27))+INDIRECT(ADDRESS(1129,27))-INDIRECT(ADDRESS(1130,27)))</f>
        <v>0</v>
      </c>
      <c r="AB1131">
        <f>IF(DAY(NOW())&lt;M3,INDIRECT(ADDRESS(1131,27))-INDIRECT(ADDRESS(1126,28))+INDIRECT(ADDRESS(1127,28))-INDIRECT(ADDRESS(1130,28)),INDIRECT(ADDRESS(1131,27))-INDIRECT(ADDRESS(1126,28))+INDIRECT(ADDRESS(1129,28))-INDIRECT(ADDRESS(1130,28)))</f>
        <v>0</v>
      </c>
      <c r="AC1131">
        <f>IF(DAY(NOW())&lt;M3,INDIRECT(ADDRESS(1131,28))-INDIRECT(ADDRESS(1126,29))+INDIRECT(ADDRESS(1127,29))-INDIRECT(ADDRESS(1130,29)),INDIRECT(ADDRESS(1131,28))-INDIRECT(ADDRESS(1126,29))+INDIRECT(ADDRESS(1129,29))-INDIRECT(ADDRESS(1130,29)))</f>
        <v>0</v>
      </c>
      <c r="AD1131">
        <f>IF(DAY(NOW())&lt;M3,INDIRECT(ADDRESS(1131,29))-INDIRECT(ADDRESS(1126,30))+INDIRECT(ADDRESS(1127,30))-INDIRECT(ADDRESS(1130,30)),INDIRECT(ADDRESS(1131,29))-INDIRECT(ADDRESS(1126,30))+INDIRECT(ADDRESS(1129,30))-INDIRECT(ADDRESS(1130,30)))</f>
        <v>0</v>
      </c>
      <c r="AE1131">
        <f>IF(DAY(NOW())&lt;M3,INDIRECT(ADDRESS(1131,30))-INDIRECT(ADDRESS(1126,31))+INDIRECT(ADDRESS(1127,31))-INDIRECT(ADDRESS(1130,31)),INDIRECT(ADDRESS(1131,30))-INDIRECT(ADDRESS(1126,31))+INDIRECT(ADDRESS(1129,31))-INDIRECT(ADDRESS(1130,31)))</f>
        <v>0</v>
      </c>
      <c r="AF1131">
        <f>IF(DAY(NOW())&lt;M3,INDIRECT(ADDRESS(1131,31))-INDIRECT(ADDRESS(1126,32))+INDIRECT(ADDRESS(1127,32))-INDIRECT(ADDRESS(1130,32)),INDIRECT(ADDRESS(1131,31))-INDIRECT(ADDRESS(1126,32))+INDIRECT(ADDRESS(1129,32))-INDIRECT(ADDRESS(1130,32)))</f>
        <v>0</v>
      </c>
      <c r="AG1131">
        <f>IF(DAY(NOW())&lt;M3,INDIRECT(ADDRESS(1131,32))-INDIRECT(ADDRESS(1126,33))+INDIRECT(ADDRESS(1127,33))-INDIRECT(ADDRESS(1130,33)),INDIRECT(ADDRESS(1131,32))-INDIRECT(ADDRESS(1126,33))+INDIRECT(ADDRESS(1129,33))-INDIRECT(ADDRESS(1130,33)))</f>
        <v>0</v>
      </c>
      <c r="AH1131">
        <f>IF(DAY(NOW())&lt;M3,INDIRECT(ADDRESS(1131,33))-INDIRECT(ADDRESS(1126,34))+INDIRECT(ADDRESS(1127,34))-INDIRECT(ADDRESS(1130,34)),INDIRECT(ADDRESS(1131,33))-INDIRECT(ADDRESS(1126,34))+INDIRECT(ADDRESS(1129,34))-INDIRECT(ADDRESS(1130,34)))</f>
        <v>0</v>
      </c>
      <c r="AI1131">
        <f>IF(DAY(NOW())&lt;M3,INDIRECT(ADDRESS(1131,34))-INDIRECT(ADDRESS(1126,35))+INDIRECT(ADDRESS(1127,35))-INDIRECT(ADDRESS(1130,35)),INDIRECT(ADDRESS(1131,34))-INDIRECT(ADDRESS(1126,35))+INDIRECT(ADDRESS(1129,35))-INDIRECT(ADDRESS(1130,35)))</f>
        <v>0</v>
      </c>
      <c r="AJ1131">
        <f>IF(DAY(NOW())&lt;M3,INDIRECT(ADDRESS(1131,35))-INDIRECT(ADDRESS(1126,36))+INDIRECT(ADDRESS(1127,36))-INDIRECT(ADDRESS(1130,36)),INDIRECT(ADDRESS(1131,35))-INDIRECT(ADDRESS(1126,36))+INDIRECT(ADDRESS(1129,36))-INDIRECT(ADDRESS(1130,36)))</f>
        <v>0</v>
      </c>
      <c r="AK1131">
        <f>IF(DAY(NOW())&lt;M3,INDIRECT(ADDRESS(1131,36))-INDIRECT(ADDRESS(1126,37))+INDIRECT(ADDRESS(1127,37))-INDIRECT(ADDRESS(1130,37)),INDIRECT(ADDRESS(1131,36))-INDIRECT(ADDRESS(1126,37))+INDIRECT(ADDRESS(1129,37))-INDIRECT(ADDRESS(1130,37)))</f>
        <v>0</v>
      </c>
      <c r="AL1131">
        <f>IF(DAY(NOW())&lt;M3,INDIRECT(ADDRESS(1131,37))-INDIRECT(ADDRESS(1126,38))+INDIRECT(ADDRESS(1127,38))-INDIRECT(ADDRESS(1130,38)),INDIRECT(ADDRESS(1131,37))-INDIRECT(ADDRESS(1126,38))+INDIRECT(ADDRESS(1129,38))-INDIRECT(ADDRESS(1130,38)))</f>
        <v>0</v>
      </c>
      <c r="AM1131">
        <f>IF(DAY(NOW())&lt;M3,INDIRECT(ADDRESS(1131,38))-INDIRECT(ADDRESS(1126,39))+INDIRECT(ADDRESS(1127,39))-INDIRECT(ADDRESS(1130,39)),INDIRECT(ADDRESS(1131,38))-INDIRECT(ADDRESS(1126,39))+INDIRECT(ADDRESS(1129,39))-INDIRECT(ADDRESS(1130,39)))</f>
        <v>0</v>
      </c>
      <c r="AN1131">
        <f>IF(DAY(NOW())&lt;M3,INDIRECT(ADDRESS(1131,39))-INDIRECT(ADDRESS(1126,40))+INDIRECT(ADDRESS(1127,40))-INDIRECT(ADDRESS(1130,40)),INDIRECT(ADDRESS(1131,39))-INDIRECT(ADDRESS(1126,40))+INDIRECT(ADDRESS(1129,40))-INDIRECT(ADDRESS(1130,40)))</f>
        <v>0</v>
      </c>
      <c r="AO1131">
        <f>IF(DAY(NOW())&lt;M3,INDIRECT(ADDRESS(1131,40))-INDIRECT(ADDRESS(1126,41))+INDIRECT(ADDRESS(1127,41))-INDIRECT(ADDRESS(1130,41)),INDIRECT(ADDRESS(1131,40))-INDIRECT(ADDRESS(1126,41))+INDIRECT(ADDRESS(1129,41))-INDIRECT(ADDRESS(1130,41)))</f>
        <v>0</v>
      </c>
      <c r="AP1131">
        <f>IF(DAY(NOW())&lt;M3,INDIRECT(ADDRESS(1131,41))-INDIRECT(ADDRESS(1126,42))+INDIRECT(ADDRESS(1127,42))-INDIRECT(ADDRESS(1130,42)),INDIRECT(ADDRESS(1131,41))-INDIRECT(ADDRESS(1126,42))+INDIRECT(ADDRESS(1129,42))-INDIRECT(ADDRESS(1130,42)))</f>
        <v>0</v>
      </c>
      <c r="AQ1131">
        <f>IF(DAY(NOW())&lt;M3,INDIRECT(ADDRESS(1131,42))-INDIRECT(ADDRESS(1126,43))+INDIRECT(ADDRESS(1127,43))-INDIRECT(ADDRESS(1130,43)),INDIRECT(ADDRESS(1131,42))-INDIRECT(ADDRESS(1126,43))+INDIRECT(ADDRESS(1129,43))-INDIRECT(ADDRESS(1130,43)))</f>
        <v>0</v>
      </c>
      <c r="AR1131">
        <f>IF(DAY(NOW())&lt;M3,INDIRECT(ADDRESS(1131,43))-INDIRECT(ADDRESS(1126,44))+INDIRECT(ADDRESS(1127,44))-INDIRECT(ADDRESS(1130,44)),INDIRECT(ADDRESS(1131,43))-INDIRECT(ADDRESS(1126,44))+INDIRECT(ADDRESS(1129,44))-INDIRECT(ADDRESS(1130,44)))</f>
        <v>0</v>
      </c>
    </row>
    <row r="1132" spans="1:76">
      <c r="A1132" t="s">
        <v>14</v>
      </c>
      <c r="B1132" t="s">
        <v>475</v>
      </c>
      <c r="C1132" t="s">
        <v>476</v>
      </c>
      <c r="F1132" t="s">
        <v>477</v>
      </c>
      <c r="K1132" t="s">
        <v>437</v>
      </c>
      <c r="L1132" t="s">
        <v>21</v>
      </c>
      <c r="BX1132">
        <f>sum(j1132:an1132)</f>
        <v>0</v>
      </c>
    </row>
    <row r="1133" spans="1:76">
      <c r="A1133" t="s">
        <v>14</v>
      </c>
      <c r="B1133" t="s">
        <v>475</v>
      </c>
      <c r="C1133" t="s">
        <v>476</v>
      </c>
      <c r="F1133" t="s">
        <v>477</v>
      </c>
      <c r="K1133" t="s">
        <v>437</v>
      </c>
      <c r="L1133" t="s">
        <v>37</v>
      </c>
    </row>
    <row r="1134" spans="1:76">
      <c r="L1134" t="s">
        <v>662</v>
      </c>
    </row>
    <row r="1135" spans="1:76">
      <c r="L1135" t="s">
        <v>663</v>
      </c>
    </row>
    <row r="1136" spans="1:76">
      <c r="L1136" t="s">
        <v>664</v>
      </c>
    </row>
    <row r="1137" spans="1:76">
      <c r="L1137" t="s">
        <v>665</v>
      </c>
      <c r="M1137">
        <f>IF(DAY(NOW())&lt;M3,INDIRECT(ADDRESS(1137,7))-INDIRECT(ADDRESS(1132,13))+INDIRECT(ADDRESS(1133,13))-INDIRECT(ADDRESS(1136,13)),INDIRECT(ADDRESS(1137,7))-INDIRECT(ADDRESS(1132,13))+INDIRECT(ADDRESS(1135,13))-INDIRECT(ADDRESS(1136,13)))</f>
        <v>0</v>
      </c>
      <c r="N1137">
        <f>IF(DAY(NOW())&lt;M3,INDIRECT(ADDRESS(1137,13))-INDIRECT(ADDRESS(1132,14))+INDIRECT(ADDRESS(1133,14))-INDIRECT(ADDRESS(1136,14)),INDIRECT(ADDRESS(1137,13))-INDIRECT(ADDRESS(1132,14))+INDIRECT(ADDRESS(1135,14))-INDIRECT(ADDRESS(1136,14)))</f>
        <v>0</v>
      </c>
      <c r="O1137">
        <f>IF(DAY(NOW())&lt;M3,INDIRECT(ADDRESS(1137,14))-INDIRECT(ADDRESS(1132,15))+INDIRECT(ADDRESS(1133,15))-INDIRECT(ADDRESS(1136,15)),INDIRECT(ADDRESS(1137,14))-INDIRECT(ADDRESS(1132,15))+INDIRECT(ADDRESS(1135,15))-INDIRECT(ADDRESS(1136,15)))</f>
        <v>0</v>
      </c>
      <c r="P1137">
        <f>IF(DAY(NOW())&lt;M3,INDIRECT(ADDRESS(1137,15))-INDIRECT(ADDRESS(1132,16))+INDIRECT(ADDRESS(1133,16))-INDIRECT(ADDRESS(1136,16)),INDIRECT(ADDRESS(1137,15))-INDIRECT(ADDRESS(1132,16))+INDIRECT(ADDRESS(1135,16))-INDIRECT(ADDRESS(1136,16)))</f>
        <v>0</v>
      </c>
      <c r="Q1137">
        <f>IF(DAY(NOW())&lt;M3,INDIRECT(ADDRESS(1137,16))-INDIRECT(ADDRESS(1132,17))+INDIRECT(ADDRESS(1133,17))-INDIRECT(ADDRESS(1136,17)),INDIRECT(ADDRESS(1137,16))-INDIRECT(ADDRESS(1132,17))+INDIRECT(ADDRESS(1135,17))-INDIRECT(ADDRESS(1136,17)))</f>
        <v>0</v>
      </c>
      <c r="R1137">
        <f>IF(DAY(NOW())&lt;M3,INDIRECT(ADDRESS(1137,17))-INDIRECT(ADDRESS(1132,18))+INDIRECT(ADDRESS(1133,18))-INDIRECT(ADDRESS(1136,18)),INDIRECT(ADDRESS(1137,17))-INDIRECT(ADDRESS(1132,18))+INDIRECT(ADDRESS(1135,18))-INDIRECT(ADDRESS(1136,18)))</f>
        <v>0</v>
      </c>
      <c r="S1137">
        <f>IF(DAY(NOW())&lt;M3,INDIRECT(ADDRESS(1137,18))-INDIRECT(ADDRESS(1132,19))+INDIRECT(ADDRESS(1133,19))-INDIRECT(ADDRESS(1136,19)),INDIRECT(ADDRESS(1137,18))-INDIRECT(ADDRESS(1132,19))+INDIRECT(ADDRESS(1135,19))-INDIRECT(ADDRESS(1136,19)))</f>
        <v>0</v>
      </c>
      <c r="T1137">
        <f>IF(DAY(NOW())&lt;M3,INDIRECT(ADDRESS(1137,19))-INDIRECT(ADDRESS(1132,20))+INDIRECT(ADDRESS(1133,20))-INDIRECT(ADDRESS(1136,20)),INDIRECT(ADDRESS(1137,19))-INDIRECT(ADDRESS(1132,20))+INDIRECT(ADDRESS(1135,20))-INDIRECT(ADDRESS(1136,20)))</f>
        <v>0</v>
      </c>
      <c r="U1137">
        <f>IF(DAY(NOW())&lt;M3,INDIRECT(ADDRESS(1137,20))-INDIRECT(ADDRESS(1132,21))+INDIRECT(ADDRESS(1133,21))-INDIRECT(ADDRESS(1136,21)),INDIRECT(ADDRESS(1137,20))-INDIRECT(ADDRESS(1132,21))+INDIRECT(ADDRESS(1135,21))-INDIRECT(ADDRESS(1136,21)))</f>
        <v>0</v>
      </c>
      <c r="V1137">
        <f>IF(DAY(NOW())&lt;M3,INDIRECT(ADDRESS(1137,21))-INDIRECT(ADDRESS(1132,22))+INDIRECT(ADDRESS(1133,22))-INDIRECT(ADDRESS(1136,22)),INDIRECT(ADDRESS(1137,21))-INDIRECT(ADDRESS(1132,22))+INDIRECT(ADDRESS(1135,22))-INDIRECT(ADDRESS(1136,22)))</f>
        <v>0</v>
      </c>
      <c r="W1137">
        <f>IF(DAY(NOW())&lt;M3,INDIRECT(ADDRESS(1137,22))-INDIRECT(ADDRESS(1132,23))+INDIRECT(ADDRESS(1133,23))-INDIRECT(ADDRESS(1136,23)),INDIRECT(ADDRESS(1137,22))-INDIRECT(ADDRESS(1132,23))+INDIRECT(ADDRESS(1135,23))-INDIRECT(ADDRESS(1136,23)))</f>
        <v>0</v>
      </c>
      <c r="X1137">
        <f>IF(DAY(NOW())&lt;M3,INDIRECT(ADDRESS(1137,23))-INDIRECT(ADDRESS(1132,24))+INDIRECT(ADDRESS(1133,24))-INDIRECT(ADDRESS(1136,24)),INDIRECT(ADDRESS(1137,23))-INDIRECT(ADDRESS(1132,24))+INDIRECT(ADDRESS(1135,24))-INDIRECT(ADDRESS(1136,24)))</f>
        <v>0</v>
      </c>
      <c r="Y1137">
        <f>IF(DAY(NOW())&lt;M3,INDIRECT(ADDRESS(1137,24))-INDIRECT(ADDRESS(1132,25))+INDIRECT(ADDRESS(1133,25))-INDIRECT(ADDRESS(1136,25)),INDIRECT(ADDRESS(1137,24))-INDIRECT(ADDRESS(1132,25))+INDIRECT(ADDRESS(1135,25))-INDIRECT(ADDRESS(1136,25)))</f>
        <v>0</v>
      </c>
      <c r="Z1137">
        <f>IF(DAY(NOW())&lt;M3,INDIRECT(ADDRESS(1137,25))-INDIRECT(ADDRESS(1132,26))+INDIRECT(ADDRESS(1133,26))-INDIRECT(ADDRESS(1136,26)),INDIRECT(ADDRESS(1137,25))-INDIRECT(ADDRESS(1132,26))+INDIRECT(ADDRESS(1135,26))-INDIRECT(ADDRESS(1136,26)))</f>
        <v>0</v>
      </c>
      <c r="AA1137">
        <f>IF(DAY(NOW())&lt;M3,INDIRECT(ADDRESS(1137,26))-INDIRECT(ADDRESS(1132,27))+INDIRECT(ADDRESS(1133,27))-INDIRECT(ADDRESS(1136,27)),INDIRECT(ADDRESS(1137,26))-INDIRECT(ADDRESS(1132,27))+INDIRECT(ADDRESS(1135,27))-INDIRECT(ADDRESS(1136,27)))</f>
        <v>0</v>
      </c>
      <c r="AB1137">
        <f>IF(DAY(NOW())&lt;M3,INDIRECT(ADDRESS(1137,27))-INDIRECT(ADDRESS(1132,28))+INDIRECT(ADDRESS(1133,28))-INDIRECT(ADDRESS(1136,28)),INDIRECT(ADDRESS(1137,27))-INDIRECT(ADDRESS(1132,28))+INDIRECT(ADDRESS(1135,28))-INDIRECT(ADDRESS(1136,28)))</f>
        <v>0</v>
      </c>
      <c r="AC1137">
        <f>IF(DAY(NOW())&lt;M3,INDIRECT(ADDRESS(1137,28))-INDIRECT(ADDRESS(1132,29))+INDIRECT(ADDRESS(1133,29))-INDIRECT(ADDRESS(1136,29)),INDIRECT(ADDRESS(1137,28))-INDIRECT(ADDRESS(1132,29))+INDIRECT(ADDRESS(1135,29))-INDIRECT(ADDRESS(1136,29)))</f>
        <v>0</v>
      </c>
      <c r="AD1137">
        <f>IF(DAY(NOW())&lt;M3,INDIRECT(ADDRESS(1137,29))-INDIRECT(ADDRESS(1132,30))+INDIRECT(ADDRESS(1133,30))-INDIRECT(ADDRESS(1136,30)),INDIRECT(ADDRESS(1137,29))-INDIRECT(ADDRESS(1132,30))+INDIRECT(ADDRESS(1135,30))-INDIRECT(ADDRESS(1136,30)))</f>
        <v>0</v>
      </c>
      <c r="AE1137">
        <f>IF(DAY(NOW())&lt;M3,INDIRECT(ADDRESS(1137,30))-INDIRECT(ADDRESS(1132,31))+INDIRECT(ADDRESS(1133,31))-INDIRECT(ADDRESS(1136,31)),INDIRECT(ADDRESS(1137,30))-INDIRECT(ADDRESS(1132,31))+INDIRECT(ADDRESS(1135,31))-INDIRECT(ADDRESS(1136,31)))</f>
        <v>0</v>
      </c>
      <c r="AF1137">
        <f>IF(DAY(NOW())&lt;M3,INDIRECT(ADDRESS(1137,31))-INDIRECT(ADDRESS(1132,32))+INDIRECT(ADDRESS(1133,32))-INDIRECT(ADDRESS(1136,32)),INDIRECT(ADDRESS(1137,31))-INDIRECT(ADDRESS(1132,32))+INDIRECT(ADDRESS(1135,32))-INDIRECT(ADDRESS(1136,32)))</f>
        <v>0</v>
      </c>
      <c r="AG1137">
        <f>IF(DAY(NOW())&lt;M3,INDIRECT(ADDRESS(1137,32))-INDIRECT(ADDRESS(1132,33))+INDIRECT(ADDRESS(1133,33))-INDIRECT(ADDRESS(1136,33)),INDIRECT(ADDRESS(1137,32))-INDIRECT(ADDRESS(1132,33))+INDIRECT(ADDRESS(1135,33))-INDIRECT(ADDRESS(1136,33)))</f>
        <v>0</v>
      </c>
      <c r="AH1137">
        <f>IF(DAY(NOW())&lt;M3,INDIRECT(ADDRESS(1137,33))-INDIRECT(ADDRESS(1132,34))+INDIRECT(ADDRESS(1133,34))-INDIRECT(ADDRESS(1136,34)),INDIRECT(ADDRESS(1137,33))-INDIRECT(ADDRESS(1132,34))+INDIRECT(ADDRESS(1135,34))-INDIRECT(ADDRESS(1136,34)))</f>
        <v>0</v>
      </c>
      <c r="AI1137">
        <f>IF(DAY(NOW())&lt;M3,INDIRECT(ADDRESS(1137,34))-INDIRECT(ADDRESS(1132,35))+INDIRECT(ADDRESS(1133,35))-INDIRECT(ADDRESS(1136,35)),INDIRECT(ADDRESS(1137,34))-INDIRECT(ADDRESS(1132,35))+INDIRECT(ADDRESS(1135,35))-INDIRECT(ADDRESS(1136,35)))</f>
        <v>0</v>
      </c>
      <c r="AJ1137">
        <f>IF(DAY(NOW())&lt;M3,INDIRECT(ADDRESS(1137,35))-INDIRECT(ADDRESS(1132,36))+INDIRECT(ADDRESS(1133,36))-INDIRECT(ADDRESS(1136,36)),INDIRECT(ADDRESS(1137,35))-INDIRECT(ADDRESS(1132,36))+INDIRECT(ADDRESS(1135,36))-INDIRECT(ADDRESS(1136,36)))</f>
        <v>0</v>
      </c>
      <c r="AK1137">
        <f>IF(DAY(NOW())&lt;M3,INDIRECT(ADDRESS(1137,36))-INDIRECT(ADDRESS(1132,37))+INDIRECT(ADDRESS(1133,37))-INDIRECT(ADDRESS(1136,37)),INDIRECT(ADDRESS(1137,36))-INDIRECT(ADDRESS(1132,37))+INDIRECT(ADDRESS(1135,37))-INDIRECT(ADDRESS(1136,37)))</f>
        <v>0</v>
      </c>
      <c r="AL1137">
        <f>IF(DAY(NOW())&lt;M3,INDIRECT(ADDRESS(1137,37))-INDIRECT(ADDRESS(1132,38))+INDIRECT(ADDRESS(1133,38))-INDIRECT(ADDRESS(1136,38)),INDIRECT(ADDRESS(1137,37))-INDIRECT(ADDRESS(1132,38))+INDIRECT(ADDRESS(1135,38))-INDIRECT(ADDRESS(1136,38)))</f>
        <v>0</v>
      </c>
      <c r="AM1137">
        <f>IF(DAY(NOW())&lt;M3,INDIRECT(ADDRESS(1137,38))-INDIRECT(ADDRESS(1132,39))+INDIRECT(ADDRESS(1133,39))-INDIRECT(ADDRESS(1136,39)),INDIRECT(ADDRESS(1137,38))-INDIRECT(ADDRESS(1132,39))+INDIRECT(ADDRESS(1135,39))-INDIRECT(ADDRESS(1136,39)))</f>
        <v>0</v>
      </c>
      <c r="AN1137">
        <f>IF(DAY(NOW())&lt;M3,INDIRECT(ADDRESS(1137,39))-INDIRECT(ADDRESS(1132,40))+INDIRECT(ADDRESS(1133,40))-INDIRECT(ADDRESS(1136,40)),INDIRECT(ADDRESS(1137,39))-INDIRECT(ADDRESS(1132,40))+INDIRECT(ADDRESS(1135,40))-INDIRECT(ADDRESS(1136,40)))</f>
        <v>0</v>
      </c>
      <c r="AO1137">
        <f>IF(DAY(NOW())&lt;M3,INDIRECT(ADDRESS(1137,40))-INDIRECT(ADDRESS(1132,41))+INDIRECT(ADDRESS(1133,41))-INDIRECT(ADDRESS(1136,41)),INDIRECT(ADDRESS(1137,40))-INDIRECT(ADDRESS(1132,41))+INDIRECT(ADDRESS(1135,41))-INDIRECT(ADDRESS(1136,41)))</f>
        <v>0</v>
      </c>
      <c r="AP1137">
        <f>IF(DAY(NOW())&lt;M3,INDIRECT(ADDRESS(1137,41))-INDIRECT(ADDRESS(1132,42))+INDIRECT(ADDRESS(1133,42))-INDIRECT(ADDRESS(1136,42)),INDIRECT(ADDRESS(1137,41))-INDIRECT(ADDRESS(1132,42))+INDIRECT(ADDRESS(1135,42))-INDIRECT(ADDRESS(1136,42)))</f>
        <v>0</v>
      </c>
      <c r="AQ1137">
        <f>IF(DAY(NOW())&lt;M3,INDIRECT(ADDRESS(1137,42))-INDIRECT(ADDRESS(1132,43))+INDIRECT(ADDRESS(1133,43))-INDIRECT(ADDRESS(1136,43)),INDIRECT(ADDRESS(1137,42))-INDIRECT(ADDRESS(1132,43))+INDIRECT(ADDRESS(1135,43))-INDIRECT(ADDRESS(1136,43)))</f>
        <v>0</v>
      </c>
      <c r="AR1137">
        <f>IF(DAY(NOW())&lt;M3,INDIRECT(ADDRESS(1137,43))-INDIRECT(ADDRESS(1132,44))+INDIRECT(ADDRESS(1133,44))-INDIRECT(ADDRESS(1136,44)),INDIRECT(ADDRESS(1137,43))-INDIRECT(ADDRESS(1132,44))+INDIRECT(ADDRESS(1135,44))-INDIRECT(ADDRESS(1136,44)))</f>
        <v>0</v>
      </c>
    </row>
    <row r="1138" spans="1:76">
      <c r="A1138" t="s">
        <v>31</v>
      </c>
      <c r="B1138" t="s">
        <v>478</v>
      </c>
      <c r="C1138" t="s">
        <v>479</v>
      </c>
      <c r="D1138" t="s">
        <v>480</v>
      </c>
      <c r="E1138" t="s">
        <v>444</v>
      </c>
      <c r="F1138" t="s">
        <v>481</v>
      </c>
      <c r="K1138" t="s">
        <v>437</v>
      </c>
      <c r="L1138" t="s">
        <v>21</v>
      </c>
      <c r="M1138">
        <f>sumifs(BOM!m:m,BOM!A:A,".1",BOM!B:B,"852-211000-100")</f>
        <v>0</v>
      </c>
      <c r="N1138">
        <f>sumifs(BOM!n:n,BOM!A:A,".1",BOM!B:B,"852-211000-100")</f>
        <v>0</v>
      </c>
      <c r="O1138">
        <f>sumifs(BOM!o:o,BOM!A:A,".1",BOM!B:B,"852-211000-100")</f>
        <v>0</v>
      </c>
      <c r="P1138">
        <f>sumifs(BOM!p:p,BOM!A:A,".1",BOM!B:B,"852-211000-100")</f>
        <v>0</v>
      </c>
      <c r="Q1138">
        <f>sumifs(BOM!q:q,BOM!A:A,".1",BOM!B:B,"852-211000-100")</f>
        <v>0</v>
      </c>
      <c r="R1138">
        <f>sumifs(BOM!r:r,BOM!A:A,".1",BOM!B:B,"852-211000-100")</f>
        <v>0</v>
      </c>
      <c r="S1138">
        <f>sumifs(BOM!s:s,BOM!A:A,".1",BOM!B:B,"852-211000-100")</f>
        <v>0</v>
      </c>
      <c r="T1138">
        <f>sumifs(BOM!t:t,BOM!A:A,".1",BOM!B:B,"852-211000-100")</f>
        <v>0</v>
      </c>
      <c r="U1138">
        <f>sumifs(BOM!u:u,BOM!A:A,".1",BOM!B:B,"852-211000-100")</f>
        <v>0</v>
      </c>
      <c r="V1138">
        <f>sumifs(BOM!v:v,BOM!A:A,".1",BOM!B:B,"852-211000-100")</f>
        <v>0</v>
      </c>
      <c r="W1138">
        <f>sumifs(BOM!w:w,BOM!A:A,".1",BOM!B:B,"852-211000-100")</f>
        <v>0</v>
      </c>
      <c r="X1138">
        <f>sumifs(BOM!x:x,BOM!A:A,".1",BOM!B:B,"852-211000-100")</f>
        <v>0</v>
      </c>
      <c r="Y1138">
        <f>sumifs(BOM!y:y,BOM!A:A,".1",BOM!B:B,"852-211000-100")</f>
        <v>0</v>
      </c>
      <c r="Z1138">
        <f>sumifs(BOM!z:z,BOM!A:A,".1",BOM!B:B,"852-211000-100")</f>
        <v>0</v>
      </c>
      <c r="AA1138">
        <f>sumifs(BOM!aa:aa,BOM!A:A,".1",BOM!B:B,"852-211000-100")</f>
        <v>0</v>
      </c>
      <c r="AB1138">
        <f>sumifs(BOM!ab:ab,BOM!A:A,".1",BOM!B:B,"852-211000-100")</f>
        <v>0</v>
      </c>
      <c r="AC1138">
        <f>sumifs(BOM!ac:ac,BOM!A:A,".1",BOM!B:B,"852-211000-100")</f>
        <v>0</v>
      </c>
      <c r="AD1138">
        <f>sumifs(BOM!ad:ad,BOM!A:A,".1",BOM!B:B,"852-211000-100")</f>
        <v>0</v>
      </c>
      <c r="AE1138">
        <f>sumifs(BOM!ae:ae,BOM!A:A,".1",BOM!B:B,"852-211000-100")</f>
        <v>0</v>
      </c>
      <c r="AF1138">
        <f>sumifs(BOM!af:af,BOM!A:A,".1",BOM!B:B,"852-211000-100")</f>
        <v>0</v>
      </c>
      <c r="AG1138">
        <f>sumifs(BOM!ag:ag,BOM!A:A,".1",BOM!B:B,"852-211000-100")</f>
        <v>0</v>
      </c>
      <c r="AH1138">
        <f>sumifs(BOM!ah:ah,BOM!A:A,".1",BOM!B:B,"852-211000-100")</f>
        <v>0</v>
      </c>
      <c r="AI1138">
        <f>sumifs(BOM!ai:ai,BOM!A:A,".1",BOM!B:B,"852-211000-100")</f>
        <v>0</v>
      </c>
      <c r="AJ1138">
        <f>sumifs(BOM!aj:aj,BOM!A:A,".1",BOM!B:B,"852-211000-100")</f>
        <v>0</v>
      </c>
      <c r="AK1138">
        <f>sumifs(BOM!ak:ak,BOM!A:A,".1",BOM!B:B,"852-211000-100")</f>
        <v>0</v>
      </c>
      <c r="AL1138">
        <f>sumifs(BOM!al:al,BOM!A:A,".1",BOM!B:B,"852-211000-100")</f>
        <v>0</v>
      </c>
      <c r="AM1138">
        <f>sumifs(BOM!am:am,BOM!A:A,".1",BOM!B:B,"852-211000-100")</f>
        <v>0</v>
      </c>
      <c r="AN1138">
        <f>sumifs(BOM!an:an,BOM!A:A,".1",BOM!B:B,"852-211000-100")</f>
        <v>0</v>
      </c>
      <c r="AO1138">
        <f>sumifs(BOM!ao:ao,BOM!A:A,".1",BOM!B:B,"852-211000-100")</f>
        <v>0</v>
      </c>
      <c r="AP1138">
        <f>sumifs(BOM!ap:ap,BOM!A:A,".1",BOM!B:B,"852-211000-100")</f>
        <v>0</v>
      </c>
      <c r="AQ1138">
        <f>sumifs(BOM!aq:aq,BOM!A:A,".1",BOM!B:B,"852-211000-100")</f>
        <v>0</v>
      </c>
      <c r="AR1138">
        <f>sumifs(BOM!ar:ar,BOM!A:A,".1",BOM!B:B,"852-211000-100")</f>
        <v>0</v>
      </c>
      <c r="BX1138">
        <f>sum(j1138:an1138)</f>
        <v>0</v>
      </c>
    </row>
    <row r="1139" spans="1:76">
      <c r="A1139" t="s">
        <v>31</v>
      </c>
      <c r="B1139" t="s">
        <v>478</v>
      </c>
      <c r="C1139" t="s">
        <v>479</v>
      </c>
      <c r="D1139" t="s">
        <v>480</v>
      </c>
      <c r="E1139" t="s">
        <v>444</v>
      </c>
      <c r="F1139" t="s">
        <v>481</v>
      </c>
      <c r="K1139" t="s">
        <v>437</v>
      </c>
      <c r="L1139" t="s">
        <v>37</v>
      </c>
    </row>
    <row r="1140" spans="1:76">
      <c r="L1140" t="s">
        <v>662</v>
      </c>
    </row>
    <row r="1141" spans="1:76">
      <c r="L1141" t="s">
        <v>663</v>
      </c>
    </row>
    <row r="1142" spans="1:76">
      <c r="L1142" t="s">
        <v>664</v>
      </c>
    </row>
    <row r="1143" spans="1:76">
      <c r="L1143" t="s">
        <v>665</v>
      </c>
      <c r="M1143">
        <f>IF(DAY(NOW())&lt;M3,INDIRECT(ADDRESS(1143,7))-INDIRECT(ADDRESS(1138,13))+INDIRECT(ADDRESS(1139,13))-INDIRECT(ADDRESS(1142,13)),INDIRECT(ADDRESS(1143,7))-INDIRECT(ADDRESS(1138,13))+INDIRECT(ADDRESS(1141,13))-INDIRECT(ADDRESS(1142,13)))</f>
        <v>0</v>
      </c>
      <c r="N1143">
        <f>IF(DAY(NOW())&lt;M3,INDIRECT(ADDRESS(1143,13))-INDIRECT(ADDRESS(1138,14))+INDIRECT(ADDRESS(1139,14))-INDIRECT(ADDRESS(1142,14)),INDIRECT(ADDRESS(1143,13))-INDIRECT(ADDRESS(1138,14))+INDIRECT(ADDRESS(1141,14))-INDIRECT(ADDRESS(1142,14)))</f>
        <v>0</v>
      </c>
      <c r="O1143">
        <f>IF(DAY(NOW())&lt;M3,INDIRECT(ADDRESS(1143,14))-INDIRECT(ADDRESS(1138,15))+INDIRECT(ADDRESS(1139,15))-INDIRECT(ADDRESS(1142,15)),INDIRECT(ADDRESS(1143,14))-INDIRECT(ADDRESS(1138,15))+INDIRECT(ADDRESS(1141,15))-INDIRECT(ADDRESS(1142,15)))</f>
        <v>0</v>
      </c>
      <c r="P1143">
        <f>IF(DAY(NOW())&lt;M3,INDIRECT(ADDRESS(1143,15))-INDIRECT(ADDRESS(1138,16))+INDIRECT(ADDRESS(1139,16))-INDIRECT(ADDRESS(1142,16)),INDIRECT(ADDRESS(1143,15))-INDIRECT(ADDRESS(1138,16))+INDIRECT(ADDRESS(1141,16))-INDIRECT(ADDRESS(1142,16)))</f>
        <v>0</v>
      </c>
      <c r="Q1143">
        <f>IF(DAY(NOW())&lt;M3,INDIRECT(ADDRESS(1143,16))-INDIRECT(ADDRESS(1138,17))+INDIRECT(ADDRESS(1139,17))-INDIRECT(ADDRESS(1142,17)),INDIRECT(ADDRESS(1143,16))-INDIRECT(ADDRESS(1138,17))+INDIRECT(ADDRESS(1141,17))-INDIRECT(ADDRESS(1142,17)))</f>
        <v>0</v>
      </c>
      <c r="R1143">
        <f>IF(DAY(NOW())&lt;M3,INDIRECT(ADDRESS(1143,17))-INDIRECT(ADDRESS(1138,18))+INDIRECT(ADDRESS(1139,18))-INDIRECT(ADDRESS(1142,18)),INDIRECT(ADDRESS(1143,17))-INDIRECT(ADDRESS(1138,18))+INDIRECT(ADDRESS(1141,18))-INDIRECT(ADDRESS(1142,18)))</f>
        <v>0</v>
      </c>
      <c r="S1143">
        <f>IF(DAY(NOW())&lt;M3,INDIRECT(ADDRESS(1143,18))-INDIRECT(ADDRESS(1138,19))+INDIRECT(ADDRESS(1139,19))-INDIRECT(ADDRESS(1142,19)),INDIRECT(ADDRESS(1143,18))-INDIRECT(ADDRESS(1138,19))+INDIRECT(ADDRESS(1141,19))-INDIRECT(ADDRESS(1142,19)))</f>
        <v>0</v>
      </c>
      <c r="T1143">
        <f>IF(DAY(NOW())&lt;M3,INDIRECT(ADDRESS(1143,19))-INDIRECT(ADDRESS(1138,20))+INDIRECT(ADDRESS(1139,20))-INDIRECT(ADDRESS(1142,20)),INDIRECT(ADDRESS(1143,19))-INDIRECT(ADDRESS(1138,20))+INDIRECT(ADDRESS(1141,20))-INDIRECT(ADDRESS(1142,20)))</f>
        <v>0</v>
      </c>
      <c r="U1143">
        <f>IF(DAY(NOW())&lt;M3,INDIRECT(ADDRESS(1143,20))-INDIRECT(ADDRESS(1138,21))+INDIRECT(ADDRESS(1139,21))-INDIRECT(ADDRESS(1142,21)),INDIRECT(ADDRESS(1143,20))-INDIRECT(ADDRESS(1138,21))+INDIRECT(ADDRESS(1141,21))-INDIRECT(ADDRESS(1142,21)))</f>
        <v>0</v>
      </c>
      <c r="V1143">
        <f>IF(DAY(NOW())&lt;M3,INDIRECT(ADDRESS(1143,21))-INDIRECT(ADDRESS(1138,22))+INDIRECT(ADDRESS(1139,22))-INDIRECT(ADDRESS(1142,22)),INDIRECT(ADDRESS(1143,21))-INDIRECT(ADDRESS(1138,22))+INDIRECT(ADDRESS(1141,22))-INDIRECT(ADDRESS(1142,22)))</f>
        <v>0</v>
      </c>
      <c r="W1143">
        <f>IF(DAY(NOW())&lt;M3,INDIRECT(ADDRESS(1143,22))-INDIRECT(ADDRESS(1138,23))+INDIRECT(ADDRESS(1139,23))-INDIRECT(ADDRESS(1142,23)),INDIRECT(ADDRESS(1143,22))-INDIRECT(ADDRESS(1138,23))+INDIRECT(ADDRESS(1141,23))-INDIRECT(ADDRESS(1142,23)))</f>
        <v>0</v>
      </c>
      <c r="X1143">
        <f>IF(DAY(NOW())&lt;M3,INDIRECT(ADDRESS(1143,23))-INDIRECT(ADDRESS(1138,24))+INDIRECT(ADDRESS(1139,24))-INDIRECT(ADDRESS(1142,24)),INDIRECT(ADDRESS(1143,23))-INDIRECT(ADDRESS(1138,24))+INDIRECT(ADDRESS(1141,24))-INDIRECT(ADDRESS(1142,24)))</f>
        <v>0</v>
      </c>
      <c r="Y1143">
        <f>IF(DAY(NOW())&lt;M3,INDIRECT(ADDRESS(1143,24))-INDIRECT(ADDRESS(1138,25))+INDIRECT(ADDRESS(1139,25))-INDIRECT(ADDRESS(1142,25)),INDIRECT(ADDRESS(1143,24))-INDIRECT(ADDRESS(1138,25))+INDIRECT(ADDRESS(1141,25))-INDIRECT(ADDRESS(1142,25)))</f>
        <v>0</v>
      </c>
      <c r="Z1143">
        <f>IF(DAY(NOW())&lt;M3,INDIRECT(ADDRESS(1143,25))-INDIRECT(ADDRESS(1138,26))+INDIRECT(ADDRESS(1139,26))-INDIRECT(ADDRESS(1142,26)),INDIRECT(ADDRESS(1143,25))-INDIRECT(ADDRESS(1138,26))+INDIRECT(ADDRESS(1141,26))-INDIRECT(ADDRESS(1142,26)))</f>
        <v>0</v>
      </c>
      <c r="AA1143">
        <f>IF(DAY(NOW())&lt;M3,INDIRECT(ADDRESS(1143,26))-INDIRECT(ADDRESS(1138,27))+INDIRECT(ADDRESS(1139,27))-INDIRECT(ADDRESS(1142,27)),INDIRECT(ADDRESS(1143,26))-INDIRECT(ADDRESS(1138,27))+INDIRECT(ADDRESS(1141,27))-INDIRECT(ADDRESS(1142,27)))</f>
        <v>0</v>
      </c>
      <c r="AB1143">
        <f>IF(DAY(NOW())&lt;M3,INDIRECT(ADDRESS(1143,27))-INDIRECT(ADDRESS(1138,28))+INDIRECT(ADDRESS(1139,28))-INDIRECT(ADDRESS(1142,28)),INDIRECT(ADDRESS(1143,27))-INDIRECT(ADDRESS(1138,28))+INDIRECT(ADDRESS(1141,28))-INDIRECT(ADDRESS(1142,28)))</f>
        <v>0</v>
      </c>
      <c r="AC1143">
        <f>IF(DAY(NOW())&lt;M3,INDIRECT(ADDRESS(1143,28))-INDIRECT(ADDRESS(1138,29))+INDIRECT(ADDRESS(1139,29))-INDIRECT(ADDRESS(1142,29)),INDIRECT(ADDRESS(1143,28))-INDIRECT(ADDRESS(1138,29))+INDIRECT(ADDRESS(1141,29))-INDIRECT(ADDRESS(1142,29)))</f>
        <v>0</v>
      </c>
      <c r="AD1143">
        <f>IF(DAY(NOW())&lt;M3,INDIRECT(ADDRESS(1143,29))-INDIRECT(ADDRESS(1138,30))+INDIRECT(ADDRESS(1139,30))-INDIRECT(ADDRESS(1142,30)),INDIRECT(ADDRESS(1143,29))-INDIRECT(ADDRESS(1138,30))+INDIRECT(ADDRESS(1141,30))-INDIRECT(ADDRESS(1142,30)))</f>
        <v>0</v>
      </c>
      <c r="AE1143">
        <f>IF(DAY(NOW())&lt;M3,INDIRECT(ADDRESS(1143,30))-INDIRECT(ADDRESS(1138,31))+INDIRECT(ADDRESS(1139,31))-INDIRECT(ADDRESS(1142,31)),INDIRECT(ADDRESS(1143,30))-INDIRECT(ADDRESS(1138,31))+INDIRECT(ADDRESS(1141,31))-INDIRECT(ADDRESS(1142,31)))</f>
        <v>0</v>
      </c>
      <c r="AF1143">
        <f>IF(DAY(NOW())&lt;M3,INDIRECT(ADDRESS(1143,31))-INDIRECT(ADDRESS(1138,32))+INDIRECT(ADDRESS(1139,32))-INDIRECT(ADDRESS(1142,32)),INDIRECT(ADDRESS(1143,31))-INDIRECT(ADDRESS(1138,32))+INDIRECT(ADDRESS(1141,32))-INDIRECT(ADDRESS(1142,32)))</f>
        <v>0</v>
      </c>
      <c r="AG1143">
        <f>IF(DAY(NOW())&lt;M3,INDIRECT(ADDRESS(1143,32))-INDIRECT(ADDRESS(1138,33))+INDIRECT(ADDRESS(1139,33))-INDIRECT(ADDRESS(1142,33)),INDIRECT(ADDRESS(1143,32))-INDIRECT(ADDRESS(1138,33))+INDIRECT(ADDRESS(1141,33))-INDIRECT(ADDRESS(1142,33)))</f>
        <v>0</v>
      </c>
      <c r="AH1143">
        <f>IF(DAY(NOW())&lt;M3,INDIRECT(ADDRESS(1143,33))-INDIRECT(ADDRESS(1138,34))+INDIRECT(ADDRESS(1139,34))-INDIRECT(ADDRESS(1142,34)),INDIRECT(ADDRESS(1143,33))-INDIRECT(ADDRESS(1138,34))+INDIRECT(ADDRESS(1141,34))-INDIRECT(ADDRESS(1142,34)))</f>
        <v>0</v>
      </c>
      <c r="AI1143">
        <f>IF(DAY(NOW())&lt;M3,INDIRECT(ADDRESS(1143,34))-INDIRECT(ADDRESS(1138,35))+INDIRECT(ADDRESS(1139,35))-INDIRECT(ADDRESS(1142,35)),INDIRECT(ADDRESS(1143,34))-INDIRECT(ADDRESS(1138,35))+INDIRECT(ADDRESS(1141,35))-INDIRECT(ADDRESS(1142,35)))</f>
        <v>0</v>
      </c>
      <c r="AJ1143">
        <f>IF(DAY(NOW())&lt;M3,INDIRECT(ADDRESS(1143,35))-INDIRECT(ADDRESS(1138,36))+INDIRECT(ADDRESS(1139,36))-INDIRECT(ADDRESS(1142,36)),INDIRECT(ADDRESS(1143,35))-INDIRECT(ADDRESS(1138,36))+INDIRECT(ADDRESS(1141,36))-INDIRECT(ADDRESS(1142,36)))</f>
        <v>0</v>
      </c>
      <c r="AK1143">
        <f>IF(DAY(NOW())&lt;M3,INDIRECT(ADDRESS(1143,36))-INDIRECT(ADDRESS(1138,37))+INDIRECT(ADDRESS(1139,37))-INDIRECT(ADDRESS(1142,37)),INDIRECT(ADDRESS(1143,36))-INDIRECT(ADDRESS(1138,37))+INDIRECT(ADDRESS(1141,37))-INDIRECT(ADDRESS(1142,37)))</f>
        <v>0</v>
      </c>
      <c r="AL1143">
        <f>IF(DAY(NOW())&lt;M3,INDIRECT(ADDRESS(1143,37))-INDIRECT(ADDRESS(1138,38))+INDIRECT(ADDRESS(1139,38))-INDIRECT(ADDRESS(1142,38)),INDIRECT(ADDRESS(1143,37))-INDIRECT(ADDRESS(1138,38))+INDIRECT(ADDRESS(1141,38))-INDIRECT(ADDRESS(1142,38)))</f>
        <v>0</v>
      </c>
      <c r="AM1143">
        <f>IF(DAY(NOW())&lt;M3,INDIRECT(ADDRESS(1143,38))-INDIRECT(ADDRESS(1138,39))+INDIRECT(ADDRESS(1139,39))-INDIRECT(ADDRESS(1142,39)),INDIRECT(ADDRESS(1143,38))-INDIRECT(ADDRESS(1138,39))+INDIRECT(ADDRESS(1141,39))-INDIRECT(ADDRESS(1142,39)))</f>
        <v>0</v>
      </c>
      <c r="AN1143">
        <f>IF(DAY(NOW())&lt;M3,INDIRECT(ADDRESS(1143,39))-INDIRECT(ADDRESS(1138,40))+INDIRECT(ADDRESS(1139,40))-INDIRECT(ADDRESS(1142,40)),INDIRECT(ADDRESS(1143,39))-INDIRECT(ADDRESS(1138,40))+INDIRECT(ADDRESS(1141,40))-INDIRECT(ADDRESS(1142,40)))</f>
        <v>0</v>
      </c>
      <c r="AO1143">
        <f>IF(DAY(NOW())&lt;M3,INDIRECT(ADDRESS(1143,40))-INDIRECT(ADDRESS(1138,41))+INDIRECT(ADDRESS(1139,41))-INDIRECT(ADDRESS(1142,41)),INDIRECT(ADDRESS(1143,40))-INDIRECT(ADDRESS(1138,41))+INDIRECT(ADDRESS(1141,41))-INDIRECT(ADDRESS(1142,41)))</f>
        <v>0</v>
      </c>
      <c r="AP1143">
        <f>IF(DAY(NOW())&lt;M3,INDIRECT(ADDRESS(1143,41))-INDIRECT(ADDRESS(1138,42))+INDIRECT(ADDRESS(1139,42))-INDIRECT(ADDRESS(1142,42)),INDIRECT(ADDRESS(1143,41))-INDIRECT(ADDRESS(1138,42))+INDIRECT(ADDRESS(1141,42))-INDIRECT(ADDRESS(1142,42)))</f>
        <v>0</v>
      </c>
      <c r="AQ1143">
        <f>IF(DAY(NOW())&lt;M3,INDIRECT(ADDRESS(1143,42))-INDIRECT(ADDRESS(1138,43))+INDIRECT(ADDRESS(1139,43))-INDIRECT(ADDRESS(1142,43)),INDIRECT(ADDRESS(1143,42))-INDIRECT(ADDRESS(1138,43))+INDIRECT(ADDRESS(1141,43))-INDIRECT(ADDRESS(1142,43)))</f>
        <v>0</v>
      </c>
      <c r="AR1143">
        <f>IF(DAY(NOW())&lt;M3,INDIRECT(ADDRESS(1143,43))-INDIRECT(ADDRESS(1138,44))+INDIRECT(ADDRESS(1139,44))-INDIRECT(ADDRESS(1142,44)),INDIRECT(ADDRESS(1143,43))-INDIRECT(ADDRESS(1138,44))+INDIRECT(ADDRESS(1141,44))-INDIRECT(ADDRESS(1142,44)))</f>
        <v>0</v>
      </c>
    </row>
    <row r="1144" spans="1:76">
      <c r="A1144" t="s">
        <v>31</v>
      </c>
      <c r="B1144" t="s">
        <v>482</v>
      </c>
      <c r="C1144" t="s">
        <v>483</v>
      </c>
      <c r="D1144" t="s">
        <v>452</v>
      </c>
      <c r="E1144" t="s">
        <v>444</v>
      </c>
      <c r="F1144" t="s">
        <v>484</v>
      </c>
      <c r="K1144" t="s">
        <v>437</v>
      </c>
      <c r="L1144" t="s">
        <v>21</v>
      </c>
      <c r="M1144">
        <f>sumifs(BOM!m:m,BOM!A:A,".1",BOM!B:B,"852-226000-100")</f>
        <v>0</v>
      </c>
      <c r="N1144">
        <f>sumifs(BOM!n:n,BOM!A:A,".1",BOM!B:B,"852-226000-100")</f>
        <v>0</v>
      </c>
      <c r="O1144">
        <f>sumifs(BOM!o:o,BOM!A:A,".1",BOM!B:B,"852-226000-100")</f>
        <v>0</v>
      </c>
      <c r="P1144">
        <f>sumifs(BOM!p:p,BOM!A:A,".1",BOM!B:B,"852-226000-100")</f>
        <v>0</v>
      </c>
      <c r="Q1144">
        <f>sumifs(BOM!q:q,BOM!A:A,".1",BOM!B:B,"852-226000-100")</f>
        <v>0</v>
      </c>
      <c r="R1144">
        <f>sumifs(BOM!r:r,BOM!A:A,".1",BOM!B:B,"852-226000-100")</f>
        <v>0</v>
      </c>
      <c r="S1144">
        <f>sumifs(BOM!s:s,BOM!A:A,".1",BOM!B:B,"852-226000-100")</f>
        <v>0</v>
      </c>
      <c r="T1144">
        <f>sumifs(BOM!t:t,BOM!A:A,".1",BOM!B:B,"852-226000-100")</f>
        <v>0</v>
      </c>
      <c r="U1144">
        <f>sumifs(BOM!u:u,BOM!A:A,".1",BOM!B:B,"852-226000-100")</f>
        <v>0</v>
      </c>
      <c r="V1144">
        <f>sumifs(BOM!v:v,BOM!A:A,".1",BOM!B:B,"852-226000-100")</f>
        <v>0</v>
      </c>
      <c r="W1144">
        <f>sumifs(BOM!w:w,BOM!A:A,".1",BOM!B:B,"852-226000-100")</f>
        <v>0</v>
      </c>
      <c r="X1144">
        <f>sumifs(BOM!x:x,BOM!A:A,".1",BOM!B:B,"852-226000-100")</f>
        <v>0</v>
      </c>
      <c r="Y1144">
        <f>sumifs(BOM!y:y,BOM!A:A,".1",BOM!B:B,"852-226000-100")</f>
        <v>0</v>
      </c>
      <c r="Z1144">
        <f>sumifs(BOM!z:z,BOM!A:A,".1",BOM!B:B,"852-226000-100")</f>
        <v>0</v>
      </c>
      <c r="AA1144">
        <f>sumifs(BOM!aa:aa,BOM!A:A,".1",BOM!B:B,"852-226000-100")</f>
        <v>0</v>
      </c>
      <c r="AB1144">
        <f>sumifs(BOM!ab:ab,BOM!A:A,".1",BOM!B:B,"852-226000-100")</f>
        <v>0</v>
      </c>
      <c r="AC1144">
        <f>sumifs(BOM!ac:ac,BOM!A:A,".1",BOM!B:B,"852-226000-100")</f>
        <v>0</v>
      </c>
      <c r="AD1144">
        <f>sumifs(BOM!ad:ad,BOM!A:A,".1",BOM!B:B,"852-226000-100")</f>
        <v>0</v>
      </c>
      <c r="AE1144">
        <f>sumifs(BOM!ae:ae,BOM!A:A,".1",BOM!B:B,"852-226000-100")</f>
        <v>0</v>
      </c>
      <c r="AF1144">
        <f>sumifs(BOM!af:af,BOM!A:A,".1",BOM!B:B,"852-226000-100")</f>
        <v>0</v>
      </c>
      <c r="AG1144">
        <f>sumifs(BOM!ag:ag,BOM!A:A,".1",BOM!B:B,"852-226000-100")</f>
        <v>0</v>
      </c>
      <c r="AH1144">
        <f>sumifs(BOM!ah:ah,BOM!A:A,".1",BOM!B:B,"852-226000-100")</f>
        <v>0</v>
      </c>
      <c r="AI1144">
        <f>sumifs(BOM!ai:ai,BOM!A:A,".1",BOM!B:B,"852-226000-100")</f>
        <v>0</v>
      </c>
      <c r="AJ1144">
        <f>sumifs(BOM!aj:aj,BOM!A:A,".1",BOM!B:B,"852-226000-100")</f>
        <v>0</v>
      </c>
      <c r="AK1144">
        <f>sumifs(BOM!ak:ak,BOM!A:A,".1",BOM!B:B,"852-226000-100")</f>
        <v>0</v>
      </c>
      <c r="AL1144">
        <f>sumifs(BOM!al:al,BOM!A:A,".1",BOM!B:B,"852-226000-100")</f>
        <v>0</v>
      </c>
      <c r="AM1144">
        <f>sumifs(BOM!am:am,BOM!A:A,".1",BOM!B:B,"852-226000-100")</f>
        <v>0</v>
      </c>
      <c r="AN1144">
        <f>sumifs(BOM!an:an,BOM!A:A,".1",BOM!B:B,"852-226000-100")</f>
        <v>0</v>
      </c>
      <c r="AO1144">
        <f>sumifs(BOM!ao:ao,BOM!A:A,".1",BOM!B:B,"852-226000-100")</f>
        <v>0</v>
      </c>
      <c r="AP1144">
        <f>sumifs(BOM!ap:ap,BOM!A:A,".1",BOM!B:B,"852-226000-100")</f>
        <v>0</v>
      </c>
      <c r="AQ1144">
        <f>sumifs(BOM!aq:aq,BOM!A:A,".1",BOM!B:B,"852-226000-100")</f>
        <v>0</v>
      </c>
      <c r="AR1144">
        <f>sumifs(BOM!ar:ar,BOM!A:A,".1",BOM!B:B,"852-226000-100")</f>
        <v>0</v>
      </c>
      <c r="BX1144">
        <f>sum(j1144:an1144)</f>
        <v>0</v>
      </c>
    </row>
    <row r="1145" spans="1:76">
      <c r="A1145" t="s">
        <v>31</v>
      </c>
      <c r="B1145" t="s">
        <v>482</v>
      </c>
      <c r="C1145" t="s">
        <v>483</v>
      </c>
      <c r="D1145" t="s">
        <v>452</v>
      </c>
      <c r="E1145" t="s">
        <v>444</v>
      </c>
      <c r="F1145" t="s">
        <v>484</v>
      </c>
      <c r="K1145" t="s">
        <v>437</v>
      </c>
      <c r="L1145" t="s">
        <v>37</v>
      </c>
    </row>
    <row r="1146" spans="1:76">
      <c r="L1146" t="s">
        <v>662</v>
      </c>
    </row>
    <row r="1147" spans="1:76">
      <c r="L1147" t="s">
        <v>663</v>
      </c>
    </row>
    <row r="1148" spans="1:76">
      <c r="L1148" t="s">
        <v>664</v>
      </c>
    </row>
    <row r="1149" spans="1:76">
      <c r="L1149" t="s">
        <v>665</v>
      </c>
      <c r="M1149">
        <f>IF(DAY(NOW())&lt;M3,INDIRECT(ADDRESS(1149,7))-INDIRECT(ADDRESS(1144,13))+INDIRECT(ADDRESS(1145,13))-INDIRECT(ADDRESS(1148,13)),INDIRECT(ADDRESS(1149,7))-INDIRECT(ADDRESS(1144,13))+INDIRECT(ADDRESS(1147,13))-INDIRECT(ADDRESS(1148,13)))</f>
        <v>0</v>
      </c>
      <c r="N1149">
        <f>IF(DAY(NOW())&lt;M3,INDIRECT(ADDRESS(1149,13))-INDIRECT(ADDRESS(1144,14))+INDIRECT(ADDRESS(1145,14))-INDIRECT(ADDRESS(1148,14)),INDIRECT(ADDRESS(1149,13))-INDIRECT(ADDRESS(1144,14))+INDIRECT(ADDRESS(1147,14))-INDIRECT(ADDRESS(1148,14)))</f>
        <v>0</v>
      </c>
      <c r="O1149">
        <f>IF(DAY(NOW())&lt;M3,INDIRECT(ADDRESS(1149,14))-INDIRECT(ADDRESS(1144,15))+INDIRECT(ADDRESS(1145,15))-INDIRECT(ADDRESS(1148,15)),INDIRECT(ADDRESS(1149,14))-INDIRECT(ADDRESS(1144,15))+INDIRECT(ADDRESS(1147,15))-INDIRECT(ADDRESS(1148,15)))</f>
        <v>0</v>
      </c>
      <c r="P1149">
        <f>IF(DAY(NOW())&lt;M3,INDIRECT(ADDRESS(1149,15))-INDIRECT(ADDRESS(1144,16))+INDIRECT(ADDRESS(1145,16))-INDIRECT(ADDRESS(1148,16)),INDIRECT(ADDRESS(1149,15))-INDIRECT(ADDRESS(1144,16))+INDIRECT(ADDRESS(1147,16))-INDIRECT(ADDRESS(1148,16)))</f>
        <v>0</v>
      </c>
      <c r="Q1149">
        <f>IF(DAY(NOW())&lt;M3,INDIRECT(ADDRESS(1149,16))-INDIRECT(ADDRESS(1144,17))+INDIRECT(ADDRESS(1145,17))-INDIRECT(ADDRESS(1148,17)),INDIRECT(ADDRESS(1149,16))-INDIRECT(ADDRESS(1144,17))+INDIRECT(ADDRESS(1147,17))-INDIRECT(ADDRESS(1148,17)))</f>
        <v>0</v>
      </c>
      <c r="R1149">
        <f>IF(DAY(NOW())&lt;M3,INDIRECT(ADDRESS(1149,17))-INDIRECT(ADDRESS(1144,18))+INDIRECT(ADDRESS(1145,18))-INDIRECT(ADDRESS(1148,18)),INDIRECT(ADDRESS(1149,17))-INDIRECT(ADDRESS(1144,18))+INDIRECT(ADDRESS(1147,18))-INDIRECT(ADDRESS(1148,18)))</f>
        <v>0</v>
      </c>
      <c r="S1149">
        <f>IF(DAY(NOW())&lt;M3,INDIRECT(ADDRESS(1149,18))-INDIRECT(ADDRESS(1144,19))+INDIRECT(ADDRESS(1145,19))-INDIRECT(ADDRESS(1148,19)),INDIRECT(ADDRESS(1149,18))-INDIRECT(ADDRESS(1144,19))+INDIRECT(ADDRESS(1147,19))-INDIRECT(ADDRESS(1148,19)))</f>
        <v>0</v>
      </c>
      <c r="T1149">
        <f>IF(DAY(NOW())&lt;M3,INDIRECT(ADDRESS(1149,19))-INDIRECT(ADDRESS(1144,20))+INDIRECT(ADDRESS(1145,20))-INDIRECT(ADDRESS(1148,20)),INDIRECT(ADDRESS(1149,19))-INDIRECT(ADDRESS(1144,20))+INDIRECT(ADDRESS(1147,20))-INDIRECT(ADDRESS(1148,20)))</f>
        <v>0</v>
      </c>
      <c r="U1149">
        <f>IF(DAY(NOW())&lt;M3,INDIRECT(ADDRESS(1149,20))-INDIRECT(ADDRESS(1144,21))+INDIRECT(ADDRESS(1145,21))-INDIRECT(ADDRESS(1148,21)),INDIRECT(ADDRESS(1149,20))-INDIRECT(ADDRESS(1144,21))+INDIRECT(ADDRESS(1147,21))-INDIRECT(ADDRESS(1148,21)))</f>
        <v>0</v>
      </c>
      <c r="V1149">
        <f>IF(DAY(NOW())&lt;M3,INDIRECT(ADDRESS(1149,21))-INDIRECT(ADDRESS(1144,22))+INDIRECT(ADDRESS(1145,22))-INDIRECT(ADDRESS(1148,22)),INDIRECT(ADDRESS(1149,21))-INDIRECT(ADDRESS(1144,22))+INDIRECT(ADDRESS(1147,22))-INDIRECT(ADDRESS(1148,22)))</f>
        <v>0</v>
      </c>
      <c r="W1149">
        <f>IF(DAY(NOW())&lt;M3,INDIRECT(ADDRESS(1149,22))-INDIRECT(ADDRESS(1144,23))+INDIRECT(ADDRESS(1145,23))-INDIRECT(ADDRESS(1148,23)),INDIRECT(ADDRESS(1149,22))-INDIRECT(ADDRESS(1144,23))+INDIRECT(ADDRESS(1147,23))-INDIRECT(ADDRESS(1148,23)))</f>
        <v>0</v>
      </c>
      <c r="X1149">
        <f>IF(DAY(NOW())&lt;M3,INDIRECT(ADDRESS(1149,23))-INDIRECT(ADDRESS(1144,24))+INDIRECT(ADDRESS(1145,24))-INDIRECT(ADDRESS(1148,24)),INDIRECT(ADDRESS(1149,23))-INDIRECT(ADDRESS(1144,24))+INDIRECT(ADDRESS(1147,24))-INDIRECT(ADDRESS(1148,24)))</f>
        <v>0</v>
      </c>
      <c r="Y1149">
        <f>IF(DAY(NOW())&lt;M3,INDIRECT(ADDRESS(1149,24))-INDIRECT(ADDRESS(1144,25))+INDIRECT(ADDRESS(1145,25))-INDIRECT(ADDRESS(1148,25)),INDIRECT(ADDRESS(1149,24))-INDIRECT(ADDRESS(1144,25))+INDIRECT(ADDRESS(1147,25))-INDIRECT(ADDRESS(1148,25)))</f>
        <v>0</v>
      </c>
      <c r="Z1149">
        <f>IF(DAY(NOW())&lt;M3,INDIRECT(ADDRESS(1149,25))-INDIRECT(ADDRESS(1144,26))+INDIRECT(ADDRESS(1145,26))-INDIRECT(ADDRESS(1148,26)),INDIRECT(ADDRESS(1149,25))-INDIRECT(ADDRESS(1144,26))+INDIRECT(ADDRESS(1147,26))-INDIRECT(ADDRESS(1148,26)))</f>
        <v>0</v>
      </c>
      <c r="AA1149">
        <f>IF(DAY(NOW())&lt;M3,INDIRECT(ADDRESS(1149,26))-INDIRECT(ADDRESS(1144,27))+INDIRECT(ADDRESS(1145,27))-INDIRECT(ADDRESS(1148,27)),INDIRECT(ADDRESS(1149,26))-INDIRECT(ADDRESS(1144,27))+INDIRECT(ADDRESS(1147,27))-INDIRECT(ADDRESS(1148,27)))</f>
        <v>0</v>
      </c>
      <c r="AB1149">
        <f>IF(DAY(NOW())&lt;M3,INDIRECT(ADDRESS(1149,27))-INDIRECT(ADDRESS(1144,28))+INDIRECT(ADDRESS(1145,28))-INDIRECT(ADDRESS(1148,28)),INDIRECT(ADDRESS(1149,27))-INDIRECT(ADDRESS(1144,28))+INDIRECT(ADDRESS(1147,28))-INDIRECT(ADDRESS(1148,28)))</f>
        <v>0</v>
      </c>
      <c r="AC1149">
        <f>IF(DAY(NOW())&lt;M3,INDIRECT(ADDRESS(1149,28))-INDIRECT(ADDRESS(1144,29))+INDIRECT(ADDRESS(1145,29))-INDIRECT(ADDRESS(1148,29)),INDIRECT(ADDRESS(1149,28))-INDIRECT(ADDRESS(1144,29))+INDIRECT(ADDRESS(1147,29))-INDIRECT(ADDRESS(1148,29)))</f>
        <v>0</v>
      </c>
      <c r="AD1149">
        <f>IF(DAY(NOW())&lt;M3,INDIRECT(ADDRESS(1149,29))-INDIRECT(ADDRESS(1144,30))+INDIRECT(ADDRESS(1145,30))-INDIRECT(ADDRESS(1148,30)),INDIRECT(ADDRESS(1149,29))-INDIRECT(ADDRESS(1144,30))+INDIRECT(ADDRESS(1147,30))-INDIRECT(ADDRESS(1148,30)))</f>
        <v>0</v>
      </c>
      <c r="AE1149">
        <f>IF(DAY(NOW())&lt;M3,INDIRECT(ADDRESS(1149,30))-INDIRECT(ADDRESS(1144,31))+INDIRECT(ADDRESS(1145,31))-INDIRECT(ADDRESS(1148,31)),INDIRECT(ADDRESS(1149,30))-INDIRECT(ADDRESS(1144,31))+INDIRECT(ADDRESS(1147,31))-INDIRECT(ADDRESS(1148,31)))</f>
        <v>0</v>
      </c>
      <c r="AF1149">
        <f>IF(DAY(NOW())&lt;M3,INDIRECT(ADDRESS(1149,31))-INDIRECT(ADDRESS(1144,32))+INDIRECT(ADDRESS(1145,32))-INDIRECT(ADDRESS(1148,32)),INDIRECT(ADDRESS(1149,31))-INDIRECT(ADDRESS(1144,32))+INDIRECT(ADDRESS(1147,32))-INDIRECT(ADDRESS(1148,32)))</f>
        <v>0</v>
      </c>
      <c r="AG1149">
        <f>IF(DAY(NOW())&lt;M3,INDIRECT(ADDRESS(1149,32))-INDIRECT(ADDRESS(1144,33))+INDIRECT(ADDRESS(1145,33))-INDIRECT(ADDRESS(1148,33)),INDIRECT(ADDRESS(1149,32))-INDIRECT(ADDRESS(1144,33))+INDIRECT(ADDRESS(1147,33))-INDIRECT(ADDRESS(1148,33)))</f>
        <v>0</v>
      </c>
      <c r="AH1149">
        <f>IF(DAY(NOW())&lt;M3,INDIRECT(ADDRESS(1149,33))-INDIRECT(ADDRESS(1144,34))+INDIRECT(ADDRESS(1145,34))-INDIRECT(ADDRESS(1148,34)),INDIRECT(ADDRESS(1149,33))-INDIRECT(ADDRESS(1144,34))+INDIRECT(ADDRESS(1147,34))-INDIRECT(ADDRESS(1148,34)))</f>
        <v>0</v>
      </c>
      <c r="AI1149">
        <f>IF(DAY(NOW())&lt;M3,INDIRECT(ADDRESS(1149,34))-INDIRECT(ADDRESS(1144,35))+INDIRECT(ADDRESS(1145,35))-INDIRECT(ADDRESS(1148,35)),INDIRECT(ADDRESS(1149,34))-INDIRECT(ADDRESS(1144,35))+INDIRECT(ADDRESS(1147,35))-INDIRECT(ADDRESS(1148,35)))</f>
        <v>0</v>
      </c>
      <c r="AJ1149">
        <f>IF(DAY(NOW())&lt;M3,INDIRECT(ADDRESS(1149,35))-INDIRECT(ADDRESS(1144,36))+INDIRECT(ADDRESS(1145,36))-INDIRECT(ADDRESS(1148,36)),INDIRECT(ADDRESS(1149,35))-INDIRECT(ADDRESS(1144,36))+INDIRECT(ADDRESS(1147,36))-INDIRECT(ADDRESS(1148,36)))</f>
        <v>0</v>
      </c>
      <c r="AK1149">
        <f>IF(DAY(NOW())&lt;M3,INDIRECT(ADDRESS(1149,36))-INDIRECT(ADDRESS(1144,37))+INDIRECT(ADDRESS(1145,37))-INDIRECT(ADDRESS(1148,37)),INDIRECT(ADDRESS(1149,36))-INDIRECT(ADDRESS(1144,37))+INDIRECT(ADDRESS(1147,37))-INDIRECT(ADDRESS(1148,37)))</f>
        <v>0</v>
      </c>
      <c r="AL1149">
        <f>IF(DAY(NOW())&lt;M3,INDIRECT(ADDRESS(1149,37))-INDIRECT(ADDRESS(1144,38))+INDIRECT(ADDRESS(1145,38))-INDIRECT(ADDRESS(1148,38)),INDIRECT(ADDRESS(1149,37))-INDIRECT(ADDRESS(1144,38))+INDIRECT(ADDRESS(1147,38))-INDIRECT(ADDRESS(1148,38)))</f>
        <v>0</v>
      </c>
      <c r="AM1149">
        <f>IF(DAY(NOW())&lt;M3,INDIRECT(ADDRESS(1149,38))-INDIRECT(ADDRESS(1144,39))+INDIRECT(ADDRESS(1145,39))-INDIRECT(ADDRESS(1148,39)),INDIRECT(ADDRESS(1149,38))-INDIRECT(ADDRESS(1144,39))+INDIRECT(ADDRESS(1147,39))-INDIRECT(ADDRESS(1148,39)))</f>
        <v>0</v>
      </c>
      <c r="AN1149">
        <f>IF(DAY(NOW())&lt;M3,INDIRECT(ADDRESS(1149,39))-INDIRECT(ADDRESS(1144,40))+INDIRECT(ADDRESS(1145,40))-INDIRECT(ADDRESS(1148,40)),INDIRECT(ADDRESS(1149,39))-INDIRECT(ADDRESS(1144,40))+INDIRECT(ADDRESS(1147,40))-INDIRECT(ADDRESS(1148,40)))</f>
        <v>0</v>
      </c>
      <c r="AO1149">
        <f>IF(DAY(NOW())&lt;M3,INDIRECT(ADDRESS(1149,40))-INDIRECT(ADDRESS(1144,41))+INDIRECT(ADDRESS(1145,41))-INDIRECT(ADDRESS(1148,41)),INDIRECT(ADDRESS(1149,40))-INDIRECT(ADDRESS(1144,41))+INDIRECT(ADDRESS(1147,41))-INDIRECT(ADDRESS(1148,41)))</f>
        <v>0</v>
      </c>
      <c r="AP1149">
        <f>IF(DAY(NOW())&lt;M3,INDIRECT(ADDRESS(1149,41))-INDIRECT(ADDRESS(1144,42))+INDIRECT(ADDRESS(1145,42))-INDIRECT(ADDRESS(1148,42)),INDIRECT(ADDRESS(1149,41))-INDIRECT(ADDRESS(1144,42))+INDIRECT(ADDRESS(1147,42))-INDIRECT(ADDRESS(1148,42)))</f>
        <v>0</v>
      </c>
      <c r="AQ1149">
        <f>IF(DAY(NOW())&lt;M3,INDIRECT(ADDRESS(1149,42))-INDIRECT(ADDRESS(1144,43))+INDIRECT(ADDRESS(1145,43))-INDIRECT(ADDRESS(1148,43)),INDIRECT(ADDRESS(1149,42))-INDIRECT(ADDRESS(1144,43))+INDIRECT(ADDRESS(1147,43))-INDIRECT(ADDRESS(1148,43)))</f>
        <v>0</v>
      </c>
      <c r="AR1149">
        <f>IF(DAY(NOW())&lt;M3,INDIRECT(ADDRESS(1149,43))-INDIRECT(ADDRESS(1144,44))+INDIRECT(ADDRESS(1145,44))-INDIRECT(ADDRESS(1148,44)),INDIRECT(ADDRESS(1149,43))-INDIRECT(ADDRESS(1144,44))+INDIRECT(ADDRESS(1147,44))-INDIRECT(ADDRESS(1148,44)))</f>
        <v>0</v>
      </c>
    </row>
    <row r="1150" spans="1:76">
      <c r="A1150" t="s">
        <v>14</v>
      </c>
      <c r="B1150" t="s">
        <v>485</v>
      </c>
      <c r="C1150" t="s">
        <v>486</v>
      </c>
      <c r="D1150" t="s">
        <v>452</v>
      </c>
      <c r="E1150" t="s">
        <v>444</v>
      </c>
      <c r="F1150" t="s">
        <v>487</v>
      </c>
      <c r="K1150" t="s">
        <v>437</v>
      </c>
      <c r="L1150" t="s">
        <v>21</v>
      </c>
      <c r="BX1150">
        <f>sum(j1150:an1150)</f>
        <v>0</v>
      </c>
    </row>
    <row r="1151" spans="1:76">
      <c r="A1151" t="s">
        <v>14</v>
      </c>
      <c r="B1151" t="s">
        <v>485</v>
      </c>
      <c r="C1151" t="s">
        <v>486</v>
      </c>
      <c r="D1151" t="s">
        <v>452</v>
      </c>
      <c r="E1151" t="s">
        <v>444</v>
      </c>
      <c r="F1151" t="s">
        <v>487</v>
      </c>
      <c r="K1151" t="s">
        <v>437</v>
      </c>
      <c r="L1151" t="s">
        <v>37</v>
      </c>
    </row>
    <row r="1152" spans="1:76">
      <c r="L1152" t="s">
        <v>662</v>
      </c>
    </row>
    <row r="1153" spans="1:76">
      <c r="L1153" t="s">
        <v>663</v>
      </c>
    </row>
    <row r="1154" spans="1:76">
      <c r="L1154" t="s">
        <v>664</v>
      </c>
    </row>
    <row r="1155" spans="1:76">
      <c r="L1155" t="s">
        <v>665</v>
      </c>
      <c r="M1155">
        <f>IF(DAY(NOW())&lt;M3,INDIRECT(ADDRESS(1155,7))-INDIRECT(ADDRESS(1150,13))+INDIRECT(ADDRESS(1151,13))-INDIRECT(ADDRESS(1154,13)),INDIRECT(ADDRESS(1155,7))-INDIRECT(ADDRESS(1150,13))+INDIRECT(ADDRESS(1153,13))-INDIRECT(ADDRESS(1154,13)))</f>
        <v>0</v>
      </c>
      <c r="N1155">
        <f>IF(DAY(NOW())&lt;M3,INDIRECT(ADDRESS(1155,13))-INDIRECT(ADDRESS(1150,14))+INDIRECT(ADDRESS(1151,14))-INDIRECT(ADDRESS(1154,14)),INDIRECT(ADDRESS(1155,13))-INDIRECT(ADDRESS(1150,14))+INDIRECT(ADDRESS(1153,14))-INDIRECT(ADDRESS(1154,14)))</f>
        <v>0</v>
      </c>
      <c r="O1155">
        <f>IF(DAY(NOW())&lt;M3,INDIRECT(ADDRESS(1155,14))-INDIRECT(ADDRESS(1150,15))+INDIRECT(ADDRESS(1151,15))-INDIRECT(ADDRESS(1154,15)),INDIRECT(ADDRESS(1155,14))-INDIRECT(ADDRESS(1150,15))+INDIRECT(ADDRESS(1153,15))-INDIRECT(ADDRESS(1154,15)))</f>
        <v>0</v>
      </c>
      <c r="P1155">
        <f>IF(DAY(NOW())&lt;M3,INDIRECT(ADDRESS(1155,15))-INDIRECT(ADDRESS(1150,16))+INDIRECT(ADDRESS(1151,16))-INDIRECT(ADDRESS(1154,16)),INDIRECT(ADDRESS(1155,15))-INDIRECT(ADDRESS(1150,16))+INDIRECT(ADDRESS(1153,16))-INDIRECT(ADDRESS(1154,16)))</f>
        <v>0</v>
      </c>
      <c r="Q1155">
        <f>IF(DAY(NOW())&lt;M3,INDIRECT(ADDRESS(1155,16))-INDIRECT(ADDRESS(1150,17))+INDIRECT(ADDRESS(1151,17))-INDIRECT(ADDRESS(1154,17)),INDIRECT(ADDRESS(1155,16))-INDIRECT(ADDRESS(1150,17))+INDIRECT(ADDRESS(1153,17))-INDIRECT(ADDRESS(1154,17)))</f>
        <v>0</v>
      </c>
      <c r="R1155">
        <f>IF(DAY(NOW())&lt;M3,INDIRECT(ADDRESS(1155,17))-INDIRECT(ADDRESS(1150,18))+INDIRECT(ADDRESS(1151,18))-INDIRECT(ADDRESS(1154,18)),INDIRECT(ADDRESS(1155,17))-INDIRECT(ADDRESS(1150,18))+INDIRECT(ADDRESS(1153,18))-INDIRECT(ADDRESS(1154,18)))</f>
        <v>0</v>
      </c>
      <c r="S1155">
        <f>IF(DAY(NOW())&lt;M3,INDIRECT(ADDRESS(1155,18))-INDIRECT(ADDRESS(1150,19))+INDIRECT(ADDRESS(1151,19))-INDIRECT(ADDRESS(1154,19)),INDIRECT(ADDRESS(1155,18))-INDIRECT(ADDRESS(1150,19))+INDIRECT(ADDRESS(1153,19))-INDIRECT(ADDRESS(1154,19)))</f>
        <v>0</v>
      </c>
      <c r="T1155">
        <f>IF(DAY(NOW())&lt;M3,INDIRECT(ADDRESS(1155,19))-INDIRECT(ADDRESS(1150,20))+INDIRECT(ADDRESS(1151,20))-INDIRECT(ADDRESS(1154,20)),INDIRECT(ADDRESS(1155,19))-INDIRECT(ADDRESS(1150,20))+INDIRECT(ADDRESS(1153,20))-INDIRECT(ADDRESS(1154,20)))</f>
        <v>0</v>
      </c>
      <c r="U1155">
        <f>IF(DAY(NOW())&lt;M3,INDIRECT(ADDRESS(1155,20))-INDIRECT(ADDRESS(1150,21))+INDIRECT(ADDRESS(1151,21))-INDIRECT(ADDRESS(1154,21)),INDIRECT(ADDRESS(1155,20))-INDIRECT(ADDRESS(1150,21))+INDIRECT(ADDRESS(1153,21))-INDIRECT(ADDRESS(1154,21)))</f>
        <v>0</v>
      </c>
      <c r="V1155">
        <f>IF(DAY(NOW())&lt;M3,INDIRECT(ADDRESS(1155,21))-INDIRECT(ADDRESS(1150,22))+INDIRECT(ADDRESS(1151,22))-INDIRECT(ADDRESS(1154,22)),INDIRECT(ADDRESS(1155,21))-INDIRECT(ADDRESS(1150,22))+INDIRECT(ADDRESS(1153,22))-INDIRECT(ADDRESS(1154,22)))</f>
        <v>0</v>
      </c>
      <c r="W1155">
        <f>IF(DAY(NOW())&lt;M3,INDIRECT(ADDRESS(1155,22))-INDIRECT(ADDRESS(1150,23))+INDIRECT(ADDRESS(1151,23))-INDIRECT(ADDRESS(1154,23)),INDIRECT(ADDRESS(1155,22))-INDIRECT(ADDRESS(1150,23))+INDIRECT(ADDRESS(1153,23))-INDIRECT(ADDRESS(1154,23)))</f>
        <v>0</v>
      </c>
      <c r="X1155">
        <f>IF(DAY(NOW())&lt;M3,INDIRECT(ADDRESS(1155,23))-INDIRECT(ADDRESS(1150,24))+INDIRECT(ADDRESS(1151,24))-INDIRECT(ADDRESS(1154,24)),INDIRECT(ADDRESS(1155,23))-INDIRECT(ADDRESS(1150,24))+INDIRECT(ADDRESS(1153,24))-INDIRECT(ADDRESS(1154,24)))</f>
        <v>0</v>
      </c>
      <c r="Y1155">
        <f>IF(DAY(NOW())&lt;M3,INDIRECT(ADDRESS(1155,24))-INDIRECT(ADDRESS(1150,25))+INDIRECT(ADDRESS(1151,25))-INDIRECT(ADDRESS(1154,25)),INDIRECT(ADDRESS(1155,24))-INDIRECT(ADDRESS(1150,25))+INDIRECT(ADDRESS(1153,25))-INDIRECT(ADDRESS(1154,25)))</f>
        <v>0</v>
      </c>
      <c r="Z1155">
        <f>IF(DAY(NOW())&lt;M3,INDIRECT(ADDRESS(1155,25))-INDIRECT(ADDRESS(1150,26))+INDIRECT(ADDRESS(1151,26))-INDIRECT(ADDRESS(1154,26)),INDIRECT(ADDRESS(1155,25))-INDIRECT(ADDRESS(1150,26))+INDIRECT(ADDRESS(1153,26))-INDIRECT(ADDRESS(1154,26)))</f>
        <v>0</v>
      </c>
      <c r="AA1155">
        <f>IF(DAY(NOW())&lt;M3,INDIRECT(ADDRESS(1155,26))-INDIRECT(ADDRESS(1150,27))+INDIRECT(ADDRESS(1151,27))-INDIRECT(ADDRESS(1154,27)),INDIRECT(ADDRESS(1155,26))-INDIRECT(ADDRESS(1150,27))+INDIRECT(ADDRESS(1153,27))-INDIRECT(ADDRESS(1154,27)))</f>
        <v>0</v>
      </c>
      <c r="AB1155">
        <f>IF(DAY(NOW())&lt;M3,INDIRECT(ADDRESS(1155,27))-INDIRECT(ADDRESS(1150,28))+INDIRECT(ADDRESS(1151,28))-INDIRECT(ADDRESS(1154,28)),INDIRECT(ADDRESS(1155,27))-INDIRECT(ADDRESS(1150,28))+INDIRECT(ADDRESS(1153,28))-INDIRECT(ADDRESS(1154,28)))</f>
        <v>0</v>
      </c>
      <c r="AC1155">
        <f>IF(DAY(NOW())&lt;M3,INDIRECT(ADDRESS(1155,28))-INDIRECT(ADDRESS(1150,29))+INDIRECT(ADDRESS(1151,29))-INDIRECT(ADDRESS(1154,29)),INDIRECT(ADDRESS(1155,28))-INDIRECT(ADDRESS(1150,29))+INDIRECT(ADDRESS(1153,29))-INDIRECT(ADDRESS(1154,29)))</f>
        <v>0</v>
      </c>
      <c r="AD1155">
        <f>IF(DAY(NOW())&lt;M3,INDIRECT(ADDRESS(1155,29))-INDIRECT(ADDRESS(1150,30))+INDIRECT(ADDRESS(1151,30))-INDIRECT(ADDRESS(1154,30)),INDIRECT(ADDRESS(1155,29))-INDIRECT(ADDRESS(1150,30))+INDIRECT(ADDRESS(1153,30))-INDIRECT(ADDRESS(1154,30)))</f>
        <v>0</v>
      </c>
      <c r="AE1155">
        <f>IF(DAY(NOW())&lt;M3,INDIRECT(ADDRESS(1155,30))-INDIRECT(ADDRESS(1150,31))+INDIRECT(ADDRESS(1151,31))-INDIRECT(ADDRESS(1154,31)),INDIRECT(ADDRESS(1155,30))-INDIRECT(ADDRESS(1150,31))+INDIRECT(ADDRESS(1153,31))-INDIRECT(ADDRESS(1154,31)))</f>
        <v>0</v>
      </c>
      <c r="AF1155">
        <f>IF(DAY(NOW())&lt;M3,INDIRECT(ADDRESS(1155,31))-INDIRECT(ADDRESS(1150,32))+INDIRECT(ADDRESS(1151,32))-INDIRECT(ADDRESS(1154,32)),INDIRECT(ADDRESS(1155,31))-INDIRECT(ADDRESS(1150,32))+INDIRECT(ADDRESS(1153,32))-INDIRECT(ADDRESS(1154,32)))</f>
        <v>0</v>
      </c>
      <c r="AG1155">
        <f>IF(DAY(NOW())&lt;M3,INDIRECT(ADDRESS(1155,32))-INDIRECT(ADDRESS(1150,33))+INDIRECT(ADDRESS(1151,33))-INDIRECT(ADDRESS(1154,33)),INDIRECT(ADDRESS(1155,32))-INDIRECT(ADDRESS(1150,33))+INDIRECT(ADDRESS(1153,33))-INDIRECT(ADDRESS(1154,33)))</f>
        <v>0</v>
      </c>
      <c r="AH1155">
        <f>IF(DAY(NOW())&lt;M3,INDIRECT(ADDRESS(1155,33))-INDIRECT(ADDRESS(1150,34))+INDIRECT(ADDRESS(1151,34))-INDIRECT(ADDRESS(1154,34)),INDIRECT(ADDRESS(1155,33))-INDIRECT(ADDRESS(1150,34))+INDIRECT(ADDRESS(1153,34))-INDIRECT(ADDRESS(1154,34)))</f>
        <v>0</v>
      </c>
      <c r="AI1155">
        <f>IF(DAY(NOW())&lt;M3,INDIRECT(ADDRESS(1155,34))-INDIRECT(ADDRESS(1150,35))+INDIRECT(ADDRESS(1151,35))-INDIRECT(ADDRESS(1154,35)),INDIRECT(ADDRESS(1155,34))-INDIRECT(ADDRESS(1150,35))+INDIRECT(ADDRESS(1153,35))-INDIRECT(ADDRESS(1154,35)))</f>
        <v>0</v>
      </c>
      <c r="AJ1155">
        <f>IF(DAY(NOW())&lt;M3,INDIRECT(ADDRESS(1155,35))-INDIRECT(ADDRESS(1150,36))+INDIRECT(ADDRESS(1151,36))-INDIRECT(ADDRESS(1154,36)),INDIRECT(ADDRESS(1155,35))-INDIRECT(ADDRESS(1150,36))+INDIRECT(ADDRESS(1153,36))-INDIRECT(ADDRESS(1154,36)))</f>
        <v>0</v>
      </c>
      <c r="AK1155">
        <f>IF(DAY(NOW())&lt;M3,INDIRECT(ADDRESS(1155,36))-INDIRECT(ADDRESS(1150,37))+INDIRECT(ADDRESS(1151,37))-INDIRECT(ADDRESS(1154,37)),INDIRECT(ADDRESS(1155,36))-INDIRECT(ADDRESS(1150,37))+INDIRECT(ADDRESS(1153,37))-INDIRECT(ADDRESS(1154,37)))</f>
        <v>0</v>
      </c>
      <c r="AL1155">
        <f>IF(DAY(NOW())&lt;M3,INDIRECT(ADDRESS(1155,37))-INDIRECT(ADDRESS(1150,38))+INDIRECT(ADDRESS(1151,38))-INDIRECT(ADDRESS(1154,38)),INDIRECT(ADDRESS(1155,37))-INDIRECT(ADDRESS(1150,38))+INDIRECT(ADDRESS(1153,38))-INDIRECT(ADDRESS(1154,38)))</f>
        <v>0</v>
      </c>
      <c r="AM1155">
        <f>IF(DAY(NOW())&lt;M3,INDIRECT(ADDRESS(1155,38))-INDIRECT(ADDRESS(1150,39))+INDIRECT(ADDRESS(1151,39))-INDIRECT(ADDRESS(1154,39)),INDIRECT(ADDRESS(1155,38))-INDIRECT(ADDRESS(1150,39))+INDIRECT(ADDRESS(1153,39))-INDIRECT(ADDRESS(1154,39)))</f>
        <v>0</v>
      </c>
      <c r="AN1155">
        <f>IF(DAY(NOW())&lt;M3,INDIRECT(ADDRESS(1155,39))-INDIRECT(ADDRESS(1150,40))+INDIRECT(ADDRESS(1151,40))-INDIRECT(ADDRESS(1154,40)),INDIRECT(ADDRESS(1155,39))-INDIRECT(ADDRESS(1150,40))+INDIRECT(ADDRESS(1153,40))-INDIRECT(ADDRESS(1154,40)))</f>
        <v>0</v>
      </c>
      <c r="AO1155">
        <f>IF(DAY(NOW())&lt;M3,INDIRECT(ADDRESS(1155,40))-INDIRECT(ADDRESS(1150,41))+INDIRECT(ADDRESS(1151,41))-INDIRECT(ADDRESS(1154,41)),INDIRECT(ADDRESS(1155,40))-INDIRECT(ADDRESS(1150,41))+INDIRECT(ADDRESS(1153,41))-INDIRECT(ADDRESS(1154,41)))</f>
        <v>0</v>
      </c>
      <c r="AP1155">
        <f>IF(DAY(NOW())&lt;M3,INDIRECT(ADDRESS(1155,41))-INDIRECT(ADDRESS(1150,42))+INDIRECT(ADDRESS(1151,42))-INDIRECT(ADDRESS(1154,42)),INDIRECT(ADDRESS(1155,41))-INDIRECT(ADDRESS(1150,42))+INDIRECT(ADDRESS(1153,42))-INDIRECT(ADDRESS(1154,42)))</f>
        <v>0</v>
      </c>
      <c r="AQ1155">
        <f>IF(DAY(NOW())&lt;M3,INDIRECT(ADDRESS(1155,42))-INDIRECT(ADDRESS(1150,43))+INDIRECT(ADDRESS(1151,43))-INDIRECT(ADDRESS(1154,43)),INDIRECT(ADDRESS(1155,42))-INDIRECT(ADDRESS(1150,43))+INDIRECT(ADDRESS(1153,43))-INDIRECT(ADDRESS(1154,43)))</f>
        <v>0</v>
      </c>
      <c r="AR1155">
        <f>IF(DAY(NOW())&lt;M3,INDIRECT(ADDRESS(1155,43))-INDIRECT(ADDRESS(1150,44))+INDIRECT(ADDRESS(1151,44))-INDIRECT(ADDRESS(1154,44)),INDIRECT(ADDRESS(1155,43))-INDIRECT(ADDRESS(1150,44))+INDIRECT(ADDRESS(1153,44))-INDIRECT(ADDRESS(1154,44)))</f>
        <v>0</v>
      </c>
    </row>
    <row r="1156" spans="1:76">
      <c r="A1156" t="s">
        <v>14</v>
      </c>
      <c r="B1156" t="s">
        <v>488</v>
      </c>
      <c r="C1156" t="s">
        <v>489</v>
      </c>
      <c r="E1156" t="s">
        <v>444</v>
      </c>
      <c r="F1156" t="s">
        <v>490</v>
      </c>
      <c r="K1156" t="s">
        <v>437</v>
      </c>
      <c r="L1156" t="s">
        <v>21</v>
      </c>
      <c r="BX1156">
        <f>sum(j1156:an1156)</f>
        <v>0</v>
      </c>
    </row>
    <row r="1157" spans="1:76">
      <c r="A1157" t="s">
        <v>14</v>
      </c>
      <c r="B1157" t="s">
        <v>488</v>
      </c>
      <c r="C1157" t="s">
        <v>489</v>
      </c>
      <c r="E1157" t="s">
        <v>444</v>
      </c>
      <c r="F1157" t="s">
        <v>490</v>
      </c>
      <c r="K1157" t="s">
        <v>437</v>
      </c>
      <c r="L1157" t="s">
        <v>37</v>
      </c>
    </row>
    <row r="1158" spans="1:76">
      <c r="L1158" t="s">
        <v>662</v>
      </c>
    </row>
    <row r="1159" spans="1:76">
      <c r="L1159" t="s">
        <v>663</v>
      </c>
    </row>
    <row r="1160" spans="1:76">
      <c r="L1160" t="s">
        <v>664</v>
      </c>
    </row>
    <row r="1161" spans="1:76">
      <c r="L1161" t="s">
        <v>665</v>
      </c>
      <c r="M1161">
        <f>IF(DAY(NOW())&lt;M3,INDIRECT(ADDRESS(1161,7))-INDIRECT(ADDRESS(1156,13))+INDIRECT(ADDRESS(1157,13))-INDIRECT(ADDRESS(1160,13)),INDIRECT(ADDRESS(1161,7))-INDIRECT(ADDRESS(1156,13))+INDIRECT(ADDRESS(1159,13))-INDIRECT(ADDRESS(1160,13)))</f>
        <v>0</v>
      </c>
      <c r="N1161">
        <f>IF(DAY(NOW())&lt;M3,INDIRECT(ADDRESS(1161,13))-INDIRECT(ADDRESS(1156,14))+INDIRECT(ADDRESS(1157,14))-INDIRECT(ADDRESS(1160,14)),INDIRECT(ADDRESS(1161,13))-INDIRECT(ADDRESS(1156,14))+INDIRECT(ADDRESS(1159,14))-INDIRECT(ADDRESS(1160,14)))</f>
        <v>0</v>
      </c>
      <c r="O1161">
        <f>IF(DAY(NOW())&lt;M3,INDIRECT(ADDRESS(1161,14))-INDIRECT(ADDRESS(1156,15))+INDIRECT(ADDRESS(1157,15))-INDIRECT(ADDRESS(1160,15)),INDIRECT(ADDRESS(1161,14))-INDIRECT(ADDRESS(1156,15))+INDIRECT(ADDRESS(1159,15))-INDIRECT(ADDRESS(1160,15)))</f>
        <v>0</v>
      </c>
      <c r="P1161">
        <f>IF(DAY(NOW())&lt;M3,INDIRECT(ADDRESS(1161,15))-INDIRECT(ADDRESS(1156,16))+INDIRECT(ADDRESS(1157,16))-INDIRECT(ADDRESS(1160,16)),INDIRECT(ADDRESS(1161,15))-INDIRECT(ADDRESS(1156,16))+INDIRECT(ADDRESS(1159,16))-INDIRECT(ADDRESS(1160,16)))</f>
        <v>0</v>
      </c>
      <c r="Q1161">
        <f>IF(DAY(NOW())&lt;M3,INDIRECT(ADDRESS(1161,16))-INDIRECT(ADDRESS(1156,17))+INDIRECT(ADDRESS(1157,17))-INDIRECT(ADDRESS(1160,17)),INDIRECT(ADDRESS(1161,16))-INDIRECT(ADDRESS(1156,17))+INDIRECT(ADDRESS(1159,17))-INDIRECT(ADDRESS(1160,17)))</f>
        <v>0</v>
      </c>
      <c r="R1161">
        <f>IF(DAY(NOW())&lt;M3,INDIRECT(ADDRESS(1161,17))-INDIRECT(ADDRESS(1156,18))+INDIRECT(ADDRESS(1157,18))-INDIRECT(ADDRESS(1160,18)),INDIRECT(ADDRESS(1161,17))-INDIRECT(ADDRESS(1156,18))+INDIRECT(ADDRESS(1159,18))-INDIRECT(ADDRESS(1160,18)))</f>
        <v>0</v>
      </c>
      <c r="S1161">
        <f>IF(DAY(NOW())&lt;M3,INDIRECT(ADDRESS(1161,18))-INDIRECT(ADDRESS(1156,19))+INDIRECT(ADDRESS(1157,19))-INDIRECT(ADDRESS(1160,19)),INDIRECT(ADDRESS(1161,18))-INDIRECT(ADDRESS(1156,19))+INDIRECT(ADDRESS(1159,19))-INDIRECT(ADDRESS(1160,19)))</f>
        <v>0</v>
      </c>
      <c r="T1161">
        <f>IF(DAY(NOW())&lt;M3,INDIRECT(ADDRESS(1161,19))-INDIRECT(ADDRESS(1156,20))+INDIRECT(ADDRESS(1157,20))-INDIRECT(ADDRESS(1160,20)),INDIRECT(ADDRESS(1161,19))-INDIRECT(ADDRESS(1156,20))+INDIRECT(ADDRESS(1159,20))-INDIRECT(ADDRESS(1160,20)))</f>
        <v>0</v>
      </c>
      <c r="U1161">
        <f>IF(DAY(NOW())&lt;M3,INDIRECT(ADDRESS(1161,20))-INDIRECT(ADDRESS(1156,21))+INDIRECT(ADDRESS(1157,21))-INDIRECT(ADDRESS(1160,21)),INDIRECT(ADDRESS(1161,20))-INDIRECT(ADDRESS(1156,21))+INDIRECT(ADDRESS(1159,21))-INDIRECT(ADDRESS(1160,21)))</f>
        <v>0</v>
      </c>
      <c r="V1161">
        <f>IF(DAY(NOW())&lt;M3,INDIRECT(ADDRESS(1161,21))-INDIRECT(ADDRESS(1156,22))+INDIRECT(ADDRESS(1157,22))-INDIRECT(ADDRESS(1160,22)),INDIRECT(ADDRESS(1161,21))-INDIRECT(ADDRESS(1156,22))+INDIRECT(ADDRESS(1159,22))-INDIRECT(ADDRESS(1160,22)))</f>
        <v>0</v>
      </c>
      <c r="W1161">
        <f>IF(DAY(NOW())&lt;M3,INDIRECT(ADDRESS(1161,22))-INDIRECT(ADDRESS(1156,23))+INDIRECT(ADDRESS(1157,23))-INDIRECT(ADDRESS(1160,23)),INDIRECT(ADDRESS(1161,22))-INDIRECT(ADDRESS(1156,23))+INDIRECT(ADDRESS(1159,23))-INDIRECT(ADDRESS(1160,23)))</f>
        <v>0</v>
      </c>
      <c r="X1161">
        <f>IF(DAY(NOW())&lt;M3,INDIRECT(ADDRESS(1161,23))-INDIRECT(ADDRESS(1156,24))+INDIRECT(ADDRESS(1157,24))-INDIRECT(ADDRESS(1160,24)),INDIRECT(ADDRESS(1161,23))-INDIRECT(ADDRESS(1156,24))+INDIRECT(ADDRESS(1159,24))-INDIRECT(ADDRESS(1160,24)))</f>
        <v>0</v>
      </c>
      <c r="Y1161">
        <f>IF(DAY(NOW())&lt;M3,INDIRECT(ADDRESS(1161,24))-INDIRECT(ADDRESS(1156,25))+INDIRECT(ADDRESS(1157,25))-INDIRECT(ADDRESS(1160,25)),INDIRECT(ADDRESS(1161,24))-INDIRECT(ADDRESS(1156,25))+INDIRECT(ADDRESS(1159,25))-INDIRECT(ADDRESS(1160,25)))</f>
        <v>0</v>
      </c>
      <c r="Z1161">
        <f>IF(DAY(NOW())&lt;M3,INDIRECT(ADDRESS(1161,25))-INDIRECT(ADDRESS(1156,26))+INDIRECT(ADDRESS(1157,26))-INDIRECT(ADDRESS(1160,26)),INDIRECT(ADDRESS(1161,25))-INDIRECT(ADDRESS(1156,26))+INDIRECT(ADDRESS(1159,26))-INDIRECT(ADDRESS(1160,26)))</f>
        <v>0</v>
      </c>
      <c r="AA1161">
        <f>IF(DAY(NOW())&lt;M3,INDIRECT(ADDRESS(1161,26))-INDIRECT(ADDRESS(1156,27))+INDIRECT(ADDRESS(1157,27))-INDIRECT(ADDRESS(1160,27)),INDIRECT(ADDRESS(1161,26))-INDIRECT(ADDRESS(1156,27))+INDIRECT(ADDRESS(1159,27))-INDIRECT(ADDRESS(1160,27)))</f>
        <v>0</v>
      </c>
      <c r="AB1161">
        <f>IF(DAY(NOW())&lt;M3,INDIRECT(ADDRESS(1161,27))-INDIRECT(ADDRESS(1156,28))+INDIRECT(ADDRESS(1157,28))-INDIRECT(ADDRESS(1160,28)),INDIRECT(ADDRESS(1161,27))-INDIRECT(ADDRESS(1156,28))+INDIRECT(ADDRESS(1159,28))-INDIRECT(ADDRESS(1160,28)))</f>
        <v>0</v>
      </c>
      <c r="AC1161">
        <f>IF(DAY(NOW())&lt;M3,INDIRECT(ADDRESS(1161,28))-INDIRECT(ADDRESS(1156,29))+INDIRECT(ADDRESS(1157,29))-INDIRECT(ADDRESS(1160,29)),INDIRECT(ADDRESS(1161,28))-INDIRECT(ADDRESS(1156,29))+INDIRECT(ADDRESS(1159,29))-INDIRECT(ADDRESS(1160,29)))</f>
        <v>0</v>
      </c>
      <c r="AD1161">
        <f>IF(DAY(NOW())&lt;M3,INDIRECT(ADDRESS(1161,29))-INDIRECT(ADDRESS(1156,30))+INDIRECT(ADDRESS(1157,30))-INDIRECT(ADDRESS(1160,30)),INDIRECT(ADDRESS(1161,29))-INDIRECT(ADDRESS(1156,30))+INDIRECT(ADDRESS(1159,30))-INDIRECT(ADDRESS(1160,30)))</f>
        <v>0</v>
      </c>
      <c r="AE1161">
        <f>IF(DAY(NOW())&lt;M3,INDIRECT(ADDRESS(1161,30))-INDIRECT(ADDRESS(1156,31))+INDIRECT(ADDRESS(1157,31))-INDIRECT(ADDRESS(1160,31)),INDIRECT(ADDRESS(1161,30))-INDIRECT(ADDRESS(1156,31))+INDIRECT(ADDRESS(1159,31))-INDIRECT(ADDRESS(1160,31)))</f>
        <v>0</v>
      </c>
      <c r="AF1161">
        <f>IF(DAY(NOW())&lt;M3,INDIRECT(ADDRESS(1161,31))-INDIRECT(ADDRESS(1156,32))+INDIRECT(ADDRESS(1157,32))-INDIRECT(ADDRESS(1160,32)),INDIRECT(ADDRESS(1161,31))-INDIRECT(ADDRESS(1156,32))+INDIRECT(ADDRESS(1159,32))-INDIRECT(ADDRESS(1160,32)))</f>
        <v>0</v>
      </c>
      <c r="AG1161">
        <f>IF(DAY(NOW())&lt;M3,INDIRECT(ADDRESS(1161,32))-INDIRECT(ADDRESS(1156,33))+INDIRECT(ADDRESS(1157,33))-INDIRECT(ADDRESS(1160,33)),INDIRECT(ADDRESS(1161,32))-INDIRECT(ADDRESS(1156,33))+INDIRECT(ADDRESS(1159,33))-INDIRECT(ADDRESS(1160,33)))</f>
        <v>0</v>
      </c>
      <c r="AH1161">
        <f>IF(DAY(NOW())&lt;M3,INDIRECT(ADDRESS(1161,33))-INDIRECT(ADDRESS(1156,34))+INDIRECT(ADDRESS(1157,34))-INDIRECT(ADDRESS(1160,34)),INDIRECT(ADDRESS(1161,33))-INDIRECT(ADDRESS(1156,34))+INDIRECT(ADDRESS(1159,34))-INDIRECT(ADDRESS(1160,34)))</f>
        <v>0</v>
      </c>
      <c r="AI1161">
        <f>IF(DAY(NOW())&lt;M3,INDIRECT(ADDRESS(1161,34))-INDIRECT(ADDRESS(1156,35))+INDIRECT(ADDRESS(1157,35))-INDIRECT(ADDRESS(1160,35)),INDIRECT(ADDRESS(1161,34))-INDIRECT(ADDRESS(1156,35))+INDIRECT(ADDRESS(1159,35))-INDIRECT(ADDRESS(1160,35)))</f>
        <v>0</v>
      </c>
      <c r="AJ1161">
        <f>IF(DAY(NOW())&lt;M3,INDIRECT(ADDRESS(1161,35))-INDIRECT(ADDRESS(1156,36))+INDIRECT(ADDRESS(1157,36))-INDIRECT(ADDRESS(1160,36)),INDIRECT(ADDRESS(1161,35))-INDIRECT(ADDRESS(1156,36))+INDIRECT(ADDRESS(1159,36))-INDIRECT(ADDRESS(1160,36)))</f>
        <v>0</v>
      </c>
      <c r="AK1161">
        <f>IF(DAY(NOW())&lt;M3,INDIRECT(ADDRESS(1161,36))-INDIRECT(ADDRESS(1156,37))+INDIRECT(ADDRESS(1157,37))-INDIRECT(ADDRESS(1160,37)),INDIRECT(ADDRESS(1161,36))-INDIRECT(ADDRESS(1156,37))+INDIRECT(ADDRESS(1159,37))-INDIRECT(ADDRESS(1160,37)))</f>
        <v>0</v>
      </c>
      <c r="AL1161">
        <f>IF(DAY(NOW())&lt;M3,INDIRECT(ADDRESS(1161,37))-INDIRECT(ADDRESS(1156,38))+INDIRECT(ADDRESS(1157,38))-INDIRECT(ADDRESS(1160,38)),INDIRECT(ADDRESS(1161,37))-INDIRECT(ADDRESS(1156,38))+INDIRECT(ADDRESS(1159,38))-INDIRECT(ADDRESS(1160,38)))</f>
        <v>0</v>
      </c>
      <c r="AM1161">
        <f>IF(DAY(NOW())&lt;M3,INDIRECT(ADDRESS(1161,38))-INDIRECT(ADDRESS(1156,39))+INDIRECT(ADDRESS(1157,39))-INDIRECT(ADDRESS(1160,39)),INDIRECT(ADDRESS(1161,38))-INDIRECT(ADDRESS(1156,39))+INDIRECT(ADDRESS(1159,39))-INDIRECT(ADDRESS(1160,39)))</f>
        <v>0</v>
      </c>
      <c r="AN1161">
        <f>IF(DAY(NOW())&lt;M3,INDIRECT(ADDRESS(1161,39))-INDIRECT(ADDRESS(1156,40))+INDIRECT(ADDRESS(1157,40))-INDIRECT(ADDRESS(1160,40)),INDIRECT(ADDRESS(1161,39))-INDIRECT(ADDRESS(1156,40))+INDIRECT(ADDRESS(1159,40))-INDIRECT(ADDRESS(1160,40)))</f>
        <v>0</v>
      </c>
      <c r="AO1161">
        <f>IF(DAY(NOW())&lt;M3,INDIRECT(ADDRESS(1161,40))-INDIRECT(ADDRESS(1156,41))+INDIRECT(ADDRESS(1157,41))-INDIRECT(ADDRESS(1160,41)),INDIRECT(ADDRESS(1161,40))-INDIRECT(ADDRESS(1156,41))+INDIRECT(ADDRESS(1159,41))-INDIRECT(ADDRESS(1160,41)))</f>
        <v>0</v>
      </c>
      <c r="AP1161">
        <f>IF(DAY(NOW())&lt;M3,INDIRECT(ADDRESS(1161,41))-INDIRECT(ADDRESS(1156,42))+INDIRECT(ADDRESS(1157,42))-INDIRECT(ADDRESS(1160,42)),INDIRECT(ADDRESS(1161,41))-INDIRECT(ADDRESS(1156,42))+INDIRECT(ADDRESS(1159,42))-INDIRECT(ADDRESS(1160,42)))</f>
        <v>0</v>
      </c>
      <c r="AQ1161">
        <f>IF(DAY(NOW())&lt;M3,INDIRECT(ADDRESS(1161,42))-INDIRECT(ADDRESS(1156,43))+INDIRECT(ADDRESS(1157,43))-INDIRECT(ADDRESS(1160,43)),INDIRECT(ADDRESS(1161,42))-INDIRECT(ADDRESS(1156,43))+INDIRECT(ADDRESS(1159,43))-INDIRECT(ADDRESS(1160,43)))</f>
        <v>0</v>
      </c>
      <c r="AR1161">
        <f>IF(DAY(NOW())&lt;M3,INDIRECT(ADDRESS(1161,43))-INDIRECT(ADDRESS(1156,44))+INDIRECT(ADDRESS(1157,44))-INDIRECT(ADDRESS(1160,44)),INDIRECT(ADDRESS(1161,43))-INDIRECT(ADDRESS(1156,44))+INDIRECT(ADDRESS(1159,44))-INDIRECT(ADDRESS(1160,44)))</f>
        <v>0</v>
      </c>
    </row>
    <row r="1162" spans="1:76">
      <c r="A1162" t="s">
        <v>14</v>
      </c>
      <c r="B1162" t="s">
        <v>491</v>
      </c>
      <c r="C1162" t="s">
        <v>492</v>
      </c>
      <c r="E1162" t="s">
        <v>444</v>
      </c>
      <c r="F1162" t="s">
        <v>493</v>
      </c>
      <c r="K1162" t="s">
        <v>437</v>
      </c>
      <c r="L1162" t="s">
        <v>21</v>
      </c>
      <c r="BX1162">
        <f>sum(j1162:an1162)</f>
        <v>0</v>
      </c>
    </row>
    <row r="1163" spans="1:76">
      <c r="A1163" t="s">
        <v>14</v>
      </c>
      <c r="B1163" t="s">
        <v>491</v>
      </c>
      <c r="C1163" t="s">
        <v>492</v>
      </c>
      <c r="E1163" t="s">
        <v>444</v>
      </c>
      <c r="F1163" t="s">
        <v>493</v>
      </c>
      <c r="K1163" t="s">
        <v>437</v>
      </c>
      <c r="L1163" t="s">
        <v>37</v>
      </c>
    </row>
    <row r="1164" spans="1:76">
      <c r="L1164" t="s">
        <v>662</v>
      </c>
    </row>
    <row r="1165" spans="1:76">
      <c r="L1165" t="s">
        <v>663</v>
      </c>
    </row>
    <row r="1166" spans="1:76">
      <c r="L1166" t="s">
        <v>664</v>
      </c>
    </row>
    <row r="1167" spans="1:76">
      <c r="L1167" t="s">
        <v>665</v>
      </c>
      <c r="M1167">
        <f>IF(DAY(NOW())&lt;M3,INDIRECT(ADDRESS(1167,7))-INDIRECT(ADDRESS(1162,13))+INDIRECT(ADDRESS(1163,13))-INDIRECT(ADDRESS(1166,13)),INDIRECT(ADDRESS(1167,7))-INDIRECT(ADDRESS(1162,13))+INDIRECT(ADDRESS(1165,13))-INDIRECT(ADDRESS(1166,13)))</f>
        <v>0</v>
      </c>
      <c r="N1167">
        <f>IF(DAY(NOW())&lt;M3,INDIRECT(ADDRESS(1167,13))-INDIRECT(ADDRESS(1162,14))+INDIRECT(ADDRESS(1163,14))-INDIRECT(ADDRESS(1166,14)),INDIRECT(ADDRESS(1167,13))-INDIRECT(ADDRESS(1162,14))+INDIRECT(ADDRESS(1165,14))-INDIRECT(ADDRESS(1166,14)))</f>
        <v>0</v>
      </c>
      <c r="O1167">
        <f>IF(DAY(NOW())&lt;M3,INDIRECT(ADDRESS(1167,14))-INDIRECT(ADDRESS(1162,15))+INDIRECT(ADDRESS(1163,15))-INDIRECT(ADDRESS(1166,15)),INDIRECT(ADDRESS(1167,14))-INDIRECT(ADDRESS(1162,15))+INDIRECT(ADDRESS(1165,15))-INDIRECT(ADDRESS(1166,15)))</f>
        <v>0</v>
      </c>
      <c r="P1167">
        <f>IF(DAY(NOW())&lt;M3,INDIRECT(ADDRESS(1167,15))-INDIRECT(ADDRESS(1162,16))+INDIRECT(ADDRESS(1163,16))-INDIRECT(ADDRESS(1166,16)),INDIRECT(ADDRESS(1167,15))-INDIRECT(ADDRESS(1162,16))+INDIRECT(ADDRESS(1165,16))-INDIRECT(ADDRESS(1166,16)))</f>
        <v>0</v>
      </c>
      <c r="Q1167">
        <f>IF(DAY(NOW())&lt;M3,INDIRECT(ADDRESS(1167,16))-INDIRECT(ADDRESS(1162,17))+INDIRECT(ADDRESS(1163,17))-INDIRECT(ADDRESS(1166,17)),INDIRECT(ADDRESS(1167,16))-INDIRECT(ADDRESS(1162,17))+INDIRECT(ADDRESS(1165,17))-INDIRECT(ADDRESS(1166,17)))</f>
        <v>0</v>
      </c>
      <c r="R1167">
        <f>IF(DAY(NOW())&lt;M3,INDIRECT(ADDRESS(1167,17))-INDIRECT(ADDRESS(1162,18))+INDIRECT(ADDRESS(1163,18))-INDIRECT(ADDRESS(1166,18)),INDIRECT(ADDRESS(1167,17))-INDIRECT(ADDRESS(1162,18))+INDIRECT(ADDRESS(1165,18))-INDIRECT(ADDRESS(1166,18)))</f>
        <v>0</v>
      </c>
      <c r="S1167">
        <f>IF(DAY(NOW())&lt;M3,INDIRECT(ADDRESS(1167,18))-INDIRECT(ADDRESS(1162,19))+INDIRECT(ADDRESS(1163,19))-INDIRECT(ADDRESS(1166,19)),INDIRECT(ADDRESS(1167,18))-INDIRECT(ADDRESS(1162,19))+INDIRECT(ADDRESS(1165,19))-INDIRECT(ADDRESS(1166,19)))</f>
        <v>0</v>
      </c>
      <c r="T1167">
        <f>IF(DAY(NOW())&lt;M3,INDIRECT(ADDRESS(1167,19))-INDIRECT(ADDRESS(1162,20))+INDIRECT(ADDRESS(1163,20))-INDIRECT(ADDRESS(1166,20)),INDIRECT(ADDRESS(1167,19))-INDIRECT(ADDRESS(1162,20))+INDIRECT(ADDRESS(1165,20))-INDIRECT(ADDRESS(1166,20)))</f>
        <v>0</v>
      </c>
      <c r="U1167">
        <f>IF(DAY(NOW())&lt;M3,INDIRECT(ADDRESS(1167,20))-INDIRECT(ADDRESS(1162,21))+INDIRECT(ADDRESS(1163,21))-INDIRECT(ADDRESS(1166,21)),INDIRECT(ADDRESS(1167,20))-INDIRECT(ADDRESS(1162,21))+INDIRECT(ADDRESS(1165,21))-INDIRECT(ADDRESS(1166,21)))</f>
        <v>0</v>
      </c>
      <c r="V1167">
        <f>IF(DAY(NOW())&lt;M3,INDIRECT(ADDRESS(1167,21))-INDIRECT(ADDRESS(1162,22))+INDIRECT(ADDRESS(1163,22))-INDIRECT(ADDRESS(1166,22)),INDIRECT(ADDRESS(1167,21))-INDIRECT(ADDRESS(1162,22))+INDIRECT(ADDRESS(1165,22))-INDIRECT(ADDRESS(1166,22)))</f>
        <v>0</v>
      </c>
      <c r="W1167">
        <f>IF(DAY(NOW())&lt;M3,INDIRECT(ADDRESS(1167,22))-INDIRECT(ADDRESS(1162,23))+INDIRECT(ADDRESS(1163,23))-INDIRECT(ADDRESS(1166,23)),INDIRECT(ADDRESS(1167,22))-INDIRECT(ADDRESS(1162,23))+INDIRECT(ADDRESS(1165,23))-INDIRECT(ADDRESS(1166,23)))</f>
        <v>0</v>
      </c>
      <c r="X1167">
        <f>IF(DAY(NOW())&lt;M3,INDIRECT(ADDRESS(1167,23))-INDIRECT(ADDRESS(1162,24))+INDIRECT(ADDRESS(1163,24))-INDIRECT(ADDRESS(1166,24)),INDIRECT(ADDRESS(1167,23))-INDIRECT(ADDRESS(1162,24))+INDIRECT(ADDRESS(1165,24))-INDIRECT(ADDRESS(1166,24)))</f>
        <v>0</v>
      </c>
      <c r="Y1167">
        <f>IF(DAY(NOW())&lt;M3,INDIRECT(ADDRESS(1167,24))-INDIRECT(ADDRESS(1162,25))+INDIRECT(ADDRESS(1163,25))-INDIRECT(ADDRESS(1166,25)),INDIRECT(ADDRESS(1167,24))-INDIRECT(ADDRESS(1162,25))+INDIRECT(ADDRESS(1165,25))-INDIRECT(ADDRESS(1166,25)))</f>
        <v>0</v>
      </c>
      <c r="Z1167">
        <f>IF(DAY(NOW())&lt;M3,INDIRECT(ADDRESS(1167,25))-INDIRECT(ADDRESS(1162,26))+INDIRECT(ADDRESS(1163,26))-INDIRECT(ADDRESS(1166,26)),INDIRECT(ADDRESS(1167,25))-INDIRECT(ADDRESS(1162,26))+INDIRECT(ADDRESS(1165,26))-INDIRECT(ADDRESS(1166,26)))</f>
        <v>0</v>
      </c>
      <c r="AA1167">
        <f>IF(DAY(NOW())&lt;M3,INDIRECT(ADDRESS(1167,26))-INDIRECT(ADDRESS(1162,27))+INDIRECT(ADDRESS(1163,27))-INDIRECT(ADDRESS(1166,27)),INDIRECT(ADDRESS(1167,26))-INDIRECT(ADDRESS(1162,27))+INDIRECT(ADDRESS(1165,27))-INDIRECT(ADDRESS(1166,27)))</f>
        <v>0</v>
      </c>
      <c r="AB1167">
        <f>IF(DAY(NOW())&lt;M3,INDIRECT(ADDRESS(1167,27))-INDIRECT(ADDRESS(1162,28))+INDIRECT(ADDRESS(1163,28))-INDIRECT(ADDRESS(1166,28)),INDIRECT(ADDRESS(1167,27))-INDIRECT(ADDRESS(1162,28))+INDIRECT(ADDRESS(1165,28))-INDIRECT(ADDRESS(1166,28)))</f>
        <v>0</v>
      </c>
      <c r="AC1167">
        <f>IF(DAY(NOW())&lt;M3,INDIRECT(ADDRESS(1167,28))-INDIRECT(ADDRESS(1162,29))+INDIRECT(ADDRESS(1163,29))-INDIRECT(ADDRESS(1166,29)),INDIRECT(ADDRESS(1167,28))-INDIRECT(ADDRESS(1162,29))+INDIRECT(ADDRESS(1165,29))-INDIRECT(ADDRESS(1166,29)))</f>
        <v>0</v>
      </c>
      <c r="AD1167">
        <f>IF(DAY(NOW())&lt;M3,INDIRECT(ADDRESS(1167,29))-INDIRECT(ADDRESS(1162,30))+INDIRECT(ADDRESS(1163,30))-INDIRECT(ADDRESS(1166,30)),INDIRECT(ADDRESS(1167,29))-INDIRECT(ADDRESS(1162,30))+INDIRECT(ADDRESS(1165,30))-INDIRECT(ADDRESS(1166,30)))</f>
        <v>0</v>
      </c>
      <c r="AE1167">
        <f>IF(DAY(NOW())&lt;M3,INDIRECT(ADDRESS(1167,30))-INDIRECT(ADDRESS(1162,31))+INDIRECT(ADDRESS(1163,31))-INDIRECT(ADDRESS(1166,31)),INDIRECT(ADDRESS(1167,30))-INDIRECT(ADDRESS(1162,31))+INDIRECT(ADDRESS(1165,31))-INDIRECT(ADDRESS(1166,31)))</f>
        <v>0</v>
      </c>
      <c r="AF1167">
        <f>IF(DAY(NOW())&lt;M3,INDIRECT(ADDRESS(1167,31))-INDIRECT(ADDRESS(1162,32))+INDIRECT(ADDRESS(1163,32))-INDIRECT(ADDRESS(1166,32)),INDIRECT(ADDRESS(1167,31))-INDIRECT(ADDRESS(1162,32))+INDIRECT(ADDRESS(1165,32))-INDIRECT(ADDRESS(1166,32)))</f>
        <v>0</v>
      </c>
      <c r="AG1167">
        <f>IF(DAY(NOW())&lt;M3,INDIRECT(ADDRESS(1167,32))-INDIRECT(ADDRESS(1162,33))+INDIRECT(ADDRESS(1163,33))-INDIRECT(ADDRESS(1166,33)),INDIRECT(ADDRESS(1167,32))-INDIRECT(ADDRESS(1162,33))+INDIRECT(ADDRESS(1165,33))-INDIRECT(ADDRESS(1166,33)))</f>
        <v>0</v>
      </c>
      <c r="AH1167">
        <f>IF(DAY(NOW())&lt;M3,INDIRECT(ADDRESS(1167,33))-INDIRECT(ADDRESS(1162,34))+INDIRECT(ADDRESS(1163,34))-INDIRECT(ADDRESS(1166,34)),INDIRECT(ADDRESS(1167,33))-INDIRECT(ADDRESS(1162,34))+INDIRECT(ADDRESS(1165,34))-INDIRECT(ADDRESS(1166,34)))</f>
        <v>0</v>
      </c>
      <c r="AI1167">
        <f>IF(DAY(NOW())&lt;M3,INDIRECT(ADDRESS(1167,34))-INDIRECT(ADDRESS(1162,35))+INDIRECT(ADDRESS(1163,35))-INDIRECT(ADDRESS(1166,35)),INDIRECT(ADDRESS(1167,34))-INDIRECT(ADDRESS(1162,35))+INDIRECT(ADDRESS(1165,35))-INDIRECT(ADDRESS(1166,35)))</f>
        <v>0</v>
      </c>
      <c r="AJ1167">
        <f>IF(DAY(NOW())&lt;M3,INDIRECT(ADDRESS(1167,35))-INDIRECT(ADDRESS(1162,36))+INDIRECT(ADDRESS(1163,36))-INDIRECT(ADDRESS(1166,36)),INDIRECT(ADDRESS(1167,35))-INDIRECT(ADDRESS(1162,36))+INDIRECT(ADDRESS(1165,36))-INDIRECT(ADDRESS(1166,36)))</f>
        <v>0</v>
      </c>
      <c r="AK1167">
        <f>IF(DAY(NOW())&lt;M3,INDIRECT(ADDRESS(1167,36))-INDIRECT(ADDRESS(1162,37))+INDIRECT(ADDRESS(1163,37))-INDIRECT(ADDRESS(1166,37)),INDIRECT(ADDRESS(1167,36))-INDIRECT(ADDRESS(1162,37))+INDIRECT(ADDRESS(1165,37))-INDIRECT(ADDRESS(1166,37)))</f>
        <v>0</v>
      </c>
      <c r="AL1167">
        <f>IF(DAY(NOW())&lt;M3,INDIRECT(ADDRESS(1167,37))-INDIRECT(ADDRESS(1162,38))+INDIRECT(ADDRESS(1163,38))-INDIRECT(ADDRESS(1166,38)),INDIRECT(ADDRESS(1167,37))-INDIRECT(ADDRESS(1162,38))+INDIRECT(ADDRESS(1165,38))-INDIRECT(ADDRESS(1166,38)))</f>
        <v>0</v>
      </c>
      <c r="AM1167">
        <f>IF(DAY(NOW())&lt;M3,INDIRECT(ADDRESS(1167,38))-INDIRECT(ADDRESS(1162,39))+INDIRECT(ADDRESS(1163,39))-INDIRECT(ADDRESS(1166,39)),INDIRECT(ADDRESS(1167,38))-INDIRECT(ADDRESS(1162,39))+INDIRECT(ADDRESS(1165,39))-INDIRECT(ADDRESS(1166,39)))</f>
        <v>0</v>
      </c>
      <c r="AN1167">
        <f>IF(DAY(NOW())&lt;M3,INDIRECT(ADDRESS(1167,39))-INDIRECT(ADDRESS(1162,40))+INDIRECT(ADDRESS(1163,40))-INDIRECT(ADDRESS(1166,40)),INDIRECT(ADDRESS(1167,39))-INDIRECT(ADDRESS(1162,40))+INDIRECT(ADDRESS(1165,40))-INDIRECT(ADDRESS(1166,40)))</f>
        <v>0</v>
      </c>
      <c r="AO1167">
        <f>IF(DAY(NOW())&lt;M3,INDIRECT(ADDRESS(1167,40))-INDIRECT(ADDRESS(1162,41))+INDIRECT(ADDRESS(1163,41))-INDIRECT(ADDRESS(1166,41)),INDIRECT(ADDRESS(1167,40))-INDIRECT(ADDRESS(1162,41))+INDIRECT(ADDRESS(1165,41))-INDIRECT(ADDRESS(1166,41)))</f>
        <v>0</v>
      </c>
      <c r="AP1167">
        <f>IF(DAY(NOW())&lt;M3,INDIRECT(ADDRESS(1167,41))-INDIRECT(ADDRESS(1162,42))+INDIRECT(ADDRESS(1163,42))-INDIRECT(ADDRESS(1166,42)),INDIRECT(ADDRESS(1167,41))-INDIRECT(ADDRESS(1162,42))+INDIRECT(ADDRESS(1165,42))-INDIRECT(ADDRESS(1166,42)))</f>
        <v>0</v>
      </c>
      <c r="AQ1167">
        <f>IF(DAY(NOW())&lt;M3,INDIRECT(ADDRESS(1167,42))-INDIRECT(ADDRESS(1162,43))+INDIRECT(ADDRESS(1163,43))-INDIRECT(ADDRESS(1166,43)),INDIRECT(ADDRESS(1167,42))-INDIRECT(ADDRESS(1162,43))+INDIRECT(ADDRESS(1165,43))-INDIRECT(ADDRESS(1166,43)))</f>
        <v>0</v>
      </c>
      <c r="AR1167">
        <f>IF(DAY(NOW())&lt;M3,INDIRECT(ADDRESS(1167,43))-INDIRECT(ADDRESS(1162,44))+INDIRECT(ADDRESS(1163,44))-INDIRECT(ADDRESS(1166,44)),INDIRECT(ADDRESS(1167,43))-INDIRECT(ADDRESS(1162,44))+INDIRECT(ADDRESS(1165,44))-INDIRECT(ADDRESS(1166,44)))</f>
        <v>0</v>
      </c>
    </row>
    <row r="1168" spans="1:76">
      <c r="A1168" t="s">
        <v>31</v>
      </c>
      <c r="B1168" t="s">
        <v>494</v>
      </c>
      <c r="C1168" t="s">
        <v>495</v>
      </c>
      <c r="D1168" t="s">
        <v>480</v>
      </c>
      <c r="E1168" t="s">
        <v>444</v>
      </c>
      <c r="F1168" t="s">
        <v>496</v>
      </c>
      <c r="K1168" t="s">
        <v>437</v>
      </c>
      <c r="L1168" t="s">
        <v>21</v>
      </c>
      <c r="M1168">
        <f>sumifs(BOM!m:m,BOM!A:A,".1",BOM!B:B,"852-225000-200")</f>
        <v>0</v>
      </c>
      <c r="N1168">
        <f>sumifs(BOM!n:n,BOM!A:A,".1",BOM!B:B,"852-225000-200")</f>
        <v>0</v>
      </c>
      <c r="O1168">
        <f>sumifs(BOM!o:o,BOM!A:A,".1",BOM!B:B,"852-225000-200")</f>
        <v>0</v>
      </c>
      <c r="P1168">
        <f>sumifs(BOM!p:p,BOM!A:A,".1",BOM!B:B,"852-225000-200")</f>
        <v>0</v>
      </c>
      <c r="Q1168">
        <f>sumifs(BOM!q:q,BOM!A:A,".1",BOM!B:B,"852-225000-200")</f>
        <v>0</v>
      </c>
      <c r="R1168">
        <f>sumifs(BOM!r:r,BOM!A:A,".1",BOM!B:B,"852-225000-200")</f>
        <v>0</v>
      </c>
      <c r="S1168">
        <f>sumifs(BOM!s:s,BOM!A:A,".1",BOM!B:B,"852-225000-200")</f>
        <v>0</v>
      </c>
      <c r="T1168">
        <f>sumifs(BOM!t:t,BOM!A:A,".1",BOM!B:B,"852-225000-200")</f>
        <v>0</v>
      </c>
      <c r="U1168">
        <f>sumifs(BOM!u:u,BOM!A:A,".1",BOM!B:B,"852-225000-200")</f>
        <v>0</v>
      </c>
      <c r="V1168">
        <f>sumifs(BOM!v:v,BOM!A:A,".1",BOM!B:B,"852-225000-200")</f>
        <v>0</v>
      </c>
      <c r="W1168">
        <f>sumifs(BOM!w:w,BOM!A:A,".1",BOM!B:B,"852-225000-200")</f>
        <v>0</v>
      </c>
      <c r="X1168">
        <f>sumifs(BOM!x:x,BOM!A:A,".1",BOM!B:B,"852-225000-200")</f>
        <v>0</v>
      </c>
      <c r="Y1168">
        <f>sumifs(BOM!y:y,BOM!A:A,".1",BOM!B:B,"852-225000-200")</f>
        <v>0</v>
      </c>
      <c r="Z1168">
        <f>sumifs(BOM!z:z,BOM!A:A,".1",BOM!B:B,"852-225000-200")</f>
        <v>0</v>
      </c>
      <c r="AA1168">
        <f>sumifs(BOM!aa:aa,BOM!A:A,".1",BOM!B:B,"852-225000-200")</f>
        <v>0</v>
      </c>
      <c r="AB1168">
        <f>sumifs(BOM!ab:ab,BOM!A:A,".1",BOM!B:B,"852-225000-200")</f>
        <v>0</v>
      </c>
      <c r="AC1168">
        <f>sumifs(BOM!ac:ac,BOM!A:A,".1",BOM!B:B,"852-225000-200")</f>
        <v>0</v>
      </c>
      <c r="AD1168">
        <f>sumifs(BOM!ad:ad,BOM!A:A,".1",BOM!B:B,"852-225000-200")</f>
        <v>0</v>
      </c>
      <c r="AE1168">
        <f>sumifs(BOM!ae:ae,BOM!A:A,".1",BOM!B:B,"852-225000-200")</f>
        <v>0</v>
      </c>
      <c r="AF1168">
        <f>sumifs(BOM!af:af,BOM!A:A,".1",BOM!B:B,"852-225000-200")</f>
        <v>0</v>
      </c>
      <c r="AG1168">
        <f>sumifs(BOM!ag:ag,BOM!A:A,".1",BOM!B:B,"852-225000-200")</f>
        <v>0</v>
      </c>
      <c r="AH1168">
        <f>sumifs(BOM!ah:ah,BOM!A:A,".1",BOM!B:B,"852-225000-200")</f>
        <v>0</v>
      </c>
      <c r="AI1168">
        <f>sumifs(BOM!ai:ai,BOM!A:A,".1",BOM!B:B,"852-225000-200")</f>
        <v>0</v>
      </c>
      <c r="AJ1168">
        <f>sumifs(BOM!aj:aj,BOM!A:A,".1",BOM!B:B,"852-225000-200")</f>
        <v>0</v>
      </c>
      <c r="AK1168">
        <f>sumifs(BOM!ak:ak,BOM!A:A,".1",BOM!B:B,"852-225000-200")</f>
        <v>0</v>
      </c>
      <c r="AL1168">
        <f>sumifs(BOM!al:al,BOM!A:A,".1",BOM!B:B,"852-225000-200")</f>
        <v>0</v>
      </c>
      <c r="AM1168">
        <f>sumifs(BOM!am:am,BOM!A:A,".1",BOM!B:B,"852-225000-200")</f>
        <v>0</v>
      </c>
      <c r="AN1168">
        <f>sumifs(BOM!an:an,BOM!A:A,".1",BOM!B:B,"852-225000-200")</f>
        <v>0</v>
      </c>
      <c r="AO1168">
        <f>sumifs(BOM!ao:ao,BOM!A:A,".1",BOM!B:B,"852-225000-200")</f>
        <v>0</v>
      </c>
      <c r="AP1168">
        <f>sumifs(BOM!ap:ap,BOM!A:A,".1",BOM!B:B,"852-225000-200")</f>
        <v>0</v>
      </c>
      <c r="AQ1168">
        <f>sumifs(BOM!aq:aq,BOM!A:A,".1",BOM!B:B,"852-225000-200")</f>
        <v>0</v>
      </c>
      <c r="AR1168">
        <f>sumifs(BOM!ar:ar,BOM!A:A,".1",BOM!B:B,"852-225000-200")</f>
        <v>0</v>
      </c>
      <c r="BX1168">
        <f>sum(j1168:an1168)</f>
        <v>0</v>
      </c>
    </row>
    <row r="1169" spans="1:76">
      <c r="A1169" t="s">
        <v>31</v>
      </c>
      <c r="B1169" t="s">
        <v>494</v>
      </c>
      <c r="C1169" t="s">
        <v>495</v>
      </c>
      <c r="D1169" t="s">
        <v>480</v>
      </c>
      <c r="E1169" t="s">
        <v>444</v>
      </c>
      <c r="F1169" t="s">
        <v>496</v>
      </c>
      <c r="K1169" t="s">
        <v>437</v>
      </c>
      <c r="L1169" t="s">
        <v>37</v>
      </c>
    </row>
    <row r="1170" spans="1:76">
      <c r="L1170" t="s">
        <v>662</v>
      </c>
    </row>
    <row r="1171" spans="1:76">
      <c r="L1171" t="s">
        <v>663</v>
      </c>
    </row>
    <row r="1172" spans="1:76">
      <c r="L1172" t="s">
        <v>664</v>
      </c>
    </row>
    <row r="1173" spans="1:76">
      <c r="L1173" t="s">
        <v>665</v>
      </c>
      <c r="M1173">
        <f>IF(DAY(NOW())&lt;M3,INDIRECT(ADDRESS(1173,7))-INDIRECT(ADDRESS(1168,13))+INDIRECT(ADDRESS(1169,13))-INDIRECT(ADDRESS(1172,13)),INDIRECT(ADDRESS(1173,7))-INDIRECT(ADDRESS(1168,13))+INDIRECT(ADDRESS(1171,13))-INDIRECT(ADDRESS(1172,13)))</f>
        <v>0</v>
      </c>
      <c r="N1173">
        <f>IF(DAY(NOW())&lt;M3,INDIRECT(ADDRESS(1173,13))-INDIRECT(ADDRESS(1168,14))+INDIRECT(ADDRESS(1169,14))-INDIRECT(ADDRESS(1172,14)),INDIRECT(ADDRESS(1173,13))-INDIRECT(ADDRESS(1168,14))+INDIRECT(ADDRESS(1171,14))-INDIRECT(ADDRESS(1172,14)))</f>
        <v>0</v>
      </c>
      <c r="O1173">
        <f>IF(DAY(NOW())&lt;M3,INDIRECT(ADDRESS(1173,14))-INDIRECT(ADDRESS(1168,15))+INDIRECT(ADDRESS(1169,15))-INDIRECT(ADDRESS(1172,15)),INDIRECT(ADDRESS(1173,14))-INDIRECT(ADDRESS(1168,15))+INDIRECT(ADDRESS(1171,15))-INDIRECT(ADDRESS(1172,15)))</f>
        <v>0</v>
      </c>
      <c r="P1173">
        <f>IF(DAY(NOW())&lt;M3,INDIRECT(ADDRESS(1173,15))-INDIRECT(ADDRESS(1168,16))+INDIRECT(ADDRESS(1169,16))-INDIRECT(ADDRESS(1172,16)),INDIRECT(ADDRESS(1173,15))-INDIRECT(ADDRESS(1168,16))+INDIRECT(ADDRESS(1171,16))-INDIRECT(ADDRESS(1172,16)))</f>
        <v>0</v>
      </c>
      <c r="Q1173">
        <f>IF(DAY(NOW())&lt;M3,INDIRECT(ADDRESS(1173,16))-INDIRECT(ADDRESS(1168,17))+INDIRECT(ADDRESS(1169,17))-INDIRECT(ADDRESS(1172,17)),INDIRECT(ADDRESS(1173,16))-INDIRECT(ADDRESS(1168,17))+INDIRECT(ADDRESS(1171,17))-INDIRECT(ADDRESS(1172,17)))</f>
        <v>0</v>
      </c>
      <c r="R1173">
        <f>IF(DAY(NOW())&lt;M3,INDIRECT(ADDRESS(1173,17))-INDIRECT(ADDRESS(1168,18))+INDIRECT(ADDRESS(1169,18))-INDIRECT(ADDRESS(1172,18)),INDIRECT(ADDRESS(1173,17))-INDIRECT(ADDRESS(1168,18))+INDIRECT(ADDRESS(1171,18))-INDIRECT(ADDRESS(1172,18)))</f>
        <v>0</v>
      </c>
      <c r="S1173">
        <f>IF(DAY(NOW())&lt;M3,INDIRECT(ADDRESS(1173,18))-INDIRECT(ADDRESS(1168,19))+INDIRECT(ADDRESS(1169,19))-INDIRECT(ADDRESS(1172,19)),INDIRECT(ADDRESS(1173,18))-INDIRECT(ADDRESS(1168,19))+INDIRECT(ADDRESS(1171,19))-INDIRECT(ADDRESS(1172,19)))</f>
        <v>0</v>
      </c>
      <c r="T1173">
        <f>IF(DAY(NOW())&lt;M3,INDIRECT(ADDRESS(1173,19))-INDIRECT(ADDRESS(1168,20))+INDIRECT(ADDRESS(1169,20))-INDIRECT(ADDRESS(1172,20)),INDIRECT(ADDRESS(1173,19))-INDIRECT(ADDRESS(1168,20))+INDIRECT(ADDRESS(1171,20))-INDIRECT(ADDRESS(1172,20)))</f>
        <v>0</v>
      </c>
      <c r="U1173">
        <f>IF(DAY(NOW())&lt;M3,INDIRECT(ADDRESS(1173,20))-INDIRECT(ADDRESS(1168,21))+INDIRECT(ADDRESS(1169,21))-INDIRECT(ADDRESS(1172,21)),INDIRECT(ADDRESS(1173,20))-INDIRECT(ADDRESS(1168,21))+INDIRECT(ADDRESS(1171,21))-INDIRECT(ADDRESS(1172,21)))</f>
        <v>0</v>
      </c>
      <c r="V1173">
        <f>IF(DAY(NOW())&lt;M3,INDIRECT(ADDRESS(1173,21))-INDIRECT(ADDRESS(1168,22))+INDIRECT(ADDRESS(1169,22))-INDIRECT(ADDRESS(1172,22)),INDIRECT(ADDRESS(1173,21))-INDIRECT(ADDRESS(1168,22))+INDIRECT(ADDRESS(1171,22))-INDIRECT(ADDRESS(1172,22)))</f>
        <v>0</v>
      </c>
      <c r="W1173">
        <f>IF(DAY(NOW())&lt;M3,INDIRECT(ADDRESS(1173,22))-INDIRECT(ADDRESS(1168,23))+INDIRECT(ADDRESS(1169,23))-INDIRECT(ADDRESS(1172,23)),INDIRECT(ADDRESS(1173,22))-INDIRECT(ADDRESS(1168,23))+INDIRECT(ADDRESS(1171,23))-INDIRECT(ADDRESS(1172,23)))</f>
        <v>0</v>
      </c>
      <c r="X1173">
        <f>IF(DAY(NOW())&lt;M3,INDIRECT(ADDRESS(1173,23))-INDIRECT(ADDRESS(1168,24))+INDIRECT(ADDRESS(1169,24))-INDIRECT(ADDRESS(1172,24)),INDIRECT(ADDRESS(1173,23))-INDIRECT(ADDRESS(1168,24))+INDIRECT(ADDRESS(1171,24))-INDIRECT(ADDRESS(1172,24)))</f>
        <v>0</v>
      </c>
      <c r="Y1173">
        <f>IF(DAY(NOW())&lt;M3,INDIRECT(ADDRESS(1173,24))-INDIRECT(ADDRESS(1168,25))+INDIRECT(ADDRESS(1169,25))-INDIRECT(ADDRESS(1172,25)),INDIRECT(ADDRESS(1173,24))-INDIRECT(ADDRESS(1168,25))+INDIRECT(ADDRESS(1171,25))-INDIRECT(ADDRESS(1172,25)))</f>
        <v>0</v>
      </c>
      <c r="Z1173">
        <f>IF(DAY(NOW())&lt;M3,INDIRECT(ADDRESS(1173,25))-INDIRECT(ADDRESS(1168,26))+INDIRECT(ADDRESS(1169,26))-INDIRECT(ADDRESS(1172,26)),INDIRECT(ADDRESS(1173,25))-INDIRECT(ADDRESS(1168,26))+INDIRECT(ADDRESS(1171,26))-INDIRECT(ADDRESS(1172,26)))</f>
        <v>0</v>
      </c>
      <c r="AA1173">
        <f>IF(DAY(NOW())&lt;M3,INDIRECT(ADDRESS(1173,26))-INDIRECT(ADDRESS(1168,27))+INDIRECT(ADDRESS(1169,27))-INDIRECT(ADDRESS(1172,27)),INDIRECT(ADDRESS(1173,26))-INDIRECT(ADDRESS(1168,27))+INDIRECT(ADDRESS(1171,27))-INDIRECT(ADDRESS(1172,27)))</f>
        <v>0</v>
      </c>
      <c r="AB1173">
        <f>IF(DAY(NOW())&lt;M3,INDIRECT(ADDRESS(1173,27))-INDIRECT(ADDRESS(1168,28))+INDIRECT(ADDRESS(1169,28))-INDIRECT(ADDRESS(1172,28)),INDIRECT(ADDRESS(1173,27))-INDIRECT(ADDRESS(1168,28))+INDIRECT(ADDRESS(1171,28))-INDIRECT(ADDRESS(1172,28)))</f>
        <v>0</v>
      </c>
      <c r="AC1173">
        <f>IF(DAY(NOW())&lt;M3,INDIRECT(ADDRESS(1173,28))-INDIRECT(ADDRESS(1168,29))+INDIRECT(ADDRESS(1169,29))-INDIRECT(ADDRESS(1172,29)),INDIRECT(ADDRESS(1173,28))-INDIRECT(ADDRESS(1168,29))+INDIRECT(ADDRESS(1171,29))-INDIRECT(ADDRESS(1172,29)))</f>
        <v>0</v>
      </c>
      <c r="AD1173">
        <f>IF(DAY(NOW())&lt;M3,INDIRECT(ADDRESS(1173,29))-INDIRECT(ADDRESS(1168,30))+INDIRECT(ADDRESS(1169,30))-INDIRECT(ADDRESS(1172,30)),INDIRECT(ADDRESS(1173,29))-INDIRECT(ADDRESS(1168,30))+INDIRECT(ADDRESS(1171,30))-INDIRECT(ADDRESS(1172,30)))</f>
        <v>0</v>
      </c>
      <c r="AE1173">
        <f>IF(DAY(NOW())&lt;M3,INDIRECT(ADDRESS(1173,30))-INDIRECT(ADDRESS(1168,31))+INDIRECT(ADDRESS(1169,31))-INDIRECT(ADDRESS(1172,31)),INDIRECT(ADDRESS(1173,30))-INDIRECT(ADDRESS(1168,31))+INDIRECT(ADDRESS(1171,31))-INDIRECT(ADDRESS(1172,31)))</f>
        <v>0</v>
      </c>
      <c r="AF1173">
        <f>IF(DAY(NOW())&lt;M3,INDIRECT(ADDRESS(1173,31))-INDIRECT(ADDRESS(1168,32))+INDIRECT(ADDRESS(1169,32))-INDIRECT(ADDRESS(1172,32)),INDIRECT(ADDRESS(1173,31))-INDIRECT(ADDRESS(1168,32))+INDIRECT(ADDRESS(1171,32))-INDIRECT(ADDRESS(1172,32)))</f>
        <v>0</v>
      </c>
      <c r="AG1173">
        <f>IF(DAY(NOW())&lt;M3,INDIRECT(ADDRESS(1173,32))-INDIRECT(ADDRESS(1168,33))+INDIRECT(ADDRESS(1169,33))-INDIRECT(ADDRESS(1172,33)),INDIRECT(ADDRESS(1173,32))-INDIRECT(ADDRESS(1168,33))+INDIRECT(ADDRESS(1171,33))-INDIRECT(ADDRESS(1172,33)))</f>
        <v>0</v>
      </c>
      <c r="AH1173">
        <f>IF(DAY(NOW())&lt;M3,INDIRECT(ADDRESS(1173,33))-INDIRECT(ADDRESS(1168,34))+INDIRECT(ADDRESS(1169,34))-INDIRECT(ADDRESS(1172,34)),INDIRECT(ADDRESS(1173,33))-INDIRECT(ADDRESS(1168,34))+INDIRECT(ADDRESS(1171,34))-INDIRECT(ADDRESS(1172,34)))</f>
        <v>0</v>
      </c>
      <c r="AI1173">
        <f>IF(DAY(NOW())&lt;M3,INDIRECT(ADDRESS(1173,34))-INDIRECT(ADDRESS(1168,35))+INDIRECT(ADDRESS(1169,35))-INDIRECT(ADDRESS(1172,35)),INDIRECT(ADDRESS(1173,34))-INDIRECT(ADDRESS(1168,35))+INDIRECT(ADDRESS(1171,35))-INDIRECT(ADDRESS(1172,35)))</f>
        <v>0</v>
      </c>
      <c r="AJ1173">
        <f>IF(DAY(NOW())&lt;M3,INDIRECT(ADDRESS(1173,35))-INDIRECT(ADDRESS(1168,36))+INDIRECT(ADDRESS(1169,36))-INDIRECT(ADDRESS(1172,36)),INDIRECT(ADDRESS(1173,35))-INDIRECT(ADDRESS(1168,36))+INDIRECT(ADDRESS(1171,36))-INDIRECT(ADDRESS(1172,36)))</f>
        <v>0</v>
      </c>
      <c r="AK1173">
        <f>IF(DAY(NOW())&lt;M3,INDIRECT(ADDRESS(1173,36))-INDIRECT(ADDRESS(1168,37))+INDIRECT(ADDRESS(1169,37))-INDIRECT(ADDRESS(1172,37)),INDIRECT(ADDRESS(1173,36))-INDIRECT(ADDRESS(1168,37))+INDIRECT(ADDRESS(1171,37))-INDIRECT(ADDRESS(1172,37)))</f>
        <v>0</v>
      </c>
      <c r="AL1173">
        <f>IF(DAY(NOW())&lt;M3,INDIRECT(ADDRESS(1173,37))-INDIRECT(ADDRESS(1168,38))+INDIRECT(ADDRESS(1169,38))-INDIRECT(ADDRESS(1172,38)),INDIRECT(ADDRESS(1173,37))-INDIRECT(ADDRESS(1168,38))+INDIRECT(ADDRESS(1171,38))-INDIRECT(ADDRESS(1172,38)))</f>
        <v>0</v>
      </c>
      <c r="AM1173">
        <f>IF(DAY(NOW())&lt;M3,INDIRECT(ADDRESS(1173,38))-INDIRECT(ADDRESS(1168,39))+INDIRECT(ADDRESS(1169,39))-INDIRECT(ADDRESS(1172,39)),INDIRECT(ADDRESS(1173,38))-INDIRECT(ADDRESS(1168,39))+INDIRECT(ADDRESS(1171,39))-INDIRECT(ADDRESS(1172,39)))</f>
        <v>0</v>
      </c>
      <c r="AN1173">
        <f>IF(DAY(NOW())&lt;M3,INDIRECT(ADDRESS(1173,39))-INDIRECT(ADDRESS(1168,40))+INDIRECT(ADDRESS(1169,40))-INDIRECT(ADDRESS(1172,40)),INDIRECT(ADDRESS(1173,39))-INDIRECT(ADDRESS(1168,40))+INDIRECT(ADDRESS(1171,40))-INDIRECT(ADDRESS(1172,40)))</f>
        <v>0</v>
      </c>
      <c r="AO1173">
        <f>IF(DAY(NOW())&lt;M3,INDIRECT(ADDRESS(1173,40))-INDIRECT(ADDRESS(1168,41))+INDIRECT(ADDRESS(1169,41))-INDIRECT(ADDRESS(1172,41)),INDIRECT(ADDRESS(1173,40))-INDIRECT(ADDRESS(1168,41))+INDIRECT(ADDRESS(1171,41))-INDIRECT(ADDRESS(1172,41)))</f>
        <v>0</v>
      </c>
      <c r="AP1173">
        <f>IF(DAY(NOW())&lt;M3,INDIRECT(ADDRESS(1173,41))-INDIRECT(ADDRESS(1168,42))+INDIRECT(ADDRESS(1169,42))-INDIRECT(ADDRESS(1172,42)),INDIRECT(ADDRESS(1173,41))-INDIRECT(ADDRESS(1168,42))+INDIRECT(ADDRESS(1171,42))-INDIRECT(ADDRESS(1172,42)))</f>
        <v>0</v>
      </c>
      <c r="AQ1173">
        <f>IF(DAY(NOW())&lt;M3,INDIRECT(ADDRESS(1173,42))-INDIRECT(ADDRESS(1168,43))+INDIRECT(ADDRESS(1169,43))-INDIRECT(ADDRESS(1172,43)),INDIRECT(ADDRESS(1173,42))-INDIRECT(ADDRESS(1168,43))+INDIRECT(ADDRESS(1171,43))-INDIRECT(ADDRESS(1172,43)))</f>
        <v>0</v>
      </c>
      <c r="AR1173">
        <f>IF(DAY(NOW())&lt;M3,INDIRECT(ADDRESS(1173,43))-INDIRECT(ADDRESS(1168,44))+INDIRECT(ADDRESS(1169,44))-INDIRECT(ADDRESS(1172,44)),INDIRECT(ADDRESS(1173,43))-INDIRECT(ADDRESS(1168,44))+INDIRECT(ADDRESS(1171,44))-INDIRECT(ADDRESS(1172,44)))</f>
        <v>0</v>
      </c>
    </row>
    <row r="1174" spans="1:76">
      <c r="A1174" t="s">
        <v>14</v>
      </c>
      <c r="B1174" t="s">
        <v>438</v>
      </c>
      <c r="C1174" t="s">
        <v>441</v>
      </c>
      <c r="D1174" t="s">
        <v>440</v>
      </c>
      <c r="E1174">
        <v>1</v>
      </c>
      <c r="F1174" t="s">
        <v>441</v>
      </c>
      <c r="K1174" t="s">
        <v>497</v>
      </c>
      <c r="L1174" t="s">
        <v>21</v>
      </c>
      <c r="BX1174">
        <f>sum(j1174:an1174)</f>
        <v>0</v>
      </c>
    </row>
    <row r="1175" spans="1:76">
      <c r="A1175" t="s">
        <v>14</v>
      </c>
      <c r="B1175" t="s">
        <v>438</v>
      </c>
      <c r="C1175" t="s">
        <v>441</v>
      </c>
      <c r="D1175" t="s">
        <v>440</v>
      </c>
      <c r="E1175">
        <v>1</v>
      </c>
      <c r="F1175" t="s">
        <v>441</v>
      </c>
      <c r="K1175" t="s">
        <v>497</v>
      </c>
      <c r="L1175" t="s">
        <v>37</v>
      </c>
    </row>
    <row r="1176" spans="1:76">
      <c r="L1176" t="s">
        <v>662</v>
      </c>
    </row>
    <row r="1177" spans="1:76">
      <c r="L1177" t="s">
        <v>663</v>
      </c>
    </row>
    <row r="1178" spans="1:76">
      <c r="L1178" t="s">
        <v>664</v>
      </c>
    </row>
    <row r="1179" spans="1:76">
      <c r="L1179" t="s">
        <v>665</v>
      </c>
      <c r="M1179">
        <f>IF(DAY(NOW())&lt;M3,INDIRECT(ADDRESS(1179,7))-INDIRECT(ADDRESS(1174,13))+INDIRECT(ADDRESS(1175,13))-INDIRECT(ADDRESS(1178,13)),INDIRECT(ADDRESS(1179,7))-INDIRECT(ADDRESS(1174,13))+INDIRECT(ADDRESS(1177,13))-INDIRECT(ADDRESS(1178,13)))</f>
        <v>0</v>
      </c>
      <c r="N1179">
        <f>IF(DAY(NOW())&lt;M3,INDIRECT(ADDRESS(1179,13))-INDIRECT(ADDRESS(1174,14))+INDIRECT(ADDRESS(1175,14))-INDIRECT(ADDRESS(1178,14)),INDIRECT(ADDRESS(1179,13))-INDIRECT(ADDRESS(1174,14))+INDIRECT(ADDRESS(1177,14))-INDIRECT(ADDRESS(1178,14)))</f>
        <v>0</v>
      </c>
      <c r="O1179">
        <f>IF(DAY(NOW())&lt;M3,INDIRECT(ADDRESS(1179,14))-INDIRECT(ADDRESS(1174,15))+INDIRECT(ADDRESS(1175,15))-INDIRECT(ADDRESS(1178,15)),INDIRECT(ADDRESS(1179,14))-INDIRECT(ADDRESS(1174,15))+INDIRECT(ADDRESS(1177,15))-INDIRECT(ADDRESS(1178,15)))</f>
        <v>0</v>
      </c>
      <c r="P1179">
        <f>IF(DAY(NOW())&lt;M3,INDIRECT(ADDRESS(1179,15))-INDIRECT(ADDRESS(1174,16))+INDIRECT(ADDRESS(1175,16))-INDIRECT(ADDRESS(1178,16)),INDIRECT(ADDRESS(1179,15))-INDIRECT(ADDRESS(1174,16))+INDIRECT(ADDRESS(1177,16))-INDIRECT(ADDRESS(1178,16)))</f>
        <v>0</v>
      </c>
      <c r="Q1179">
        <f>IF(DAY(NOW())&lt;M3,INDIRECT(ADDRESS(1179,16))-INDIRECT(ADDRESS(1174,17))+INDIRECT(ADDRESS(1175,17))-INDIRECT(ADDRESS(1178,17)),INDIRECT(ADDRESS(1179,16))-INDIRECT(ADDRESS(1174,17))+INDIRECT(ADDRESS(1177,17))-INDIRECT(ADDRESS(1178,17)))</f>
        <v>0</v>
      </c>
      <c r="R1179">
        <f>IF(DAY(NOW())&lt;M3,INDIRECT(ADDRESS(1179,17))-INDIRECT(ADDRESS(1174,18))+INDIRECT(ADDRESS(1175,18))-INDIRECT(ADDRESS(1178,18)),INDIRECT(ADDRESS(1179,17))-INDIRECT(ADDRESS(1174,18))+INDIRECT(ADDRESS(1177,18))-INDIRECT(ADDRESS(1178,18)))</f>
        <v>0</v>
      </c>
      <c r="S1179">
        <f>IF(DAY(NOW())&lt;M3,INDIRECT(ADDRESS(1179,18))-INDIRECT(ADDRESS(1174,19))+INDIRECT(ADDRESS(1175,19))-INDIRECT(ADDRESS(1178,19)),INDIRECT(ADDRESS(1179,18))-INDIRECT(ADDRESS(1174,19))+INDIRECT(ADDRESS(1177,19))-INDIRECT(ADDRESS(1178,19)))</f>
        <v>0</v>
      </c>
      <c r="T1179">
        <f>IF(DAY(NOW())&lt;M3,INDIRECT(ADDRESS(1179,19))-INDIRECT(ADDRESS(1174,20))+INDIRECT(ADDRESS(1175,20))-INDIRECT(ADDRESS(1178,20)),INDIRECT(ADDRESS(1179,19))-INDIRECT(ADDRESS(1174,20))+INDIRECT(ADDRESS(1177,20))-INDIRECT(ADDRESS(1178,20)))</f>
        <v>0</v>
      </c>
      <c r="U1179">
        <f>IF(DAY(NOW())&lt;M3,INDIRECT(ADDRESS(1179,20))-INDIRECT(ADDRESS(1174,21))+INDIRECT(ADDRESS(1175,21))-INDIRECT(ADDRESS(1178,21)),INDIRECT(ADDRESS(1179,20))-INDIRECT(ADDRESS(1174,21))+INDIRECT(ADDRESS(1177,21))-INDIRECT(ADDRESS(1178,21)))</f>
        <v>0</v>
      </c>
      <c r="V1179">
        <f>IF(DAY(NOW())&lt;M3,INDIRECT(ADDRESS(1179,21))-INDIRECT(ADDRESS(1174,22))+INDIRECT(ADDRESS(1175,22))-INDIRECT(ADDRESS(1178,22)),INDIRECT(ADDRESS(1179,21))-INDIRECT(ADDRESS(1174,22))+INDIRECT(ADDRESS(1177,22))-INDIRECT(ADDRESS(1178,22)))</f>
        <v>0</v>
      </c>
      <c r="W1179">
        <f>IF(DAY(NOW())&lt;M3,INDIRECT(ADDRESS(1179,22))-INDIRECT(ADDRESS(1174,23))+INDIRECT(ADDRESS(1175,23))-INDIRECT(ADDRESS(1178,23)),INDIRECT(ADDRESS(1179,22))-INDIRECT(ADDRESS(1174,23))+INDIRECT(ADDRESS(1177,23))-INDIRECT(ADDRESS(1178,23)))</f>
        <v>0</v>
      </c>
      <c r="X1179">
        <f>IF(DAY(NOW())&lt;M3,INDIRECT(ADDRESS(1179,23))-INDIRECT(ADDRESS(1174,24))+INDIRECT(ADDRESS(1175,24))-INDIRECT(ADDRESS(1178,24)),INDIRECT(ADDRESS(1179,23))-INDIRECT(ADDRESS(1174,24))+INDIRECT(ADDRESS(1177,24))-INDIRECT(ADDRESS(1178,24)))</f>
        <v>0</v>
      </c>
      <c r="Y1179">
        <f>IF(DAY(NOW())&lt;M3,INDIRECT(ADDRESS(1179,24))-INDIRECT(ADDRESS(1174,25))+INDIRECT(ADDRESS(1175,25))-INDIRECT(ADDRESS(1178,25)),INDIRECT(ADDRESS(1179,24))-INDIRECT(ADDRESS(1174,25))+INDIRECT(ADDRESS(1177,25))-INDIRECT(ADDRESS(1178,25)))</f>
        <v>0</v>
      </c>
      <c r="Z1179">
        <f>IF(DAY(NOW())&lt;M3,INDIRECT(ADDRESS(1179,25))-INDIRECT(ADDRESS(1174,26))+INDIRECT(ADDRESS(1175,26))-INDIRECT(ADDRESS(1178,26)),INDIRECT(ADDRESS(1179,25))-INDIRECT(ADDRESS(1174,26))+INDIRECT(ADDRESS(1177,26))-INDIRECT(ADDRESS(1178,26)))</f>
        <v>0</v>
      </c>
      <c r="AA1179">
        <f>IF(DAY(NOW())&lt;M3,INDIRECT(ADDRESS(1179,26))-INDIRECT(ADDRESS(1174,27))+INDIRECT(ADDRESS(1175,27))-INDIRECT(ADDRESS(1178,27)),INDIRECT(ADDRESS(1179,26))-INDIRECT(ADDRESS(1174,27))+INDIRECT(ADDRESS(1177,27))-INDIRECT(ADDRESS(1178,27)))</f>
        <v>0</v>
      </c>
      <c r="AB1179">
        <f>IF(DAY(NOW())&lt;M3,INDIRECT(ADDRESS(1179,27))-INDIRECT(ADDRESS(1174,28))+INDIRECT(ADDRESS(1175,28))-INDIRECT(ADDRESS(1178,28)),INDIRECT(ADDRESS(1179,27))-INDIRECT(ADDRESS(1174,28))+INDIRECT(ADDRESS(1177,28))-INDIRECT(ADDRESS(1178,28)))</f>
        <v>0</v>
      </c>
      <c r="AC1179">
        <f>IF(DAY(NOW())&lt;M3,INDIRECT(ADDRESS(1179,28))-INDIRECT(ADDRESS(1174,29))+INDIRECT(ADDRESS(1175,29))-INDIRECT(ADDRESS(1178,29)),INDIRECT(ADDRESS(1179,28))-INDIRECT(ADDRESS(1174,29))+INDIRECT(ADDRESS(1177,29))-INDIRECT(ADDRESS(1178,29)))</f>
        <v>0</v>
      </c>
      <c r="AD1179">
        <f>IF(DAY(NOW())&lt;M3,INDIRECT(ADDRESS(1179,29))-INDIRECT(ADDRESS(1174,30))+INDIRECT(ADDRESS(1175,30))-INDIRECT(ADDRESS(1178,30)),INDIRECT(ADDRESS(1179,29))-INDIRECT(ADDRESS(1174,30))+INDIRECT(ADDRESS(1177,30))-INDIRECT(ADDRESS(1178,30)))</f>
        <v>0</v>
      </c>
      <c r="AE1179">
        <f>IF(DAY(NOW())&lt;M3,INDIRECT(ADDRESS(1179,30))-INDIRECT(ADDRESS(1174,31))+INDIRECT(ADDRESS(1175,31))-INDIRECT(ADDRESS(1178,31)),INDIRECT(ADDRESS(1179,30))-INDIRECT(ADDRESS(1174,31))+INDIRECT(ADDRESS(1177,31))-INDIRECT(ADDRESS(1178,31)))</f>
        <v>0</v>
      </c>
      <c r="AF1179">
        <f>IF(DAY(NOW())&lt;M3,INDIRECT(ADDRESS(1179,31))-INDIRECT(ADDRESS(1174,32))+INDIRECT(ADDRESS(1175,32))-INDIRECT(ADDRESS(1178,32)),INDIRECT(ADDRESS(1179,31))-INDIRECT(ADDRESS(1174,32))+INDIRECT(ADDRESS(1177,32))-INDIRECT(ADDRESS(1178,32)))</f>
        <v>0</v>
      </c>
      <c r="AG1179">
        <f>IF(DAY(NOW())&lt;M3,INDIRECT(ADDRESS(1179,32))-INDIRECT(ADDRESS(1174,33))+INDIRECT(ADDRESS(1175,33))-INDIRECT(ADDRESS(1178,33)),INDIRECT(ADDRESS(1179,32))-INDIRECT(ADDRESS(1174,33))+INDIRECT(ADDRESS(1177,33))-INDIRECT(ADDRESS(1178,33)))</f>
        <v>0</v>
      </c>
      <c r="AH1179">
        <f>IF(DAY(NOW())&lt;M3,INDIRECT(ADDRESS(1179,33))-INDIRECT(ADDRESS(1174,34))+INDIRECT(ADDRESS(1175,34))-INDIRECT(ADDRESS(1178,34)),INDIRECT(ADDRESS(1179,33))-INDIRECT(ADDRESS(1174,34))+INDIRECT(ADDRESS(1177,34))-INDIRECT(ADDRESS(1178,34)))</f>
        <v>0</v>
      </c>
      <c r="AI1179">
        <f>IF(DAY(NOW())&lt;M3,INDIRECT(ADDRESS(1179,34))-INDIRECT(ADDRESS(1174,35))+INDIRECT(ADDRESS(1175,35))-INDIRECT(ADDRESS(1178,35)),INDIRECT(ADDRESS(1179,34))-INDIRECT(ADDRESS(1174,35))+INDIRECT(ADDRESS(1177,35))-INDIRECT(ADDRESS(1178,35)))</f>
        <v>0</v>
      </c>
      <c r="AJ1179">
        <f>IF(DAY(NOW())&lt;M3,INDIRECT(ADDRESS(1179,35))-INDIRECT(ADDRESS(1174,36))+INDIRECT(ADDRESS(1175,36))-INDIRECT(ADDRESS(1178,36)),INDIRECT(ADDRESS(1179,35))-INDIRECT(ADDRESS(1174,36))+INDIRECT(ADDRESS(1177,36))-INDIRECT(ADDRESS(1178,36)))</f>
        <v>0</v>
      </c>
      <c r="AK1179">
        <f>IF(DAY(NOW())&lt;M3,INDIRECT(ADDRESS(1179,36))-INDIRECT(ADDRESS(1174,37))+INDIRECT(ADDRESS(1175,37))-INDIRECT(ADDRESS(1178,37)),INDIRECT(ADDRESS(1179,36))-INDIRECT(ADDRESS(1174,37))+INDIRECT(ADDRESS(1177,37))-INDIRECT(ADDRESS(1178,37)))</f>
        <v>0</v>
      </c>
      <c r="AL1179">
        <f>IF(DAY(NOW())&lt;M3,INDIRECT(ADDRESS(1179,37))-INDIRECT(ADDRESS(1174,38))+INDIRECT(ADDRESS(1175,38))-INDIRECT(ADDRESS(1178,38)),INDIRECT(ADDRESS(1179,37))-INDIRECT(ADDRESS(1174,38))+INDIRECT(ADDRESS(1177,38))-INDIRECT(ADDRESS(1178,38)))</f>
        <v>0</v>
      </c>
      <c r="AM1179">
        <f>IF(DAY(NOW())&lt;M3,INDIRECT(ADDRESS(1179,38))-INDIRECT(ADDRESS(1174,39))+INDIRECT(ADDRESS(1175,39))-INDIRECT(ADDRESS(1178,39)),INDIRECT(ADDRESS(1179,38))-INDIRECT(ADDRESS(1174,39))+INDIRECT(ADDRESS(1177,39))-INDIRECT(ADDRESS(1178,39)))</f>
        <v>0</v>
      </c>
      <c r="AN1179">
        <f>IF(DAY(NOW())&lt;M3,INDIRECT(ADDRESS(1179,39))-INDIRECT(ADDRESS(1174,40))+INDIRECT(ADDRESS(1175,40))-INDIRECT(ADDRESS(1178,40)),INDIRECT(ADDRESS(1179,39))-INDIRECT(ADDRESS(1174,40))+INDIRECT(ADDRESS(1177,40))-INDIRECT(ADDRESS(1178,40)))</f>
        <v>0</v>
      </c>
      <c r="AO1179">
        <f>IF(DAY(NOW())&lt;M3,INDIRECT(ADDRESS(1179,40))-INDIRECT(ADDRESS(1174,41))+INDIRECT(ADDRESS(1175,41))-INDIRECT(ADDRESS(1178,41)),INDIRECT(ADDRESS(1179,40))-INDIRECT(ADDRESS(1174,41))+INDIRECT(ADDRESS(1177,41))-INDIRECT(ADDRESS(1178,41)))</f>
        <v>0</v>
      </c>
      <c r="AP1179">
        <f>IF(DAY(NOW())&lt;M3,INDIRECT(ADDRESS(1179,41))-INDIRECT(ADDRESS(1174,42))+INDIRECT(ADDRESS(1175,42))-INDIRECT(ADDRESS(1178,42)),INDIRECT(ADDRESS(1179,41))-INDIRECT(ADDRESS(1174,42))+INDIRECT(ADDRESS(1177,42))-INDIRECT(ADDRESS(1178,42)))</f>
        <v>0</v>
      </c>
      <c r="AQ1179">
        <f>IF(DAY(NOW())&lt;M3,INDIRECT(ADDRESS(1179,42))-INDIRECT(ADDRESS(1174,43))+INDIRECT(ADDRESS(1175,43))-INDIRECT(ADDRESS(1178,43)),INDIRECT(ADDRESS(1179,42))-INDIRECT(ADDRESS(1174,43))+INDIRECT(ADDRESS(1177,43))-INDIRECT(ADDRESS(1178,43)))</f>
        <v>0</v>
      </c>
      <c r="AR1179">
        <f>IF(DAY(NOW())&lt;M3,INDIRECT(ADDRESS(1179,43))-INDIRECT(ADDRESS(1174,44))+INDIRECT(ADDRESS(1175,44))-INDIRECT(ADDRESS(1178,44)),INDIRECT(ADDRESS(1179,43))-INDIRECT(ADDRESS(1174,44))+INDIRECT(ADDRESS(1177,44))-INDIRECT(ADDRESS(1178,44)))</f>
        <v>0</v>
      </c>
    </row>
    <row r="1180" spans="1:76">
      <c r="A1180" t="s">
        <v>31</v>
      </c>
      <c r="B1180" t="s">
        <v>321</v>
      </c>
      <c r="C1180" t="s">
        <v>323</v>
      </c>
      <c r="E1180" t="s">
        <v>498</v>
      </c>
      <c r="F1180" t="s">
        <v>323</v>
      </c>
      <c r="K1180" t="s">
        <v>499</v>
      </c>
      <c r="L1180" t="s">
        <v>21</v>
      </c>
      <c r="M1180">
        <f>sumifs(BOM!m:m,BOM!A:A,".1",BOM!B:B,"222-014500-000")</f>
        <v>0</v>
      </c>
      <c r="N1180">
        <f>sumifs(BOM!n:n,BOM!A:A,".1",BOM!B:B,"222-014500-000")</f>
        <v>0</v>
      </c>
      <c r="O1180">
        <f>sumifs(BOM!o:o,BOM!A:A,".1",BOM!B:B,"222-014500-000")</f>
        <v>0</v>
      </c>
      <c r="P1180">
        <f>sumifs(BOM!p:p,BOM!A:A,".1",BOM!B:B,"222-014500-000")</f>
        <v>0</v>
      </c>
      <c r="Q1180">
        <f>sumifs(BOM!q:q,BOM!A:A,".1",BOM!B:B,"222-014500-000")</f>
        <v>0</v>
      </c>
      <c r="R1180">
        <f>sumifs(BOM!r:r,BOM!A:A,".1",BOM!B:B,"222-014500-000")</f>
        <v>0</v>
      </c>
      <c r="S1180">
        <f>sumifs(BOM!s:s,BOM!A:A,".1",BOM!B:B,"222-014500-000")</f>
        <v>0</v>
      </c>
      <c r="T1180">
        <f>sumifs(BOM!t:t,BOM!A:A,".1",BOM!B:B,"222-014500-000")</f>
        <v>0</v>
      </c>
      <c r="U1180">
        <f>sumifs(BOM!u:u,BOM!A:A,".1",BOM!B:B,"222-014500-000")</f>
        <v>0</v>
      </c>
      <c r="V1180">
        <f>sumifs(BOM!v:v,BOM!A:A,".1",BOM!B:B,"222-014500-000")</f>
        <v>0</v>
      </c>
      <c r="W1180">
        <f>sumifs(BOM!w:w,BOM!A:A,".1",BOM!B:B,"222-014500-000")</f>
        <v>0</v>
      </c>
      <c r="X1180">
        <f>sumifs(BOM!x:x,BOM!A:A,".1",BOM!B:B,"222-014500-000")</f>
        <v>0</v>
      </c>
      <c r="Y1180">
        <f>sumifs(BOM!y:y,BOM!A:A,".1",BOM!B:B,"222-014500-000")</f>
        <v>0</v>
      </c>
      <c r="Z1180">
        <f>sumifs(BOM!z:z,BOM!A:A,".1",BOM!B:B,"222-014500-000")</f>
        <v>0</v>
      </c>
      <c r="AA1180">
        <f>sumifs(BOM!aa:aa,BOM!A:A,".1",BOM!B:B,"222-014500-000")</f>
        <v>0</v>
      </c>
      <c r="AB1180">
        <f>sumifs(BOM!ab:ab,BOM!A:A,".1",BOM!B:B,"222-014500-000")</f>
        <v>0</v>
      </c>
      <c r="AC1180">
        <f>sumifs(BOM!ac:ac,BOM!A:A,".1",BOM!B:B,"222-014500-000")</f>
        <v>0</v>
      </c>
      <c r="AD1180">
        <f>sumifs(BOM!ad:ad,BOM!A:A,".1",BOM!B:B,"222-014500-000")</f>
        <v>0</v>
      </c>
      <c r="AE1180">
        <f>sumifs(BOM!ae:ae,BOM!A:A,".1",BOM!B:B,"222-014500-000")</f>
        <v>0</v>
      </c>
      <c r="AF1180">
        <f>sumifs(BOM!af:af,BOM!A:A,".1",BOM!B:B,"222-014500-000")</f>
        <v>0</v>
      </c>
      <c r="AG1180">
        <f>sumifs(BOM!ag:ag,BOM!A:A,".1",BOM!B:B,"222-014500-000")</f>
        <v>0</v>
      </c>
      <c r="AH1180">
        <f>sumifs(BOM!ah:ah,BOM!A:A,".1",BOM!B:B,"222-014500-000")</f>
        <v>0</v>
      </c>
      <c r="AI1180">
        <f>sumifs(BOM!ai:ai,BOM!A:A,".1",BOM!B:B,"222-014500-000")</f>
        <v>0</v>
      </c>
      <c r="AJ1180">
        <f>sumifs(BOM!aj:aj,BOM!A:A,".1",BOM!B:B,"222-014500-000")</f>
        <v>0</v>
      </c>
      <c r="AK1180">
        <f>sumifs(BOM!ak:ak,BOM!A:A,".1",BOM!B:B,"222-014500-000")</f>
        <v>0</v>
      </c>
      <c r="AL1180">
        <f>sumifs(BOM!al:al,BOM!A:A,".1",BOM!B:B,"222-014500-000")</f>
        <v>0</v>
      </c>
      <c r="AM1180">
        <f>sumifs(BOM!am:am,BOM!A:A,".1",BOM!B:B,"222-014500-000")</f>
        <v>0</v>
      </c>
      <c r="AN1180">
        <f>sumifs(BOM!an:an,BOM!A:A,".1",BOM!B:B,"222-014500-000")</f>
        <v>0</v>
      </c>
      <c r="AO1180">
        <f>sumifs(BOM!ao:ao,BOM!A:A,".1",BOM!B:B,"222-014500-000")</f>
        <v>0</v>
      </c>
      <c r="AP1180">
        <f>sumifs(BOM!ap:ap,BOM!A:A,".1",BOM!B:B,"222-014500-000")</f>
        <v>0</v>
      </c>
      <c r="AQ1180">
        <f>sumifs(BOM!aq:aq,BOM!A:A,".1",BOM!B:B,"222-014500-000")</f>
        <v>0</v>
      </c>
      <c r="AR1180">
        <f>sumifs(BOM!ar:ar,BOM!A:A,".1",BOM!B:B,"222-014500-000")</f>
        <v>0</v>
      </c>
      <c r="BX1180">
        <f>sum(j1180:an1180)</f>
        <v>0</v>
      </c>
    </row>
    <row r="1181" spans="1:76">
      <c r="A1181" t="s">
        <v>31</v>
      </c>
      <c r="B1181" t="s">
        <v>321</v>
      </c>
      <c r="C1181" t="s">
        <v>323</v>
      </c>
      <c r="E1181" t="s">
        <v>498</v>
      </c>
      <c r="F1181" t="s">
        <v>323</v>
      </c>
      <c r="K1181" t="s">
        <v>499</v>
      </c>
      <c r="L1181" t="s">
        <v>37</v>
      </c>
    </row>
    <row r="1182" spans="1:76">
      <c r="L1182" t="s">
        <v>662</v>
      </c>
    </row>
    <row r="1183" spans="1:76">
      <c r="L1183" t="s">
        <v>663</v>
      </c>
    </row>
    <row r="1184" spans="1:76">
      <c r="L1184" t="s">
        <v>664</v>
      </c>
    </row>
    <row r="1185" spans="1:76">
      <c r="L1185" t="s">
        <v>665</v>
      </c>
      <c r="M1185">
        <f>IF(DAY(NOW())&lt;M3,INDIRECT(ADDRESS(1185,7))-INDIRECT(ADDRESS(1180,13))+INDIRECT(ADDRESS(1181,13))-INDIRECT(ADDRESS(1184,13)),INDIRECT(ADDRESS(1185,7))-INDIRECT(ADDRESS(1180,13))+INDIRECT(ADDRESS(1183,13))-INDIRECT(ADDRESS(1184,13)))</f>
        <v>0</v>
      </c>
      <c r="N1185">
        <f>IF(DAY(NOW())&lt;M3,INDIRECT(ADDRESS(1185,13))-INDIRECT(ADDRESS(1180,14))+INDIRECT(ADDRESS(1181,14))-INDIRECT(ADDRESS(1184,14)),INDIRECT(ADDRESS(1185,13))-INDIRECT(ADDRESS(1180,14))+INDIRECT(ADDRESS(1183,14))-INDIRECT(ADDRESS(1184,14)))</f>
        <v>0</v>
      </c>
      <c r="O1185">
        <f>IF(DAY(NOW())&lt;M3,INDIRECT(ADDRESS(1185,14))-INDIRECT(ADDRESS(1180,15))+INDIRECT(ADDRESS(1181,15))-INDIRECT(ADDRESS(1184,15)),INDIRECT(ADDRESS(1185,14))-INDIRECT(ADDRESS(1180,15))+INDIRECT(ADDRESS(1183,15))-INDIRECT(ADDRESS(1184,15)))</f>
        <v>0</v>
      </c>
      <c r="P1185">
        <f>IF(DAY(NOW())&lt;M3,INDIRECT(ADDRESS(1185,15))-INDIRECT(ADDRESS(1180,16))+INDIRECT(ADDRESS(1181,16))-INDIRECT(ADDRESS(1184,16)),INDIRECT(ADDRESS(1185,15))-INDIRECT(ADDRESS(1180,16))+INDIRECT(ADDRESS(1183,16))-INDIRECT(ADDRESS(1184,16)))</f>
        <v>0</v>
      </c>
      <c r="Q1185">
        <f>IF(DAY(NOW())&lt;M3,INDIRECT(ADDRESS(1185,16))-INDIRECT(ADDRESS(1180,17))+INDIRECT(ADDRESS(1181,17))-INDIRECT(ADDRESS(1184,17)),INDIRECT(ADDRESS(1185,16))-INDIRECT(ADDRESS(1180,17))+INDIRECT(ADDRESS(1183,17))-INDIRECT(ADDRESS(1184,17)))</f>
        <v>0</v>
      </c>
      <c r="R1185">
        <f>IF(DAY(NOW())&lt;M3,INDIRECT(ADDRESS(1185,17))-INDIRECT(ADDRESS(1180,18))+INDIRECT(ADDRESS(1181,18))-INDIRECT(ADDRESS(1184,18)),INDIRECT(ADDRESS(1185,17))-INDIRECT(ADDRESS(1180,18))+INDIRECT(ADDRESS(1183,18))-INDIRECT(ADDRESS(1184,18)))</f>
        <v>0</v>
      </c>
      <c r="S1185">
        <f>IF(DAY(NOW())&lt;M3,INDIRECT(ADDRESS(1185,18))-INDIRECT(ADDRESS(1180,19))+INDIRECT(ADDRESS(1181,19))-INDIRECT(ADDRESS(1184,19)),INDIRECT(ADDRESS(1185,18))-INDIRECT(ADDRESS(1180,19))+INDIRECT(ADDRESS(1183,19))-INDIRECT(ADDRESS(1184,19)))</f>
        <v>0</v>
      </c>
      <c r="T1185">
        <f>IF(DAY(NOW())&lt;M3,INDIRECT(ADDRESS(1185,19))-INDIRECT(ADDRESS(1180,20))+INDIRECT(ADDRESS(1181,20))-INDIRECT(ADDRESS(1184,20)),INDIRECT(ADDRESS(1185,19))-INDIRECT(ADDRESS(1180,20))+INDIRECT(ADDRESS(1183,20))-INDIRECT(ADDRESS(1184,20)))</f>
        <v>0</v>
      </c>
      <c r="U1185">
        <f>IF(DAY(NOW())&lt;M3,INDIRECT(ADDRESS(1185,20))-INDIRECT(ADDRESS(1180,21))+INDIRECT(ADDRESS(1181,21))-INDIRECT(ADDRESS(1184,21)),INDIRECT(ADDRESS(1185,20))-INDIRECT(ADDRESS(1180,21))+INDIRECT(ADDRESS(1183,21))-INDIRECT(ADDRESS(1184,21)))</f>
        <v>0</v>
      </c>
      <c r="V1185">
        <f>IF(DAY(NOW())&lt;M3,INDIRECT(ADDRESS(1185,21))-INDIRECT(ADDRESS(1180,22))+INDIRECT(ADDRESS(1181,22))-INDIRECT(ADDRESS(1184,22)),INDIRECT(ADDRESS(1185,21))-INDIRECT(ADDRESS(1180,22))+INDIRECT(ADDRESS(1183,22))-INDIRECT(ADDRESS(1184,22)))</f>
        <v>0</v>
      </c>
      <c r="W1185">
        <f>IF(DAY(NOW())&lt;M3,INDIRECT(ADDRESS(1185,22))-INDIRECT(ADDRESS(1180,23))+INDIRECT(ADDRESS(1181,23))-INDIRECT(ADDRESS(1184,23)),INDIRECT(ADDRESS(1185,22))-INDIRECT(ADDRESS(1180,23))+INDIRECT(ADDRESS(1183,23))-INDIRECT(ADDRESS(1184,23)))</f>
        <v>0</v>
      </c>
      <c r="X1185">
        <f>IF(DAY(NOW())&lt;M3,INDIRECT(ADDRESS(1185,23))-INDIRECT(ADDRESS(1180,24))+INDIRECT(ADDRESS(1181,24))-INDIRECT(ADDRESS(1184,24)),INDIRECT(ADDRESS(1185,23))-INDIRECT(ADDRESS(1180,24))+INDIRECT(ADDRESS(1183,24))-INDIRECT(ADDRESS(1184,24)))</f>
        <v>0</v>
      </c>
      <c r="Y1185">
        <f>IF(DAY(NOW())&lt;M3,INDIRECT(ADDRESS(1185,24))-INDIRECT(ADDRESS(1180,25))+INDIRECT(ADDRESS(1181,25))-INDIRECT(ADDRESS(1184,25)),INDIRECT(ADDRESS(1185,24))-INDIRECT(ADDRESS(1180,25))+INDIRECT(ADDRESS(1183,25))-INDIRECT(ADDRESS(1184,25)))</f>
        <v>0</v>
      </c>
      <c r="Z1185">
        <f>IF(DAY(NOW())&lt;M3,INDIRECT(ADDRESS(1185,25))-INDIRECT(ADDRESS(1180,26))+INDIRECT(ADDRESS(1181,26))-INDIRECT(ADDRESS(1184,26)),INDIRECT(ADDRESS(1185,25))-INDIRECT(ADDRESS(1180,26))+INDIRECT(ADDRESS(1183,26))-INDIRECT(ADDRESS(1184,26)))</f>
        <v>0</v>
      </c>
      <c r="AA1185">
        <f>IF(DAY(NOW())&lt;M3,INDIRECT(ADDRESS(1185,26))-INDIRECT(ADDRESS(1180,27))+INDIRECT(ADDRESS(1181,27))-INDIRECT(ADDRESS(1184,27)),INDIRECT(ADDRESS(1185,26))-INDIRECT(ADDRESS(1180,27))+INDIRECT(ADDRESS(1183,27))-INDIRECT(ADDRESS(1184,27)))</f>
        <v>0</v>
      </c>
      <c r="AB1185">
        <f>IF(DAY(NOW())&lt;M3,INDIRECT(ADDRESS(1185,27))-INDIRECT(ADDRESS(1180,28))+INDIRECT(ADDRESS(1181,28))-INDIRECT(ADDRESS(1184,28)),INDIRECT(ADDRESS(1185,27))-INDIRECT(ADDRESS(1180,28))+INDIRECT(ADDRESS(1183,28))-INDIRECT(ADDRESS(1184,28)))</f>
        <v>0</v>
      </c>
      <c r="AC1185">
        <f>IF(DAY(NOW())&lt;M3,INDIRECT(ADDRESS(1185,28))-INDIRECT(ADDRESS(1180,29))+INDIRECT(ADDRESS(1181,29))-INDIRECT(ADDRESS(1184,29)),INDIRECT(ADDRESS(1185,28))-INDIRECT(ADDRESS(1180,29))+INDIRECT(ADDRESS(1183,29))-INDIRECT(ADDRESS(1184,29)))</f>
        <v>0</v>
      </c>
      <c r="AD1185">
        <f>IF(DAY(NOW())&lt;M3,INDIRECT(ADDRESS(1185,29))-INDIRECT(ADDRESS(1180,30))+INDIRECT(ADDRESS(1181,30))-INDIRECT(ADDRESS(1184,30)),INDIRECT(ADDRESS(1185,29))-INDIRECT(ADDRESS(1180,30))+INDIRECT(ADDRESS(1183,30))-INDIRECT(ADDRESS(1184,30)))</f>
        <v>0</v>
      </c>
      <c r="AE1185">
        <f>IF(DAY(NOW())&lt;M3,INDIRECT(ADDRESS(1185,30))-INDIRECT(ADDRESS(1180,31))+INDIRECT(ADDRESS(1181,31))-INDIRECT(ADDRESS(1184,31)),INDIRECT(ADDRESS(1185,30))-INDIRECT(ADDRESS(1180,31))+INDIRECT(ADDRESS(1183,31))-INDIRECT(ADDRESS(1184,31)))</f>
        <v>0</v>
      </c>
      <c r="AF1185">
        <f>IF(DAY(NOW())&lt;M3,INDIRECT(ADDRESS(1185,31))-INDIRECT(ADDRESS(1180,32))+INDIRECT(ADDRESS(1181,32))-INDIRECT(ADDRESS(1184,32)),INDIRECT(ADDRESS(1185,31))-INDIRECT(ADDRESS(1180,32))+INDIRECT(ADDRESS(1183,32))-INDIRECT(ADDRESS(1184,32)))</f>
        <v>0</v>
      </c>
      <c r="AG1185">
        <f>IF(DAY(NOW())&lt;M3,INDIRECT(ADDRESS(1185,32))-INDIRECT(ADDRESS(1180,33))+INDIRECT(ADDRESS(1181,33))-INDIRECT(ADDRESS(1184,33)),INDIRECT(ADDRESS(1185,32))-INDIRECT(ADDRESS(1180,33))+INDIRECT(ADDRESS(1183,33))-INDIRECT(ADDRESS(1184,33)))</f>
        <v>0</v>
      </c>
      <c r="AH1185">
        <f>IF(DAY(NOW())&lt;M3,INDIRECT(ADDRESS(1185,33))-INDIRECT(ADDRESS(1180,34))+INDIRECT(ADDRESS(1181,34))-INDIRECT(ADDRESS(1184,34)),INDIRECT(ADDRESS(1185,33))-INDIRECT(ADDRESS(1180,34))+INDIRECT(ADDRESS(1183,34))-INDIRECT(ADDRESS(1184,34)))</f>
        <v>0</v>
      </c>
      <c r="AI1185">
        <f>IF(DAY(NOW())&lt;M3,INDIRECT(ADDRESS(1185,34))-INDIRECT(ADDRESS(1180,35))+INDIRECT(ADDRESS(1181,35))-INDIRECT(ADDRESS(1184,35)),INDIRECT(ADDRESS(1185,34))-INDIRECT(ADDRESS(1180,35))+INDIRECT(ADDRESS(1183,35))-INDIRECT(ADDRESS(1184,35)))</f>
        <v>0</v>
      </c>
      <c r="AJ1185">
        <f>IF(DAY(NOW())&lt;M3,INDIRECT(ADDRESS(1185,35))-INDIRECT(ADDRESS(1180,36))+INDIRECT(ADDRESS(1181,36))-INDIRECT(ADDRESS(1184,36)),INDIRECT(ADDRESS(1185,35))-INDIRECT(ADDRESS(1180,36))+INDIRECT(ADDRESS(1183,36))-INDIRECT(ADDRESS(1184,36)))</f>
        <v>0</v>
      </c>
      <c r="AK1185">
        <f>IF(DAY(NOW())&lt;M3,INDIRECT(ADDRESS(1185,36))-INDIRECT(ADDRESS(1180,37))+INDIRECT(ADDRESS(1181,37))-INDIRECT(ADDRESS(1184,37)),INDIRECT(ADDRESS(1185,36))-INDIRECT(ADDRESS(1180,37))+INDIRECT(ADDRESS(1183,37))-INDIRECT(ADDRESS(1184,37)))</f>
        <v>0</v>
      </c>
      <c r="AL1185">
        <f>IF(DAY(NOW())&lt;M3,INDIRECT(ADDRESS(1185,37))-INDIRECT(ADDRESS(1180,38))+INDIRECT(ADDRESS(1181,38))-INDIRECT(ADDRESS(1184,38)),INDIRECT(ADDRESS(1185,37))-INDIRECT(ADDRESS(1180,38))+INDIRECT(ADDRESS(1183,38))-INDIRECT(ADDRESS(1184,38)))</f>
        <v>0</v>
      </c>
      <c r="AM1185">
        <f>IF(DAY(NOW())&lt;M3,INDIRECT(ADDRESS(1185,38))-INDIRECT(ADDRESS(1180,39))+INDIRECT(ADDRESS(1181,39))-INDIRECT(ADDRESS(1184,39)),INDIRECT(ADDRESS(1185,38))-INDIRECT(ADDRESS(1180,39))+INDIRECT(ADDRESS(1183,39))-INDIRECT(ADDRESS(1184,39)))</f>
        <v>0</v>
      </c>
      <c r="AN1185">
        <f>IF(DAY(NOW())&lt;M3,INDIRECT(ADDRESS(1185,39))-INDIRECT(ADDRESS(1180,40))+INDIRECT(ADDRESS(1181,40))-INDIRECT(ADDRESS(1184,40)),INDIRECT(ADDRESS(1185,39))-INDIRECT(ADDRESS(1180,40))+INDIRECT(ADDRESS(1183,40))-INDIRECT(ADDRESS(1184,40)))</f>
        <v>0</v>
      </c>
      <c r="AO1185">
        <f>IF(DAY(NOW())&lt;M3,INDIRECT(ADDRESS(1185,40))-INDIRECT(ADDRESS(1180,41))+INDIRECT(ADDRESS(1181,41))-INDIRECT(ADDRESS(1184,41)),INDIRECT(ADDRESS(1185,40))-INDIRECT(ADDRESS(1180,41))+INDIRECT(ADDRESS(1183,41))-INDIRECT(ADDRESS(1184,41)))</f>
        <v>0</v>
      </c>
      <c r="AP1185">
        <f>IF(DAY(NOW())&lt;M3,INDIRECT(ADDRESS(1185,41))-INDIRECT(ADDRESS(1180,42))+INDIRECT(ADDRESS(1181,42))-INDIRECT(ADDRESS(1184,42)),INDIRECT(ADDRESS(1185,41))-INDIRECT(ADDRESS(1180,42))+INDIRECT(ADDRESS(1183,42))-INDIRECT(ADDRESS(1184,42)))</f>
        <v>0</v>
      </c>
      <c r="AQ1185">
        <f>IF(DAY(NOW())&lt;M3,INDIRECT(ADDRESS(1185,42))-INDIRECT(ADDRESS(1180,43))+INDIRECT(ADDRESS(1181,43))-INDIRECT(ADDRESS(1184,43)),INDIRECT(ADDRESS(1185,42))-INDIRECT(ADDRESS(1180,43))+INDIRECT(ADDRESS(1183,43))-INDIRECT(ADDRESS(1184,43)))</f>
        <v>0</v>
      </c>
      <c r="AR1185">
        <f>IF(DAY(NOW())&lt;M3,INDIRECT(ADDRESS(1185,43))-INDIRECT(ADDRESS(1180,44))+INDIRECT(ADDRESS(1181,44))-INDIRECT(ADDRESS(1184,44)),INDIRECT(ADDRESS(1185,43))-INDIRECT(ADDRESS(1180,44))+INDIRECT(ADDRESS(1183,44))-INDIRECT(ADDRESS(1184,44)))</f>
        <v>0</v>
      </c>
    </row>
    <row r="1186" spans="1:76">
      <c r="A1186" t="s">
        <v>31</v>
      </c>
      <c r="B1186" t="s">
        <v>500</v>
      </c>
      <c r="C1186" t="s">
        <v>501</v>
      </c>
      <c r="E1186" t="s">
        <v>498</v>
      </c>
      <c r="F1186" t="s">
        <v>501</v>
      </c>
      <c r="K1186" t="s">
        <v>499</v>
      </c>
      <c r="L1186" t="s">
        <v>21</v>
      </c>
      <c r="M1186">
        <f>sumifs(BOM!m:m,BOM!A:A,".1",BOM!B:B,"212-043100-000")</f>
        <v>0</v>
      </c>
      <c r="N1186">
        <f>sumifs(BOM!n:n,BOM!A:A,".1",BOM!B:B,"212-043100-000")</f>
        <v>0</v>
      </c>
      <c r="O1186">
        <f>sumifs(BOM!o:o,BOM!A:A,".1",BOM!B:B,"212-043100-000")</f>
        <v>0</v>
      </c>
      <c r="P1186">
        <f>sumifs(BOM!p:p,BOM!A:A,".1",BOM!B:B,"212-043100-000")</f>
        <v>0</v>
      </c>
      <c r="Q1186">
        <f>sumifs(BOM!q:q,BOM!A:A,".1",BOM!B:B,"212-043100-000")</f>
        <v>0</v>
      </c>
      <c r="R1186">
        <f>sumifs(BOM!r:r,BOM!A:A,".1",BOM!B:B,"212-043100-000")</f>
        <v>0</v>
      </c>
      <c r="S1186">
        <f>sumifs(BOM!s:s,BOM!A:A,".1",BOM!B:B,"212-043100-000")</f>
        <v>0</v>
      </c>
      <c r="T1186">
        <f>sumifs(BOM!t:t,BOM!A:A,".1",BOM!B:B,"212-043100-000")</f>
        <v>0</v>
      </c>
      <c r="U1186">
        <f>sumifs(BOM!u:u,BOM!A:A,".1",BOM!B:B,"212-043100-000")</f>
        <v>0</v>
      </c>
      <c r="V1186">
        <f>sumifs(BOM!v:v,BOM!A:A,".1",BOM!B:B,"212-043100-000")</f>
        <v>0</v>
      </c>
      <c r="W1186">
        <f>sumifs(BOM!w:w,BOM!A:A,".1",BOM!B:B,"212-043100-000")</f>
        <v>0</v>
      </c>
      <c r="X1186">
        <f>sumifs(BOM!x:x,BOM!A:A,".1",BOM!B:B,"212-043100-000")</f>
        <v>0</v>
      </c>
      <c r="Y1186">
        <f>sumifs(BOM!y:y,BOM!A:A,".1",BOM!B:B,"212-043100-000")</f>
        <v>0</v>
      </c>
      <c r="Z1186">
        <f>sumifs(BOM!z:z,BOM!A:A,".1",BOM!B:B,"212-043100-000")</f>
        <v>0</v>
      </c>
      <c r="AA1186">
        <f>sumifs(BOM!aa:aa,BOM!A:A,".1",BOM!B:B,"212-043100-000")</f>
        <v>0</v>
      </c>
      <c r="AB1186">
        <f>sumifs(BOM!ab:ab,BOM!A:A,".1",BOM!B:B,"212-043100-000")</f>
        <v>0</v>
      </c>
      <c r="AC1186">
        <f>sumifs(BOM!ac:ac,BOM!A:A,".1",BOM!B:B,"212-043100-000")</f>
        <v>0</v>
      </c>
      <c r="AD1186">
        <f>sumifs(BOM!ad:ad,BOM!A:A,".1",BOM!B:B,"212-043100-000")</f>
        <v>0</v>
      </c>
      <c r="AE1186">
        <f>sumifs(BOM!ae:ae,BOM!A:A,".1",BOM!B:B,"212-043100-000")</f>
        <v>0</v>
      </c>
      <c r="AF1186">
        <f>sumifs(BOM!af:af,BOM!A:A,".1",BOM!B:B,"212-043100-000")</f>
        <v>0</v>
      </c>
      <c r="AG1186">
        <f>sumifs(BOM!ag:ag,BOM!A:A,".1",BOM!B:B,"212-043100-000")</f>
        <v>0</v>
      </c>
      <c r="AH1186">
        <f>sumifs(BOM!ah:ah,BOM!A:A,".1",BOM!B:B,"212-043100-000")</f>
        <v>0</v>
      </c>
      <c r="AI1186">
        <f>sumifs(BOM!ai:ai,BOM!A:A,".1",BOM!B:B,"212-043100-000")</f>
        <v>0</v>
      </c>
      <c r="AJ1186">
        <f>sumifs(BOM!aj:aj,BOM!A:A,".1",BOM!B:B,"212-043100-000")</f>
        <v>0</v>
      </c>
      <c r="AK1186">
        <f>sumifs(BOM!ak:ak,BOM!A:A,".1",BOM!B:B,"212-043100-000")</f>
        <v>0</v>
      </c>
      <c r="AL1186">
        <f>sumifs(BOM!al:al,BOM!A:A,".1",BOM!B:B,"212-043100-000")</f>
        <v>0</v>
      </c>
      <c r="AM1186">
        <f>sumifs(BOM!am:am,BOM!A:A,".1",BOM!B:B,"212-043100-000")</f>
        <v>0</v>
      </c>
      <c r="AN1186">
        <f>sumifs(BOM!an:an,BOM!A:A,".1",BOM!B:B,"212-043100-000")</f>
        <v>0</v>
      </c>
      <c r="AO1186">
        <f>sumifs(BOM!ao:ao,BOM!A:A,".1",BOM!B:B,"212-043100-000")</f>
        <v>0</v>
      </c>
      <c r="AP1186">
        <f>sumifs(BOM!ap:ap,BOM!A:A,".1",BOM!B:B,"212-043100-000")</f>
        <v>0</v>
      </c>
      <c r="AQ1186">
        <f>sumifs(BOM!aq:aq,BOM!A:A,".1",BOM!B:B,"212-043100-000")</f>
        <v>0</v>
      </c>
      <c r="AR1186">
        <f>sumifs(BOM!ar:ar,BOM!A:A,".1",BOM!B:B,"212-043100-000")</f>
        <v>0</v>
      </c>
      <c r="BX1186">
        <f>sum(j1186:an1186)</f>
        <v>0</v>
      </c>
    </row>
    <row r="1187" spans="1:76">
      <c r="A1187" t="s">
        <v>31</v>
      </c>
      <c r="B1187" t="s">
        <v>500</v>
      </c>
      <c r="C1187" t="s">
        <v>501</v>
      </c>
      <c r="E1187" t="s">
        <v>498</v>
      </c>
      <c r="F1187" t="s">
        <v>501</v>
      </c>
      <c r="K1187" t="s">
        <v>499</v>
      </c>
      <c r="L1187" t="s">
        <v>37</v>
      </c>
    </row>
    <row r="1188" spans="1:76">
      <c r="L1188" t="s">
        <v>662</v>
      </c>
    </row>
    <row r="1189" spans="1:76">
      <c r="L1189" t="s">
        <v>663</v>
      </c>
    </row>
    <row r="1190" spans="1:76">
      <c r="L1190" t="s">
        <v>664</v>
      </c>
    </row>
    <row r="1191" spans="1:76">
      <c r="L1191" t="s">
        <v>665</v>
      </c>
      <c r="M1191">
        <f>IF(DAY(NOW())&lt;M3,INDIRECT(ADDRESS(1191,7))-INDIRECT(ADDRESS(1186,13))+INDIRECT(ADDRESS(1187,13))-INDIRECT(ADDRESS(1190,13)),INDIRECT(ADDRESS(1191,7))-INDIRECT(ADDRESS(1186,13))+INDIRECT(ADDRESS(1189,13))-INDIRECT(ADDRESS(1190,13)))</f>
        <v>0</v>
      </c>
      <c r="N1191">
        <f>IF(DAY(NOW())&lt;M3,INDIRECT(ADDRESS(1191,13))-INDIRECT(ADDRESS(1186,14))+INDIRECT(ADDRESS(1187,14))-INDIRECT(ADDRESS(1190,14)),INDIRECT(ADDRESS(1191,13))-INDIRECT(ADDRESS(1186,14))+INDIRECT(ADDRESS(1189,14))-INDIRECT(ADDRESS(1190,14)))</f>
        <v>0</v>
      </c>
      <c r="O1191">
        <f>IF(DAY(NOW())&lt;M3,INDIRECT(ADDRESS(1191,14))-INDIRECT(ADDRESS(1186,15))+INDIRECT(ADDRESS(1187,15))-INDIRECT(ADDRESS(1190,15)),INDIRECT(ADDRESS(1191,14))-INDIRECT(ADDRESS(1186,15))+INDIRECT(ADDRESS(1189,15))-INDIRECT(ADDRESS(1190,15)))</f>
        <v>0</v>
      </c>
      <c r="P1191">
        <f>IF(DAY(NOW())&lt;M3,INDIRECT(ADDRESS(1191,15))-INDIRECT(ADDRESS(1186,16))+INDIRECT(ADDRESS(1187,16))-INDIRECT(ADDRESS(1190,16)),INDIRECT(ADDRESS(1191,15))-INDIRECT(ADDRESS(1186,16))+INDIRECT(ADDRESS(1189,16))-INDIRECT(ADDRESS(1190,16)))</f>
        <v>0</v>
      </c>
      <c r="Q1191">
        <f>IF(DAY(NOW())&lt;M3,INDIRECT(ADDRESS(1191,16))-INDIRECT(ADDRESS(1186,17))+INDIRECT(ADDRESS(1187,17))-INDIRECT(ADDRESS(1190,17)),INDIRECT(ADDRESS(1191,16))-INDIRECT(ADDRESS(1186,17))+INDIRECT(ADDRESS(1189,17))-INDIRECT(ADDRESS(1190,17)))</f>
        <v>0</v>
      </c>
      <c r="R1191">
        <f>IF(DAY(NOW())&lt;M3,INDIRECT(ADDRESS(1191,17))-INDIRECT(ADDRESS(1186,18))+INDIRECT(ADDRESS(1187,18))-INDIRECT(ADDRESS(1190,18)),INDIRECT(ADDRESS(1191,17))-INDIRECT(ADDRESS(1186,18))+INDIRECT(ADDRESS(1189,18))-INDIRECT(ADDRESS(1190,18)))</f>
        <v>0</v>
      </c>
      <c r="S1191">
        <f>IF(DAY(NOW())&lt;M3,INDIRECT(ADDRESS(1191,18))-INDIRECT(ADDRESS(1186,19))+INDIRECT(ADDRESS(1187,19))-INDIRECT(ADDRESS(1190,19)),INDIRECT(ADDRESS(1191,18))-INDIRECT(ADDRESS(1186,19))+INDIRECT(ADDRESS(1189,19))-INDIRECT(ADDRESS(1190,19)))</f>
        <v>0</v>
      </c>
      <c r="T1191">
        <f>IF(DAY(NOW())&lt;M3,INDIRECT(ADDRESS(1191,19))-INDIRECT(ADDRESS(1186,20))+INDIRECT(ADDRESS(1187,20))-INDIRECT(ADDRESS(1190,20)),INDIRECT(ADDRESS(1191,19))-INDIRECT(ADDRESS(1186,20))+INDIRECT(ADDRESS(1189,20))-INDIRECT(ADDRESS(1190,20)))</f>
        <v>0</v>
      </c>
      <c r="U1191">
        <f>IF(DAY(NOW())&lt;M3,INDIRECT(ADDRESS(1191,20))-INDIRECT(ADDRESS(1186,21))+INDIRECT(ADDRESS(1187,21))-INDIRECT(ADDRESS(1190,21)),INDIRECT(ADDRESS(1191,20))-INDIRECT(ADDRESS(1186,21))+INDIRECT(ADDRESS(1189,21))-INDIRECT(ADDRESS(1190,21)))</f>
        <v>0</v>
      </c>
      <c r="V1191">
        <f>IF(DAY(NOW())&lt;M3,INDIRECT(ADDRESS(1191,21))-INDIRECT(ADDRESS(1186,22))+INDIRECT(ADDRESS(1187,22))-INDIRECT(ADDRESS(1190,22)),INDIRECT(ADDRESS(1191,21))-INDIRECT(ADDRESS(1186,22))+INDIRECT(ADDRESS(1189,22))-INDIRECT(ADDRESS(1190,22)))</f>
        <v>0</v>
      </c>
      <c r="W1191">
        <f>IF(DAY(NOW())&lt;M3,INDIRECT(ADDRESS(1191,22))-INDIRECT(ADDRESS(1186,23))+INDIRECT(ADDRESS(1187,23))-INDIRECT(ADDRESS(1190,23)),INDIRECT(ADDRESS(1191,22))-INDIRECT(ADDRESS(1186,23))+INDIRECT(ADDRESS(1189,23))-INDIRECT(ADDRESS(1190,23)))</f>
        <v>0</v>
      </c>
      <c r="X1191">
        <f>IF(DAY(NOW())&lt;M3,INDIRECT(ADDRESS(1191,23))-INDIRECT(ADDRESS(1186,24))+INDIRECT(ADDRESS(1187,24))-INDIRECT(ADDRESS(1190,24)),INDIRECT(ADDRESS(1191,23))-INDIRECT(ADDRESS(1186,24))+INDIRECT(ADDRESS(1189,24))-INDIRECT(ADDRESS(1190,24)))</f>
        <v>0</v>
      </c>
      <c r="Y1191">
        <f>IF(DAY(NOW())&lt;M3,INDIRECT(ADDRESS(1191,24))-INDIRECT(ADDRESS(1186,25))+INDIRECT(ADDRESS(1187,25))-INDIRECT(ADDRESS(1190,25)),INDIRECT(ADDRESS(1191,24))-INDIRECT(ADDRESS(1186,25))+INDIRECT(ADDRESS(1189,25))-INDIRECT(ADDRESS(1190,25)))</f>
        <v>0</v>
      </c>
      <c r="Z1191">
        <f>IF(DAY(NOW())&lt;M3,INDIRECT(ADDRESS(1191,25))-INDIRECT(ADDRESS(1186,26))+INDIRECT(ADDRESS(1187,26))-INDIRECT(ADDRESS(1190,26)),INDIRECT(ADDRESS(1191,25))-INDIRECT(ADDRESS(1186,26))+INDIRECT(ADDRESS(1189,26))-INDIRECT(ADDRESS(1190,26)))</f>
        <v>0</v>
      </c>
      <c r="AA1191">
        <f>IF(DAY(NOW())&lt;M3,INDIRECT(ADDRESS(1191,26))-INDIRECT(ADDRESS(1186,27))+INDIRECT(ADDRESS(1187,27))-INDIRECT(ADDRESS(1190,27)),INDIRECT(ADDRESS(1191,26))-INDIRECT(ADDRESS(1186,27))+INDIRECT(ADDRESS(1189,27))-INDIRECT(ADDRESS(1190,27)))</f>
        <v>0</v>
      </c>
      <c r="AB1191">
        <f>IF(DAY(NOW())&lt;M3,INDIRECT(ADDRESS(1191,27))-INDIRECT(ADDRESS(1186,28))+INDIRECT(ADDRESS(1187,28))-INDIRECT(ADDRESS(1190,28)),INDIRECT(ADDRESS(1191,27))-INDIRECT(ADDRESS(1186,28))+INDIRECT(ADDRESS(1189,28))-INDIRECT(ADDRESS(1190,28)))</f>
        <v>0</v>
      </c>
      <c r="AC1191">
        <f>IF(DAY(NOW())&lt;M3,INDIRECT(ADDRESS(1191,28))-INDIRECT(ADDRESS(1186,29))+INDIRECT(ADDRESS(1187,29))-INDIRECT(ADDRESS(1190,29)),INDIRECT(ADDRESS(1191,28))-INDIRECT(ADDRESS(1186,29))+INDIRECT(ADDRESS(1189,29))-INDIRECT(ADDRESS(1190,29)))</f>
        <v>0</v>
      </c>
      <c r="AD1191">
        <f>IF(DAY(NOW())&lt;M3,INDIRECT(ADDRESS(1191,29))-INDIRECT(ADDRESS(1186,30))+INDIRECT(ADDRESS(1187,30))-INDIRECT(ADDRESS(1190,30)),INDIRECT(ADDRESS(1191,29))-INDIRECT(ADDRESS(1186,30))+INDIRECT(ADDRESS(1189,30))-INDIRECT(ADDRESS(1190,30)))</f>
        <v>0</v>
      </c>
      <c r="AE1191">
        <f>IF(DAY(NOW())&lt;M3,INDIRECT(ADDRESS(1191,30))-INDIRECT(ADDRESS(1186,31))+INDIRECT(ADDRESS(1187,31))-INDIRECT(ADDRESS(1190,31)),INDIRECT(ADDRESS(1191,30))-INDIRECT(ADDRESS(1186,31))+INDIRECT(ADDRESS(1189,31))-INDIRECT(ADDRESS(1190,31)))</f>
        <v>0</v>
      </c>
      <c r="AF1191">
        <f>IF(DAY(NOW())&lt;M3,INDIRECT(ADDRESS(1191,31))-INDIRECT(ADDRESS(1186,32))+INDIRECT(ADDRESS(1187,32))-INDIRECT(ADDRESS(1190,32)),INDIRECT(ADDRESS(1191,31))-INDIRECT(ADDRESS(1186,32))+INDIRECT(ADDRESS(1189,32))-INDIRECT(ADDRESS(1190,32)))</f>
        <v>0</v>
      </c>
      <c r="AG1191">
        <f>IF(DAY(NOW())&lt;M3,INDIRECT(ADDRESS(1191,32))-INDIRECT(ADDRESS(1186,33))+INDIRECT(ADDRESS(1187,33))-INDIRECT(ADDRESS(1190,33)),INDIRECT(ADDRESS(1191,32))-INDIRECT(ADDRESS(1186,33))+INDIRECT(ADDRESS(1189,33))-INDIRECT(ADDRESS(1190,33)))</f>
        <v>0</v>
      </c>
      <c r="AH1191">
        <f>IF(DAY(NOW())&lt;M3,INDIRECT(ADDRESS(1191,33))-INDIRECT(ADDRESS(1186,34))+INDIRECT(ADDRESS(1187,34))-INDIRECT(ADDRESS(1190,34)),INDIRECT(ADDRESS(1191,33))-INDIRECT(ADDRESS(1186,34))+INDIRECT(ADDRESS(1189,34))-INDIRECT(ADDRESS(1190,34)))</f>
        <v>0</v>
      </c>
      <c r="AI1191">
        <f>IF(DAY(NOW())&lt;M3,INDIRECT(ADDRESS(1191,34))-INDIRECT(ADDRESS(1186,35))+INDIRECT(ADDRESS(1187,35))-INDIRECT(ADDRESS(1190,35)),INDIRECT(ADDRESS(1191,34))-INDIRECT(ADDRESS(1186,35))+INDIRECT(ADDRESS(1189,35))-INDIRECT(ADDRESS(1190,35)))</f>
        <v>0</v>
      </c>
      <c r="AJ1191">
        <f>IF(DAY(NOW())&lt;M3,INDIRECT(ADDRESS(1191,35))-INDIRECT(ADDRESS(1186,36))+INDIRECT(ADDRESS(1187,36))-INDIRECT(ADDRESS(1190,36)),INDIRECT(ADDRESS(1191,35))-INDIRECT(ADDRESS(1186,36))+INDIRECT(ADDRESS(1189,36))-INDIRECT(ADDRESS(1190,36)))</f>
        <v>0</v>
      </c>
      <c r="AK1191">
        <f>IF(DAY(NOW())&lt;M3,INDIRECT(ADDRESS(1191,36))-INDIRECT(ADDRESS(1186,37))+INDIRECT(ADDRESS(1187,37))-INDIRECT(ADDRESS(1190,37)),INDIRECT(ADDRESS(1191,36))-INDIRECT(ADDRESS(1186,37))+INDIRECT(ADDRESS(1189,37))-INDIRECT(ADDRESS(1190,37)))</f>
        <v>0</v>
      </c>
      <c r="AL1191">
        <f>IF(DAY(NOW())&lt;M3,INDIRECT(ADDRESS(1191,37))-INDIRECT(ADDRESS(1186,38))+INDIRECT(ADDRESS(1187,38))-INDIRECT(ADDRESS(1190,38)),INDIRECT(ADDRESS(1191,37))-INDIRECT(ADDRESS(1186,38))+INDIRECT(ADDRESS(1189,38))-INDIRECT(ADDRESS(1190,38)))</f>
        <v>0</v>
      </c>
      <c r="AM1191">
        <f>IF(DAY(NOW())&lt;M3,INDIRECT(ADDRESS(1191,38))-INDIRECT(ADDRESS(1186,39))+INDIRECT(ADDRESS(1187,39))-INDIRECT(ADDRESS(1190,39)),INDIRECT(ADDRESS(1191,38))-INDIRECT(ADDRESS(1186,39))+INDIRECT(ADDRESS(1189,39))-INDIRECT(ADDRESS(1190,39)))</f>
        <v>0</v>
      </c>
      <c r="AN1191">
        <f>IF(DAY(NOW())&lt;M3,INDIRECT(ADDRESS(1191,39))-INDIRECT(ADDRESS(1186,40))+INDIRECT(ADDRESS(1187,40))-INDIRECT(ADDRESS(1190,40)),INDIRECT(ADDRESS(1191,39))-INDIRECT(ADDRESS(1186,40))+INDIRECT(ADDRESS(1189,40))-INDIRECT(ADDRESS(1190,40)))</f>
        <v>0</v>
      </c>
      <c r="AO1191">
        <f>IF(DAY(NOW())&lt;M3,INDIRECT(ADDRESS(1191,40))-INDIRECT(ADDRESS(1186,41))+INDIRECT(ADDRESS(1187,41))-INDIRECT(ADDRESS(1190,41)),INDIRECT(ADDRESS(1191,40))-INDIRECT(ADDRESS(1186,41))+INDIRECT(ADDRESS(1189,41))-INDIRECT(ADDRESS(1190,41)))</f>
        <v>0</v>
      </c>
      <c r="AP1191">
        <f>IF(DAY(NOW())&lt;M3,INDIRECT(ADDRESS(1191,41))-INDIRECT(ADDRESS(1186,42))+INDIRECT(ADDRESS(1187,42))-INDIRECT(ADDRESS(1190,42)),INDIRECT(ADDRESS(1191,41))-INDIRECT(ADDRESS(1186,42))+INDIRECT(ADDRESS(1189,42))-INDIRECT(ADDRESS(1190,42)))</f>
        <v>0</v>
      </c>
      <c r="AQ1191">
        <f>IF(DAY(NOW())&lt;M3,INDIRECT(ADDRESS(1191,42))-INDIRECT(ADDRESS(1186,43))+INDIRECT(ADDRESS(1187,43))-INDIRECT(ADDRESS(1190,43)),INDIRECT(ADDRESS(1191,42))-INDIRECT(ADDRESS(1186,43))+INDIRECT(ADDRESS(1189,43))-INDIRECT(ADDRESS(1190,43)))</f>
        <v>0</v>
      </c>
      <c r="AR1191">
        <f>IF(DAY(NOW())&lt;M3,INDIRECT(ADDRESS(1191,43))-INDIRECT(ADDRESS(1186,44))+INDIRECT(ADDRESS(1187,44))-INDIRECT(ADDRESS(1190,44)),INDIRECT(ADDRESS(1191,43))-INDIRECT(ADDRESS(1186,44))+INDIRECT(ADDRESS(1189,44))-INDIRECT(ADDRESS(1190,44)))</f>
        <v>0</v>
      </c>
    </row>
    <row r="1192" spans="1:76">
      <c r="A1192" t="s">
        <v>14</v>
      </c>
      <c r="B1192" t="s">
        <v>446</v>
      </c>
      <c r="C1192" t="s">
        <v>449</v>
      </c>
      <c r="D1192" t="s">
        <v>448</v>
      </c>
      <c r="E1192">
        <v>1</v>
      </c>
      <c r="F1192" t="s">
        <v>449</v>
      </c>
      <c r="K1192" t="s">
        <v>497</v>
      </c>
      <c r="L1192" t="s">
        <v>21</v>
      </c>
      <c r="BX1192">
        <f>sum(j1192:an1192)</f>
        <v>0</v>
      </c>
    </row>
    <row r="1193" spans="1:76">
      <c r="A1193" t="s">
        <v>14</v>
      </c>
      <c r="B1193" t="s">
        <v>446</v>
      </c>
      <c r="C1193" t="s">
        <v>449</v>
      </c>
      <c r="D1193" t="s">
        <v>448</v>
      </c>
      <c r="E1193">
        <v>1</v>
      </c>
      <c r="F1193" t="s">
        <v>449</v>
      </c>
      <c r="K1193" t="s">
        <v>497</v>
      </c>
      <c r="L1193" t="s">
        <v>37</v>
      </c>
    </row>
    <row r="1194" spans="1:76">
      <c r="L1194" t="s">
        <v>662</v>
      </c>
    </row>
    <row r="1195" spans="1:76">
      <c r="L1195" t="s">
        <v>663</v>
      </c>
    </row>
    <row r="1196" spans="1:76">
      <c r="L1196" t="s">
        <v>664</v>
      </c>
    </row>
    <row r="1197" spans="1:76">
      <c r="L1197" t="s">
        <v>665</v>
      </c>
      <c r="M1197">
        <f>IF(DAY(NOW())&lt;M3,INDIRECT(ADDRESS(1197,7))-INDIRECT(ADDRESS(1192,13))+INDIRECT(ADDRESS(1193,13))-INDIRECT(ADDRESS(1196,13)),INDIRECT(ADDRESS(1197,7))-INDIRECT(ADDRESS(1192,13))+INDIRECT(ADDRESS(1195,13))-INDIRECT(ADDRESS(1196,13)))</f>
        <v>0</v>
      </c>
      <c r="N1197">
        <f>IF(DAY(NOW())&lt;M3,INDIRECT(ADDRESS(1197,13))-INDIRECT(ADDRESS(1192,14))+INDIRECT(ADDRESS(1193,14))-INDIRECT(ADDRESS(1196,14)),INDIRECT(ADDRESS(1197,13))-INDIRECT(ADDRESS(1192,14))+INDIRECT(ADDRESS(1195,14))-INDIRECT(ADDRESS(1196,14)))</f>
        <v>0</v>
      </c>
      <c r="O1197">
        <f>IF(DAY(NOW())&lt;M3,INDIRECT(ADDRESS(1197,14))-INDIRECT(ADDRESS(1192,15))+INDIRECT(ADDRESS(1193,15))-INDIRECT(ADDRESS(1196,15)),INDIRECT(ADDRESS(1197,14))-INDIRECT(ADDRESS(1192,15))+INDIRECT(ADDRESS(1195,15))-INDIRECT(ADDRESS(1196,15)))</f>
        <v>0</v>
      </c>
      <c r="P1197">
        <f>IF(DAY(NOW())&lt;M3,INDIRECT(ADDRESS(1197,15))-INDIRECT(ADDRESS(1192,16))+INDIRECT(ADDRESS(1193,16))-INDIRECT(ADDRESS(1196,16)),INDIRECT(ADDRESS(1197,15))-INDIRECT(ADDRESS(1192,16))+INDIRECT(ADDRESS(1195,16))-INDIRECT(ADDRESS(1196,16)))</f>
        <v>0</v>
      </c>
      <c r="Q1197">
        <f>IF(DAY(NOW())&lt;M3,INDIRECT(ADDRESS(1197,16))-INDIRECT(ADDRESS(1192,17))+INDIRECT(ADDRESS(1193,17))-INDIRECT(ADDRESS(1196,17)),INDIRECT(ADDRESS(1197,16))-INDIRECT(ADDRESS(1192,17))+INDIRECT(ADDRESS(1195,17))-INDIRECT(ADDRESS(1196,17)))</f>
        <v>0</v>
      </c>
      <c r="R1197">
        <f>IF(DAY(NOW())&lt;M3,INDIRECT(ADDRESS(1197,17))-INDIRECT(ADDRESS(1192,18))+INDIRECT(ADDRESS(1193,18))-INDIRECT(ADDRESS(1196,18)),INDIRECT(ADDRESS(1197,17))-INDIRECT(ADDRESS(1192,18))+INDIRECT(ADDRESS(1195,18))-INDIRECT(ADDRESS(1196,18)))</f>
        <v>0</v>
      </c>
      <c r="S1197">
        <f>IF(DAY(NOW())&lt;M3,INDIRECT(ADDRESS(1197,18))-INDIRECT(ADDRESS(1192,19))+INDIRECT(ADDRESS(1193,19))-INDIRECT(ADDRESS(1196,19)),INDIRECT(ADDRESS(1197,18))-INDIRECT(ADDRESS(1192,19))+INDIRECT(ADDRESS(1195,19))-INDIRECT(ADDRESS(1196,19)))</f>
        <v>0</v>
      </c>
      <c r="T1197">
        <f>IF(DAY(NOW())&lt;M3,INDIRECT(ADDRESS(1197,19))-INDIRECT(ADDRESS(1192,20))+INDIRECT(ADDRESS(1193,20))-INDIRECT(ADDRESS(1196,20)),INDIRECT(ADDRESS(1197,19))-INDIRECT(ADDRESS(1192,20))+INDIRECT(ADDRESS(1195,20))-INDIRECT(ADDRESS(1196,20)))</f>
        <v>0</v>
      </c>
      <c r="U1197">
        <f>IF(DAY(NOW())&lt;M3,INDIRECT(ADDRESS(1197,20))-INDIRECT(ADDRESS(1192,21))+INDIRECT(ADDRESS(1193,21))-INDIRECT(ADDRESS(1196,21)),INDIRECT(ADDRESS(1197,20))-INDIRECT(ADDRESS(1192,21))+INDIRECT(ADDRESS(1195,21))-INDIRECT(ADDRESS(1196,21)))</f>
        <v>0</v>
      </c>
      <c r="V1197">
        <f>IF(DAY(NOW())&lt;M3,INDIRECT(ADDRESS(1197,21))-INDIRECT(ADDRESS(1192,22))+INDIRECT(ADDRESS(1193,22))-INDIRECT(ADDRESS(1196,22)),INDIRECT(ADDRESS(1197,21))-INDIRECT(ADDRESS(1192,22))+INDIRECT(ADDRESS(1195,22))-INDIRECT(ADDRESS(1196,22)))</f>
        <v>0</v>
      </c>
      <c r="W1197">
        <f>IF(DAY(NOW())&lt;M3,INDIRECT(ADDRESS(1197,22))-INDIRECT(ADDRESS(1192,23))+INDIRECT(ADDRESS(1193,23))-INDIRECT(ADDRESS(1196,23)),INDIRECT(ADDRESS(1197,22))-INDIRECT(ADDRESS(1192,23))+INDIRECT(ADDRESS(1195,23))-INDIRECT(ADDRESS(1196,23)))</f>
        <v>0</v>
      </c>
      <c r="X1197">
        <f>IF(DAY(NOW())&lt;M3,INDIRECT(ADDRESS(1197,23))-INDIRECT(ADDRESS(1192,24))+INDIRECT(ADDRESS(1193,24))-INDIRECT(ADDRESS(1196,24)),INDIRECT(ADDRESS(1197,23))-INDIRECT(ADDRESS(1192,24))+INDIRECT(ADDRESS(1195,24))-INDIRECT(ADDRESS(1196,24)))</f>
        <v>0</v>
      </c>
      <c r="Y1197">
        <f>IF(DAY(NOW())&lt;M3,INDIRECT(ADDRESS(1197,24))-INDIRECT(ADDRESS(1192,25))+INDIRECT(ADDRESS(1193,25))-INDIRECT(ADDRESS(1196,25)),INDIRECT(ADDRESS(1197,24))-INDIRECT(ADDRESS(1192,25))+INDIRECT(ADDRESS(1195,25))-INDIRECT(ADDRESS(1196,25)))</f>
        <v>0</v>
      </c>
      <c r="Z1197">
        <f>IF(DAY(NOW())&lt;M3,INDIRECT(ADDRESS(1197,25))-INDIRECT(ADDRESS(1192,26))+INDIRECT(ADDRESS(1193,26))-INDIRECT(ADDRESS(1196,26)),INDIRECT(ADDRESS(1197,25))-INDIRECT(ADDRESS(1192,26))+INDIRECT(ADDRESS(1195,26))-INDIRECT(ADDRESS(1196,26)))</f>
        <v>0</v>
      </c>
      <c r="AA1197">
        <f>IF(DAY(NOW())&lt;M3,INDIRECT(ADDRESS(1197,26))-INDIRECT(ADDRESS(1192,27))+INDIRECT(ADDRESS(1193,27))-INDIRECT(ADDRESS(1196,27)),INDIRECT(ADDRESS(1197,26))-INDIRECT(ADDRESS(1192,27))+INDIRECT(ADDRESS(1195,27))-INDIRECT(ADDRESS(1196,27)))</f>
        <v>0</v>
      </c>
      <c r="AB1197">
        <f>IF(DAY(NOW())&lt;M3,INDIRECT(ADDRESS(1197,27))-INDIRECT(ADDRESS(1192,28))+INDIRECT(ADDRESS(1193,28))-INDIRECT(ADDRESS(1196,28)),INDIRECT(ADDRESS(1197,27))-INDIRECT(ADDRESS(1192,28))+INDIRECT(ADDRESS(1195,28))-INDIRECT(ADDRESS(1196,28)))</f>
        <v>0</v>
      </c>
      <c r="AC1197">
        <f>IF(DAY(NOW())&lt;M3,INDIRECT(ADDRESS(1197,28))-INDIRECT(ADDRESS(1192,29))+INDIRECT(ADDRESS(1193,29))-INDIRECT(ADDRESS(1196,29)),INDIRECT(ADDRESS(1197,28))-INDIRECT(ADDRESS(1192,29))+INDIRECT(ADDRESS(1195,29))-INDIRECT(ADDRESS(1196,29)))</f>
        <v>0</v>
      </c>
      <c r="AD1197">
        <f>IF(DAY(NOW())&lt;M3,INDIRECT(ADDRESS(1197,29))-INDIRECT(ADDRESS(1192,30))+INDIRECT(ADDRESS(1193,30))-INDIRECT(ADDRESS(1196,30)),INDIRECT(ADDRESS(1197,29))-INDIRECT(ADDRESS(1192,30))+INDIRECT(ADDRESS(1195,30))-INDIRECT(ADDRESS(1196,30)))</f>
        <v>0</v>
      </c>
      <c r="AE1197">
        <f>IF(DAY(NOW())&lt;M3,INDIRECT(ADDRESS(1197,30))-INDIRECT(ADDRESS(1192,31))+INDIRECT(ADDRESS(1193,31))-INDIRECT(ADDRESS(1196,31)),INDIRECT(ADDRESS(1197,30))-INDIRECT(ADDRESS(1192,31))+INDIRECT(ADDRESS(1195,31))-INDIRECT(ADDRESS(1196,31)))</f>
        <v>0</v>
      </c>
      <c r="AF1197">
        <f>IF(DAY(NOW())&lt;M3,INDIRECT(ADDRESS(1197,31))-INDIRECT(ADDRESS(1192,32))+INDIRECT(ADDRESS(1193,32))-INDIRECT(ADDRESS(1196,32)),INDIRECT(ADDRESS(1197,31))-INDIRECT(ADDRESS(1192,32))+INDIRECT(ADDRESS(1195,32))-INDIRECT(ADDRESS(1196,32)))</f>
        <v>0</v>
      </c>
      <c r="AG1197">
        <f>IF(DAY(NOW())&lt;M3,INDIRECT(ADDRESS(1197,32))-INDIRECT(ADDRESS(1192,33))+INDIRECT(ADDRESS(1193,33))-INDIRECT(ADDRESS(1196,33)),INDIRECT(ADDRESS(1197,32))-INDIRECT(ADDRESS(1192,33))+INDIRECT(ADDRESS(1195,33))-INDIRECT(ADDRESS(1196,33)))</f>
        <v>0</v>
      </c>
      <c r="AH1197">
        <f>IF(DAY(NOW())&lt;M3,INDIRECT(ADDRESS(1197,33))-INDIRECT(ADDRESS(1192,34))+INDIRECT(ADDRESS(1193,34))-INDIRECT(ADDRESS(1196,34)),INDIRECT(ADDRESS(1197,33))-INDIRECT(ADDRESS(1192,34))+INDIRECT(ADDRESS(1195,34))-INDIRECT(ADDRESS(1196,34)))</f>
        <v>0</v>
      </c>
      <c r="AI1197">
        <f>IF(DAY(NOW())&lt;M3,INDIRECT(ADDRESS(1197,34))-INDIRECT(ADDRESS(1192,35))+INDIRECT(ADDRESS(1193,35))-INDIRECT(ADDRESS(1196,35)),INDIRECT(ADDRESS(1197,34))-INDIRECT(ADDRESS(1192,35))+INDIRECT(ADDRESS(1195,35))-INDIRECT(ADDRESS(1196,35)))</f>
        <v>0</v>
      </c>
      <c r="AJ1197">
        <f>IF(DAY(NOW())&lt;M3,INDIRECT(ADDRESS(1197,35))-INDIRECT(ADDRESS(1192,36))+INDIRECT(ADDRESS(1193,36))-INDIRECT(ADDRESS(1196,36)),INDIRECT(ADDRESS(1197,35))-INDIRECT(ADDRESS(1192,36))+INDIRECT(ADDRESS(1195,36))-INDIRECT(ADDRESS(1196,36)))</f>
        <v>0</v>
      </c>
      <c r="AK1197">
        <f>IF(DAY(NOW())&lt;M3,INDIRECT(ADDRESS(1197,36))-INDIRECT(ADDRESS(1192,37))+INDIRECT(ADDRESS(1193,37))-INDIRECT(ADDRESS(1196,37)),INDIRECT(ADDRESS(1197,36))-INDIRECT(ADDRESS(1192,37))+INDIRECT(ADDRESS(1195,37))-INDIRECT(ADDRESS(1196,37)))</f>
        <v>0</v>
      </c>
      <c r="AL1197">
        <f>IF(DAY(NOW())&lt;M3,INDIRECT(ADDRESS(1197,37))-INDIRECT(ADDRESS(1192,38))+INDIRECT(ADDRESS(1193,38))-INDIRECT(ADDRESS(1196,38)),INDIRECT(ADDRESS(1197,37))-INDIRECT(ADDRESS(1192,38))+INDIRECT(ADDRESS(1195,38))-INDIRECT(ADDRESS(1196,38)))</f>
        <v>0</v>
      </c>
      <c r="AM1197">
        <f>IF(DAY(NOW())&lt;M3,INDIRECT(ADDRESS(1197,38))-INDIRECT(ADDRESS(1192,39))+INDIRECT(ADDRESS(1193,39))-INDIRECT(ADDRESS(1196,39)),INDIRECT(ADDRESS(1197,38))-INDIRECT(ADDRESS(1192,39))+INDIRECT(ADDRESS(1195,39))-INDIRECT(ADDRESS(1196,39)))</f>
        <v>0</v>
      </c>
      <c r="AN1197">
        <f>IF(DAY(NOW())&lt;M3,INDIRECT(ADDRESS(1197,39))-INDIRECT(ADDRESS(1192,40))+INDIRECT(ADDRESS(1193,40))-INDIRECT(ADDRESS(1196,40)),INDIRECT(ADDRESS(1197,39))-INDIRECT(ADDRESS(1192,40))+INDIRECT(ADDRESS(1195,40))-INDIRECT(ADDRESS(1196,40)))</f>
        <v>0</v>
      </c>
      <c r="AO1197">
        <f>IF(DAY(NOW())&lt;M3,INDIRECT(ADDRESS(1197,40))-INDIRECT(ADDRESS(1192,41))+INDIRECT(ADDRESS(1193,41))-INDIRECT(ADDRESS(1196,41)),INDIRECT(ADDRESS(1197,40))-INDIRECT(ADDRESS(1192,41))+INDIRECT(ADDRESS(1195,41))-INDIRECT(ADDRESS(1196,41)))</f>
        <v>0</v>
      </c>
      <c r="AP1197">
        <f>IF(DAY(NOW())&lt;M3,INDIRECT(ADDRESS(1197,41))-INDIRECT(ADDRESS(1192,42))+INDIRECT(ADDRESS(1193,42))-INDIRECT(ADDRESS(1196,42)),INDIRECT(ADDRESS(1197,41))-INDIRECT(ADDRESS(1192,42))+INDIRECT(ADDRESS(1195,42))-INDIRECT(ADDRESS(1196,42)))</f>
        <v>0</v>
      </c>
      <c r="AQ1197">
        <f>IF(DAY(NOW())&lt;M3,INDIRECT(ADDRESS(1197,42))-INDIRECT(ADDRESS(1192,43))+INDIRECT(ADDRESS(1193,43))-INDIRECT(ADDRESS(1196,43)),INDIRECT(ADDRESS(1197,42))-INDIRECT(ADDRESS(1192,43))+INDIRECT(ADDRESS(1195,43))-INDIRECT(ADDRESS(1196,43)))</f>
        <v>0</v>
      </c>
      <c r="AR1197">
        <f>IF(DAY(NOW())&lt;M3,INDIRECT(ADDRESS(1197,43))-INDIRECT(ADDRESS(1192,44))+INDIRECT(ADDRESS(1193,44))-INDIRECT(ADDRESS(1196,44)),INDIRECT(ADDRESS(1197,43))-INDIRECT(ADDRESS(1192,44))+INDIRECT(ADDRESS(1195,44))-INDIRECT(ADDRESS(1196,44)))</f>
        <v>0</v>
      </c>
    </row>
    <row r="1198" spans="1:76">
      <c r="A1198" t="s">
        <v>14</v>
      </c>
      <c r="B1198" t="s">
        <v>450</v>
      </c>
      <c r="C1198" t="s">
        <v>454</v>
      </c>
      <c r="D1198" t="s">
        <v>452</v>
      </c>
      <c r="E1198" t="s">
        <v>453</v>
      </c>
      <c r="F1198" t="s">
        <v>454</v>
      </c>
      <c r="K1198" t="s">
        <v>497</v>
      </c>
      <c r="L1198" t="s">
        <v>21</v>
      </c>
      <c r="BX1198">
        <f>sum(j1198:an1198)</f>
        <v>0</v>
      </c>
    </row>
    <row r="1199" spans="1:76">
      <c r="A1199" t="s">
        <v>14</v>
      </c>
      <c r="B1199" t="s">
        <v>450</v>
      </c>
      <c r="C1199" t="s">
        <v>454</v>
      </c>
      <c r="D1199" t="s">
        <v>452</v>
      </c>
      <c r="E1199" t="s">
        <v>453</v>
      </c>
      <c r="F1199" t="s">
        <v>454</v>
      </c>
      <c r="K1199" t="s">
        <v>497</v>
      </c>
      <c r="L1199" t="s">
        <v>37</v>
      </c>
    </row>
    <row r="1200" spans="1:76">
      <c r="L1200" t="s">
        <v>662</v>
      </c>
    </row>
    <row r="1201" spans="1:76">
      <c r="L1201" t="s">
        <v>663</v>
      </c>
    </row>
    <row r="1202" spans="1:76">
      <c r="L1202" t="s">
        <v>664</v>
      </c>
    </row>
    <row r="1203" spans="1:76">
      <c r="L1203" t="s">
        <v>665</v>
      </c>
      <c r="M1203">
        <f>IF(DAY(NOW())&lt;M3,INDIRECT(ADDRESS(1203,7))-INDIRECT(ADDRESS(1198,13))+INDIRECT(ADDRESS(1199,13))-INDIRECT(ADDRESS(1202,13)),INDIRECT(ADDRESS(1203,7))-INDIRECT(ADDRESS(1198,13))+INDIRECT(ADDRESS(1201,13))-INDIRECT(ADDRESS(1202,13)))</f>
        <v>0</v>
      </c>
      <c r="N1203">
        <f>IF(DAY(NOW())&lt;M3,INDIRECT(ADDRESS(1203,13))-INDIRECT(ADDRESS(1198,14))+INDIRECT(ADDRESS(1199,14))-INDIRECT(ADDRESS(1202,14)),INDIRECT(ADDRESS(1203,13))-INDIRECT(ADDRESS(1198,14))+INDIRECT(ADDRESS(1201,14))-INDIRECT(ADDRESS(1202,14)))</f>
        <v>0</v>
      </c>
      <c r="O1203">
        <f>IF(DAY(NOW())&lt;M3,INDIRECT(ADDRESS(1203,14))-INDIRECT(ADDRESS(1198,15))+INDIRECT(ADDRESS(1199,15))-INDIRECT(ADDRESS(1202,15)),INDIRECT(ADDRESS(1203,14))-INDIRECT(ADDRESS(1198,15))+INDIRECT(ADDRESS(1201,15))-INDIRECT(ADDRESS(1202,15)))</f>
        <v>0</v>
      </c>
      <c r="P1203">
        <f>IF(DAY(NOW())&lt;M3,INDIRECT(ADDRESS(1203,15))-INDIRECT(ADDRESS(1198,16))+INDIRECT(ADDRESS(1199,16))-INDIRECT(ADDRESS(1202,16)),INDIRECT(ADDRESS(1203,15))-INDIRECT(ADDRESS(1198,16))+INDIRECT(ADDRESS(1201,16))-INDIRECT(ADDRESS(1202,16)))</f>
        <v>0</v>
      </c>
      <c r="Q1203">
        <f>IF(DAY(NOW())&lt;M3,INDIRECT(ADDRESS(1203,16))-INDIRECT(ADDRESS(1198,17))+INDIRECT(ADDRESS(1199,17))-INDIRECT(ADDRESS(1202,17)),INDIRECT(ADDRESS(1203,16))-INDIRECT(ADDRESS(1198,17))+INDIRECT(ADDRESS(1201,17))-INDIRECT(ADDRESS(1202,17)))</f>
        <v>0</v>
      </c>
      <c r="R1203">
        <f>IF(DAY(NOW())&lt;M3,INDIRECT(ADDRESS(1203,17))-INDIRECT(ADDRESS(1198,18))+INDIRECT(ADDRESS(1199,18))-INDIRECT(ADDRESS(1202,18)),INDIRECT(ADDRESS(1203,17))-INDIRECT(ADDRESS(1198,18))+INDIRECT(ADDRESS(1201,18))-INDIRECT(ADDRESS(1202,18)))</f>
        <v>0</v>
      </c>
      <c r="S1203">
        <f>IF(DAY(NOW())&lt;M3,INDIRECT(ADDRESS(1203,18))-INDIRECT(ADDRESS(1198,19))+INDIRECT(ADDRESS(1199,19))-INDIRECT(ADDRESS(1202,19)),INDIRECT(ADDRESS(1203,18))-INDIRECT(ADDRESS(1198,19))+INDIRECT(ADDRESS(1201,19))-INDIRECT(ADDRESS(1202,19)))</f>
        <v>0</v>
      </c>
      <c r="T1203">
        <f>IF(DAY(NOW())&lt;M3,INDIRECT(ADDRESS(1203,19))-INDIRECT(ADDRESS(1198,20))+INDIRECT(ADDRESS(1199,20))-INDIRECT(ADDRESS(1202,20)),INDIRECT(ADDRESS(1203,19))-INDIRECT(ADDRESS(1198,20))+INDIRECT(ADDRESS(1201,20))-INDIRECT(ADDRESS(1202,20)))</f>
        <v>0</v>
      </c>
      <c r="U1203">
        <f>IF(DAY(NOW())&lt;M3,INDIRECT(ADDRESS(1203,20))-INDIRECT(ADDRESS(1198,21))+INDIRECT(ADDRESS(1199,21))-INDIRECT(ADDRESS(1202,21)),INDIRECT(ADDRESS(1203,20))-INDIRECT(ADDRESS(1198,21))+INDIRECT(ADDRESS(1201,21))-INDIRECT(ADDRESS(1202,21)))</f>
        <v>0</v>
      </c>
      <c r="V1203">
        <f>IF(DAY(NOW())&lt;M3,INDIRECT(ADDRESS(1203,21))-INDIRECT(ADDRESS(1198,22))+INDIRECT(ADDRESS(1199,22))-INDIRECT(ADDRESS(1202,22)),INDIRECT(ADDRESS(1203,21))-INDIRECT(ADDRESS(1198,22))+INDIRECT(ADDRESS(1201,22))-INDIRECT(ADDRESS(1202,22)))</f>
        <v>0</v>
      </c>
      <c r="W1203">
        <f>IF(DAY(NOW())&lt;M3,INDIRECT(ADDRESS(1203,22))-INDIRECT(ADDRESS(1198,23))+INDIRECT(ADDRESS(1199,23))-INDIRECT(ADDRESS(1202,23)),INDIRECT(ADDRESS(1203,22))-INDIRECT(ADDRESS(1198,23))+INDIRECT(ADDRESS(1201,23))-INDIRECT(ADDRESS(1202,23)))</f>
        <v>0</v>
      </c>
      <c r="X1203">
        <f>IF(DAY(NOW())&lt;M3,INDIRECT(ADDRESS(1203,23))-INDIRECT(ADDRESS(1198,24))+INDIRECT(ADDRESS(1199,24))-INDIRECT(ADDRESS(1202,24)),INDIRECT(ADDRESS(1203,23))-INDIRECT(ADDRESS(1198,24))+INDIRECT(ADDRESS(1201,24))-INDIRECT(ADDRESS(1202,24)))</f>
        <v>0</v>
      </c>
      <c r="Y1203">
        <f>IF(DAY(NOW())&lt;M3,INDIRECT(ADDRESS(1203,24))-INDIRECT(ADDRESS(1198,25))+INDIRECT(ADDRESS(1199,25))-INDIRECT(ADDRESS(1202,25)),INDIRECT(ADDRESS(1203,24))-INDIRECT(ADDRESS(1198,25))+INDIRECT(ADDRESS(1201,25))-INDIRECT(ADDRESS(1202,25)))</f>
        <v>0</v>
      </c>
      <c r="Z1203">
        <f>IF(DAY(NOW())&lt;M3,INDIRECT(ADDRESS(1203,25))-INDIRECT(ADDRESS(1198,26))+INDIRECT(ADDRESS(1199,26))-INDIRECT(ADDRESS(1202,26)),INDIRECT(ADDRESS(1203,25))-INDIRECT(ADDRESS(1198,26))+INDIRECT(ADDRESS(1201,26))-INDIRECT(ADDRESS(1202,26)))</f>
        <v>0</v>
      </c>
      <c r="AA1203">
        <f>IF(DAY(NOW())&lt;M3,INDIRECT(ADDRESS(1203,26))-INDIRECT(ADDRESS(1198,27))+INDIRECT(ADDRESS(1199,27))-INDIRECT(ADDRESS(1202,27)),INDIRECT(ADDRESS(1203,26))-INDIRECT(ADDRESS(1198,27))+INDIRECT(ADDRESS(1201,27))-INDIRECT(ADDRESS(1202,27)))</f>
        <v>0</v>
      </c>
      <c r="AB1203">
        <f>IF(DAY(NOW())&lt;M3,INDIRECT(ADDRESS(1203,27))-INDIRECT(ADDRESS(1198,28))+INDIRECT(ADDRESS(1199,28))-INDIRECT(ADDRESS(1202,28)),INDIRECT(ADDRESS(1203,27))-INDIRECT(ADDRESS(1198,28))+INDIRECT(ADDRESS(1201,28))-INDIRECT(ADDRESS(1202,28)))</f>
        <v>0</v>
      </c>
      <c r="AC1203">
        <f>IF(DAY(NOW())&lt;M3,INDIRECT(ADDRESS(1203,28))-INDIRECT(ADDRESS(1198,29))+INDIRECT(ADDRESS(1199,29))-INDIRECT(ADDRESS(1202,29)),INDIRECT(ADDRESS(1203,28))-INDIRECT(ADDRESS(1198,29))+INDIRECT(ADDRESS(1201,29))-INDIRECT(ADDRESS(1202,29)))</f>
        <v>0</v>
      </c>
      <c r="AD1203">
        <f>IF(DAY(NOW())&lt;M3,INDIRECT(ADDRESS(1203,29))-INDIRECT(ADDRESS(1198,30))+INDIRECT(ADDRESS(1199,30))-INDIRECT(ADDRESS(1202,30)),INDIRECT(ADDRESS(1203,29))-INDIRECT(ADDRESS(1198,30))+INDIRECT(ADDRESS(1201,30))-INDIRECT(ADDRESS(1202,30)))</f>
        <v>0</v>
      </c>
      <c r="AE1203">
        <f>IF(DAY(NOW())&lt;M3,INDIRECT(ADDRESS(1203,30))-INDIRECT(ADDRESS(1198,31))+INDIRECT(ADDRESS(1199,31))-INDIRECT(ADDRESS(1202,31)),INDIRECT(ADDRESS(1203,30))-INDIRECT(ADDRESS(1198,31))+INDIRECT(ADDRESS(1201,31))-INDIRECT(ADDRESS(1202,31)))</f>
        <v>0</v>
      </c>
      <c r="AF1203">
        <f>IF(DAY(NOW())&lt;M3,INDIRECT(ADDRESS(1203,31))-INDIRECT(ADDRESS(1198,32))+INDIRECT(ADDRESS(1199,32))-INDIRECT(ADDRESS(1202,32)),INDIRECT(ADDRESS(1203,31))-INDIRECT(ADDRESS(1198,32))+INDIRECT(ADDRESS(1201,32))-INDIRECT(ADDRESS(1202,32)))</f>
        <v>0</v>
      </c>
      <c r="AG1203">
        <f>IF(DAY(NOW())&lt;M3,INDIRECT(ADDRESS(1203,32))-INDIRECT(ADDRESS(1198,33))+INDIRECT(ADDRESS(1199,33))-INDIRECT(ADDRESS(1202,33)),INDIRECT(ADDRESS(1203,32))-INDIRECT(ADDRESS(1198,33))+INDIRECT(ADDRESS(1201,33))-INDIRECT(ADDRESS(1202,33)))</f>
        <v>0</v>
      </c>
      <c r="AH1203">
        <f>IF(DAY(NOW())&lt;M3,INDIRECT(ADDRESS(1203,33))-INDIRECT(ADDRESS(1198,34))+INDIRECT(ADDRESS(1199,34))-INDIRECT(ADDRESS(1202,34)),INDIRECT(ADDRESS(1203,33))-INDIRECT(ADDRESS(1198,34))+INDIRECT(ADDRESS(1201,34))-INDIRECT(ADDRESS(1202,34)))</f>
        <v>0</v>
      </c>
      <c r="AI1203">
        <f>IF(DAY(NOW())&lt;M3,INDIRECT(ADDRESS(1203,34))-INDIRECT(ADDRESS(1198,35))+INDIRECT(ADDRESS(1199,35))-INDIRECT(ADDRESS(1202,35)),INDIRECT(ADDRESS(1203,34))-INDIRECT(ADDRESS(1198,35))+INDIRECT(ADDRESS(1201,35))-INDIRECT(ADDRESS(1202,35)))</f>
        <v>0</v>
      </c>
      <c r="AJ1203">
        <f>IF(DAY(NOW())&lt;M3,INDIRECT(ADDRESS(1203,35))-INDIRECT(ADDRESS(1198,36))+INDIRECT(ADDRESS(1199,36))-INDIRECT(ADDRESS(1202,36)),INDIRECT(ADDRESS(1203,35))-INDIRECT(ADDRESS(1198,36))+INDIRECT(ADDRESS(1201,36))-INDIRECT(ADDRESS(1202,36)))</f>
        <v>0</v>
      </c>
      <c r="AK1203">
        <f>IF(DAY(NOW())&lt;M3,INDIRECT(ADDRESS(1203,36))-INDIRECT(ADDRESS(1198,37))+INDIRECT(ADDRESS(1199,37))-INDIRECT(ADDRESS(1202,37)),INDIRECT(ADDRESS(1203,36))-INDIRECT(ADDRESS(1198,37))+INDIRECT(ADDRESS(1201,37))-INDIRECT(ADDRESS(1202,37)))</f>
        <v>0</v>
      </c>
      <c r="AL1203">
        <f>IF(DAY(NOW())&lt;M3,INDIRECT(ADDRESS(1203,37))-INDIRECT(ADDRESS(1198,38))+INDIRECT(ADDRESS(1199,38))-INDIRECT(ADDRESS(1202,38)),INDIRECT(ADDRESS(1203,37))-INDIRECT(ADDRESS(1198,38))+INDIRECT(ADDRESS(1201,38))-INDIRECT(ADDRESS(1202,38)))</f>
        <v>0</v>
      </c>
      <c r="AM1203">
        <f>IF(DAY(NOW())&lt;M3,INDIRECT(ADDRESS(1203,38))-INDIRECT(ADDRESS(1198,39))+INDIRECT(ADDRESS(1199,39))-INDIRECT(ADDRESS(1202,39)),INDIRECT(ADDRESS(1203,38))-INDIRECT(ADDRESS(1198,39))+INDIRECT(ADDRESS(1201,39))-INDIRECT(ADDRESS(1202,39)))</f>
        <v>0</v>
      </c>
      <c r="AN1203">
        <f>IF(DAY(NOW())&lt;M3,INDIRECT(ADDRESS(1203,39))-INDIRECT(ADDRESS(1198,40))+INDIRECT(ADDRESS(1199,40))-INDIRECT(ADDRESS(1202,40)),INDIRECT(ADDRESS(1203,39))-INDIRECT(ADDRESS(1198,40))+INDIRECT(ADDRESS(1201,40))-INDIRECT(ADDRESS(1202,40)))</f>
        <v>0</v>
      </c>
      <c r="AO1203">
        <f>IF(DAY(NOW())&lt;M3,INDIRECT(ADDRESS(1203,40))-INDIRECT(ADDRESS(1198,41))+INDIRECT(ADDRESS(1199,41))-INDIRECT(ADDRESS(1202,41)),INDIRECT(ADDRESS(1203,40))-INDIRECT(ADDRESS(1198,41))+INDIRECT(ADDRESS(1201,41))-INDIRECT(ADDRESS(1202,41)))</f>
        <v>0</v>
      </c>
      <c r="AP1203">
        <f>IF(DAY(NOW())&lt;M3,INDIRECT(ADDRESS(1203,41))-INDIRECT(ADDRESS(1198,42))+INDIRECT(ADDRESS(1199,42))-INDIRECT(ADDRESS(1202,42)),INDIRECT(ADDRESS(1203,41))-INDIRECT(ADDRESS(1198,42))+INDIRECT(ADDRESS(1201,42))-INDIRECT(ADDRESS(1202,42)))</f>
        <v>0</v>
      </c>
      <c r="AQ1203">
        <f>IF(DAY(NOW())&lt;M3,INDIRECT(ADDRESS(1203,42))-INDIRECT(ADDRESS(1198,43))+INDIRECT(ADDRESS(1199,43))-INDIRECT(ADDRESS(1202,43)),INDIRECT(ADDRESS(1203,42))-INDIRECT(ADDRESS(1198,43))+INDIRECT(ADDRESS(1201,43))-INDIRECT(ADDRESS(1202,43)))</f>
        <v>0</v>
      </c>
      <c r="AR1203">
        <f>IF(DAY(NOW())&lt;M3,INDIRECT(ADDRESS(1203,43))-INDIRECT(ADDRESS(1198,44))+INDIRECT(ADDRESS(1199,44))-INDIRECT(ADDRESS(1202,44)),INDIRECT(ADDRESS(1203,43))-INDIRECT(ADDRESS(1198,44))+INDIRECT(ADDRESS(1201,44))-INDIRECT(ADDRESS(1202,44)))</f>
        <v>0</v>
      </c>
    </row>
    <row r="1204" spans="1:76">
      <c r="A1204" t="s">
        <v>31</v>
      </c>
      <c r="B1204" t="s">
        <v>321</v>
      </c>
      <c r="C1204" t="s">
        <v>323</v>
      </c>
      <c r="E1204" t="s">
        <v>453</v>
      </c>
      <c r="F1204" t="s">
        <v>323</v>
      </c>
      <c r="K1204" t="s">
        <v>499</v>
      </c>
      <c r="L1204" t="s">
        <v>21</v>
      </c>
      <c r="M1204">
        <f>sumifs(BOM!m:m,BOM!A:A,".1",BOM!B:B,"222-014500-000")</f>
        <v>0</v>
      </c>
      <c r="N1204">
        <f>sumifs(BOM!n:n,BOM!A:A,".1",BOM!B:B,"222-014500-000")</f>
        <v>0</v>
      </c>
      <c r="O1204">
        <f>sumifs(BOM!o:o,BOM!A:A,".1",BOM!B:B,"222-014500-000")</f>
        <v>0</v>
      </c>
      <c r="P1204">
        <f>sumifs(BOM!p:p,BOM!A:A,".1",BOM!B:B,"222-014500-000")</f>
        <v>0</v>
      </c>
      <c r="Q1204">
        <f>sumifs(BOM!q:q,BOM!A:A,".1",BOM!B:B,"222-014500-000")</f>
        <v>0</v>
      </c>
      <c r="R1204">
        <f>sumifs(BOM!r:r,BOM!A:A,".1",BOM!B:B,"222-014500-000")</f>
        <v>0</v>
      </c>
      <c r="S1204">
        <f>sumifs(BOM!s:s,BOM!A:A,".1",BOM!B:B,"222-014500-000")</f>
        <v>0</v>
      </c>
      <c r="T1204">
        <f>sumifs(BOM!t:t,BOM!A:A,".1",BOM!B:B,"222-014500-000")</f>
        <v>0</v>
      </c>
      <c r="U1204">
        <f>sumifs(BOM!u:u,BOM!A:A,".1",BOM!B:B,"222-014500-000")</f>
        <v>0</v>
      </c>
      <c r="V1204">
        <f>sumifs(BOM!v:v,BOM!A:A,".1",BOM!B:B,"222-014500-000")</f>
        <v>0</v>
      </c>
      <c r="W1204">
        <f>sumifs(BOM!w:w,BOM!A:A,".1",BOM!B:B,"222-014500-000")</f>
        <v>0</v>
      </c>
      <c r="X1204">
        <f>sumifs(BOM!x:x,BOM!A:A,".1",BOM!B:B,"222-014500-000")</f>
        <v>0</v>
      </c>
      <c r="Y1204">
        <f>sumifs(BOM!y:y,BOM!A:A,".1",BOM!B:B,"222-014500-000")</f>
        <v>0</v>
      </c>
      <c r="Z1204">
        <f>sumifs(BOM!z:z,BOM!A:A,".1",BOM!B:B,"222-014500-000")</f>
        <v>0</v>
      </c>
      <c r="AA1204">
        <f>sumifs(BOM!aa:aa,BOM!A:A,".1",BOM!B:B,"222-014500-000")</f>
        <v>0</v>
      </c>
      <c r="AB1204">
        <f>sumifs(BOM!ab:ab,BOM!A:A,".1",BOM!B:B,"222-014500-000")</f>
        <v>0</v>
      </c>
      <c r="AC1204">
        <f>sumifs(BOM!ac:ac,BOM!A:A,".1",BOM!B:B,"222-014500-000")</f>
        <v>0</v>
      </c>
      <c r="AD1204">
        <f>sumifs(BOM!ad:ad,BOM!A:A,".1",BOM!B:B,"222-014500-000")</f>
        <v>0</v>
      </c>
      <c r="AE1204">
        <f>sumifs(BOM!ae:ae,BOM!A:A,".1",BOM!B:B,"222-014500-000")</f>
        <v>0</v>
      </c>
      <c r="AF1204">
        <f>sumifs(BOM!af:af,BOM!A:A,".1",BOM!B:B,"222-014500-000")</f>
        <v>0</v>
      </c>
      <c r="AG1204">
        <f>sumifs(BOM!ag:ag,BOM!A:A,".1",BOM!B:B,"222-014500-000")</f>
        <v>0</v>
      </c>
      <c r="AH1204">
        <f>sumifs(BOM!ah:ah,BOM!A:A,".1",BOM!B:B,"222-014500-000")</f>
        <v>0</v>
      </c>
      <c r="AI1204">
        <f>sumifs(BOM!ai:ai,BOM!A:A,".1",BOM!B:B,"222-014500-000")</f>
        <v>0</v>
      </c>
      <c r="AJ1204">
        <f>sumifs(BOM!aj:aj,BOM!A:A,".1",BOM!B:B,"222-014500-000")</f>
        <v>0</v>
      </c>
      <c r="AK1204">
        <f>sumifs(BOM!ak:ak,BOM!A:A,".1",BOM!B:B,"222-014500-000")</f>
        <v>0</v>
      </c>
      <c r="AL1204">
        <f>sumifs(BOM!al:al,BOM!A:A,".1",BOM!B:B,"222-014500-000")</f>
        <v>0</v>
      </c>
      <c r="AM1204">
        <f>sumifs(BOM!am:am,BOM!A:A,".1",BOM!B:B,"222-014500-000")</f>
        <v>0</v>
      </c>
      <c r="AN1204">
        <f>sumifs(BOM!an:an,BOM!A:A,".1",BOM!B:B,"222-014500-000")</f>
        <v>0</v>
      </c>
      <c r="AO1204">
        <f>sumifs(BOM!ao:ao,BOM!A:A,".1",BOM!B:B,"222-014500-000")</f>
        <v>0</v>
      </c>
      <c r="AP1204">
        <f>sumifs(BOM!ap:ap,BOM!A:A,".1",BOM!B:B,"222-014500-000")</f>
        <v>0</v>
      </c>
      <c r="AQ1204">
        <f>sumifs(BOM!aq:aq,BOM!A:A,".1",BOM!B:B,"222-014500-000")</f>
        <v>0</v>
      </c>
      <c r="AR1204">
        <f>sumifs(BOM!ar:ar,BOM!A:A,".1",BOM!B:B,"222-014500-000")</f>
        <v>0</v>
      </c>
      <c r="BX1204">
        <f>sum(j1204:an1204)</f>
        <v>0</v>
      </c>
    </row>
    <row r="1205" spans="1:76">
      <c r="A1205" t="s">
        <v>31</v>
      </c>
      <c r="B1205" t="s">
        <v>321</v>
      </c>
      <c r="C1205" t="s">
        <v>323</v>
      </c>
      <c r="E1205" t="s">
        <v>453</v>
      </c>
      <c r="F1205" t="s">
        <v>323</v>
      </c>
      <c r="K1205" t="s">
        <v>499</v>
      </c>
      <c r="L1205" t="s">
        <v>37</v>
      </c>
    </row>
    <row r="1206" spans="1:76">
      <c r="L1206" t="s">
        <v>662</v>
      </c>
    </row>
    <row r="1207" spans="1:76">
      <c r="L1207" t="s">
        <v>663</v>
      </c>
    </row>
    <row r="1208" spans="1:76">
      <c r="L1208" t="s">
        <v>664</v>
      </c>
    </row>
    <row r="1209" spans="1:76">
      <c r="L1209" t="s">
        <v>665</v>
      </c>
      <c r="M1209">
        <f>IF(DAY(NOW())&lt;M3,INDIRECT(ADDRESS(1209,7))-INDIRECT(ADDRESS(1204,13))+INDIRECT(ADDRESS(1205,13))-INDIRECT(ADDRESS(1208,13)),INDIRECT(ADDRESS(1209,7))-INDIRECT(ADDRESS(1204,13))+INDIRECT(ADDRESS(1207,13))-INDIRECT(ADDRESS(1208,13)))</f>
        <v>0</v>
      </c>
      <c r="N1209">
        <f>IF(DAY(NOW())&lt;M3,INDIRECT(ADDRESS(1209,13))-INDIRECT(ADDRESS(1204,14))+INDIRECT(ADDRESS(1205,14))-INDIRECT(ADDRESS(1208,14)),INDIRECT(ADDRESS(1209,13))-INDIRECT(ADDRESS(1204,14))+INDIRECT(ADDRESS(1207,14))-INDIRECT(ADDRESS(1208,14)))</f>
        <v>0</v>
      </c>
      <c r="O1209">
        <f>IF(DAY(NOW())&lt;M3,INDIRECT(ADDRESS(1209,14))-INDIRECT(ADDRESS(1204,15))+INDIRECT(ADDRESS(1205,15))-INDIRECT(ADDRESS(1208,15)),INDIRECT(ADDRESS(1209,14))-INDIRECT(ADDRESS(1204,15))+INDIRECT(ADDRESS(1207,15))-INDIRECT(ADDRESS(1208,15)))</f>
        <v>0</v>
      </c>
      <c r="P1209">
        <f>IF(DAY(NOW())&lt;M3,INDIRECT(ADDRESS(1209,15))-INDIRECT(ADDRESS(1204,16))+INDIRECT(ADDRESS(1205,16))-INDIRECT(ADDRESS(1208,16)),INDIRECT(ADDRESS(1209,15))-INDIRECT(ADDRESS(1204,16))+INDIRECT(ADDRESS(1207,16))-INDIRECT(ADDRESS(1208,16)))</f>
        <v>0</v>
      </c>
      <c r="Q1209">
        <f>IF(DAY(NOW())&lt;M3,INDIRECT(ADDRESS(1209,16))-INDIRECT(ADDRESS(1204,17))+INDIRECT(ADDRESS(1205,17))-INDIRECT(ADDRESS(1208,17)),INDIRECT(ADDRESS(1209,16))-INDIRECT(ADDRESS(1204,17))+INDIRECT(ADDRESS(1207,17))-INDIRECT(ADDRESS(1208,17)))</f>
        <v>0</v>
      </c>
      <c r="R1209">
        <f>IF(DAY(NOW())&lt;M3,INDIRECT(ADDRESS(1209,17))-INDIRECT(ADDRESS(1204,18))+INDIRECT(ADDRESS(1205,18))-INDIRECT(ADDRESS(1208,18)),INDIRECT(ADDRESS(1209,17))-INDIRECT(ADDRESS(1204,18))+INDIRECT(ADDRESS(1207,18))-INDIRECT(ADDRESS(1208,18)))</f>
        <v>0</v>
      </c>
      <c r="S1209">
        <f>IF(DAY(NOW())&lt;M3,INDIRECT(ADDRESS(1209,18))-INDIRECT(ADDRESS(1204,19))+INDIRECT(ADDRESS(1205,19))-INDIRECT(ADDRESS(1208,19)),INDIRECT(ADDRESS(1209,18))-INDIRECT(ADDRESS(1204,19))+INDIRECT(ADDRESS(1207,19))-INDIRECT(ADDRESS(1208,19)))</f>
        <v>0</v>
      </c>
      <c r="T1209">
        <f>IF(DAY(NOW())&lt;M3,INDIRECT(ADDRESS(1209,19))-INDIRECT(ADDRESS(1204,20))+INDIRECT(ADDRESS(1205,20))-INDIRECT(ADDRESS(1208,20)),INDIRECT(ADDRESS(1209,19))-INDIRECT(ADDRESS(1204,20))+INDIRECT(ADDRESS(1207,20))-INDIRECT(ADDRESS(1208,20)))</f>
        <v>0</v>
      </c>
      <c r="U1209">
        <f>IF(DAY(NOW())&lt;M3,INDIRECT(ADDRESS(1209,20))-INDIRECT(ADDRESS(1204,21))+INDIRECT(ADDRESS(1205,21))-INDIRECT(ADDRESS(1208,21)),INDIRECT(ADDRESS(1209,20))-INDIRECT(ADDRESS(1204,21))+INDIRECT(ADDRESS(1207,21))-INDIRECT(ADDRESS(1208,21)))</f>
        <v>0</v>
      </c>
      <c r="V1209">
        <f>IF(DAY(NOW())&lt;M3,INDIRECT(ADDRESS(1209,21))-INDIRECT(ADDRESS(1204,22))+INDIRECT(ADDRESS(1205,22))-INDIRECT(ADDRESS(1208,22)),INDIRECT(ADDRESS(1209,21))-INDIRECT(ADDRESS(1204,22))+INDIRECT(ADDRESS(1207,22))-INDIRECT(ADDRESS(1208,22)))</f>
        <v>0</v>
      </c>
      <c r="W1209">
        <f>IF(DAY(NOW())&lt;M3,INDIRECT(ADDRESS(1209,22))-INDIRECT(ADDRESS(1204,23))+INDIRECT(ADDRESS(1205,23))-INDIRECT(ADDRESS(1208,23)),INDIRECT(ADDRESS(1209,22))-INDIRECT(ADDRESS(1204,23))+INDIRECT(ADDRESS(1207,23))-INDIRECT(ADDRESS(1208,23)))</f>
        <v>0</v>
      </c>
      <c r="X1209">
        <f>IF(DAY(NOW())&lt;M3,INDIRECT(ADDRESS(1209,23))-INDIRECT(ADDRESS(1204,24))+INDIRECT(ADDRESS(1205,24))-INDIRECT(ADDRESS(1208,24)),INDIRECT(ADDRESS(1209,23))-INDIRECT(ADDRESS(1204,24))+INDIRECT(ADDRESS(1207,24))-INDIRECT(ADDRESS(1208,24)))</f>
        <v>0</v>
      </c>
      <c r="Y1209">
        <f>IF(DAY(NOW())&lt;M3,INDIRECT(ADDRESS(1209,24))-INDIRECT(ADDRESS(1204,25))+INDIRECT(ADDRESS(1205,25))-INDIRECT(ADDRESS(1208,25)),INDIRECT(ADDRESS(1209,24))-INDIRECT(ADDRESS(1204,25))+INDIRECT(ADDRESS(1207,25))-INDIRECT(ADDRESS(1208,25)))</f>
        <v>0</v>
      </c>
      <c r="Z1209">
        <f>IF(DAY(NOW())&lt;M3,INDIRECT(ADDRESS(1209,25))-INDIRECT(ADDRESS(1204,26))+INDIRECT(ADDRESS(1205,26))-INDIRECT(ADDRESS(1208,26)),INDIRECT(ADDRESS(1209,25))-INDIRECT(ADDRESS(1204,26))+INDIRECT(ADDRESS(1207,26))-INDIRECT(ADDRESS(1208,26)))</f>
        <v>0</v>
      </c>
      <c r="AA1209">
        <f>IF(DAY(NOW())&lt;M3,INDIRECT(ADDRESS(1209,26))-INDIRECT(ADDRESS(1204,27))+INDIRECT(ADDRESS(1205,27))-INDIRECT(ADDRESS(1208,27)),INDIRECT(ADDRESS(1209,26))-INDIRECT(ADDRESS(1204,27))+INDIRECT(ADDRESS(1207,27))-INDIRECT(ADDRESS(1208,27)))</f>
        <v>0</v>
      </c>
      <c r="AB1209">
        <f>IF(DAY(NOW())&lt;M3,INDIRECT(ADDRESS(1209,27))-INDIRECT(ADDRESS(1204,28))+INDIRECT(ADDRESS(1205,28))-INDIRECT(ADDRESS(1208,28)),INDIRECT(ADDRESS(1209,27))-INDIRECT(ADDRESS(1204,28))+INDIRECT(ADDRESS(1207,28))-INDIRECT(ADDRESS(1208,28)))</f>
        <v>0</v>
      </c>
      <c r="AC1209">
        <f>IF(DAY(NOW())&lt;M3,INDIRECT(ADDRESS(1209,28))-INDIRECT(ADDRESS(1204,29))+INDIRECT(ADDRESS(1205,29))-INDIRECT(ADDRESS(1208,29)),INDIRECT(ADDRESS(1209,28))-INDIRECT(ADDRESS(1204,29))+INDIRECT(ADDRESS(1207,29))-INDIRECT(ADDRESS(1208,29)))</f>
        <v>0</v>
      </c>
      <c r="AD1209">
        <f>IF(DAY(NOW())&lt;M3,INDIRECT(ADDRESS(1209,29))-INDIRECT(ADDRESS(1204,30))+INDIRECT(ADDRESS(1205,30))-INDIRECT(ADDRESS(1208,30)),INDIRECT(ADDRESS(1209,29))-INDIRECT(ADDRESS(1204,30))+INDIRECT(ADDRESS(1207,30))-INDIRECT(ADDRESS(1208,30)))</f>
        <v>0</v>
      </c>
      <c r="AE1209">
        <f>IF(DAY(NOW())&lt;M3,INDIRECT(ADDRESS(1209,30))-INDIRECT(ADDRESS(1204,31))+INDIRECT(ADDRESS(1205,31))-INDIRECT(ADDRESS(1208,31)),INDIRECT(ADDRESS(1209,30))-INDIRECT(ADDRESS(1204,31))+INDIRECT(ADDRESS(1207,31))-INDIRECT(ADDRESS(1208,31)))</f>
        <v>0</v>
      </c>
      <c r="AF1209">
        <f>IF(DAY(NOW())&lt;M3,INDIRECT(ADDRESS(1209,31))-INDIRECT(ADDRESS(1204,32))+INDIRECT(ADDRESS(1205,32))-INDIRECT(ADDRESS(1208,32)),INDIRECT(ADDRESS(1209,31))-INDIRECT(ADDRESS(1204,32))+INDIRECT(ADDRESS(1207,32))-INDIRECT(ADDRESS(1208,32)))</f>
        <v>0</v>
      </c>
      <c r="AG1209">
        <f>IF(DAY(NOW())&lt;M3,INDIRECT(ADDRESS(1209,32))-INDIRECT(ADDRESS(1204,33))+INDIRECT(ADDRESS(1205,33))-INDIRECT(ADDRESS(1208,33)),INDIRECT(ADDRESS(1209,32))-INDIRECT(ADDRESS(1204,33))+INDIRECT(ADDRESS(1207,33))-INDIRECT(ADDRESS(1208,33)))</f>
        <v>0</v>
      </c>
      <c r="AH1209">
        <f>IF(DAY(NOW())&lt;M3,INDIRECT(ADDRESS(1209,33))-INDIRECT(ADDRESS(1204,34))+INDIRECT(ADDRESS(1205,34))-INDIRECT(ADDRESS(1208,34)),INDIRECT(ADDRESS(1209,33))-INDIRECT(ADDRESS(1204,34))+INDIRECT(ADDRESS(1207,34))-INDIRECT(ADDRESS(1208,34)))</f>
        <v>0</v>
      </c>
      <c r="AI1209">
        <f>IF(DAY(NOW())&lt;M3,INDIRECT(ADDRESS(1209,34))-INDIRECT(ADDRESS(1204,35))+INDIRECT(ADDRESS(1205,35))-INDIRECT(ADDRESS(1208,35)),INDIRECT(ADDRESS(1209,34))-INDIRECT(ADDRESS(1204,35))+INDIRECT(ADDRESS(1207,35))-INDIRECT(ADDRESS(1208,35)))</f>
        <v>0</v>
      </c>
      <c r="AJ1209">
        <f>IF(DAY(NOW())&lt;M3,INDIRECT(ADDRESS(1209,35))-INDIRECT(ADDRESS(1204,36))+INDIRECT(ADDRESS(1205,36))-INDIRECT(ADDRESS(1208,36)),INDIRECT(ADDRESS(1209,35))-INDIRECT(ADDRESS(1204,36))+INDIRECT(ADDRESS(1207,36))-INDIRECT(ADDRESS(1208,36)))</f>
        <v>0</v>
      </c>
      <c r="AK1209">
        <f>IF(DAY(NOW())&lt;M3,INDIRECT(ADDRESS(1209,36))-INDIRECT(ADDRESS(1204,37))+INDIRECT(ADDRESS(1205,37))-INDIRECT(ADDRESS(1208,37)),INDIRECT(ADDRESS(1209,36))-INDIRECT(ADDRESS(1204,37))+INDIRECT(ADDRESS(1207,37))-INDIRECT(ADDRESS(1208,37)))</f>
        <v>0</v>
      </c>
      <c r="AL1209">
        <f>IF(DAY(NOW())&lt;M3,INDIRECT(ADDRESS(1209,37))-INDIRECT(ADDRESS(1204,38))+INDIRECT(ADDRESS(1205,38))-INDIRECT(ADDRESS(1208,38)),INDIRECT(ADDRESS(1209,37))-INDIRECT(ADDRESS(1204,38))+INDIRECT(ADDRESS(1207,38))-INDIRECT(ADDRESS(1208,38)))</f>
        <v>0</v>
      </c>
      <c r="AM1209">
        <f>IF(DAY(NOW())&lt;M3,INDIRECT(ADDRESS(1209,38))-INDIRECT(ADDRESS(1204,39))+INDIRECT(ADDRESS(1205,39))-INDIRECT(ADDRESS(1208,39)),INDIRECT(ADDRESS(1209,38))-INDIRECT(ADDRESS(1204,39))+INDIRECT(ADDRESS(1207,39))-INDIRECT(ADDRESS(1208,39)))</f>
        <v>0</v>
      </c>
      <c r="AN1209">
        <f>IF(DAY(NOW())&lt;M3,INDIRECT(ADDRESS(1209,39))-INDIRECT(ADDRESS(1204,40))+INDIRECT(ADDRESS(1205,40))-INDIRECT(ADDRESS(1208,40)),INDIRECT(ADDRESS(1209,39))-INDIRECT(ADDRESS(1204,40))+INDIRECT(ADDRESS(1207,40))-INDIRECT(ADDRESS(1208,40)))</f>
        <v>0</v>
      </c>
      <c r="AO1209">
        <f>IF(DAY(NOW())&lt;M3,INDIRECT(ADDRESS(1209,40))-INDIRECT(ADDRESS(1204,41))+INDIRECT(ADDRESS(1205,41))-INDIRECT(ADDRESS(1208,41)),INDIRECT(ADDRESS(1209,40))-INDIRECT(ADDRESS(1204,41))+INDIRECT(ADDRESS(1207,41))-INDIRECT(ADDRESS(1208,41)))</f>
        <v>0</v>
      </c>
      <c r="AP1209">
        <f>IF(DAY(NOW())&lt;M3,INDIRECT(ADDRESS(1209,41))-INDIRECT(ADDRESS(1204,42))+INDIRECT(ADDRESS(1205,42))-INDIRECT(ADDRESS(1208,42)),INDIRECT(ADDRESS(1209,41))-INDIRECT(ADDRESS(1204,42))+INDIRECT(ADDRESS(1207,42))-INDIRECT(ADDRESS(1208,42)))</f>
        <v>0</v>
      </c>
      <c r="AQ1209">
        <f>IF(DAY(NOW())&lt;M3,INDIRECT(ADDRESS(1209,42))-INDIRECT(ADDRESS(1204,43))+INDIRECT(ADDRESS(1205,43))-INDIRECT(ADDRESS(1208,43)),INDIRECT(ADDRESS(1209,42))-INDIRECT(ADDRESS(1204,43))+INDIRECT(ADDRESS(1207,43))-INDIRECT(ADDRESS(1208,43)))</f>
        <v>0</v>
      </c>
      <c r="AR1209">
        <f>IF(DAY(NOW())&lt;M3,INDIRECT(ADDRESS(1209,43))-INDIRECT(ADDRESS(1204,44))+INDIRECT(ADDRESS(1205,44))-INDIRECT(ADDRESS(1208,44)),INDIRECT(ADDRESS(1209,43))-INDIRECT(ADDRESS(1204,44))+INDIRECT(ADDRESS(1207,44))-INDIRECT(ADDRESS(1208,44)))</f>
        <v>0</v>
      </c>
    </row>
    <row r="1210" spans="1:76">
      <c r="A1210" t="s">
        <v>31</v>
      </c>
      <c r="B1210" t="s">
        <v>502</v>
      </c>
      <c r="C1210" t="s">
        <v>503</v>
      </c>
      <c r="E1210" t="s">
        <v>504</v>
      </c>
      <c r="F1210" t="s">
        <v>503</v>
      </c>
      <c r="K1210" t="s">
        <v>499</v>
      </c>
      <c r="L1210" t="s">
        <v>21</v>
      </c>
      <c r="M1210">
        <f>sumifs(BOM!m:m,BOM!A:A,".1",BOM!B:B,"211-200002-000")</f>
        <v>0</v>
      </c>
      <c r="N1210">
        <f>sumifs(BOM!n:n,BOM!A:A,".1",BOM!B:B,"211-200002-000")</f>
        <v>0</v>
      </c>
      <c r="O1210">
        <f>sumifs(BOM!o:o,BOM!A:A,".1",BOM!B:B,"211-200002-000")</f>
        <v>0</v>
      </c>
      <c r="P1210">
        <f>sumifs(BOM!p:p,BOM!A:A,".1",BOM!B:B,"211-200002-000")</f>
        <v>0</v>
      </c>
      <c r="Q1210">
        <f>sumifs(BOM!q:q,BOM!A:A,".1",BOM!B:B,"211-200002-000")</f>
        <v>0</v>
      </c>
      <c r="R1210">
        <f>sumifs(BOM!r:r,BOM!A:A,".1",BOM!B:B,"211-200002-000")</f>
        <v>0</v>
      </c>
      <c r="S1210">
        <f>sumifs(BOM!s:s,BOM!A:A,".1",BOM!B:B,"211-200002-000")</f>
        <v>0</v>
      </c>
      <c r="T1210">
        <f>sumifs(BOM!t:t,BOM!A:A,".1",BOM!B:B,"211-200002-000")</f>
        <v>0</v>
      </c>
      <c r="U1210">
        <f>sumifs(BOM!u:u,BOM!A:A,".1",BOM!B:B,"211-200002-000")</f>
        <v>0</v>
      </c>
      <c r="V1210">
        <f>sumifs(BOM!v:v,BOM!A:A,".1",BOM!B:B,"211-200002-000")</f>
        <v>0</v>
      </c>
      <c r="W1210">
        <f>sumifs(BOM!w:w,BOM!A:A,".1",BOM!B:B,"211-200002-000")</f>
        <v>0</v>
      </c>
      <c r="X1210">
        <f>sumifs(BOM!x:x,BOM!A:A,".1",BOM!B:B,"211-200002-000")</f>
        <v>0</v>
      </c>
      <c r="Y1210">
        <f>sumifs(BOM!y:y,BOM!A:A,".1",BOM!B:B,"211-200002-000")</f>
        <v>0</v>
      </c>
      <c r="Z1210">
        <f>sumifs(BOM!z:z,BOM!A:A,".1",BOM!B:B,"211-200002-000")</f>
        <v>0</v>
      </c>
      <c r="AA1210">
        <f>sumifs(BOM!aa:aa,BOM!A:A,".1",BOM!B:B,"211-200002-000")</f>
        <v>0</v>
      </c>
      <c r="AB1210">
        <f>sumifs(BOM!ab:ab,BOM!A:A,".1",BOM!B:B,"211-200002-000")</f>
        <v>0</v>
      </c>
      <c r="AC1210">
        <f>sumifs(BOM!ac:ac,BOM!A:A,".1",BOM!B:B,"211-200002-000")</f>
        <v>0</v>
      </c>
      <c r="AD1210">
        <f>sumifs(BOM!ad:ad,BOM!A:A,".1",BOM!B:B,"211-200002-000")</f>
        <v>0</v>
      </c>
      <c r="AE1210">
        <f>sumifs(BOM!ae:ae,BOM!A:A,".1",BOM!B:B,"211-200002-000")</f>
        <v>0</v>
      </c>
      <c r="AF1210">
        <f>sumifs(BOM!af:af,BOM!A:A,".1",BOM!B:B,"211-200002-000")</f>
        <v>0</v>
      </c>
      <c r="AG1210">
        <f>sumifs(BOM!ag:ag,BOM!A:A,".1",BOM!B:B,"211-200002-000")</f>
        <v>0</v>
      </c>
      <c r="AH1210">
        <f>sumifs(BOM!ah:ah,BOM!A:A,".1",BOM!B:B,"211-200002-000")</f>
        <v>0</v>
      </c>
      <c r="AI1210">
        <f>sumifs(BOM!ai:ai,BOM!A:A,".1",BOM!B:B,"211-200002-000")</f>
        <v>0</v>
      </c>
      <c r="AJ1210">
        <f>sumifs(BOM!aj:aj,BOM!A:A,".1",BOM!B:B,"211-200002-000")</f>
        <v>0</v>
      </c>
      <c r="AK1210">
        <f>sumifs(BOM!ak:ak,BOM!A:A,".1",BOM!B:B,"211-200002-000")</f>
        <v>0</v>
      </c>
      <c r="AL1210">
        <f>sumifs(BOM!al:al,BOM!A:A,".1",BOM!B:B,"211-200002-000")</f>
        <v>0</v>
      </c>
      <c r="AM1210">
        <f>sumifs(BOM!am:am,BOM!A:A,".1",BOM!B:B,"211-200002-000")</f>
        <v>0</v>
      </c>
      <c r="AN1210">
        <f>sumifs(BOM!an:an,BOM!A:A,".1",BOM!B:B,"211-200002-000")</f>
        <v>0</v>
      </c>
      <c r="AO1210">
        <f>sumifs(BOM!ao:ao,BOM!A:A,".1",BOM!B:B,"211-200002-000")</f>
        <v>0</v>
      </c>
      <c r="AP1210">
        <f>sumifs(BOM!ap:ap,BOM!A:A,".1",BOM!B:B,"211-200002-000")</f>
        <v>0</v>
      </c>
      <c r="AQ1210">
        <f>sumifs(BOM!aq:aq,BOM!A:A,".1",BOM!B:B,"211-200002-000")</f>
        <v>0</v>
      </c>
      <c r="AR1210">
        <f>sumifs(BOM!ar:ar,BOM!A:A,".1",BOM!B:B,"211-200002-000")</f>
        <v>0</v>
      </c>
      <c r="BX1210">
        <f>sum(j1210:an1210)</f>
        <v>0</v>
      </c>
    </row>
    <row r="1211" spans="1:76">
      <c r="A1211" t="s">
        <v>31</v>
      </c>
      <c r="B1211" t="s">
        <v>502</v>
      </c>
      <c r="C1211" t="s">
        <v>503</v>
      </c>
      <c r="E1211" t="s">
        <v>504</v>
      </c>
      <c r="F1211" t="s">
        <v>503</v>
      </c>
      <c r="K1211" t="s">
        <v>499</v>
      </c>
      <c r="L1211" t="s">
        <v>37</v>
      </c>
    </row>
    <row r="1212" spans="1:76">
      <c r="L1212" t="s">
        <v>662</v>
      </c>
    </row>
    <row r="1213" spans="1:76">
      <c r="L1213" t="s">
        <v>663</v>
      </c>
    </row>
    <row r="1214" spans="1:76">
      <c r="L1214" t="s">
        <v>664</v>
      </c>
    </row>
    <row r="1215" spans="1:76">
      <c r="L1215" t="s">
        <v>665</v>
      </c>
      <c r="M1215">
        <f>IF(DAY(NOW())&lt;M3,INDIRECT(ADDRESS(1215,7))-INDIRECT(ADDRESS(1210,13))+INDIRECT(ADDRESS(1211,13))-INDIRECT(ADDRESS(1214,13)),INDIRECT(ADDRESS(1215,7))-INDIRECT(ADDRESS(1210,13))+INDIRECT(ADDRESS(1213,13))-INDIRECT(ADDRESS(1214,13)))</f>
        <v>0</v>
      </c>
      <c r="N1215">
        <f>IF(DAY(NOW())&lt;M3,INDIRECT(ADDRESS(1215,13))-INDIRECT(ADDRESS(1210,14))+INDIRECT(ADDRESS(1211,14))-INDIRECT(ADDRESS(1214,14)),INDIRECT(ADDRESS(1215,13))-INDIRECT(ADDRESS(1210,14))+INDIRECT(ADDRESS(1213,14))-INDIRECT(ADDRESS(1214,14)))</f>
        <v>0</v>
      </c>
      <c r="O1215">
        <f>IF(DAY(NOW())&lt;M3,INDIRECT(ADDRESS(1215,14))-INDIRECT(ADDRESS(1210,15))+INDIRECT(ADDRESS(1211,15))-INDIRECT(ADDRESS(1214,15)),INDIRECT(ADDRESS(1215,14))-INDIRECT(ADDRESS(1210,15))+INDIRECT(ADDRESS(1213,15))-INDIRECT(ADDRESS(1214,15)))</f>
        <v>0</v>
      </c>
      <c r="P1215">
        <f>IF(DAY(NOW())&lt;M3,INDIRECT(ADDRESS(1215,15))-INDIRECT(ADDRESS(1210,16))+INDIRECT(ADDRESS(1211,16))-INDIRECT(ADDRESS(1214,16)),INDIRECT(ADDRESS(1215,15))-INDIRECT(ADDRESS(1210,16))+INDIRECT(ADDRESS(1213,16))-INDIRECT(ADDRESS(1214,16)))</f>
        <v>0</v>
      </c>
      <c r="Q1215">
        <f>IF(DAY(NOW())&lt;M3,INDIRECT(ADDRESS(1215,16))-INDIRECT(ADDRESS(1210,17))+INDIRECT(ADDRESS(1211,17))-INDIRECT(ADDRESS(1214,17)),INDIRECT(ADDRESS(1215,16))-INDIRECT(ADDRESS(1210,17))+INDIRECT(ADDRESS(1213,17))-INDIRECT(ADDRESS(1214,17)))</f>
        <v>0</v>
      </c>
      <c r="R1215">
        <f>IF(DAY(NOW())&lt;M3,INDIRECT(ADDRESS(1215,17))-INDIRECT(ADDRESS(1210,18))+INDIRECT(ADDRESS(1211,18))-INDIRECT(ADDRESS(1214,18)),INDIRECT(ADDRESS(1215,17))-INDIRECT(ADDRESS(1210,18))+INDIRECT(ADDRESS(1213,18))-INDIRECT(ADDRESS(1214,18)))</f>
        <v>0</v>
      </c>
      <c r="S1215">
        <f>IF(DAY(NOW())&lt;M3,INDIRECT(ADDRESS(1215,18))-INDIRECT(ADDRESS(1210,19))+INDIRECT(ADDRESS(1211,19))-INDIRECT(ADDRESS(1214,19)),INDIRECT(ADDRESS(1215,18))-INDIRECT(ADDRESS(1210,19))+INDIRECT(ADDRESS(1213,19))-INDIRECT(ADDRESS(1214,19)))</f>
        <v>0</v>
      </c>
      <c r="T1215">
        <f>IF(DAY(NOW())&lt;M3,INDIRECT(ADDRESS(1215,19))-INDIRECT(ADDRESS(1210,20))+INDIRECT(ADDRESS(1211,20))-INDIRECT(ADDRESS(1214,20)),INDIRECT(ADDRESS(1215,19))-INDIRECT(ADDRESS(1210,20))+INDIRECT(ADDRESS(1213,20))-INDIRECT(ADDRESS(1214,20)))</f>
        <v>0</v>
      </c>
      <c r="U1215">
        <f>IF(DAY(NOW())&lt;M3,INDIRECT(ADDRESS(1215,20))-INDIRECT(ADDRESS(1210,21))+INDIRECT(ADDRESS(1211,21))-INDIRECT(ADDRESS(1214,21)),INDIRECT(ADDRESS(1215,20))-INDIRECT(ADDRESS(1210,21))+INDIRECT(ADDRESS(1213,21))-INDIRECT(ADDRESS(1214,21)))</f>
        <v>0</v>
      </c>
      <c r="V1215">
        <f>IF(DAY(NOW())&lt;M3,INDIRECT(ADDRESS(1215,21))-INDIRECT(ADDRESS(1210,22))+INDIRECT(ADDRESS(1211,22))-INDIRECT(ADDRESS(1214,22)),INDIRECT(ADDRESS(1215,21))-INDIRECT(ADDRESS(1210,22))+INDIRECT(ADDRESS(1213,22))-INDIRECT(ADDRESS(1214,22)))</f>
        <v>0</v>
      </c>
      <c r="W1215">
        <f>IF(DAY(NOW())&lt;M3,INDIRECT(ADDRESS(1215,22))-INDIRECT(ADDRESS(1210,23))+INDIRECT(ADDRESS(1211,23))-INDIRECT(ADDRESS(1214,23)),INDIRECT(ADDRESS(1215,22))-INDIRECT(ADDRESS(1210,23))+INDIRECT(ADDRESS(1213,23))-INDIRECT(ADDRESS(1214,23)))</f>
        <v>0</v>
      </c>
      <c r="X1215">
        <f>IF(DAY(NOW())&lt;M3,INDIRECT(ADDRESS(1215,23))-INDIRECT(ADDRESS(1210,24))+INDIRECT(ADDRESS(1211,24))-INDIRECT(ADDRESS(1214,24)),INDIRECT(ADDRESS(1215,23))-INDIRECT(ADDRESS(1210,24))+INDIRECT(ADDRESS(1213,24))-INDIRECT(ADDRESS(1214,24)))</f>
        <v>0</v>
      </c>
      <c r="Y1215">
        <f>IF(DAY(NOW())&lt;M3,INDIRECT(ADDRESS(1215,24))-INDIRECT(ADDRESS(1210,25))+INDIRECT(ADDRESS(1211,25))-INDIRECT(ADDRESS(1214,25)),INDIRECT(ADDRESS(1215,24))-INDIRECT(ADDRESS(1210,25))+INDIRECT(ADDRESS(1213,25))-INDIRECT(ADDRESS(1214,25)))</f>
        <v>0</v>
      </c>
      <c r="Z1215">
        <f>IF(DAY(NOW())&lt;M3,INDIRECT(ADDRESS(1215,25))-INDIRECT(ADDRESS(1210,26))+INDIRECT(ADDRESS(1211,26))-INDIRECT(ADDRESS(1214,26)),INDIRECT(ADDRESS(1215,25))-INDIRECT(ADDRESS(1210,26))+INDIRECT(ADDRESS(1213,26))-INDIRECT(ADDRESS(1214,26)))</f>
        <v>0</v>
      </c>
      <c r="AA1215">
        <f>IF(DAY(NOW())&lt;M3,INDIRECT(ADDRESS(1215,26))-INDIRECT(ADDRESS(1210,27))+INDIRECT(ADDRESS(1211,27))-INDIRECT(ADDRESS(1214,27)),INDIRECT(ADDRESS(1215,26))-INDIRECT(ADDRESS(1210,27))+INDIRECT(ADDRESS(1213,27))-INDIRECT(ADDRESS(1214,27)))</f>
        <v>0</v>
      </c>
      <c r="AB1215">
        <f>IF(DAY(NOW())&lt;M3,INDIRECT(ADDRESS(1215,27))-INDIRECT(ADDRESS(1210,28))+INDIRECT(ADDRESS(1211,28))-INDIRECT(ADDRESS(1214,28)),INDIRECT(ADDRESS(1215,27))-INDIRECT(ADDRESS(1210,28))+INDIRECT(ADDRESS(1213,28))-INDIRECT(ADDRESS(1214,28)))</f>
        <v>0</v>
      </c>
      <c r="AC1215">
        <f>IF(DAY(NOW())&lt;M3,INDIRECT(ADDRESS(1215,28))-INDIRECT(ADDRESS(1210,29))+INDIRECT(ADDRESS(1211,29))-INDIRECT(ADDRESS(1214,29)),INDIRECT(ADDRESS(1215,28))-INDIRECT(ADDRESS(1210,29))+INDIRECT(ADDRESS(1213,29))-INDIRECT(ADDRESS(1214,29)))</f>
        <v>0</v>
      </c>
      <c r="AD1215">
        <f>IF(DAY(NOW())&lt;M3,INDIRECT(ADDRESS(1215,29))-INDIRECT(ADDRESS(1210,30))+INDIRECT(ADDRESS(1211,30))-INDIRECT(ADDRESS(1214,30)),INDIRECT(ADDRESS(1215,29))-INDIRECT(ADDRESS(1210,30))+INDIRECT(ADDRESS(1213,30))-INDIRECT(ADDRESS(1214,30)))</f>
        <v>0</v>
      </c>
      <c r="AE1215">
        <f>IF(DAY(NOW())&lt;M3,INDIRECT(ADDRESS(1215,30))-INDIRECT(ADDRESS(1210,31))+INDIRECT(ADDRESS(1211,31))-INDIRECT(ADDRESS(1214,31)),INDIRECT(ADDRESS(1215,30))-INDIRECT(ADDRESS(1210,31))+INDIRECT(ADDRESS(1213,31))-INDIRECT(ADDRESS(1214,31)))</f>
        <v>0</v>
      </c>
      <c r="AF1215">
        <f>IF(DAY(NOW())&lt;M3,INDIRECT(ADDRESS(1215,31))-INDIRECT(ADDRESS(1210,32))+INDIRECT(ADDRESS(1211,32))-INDIRECT(ADDRESS(1214,32)),INDIRECT(ADDRESS(1215,31))-INDIRECT(ADDRESS(1210,32))+INDIRECT(ADDRESS(1213,32))-INDIRECT(ADDRESS(1214,32)))</f>
        <v>0</v>
      </c>
      <c r="AG1215">
        <f>IF(DAY(NOW())&lt;M3,INDIRECT(ADDRESS(1215,32))-INDIRECT(ADDRESS(1210,33))+INDIRECT(ADDRESS(1211,33))-INDIRECT(ADDRESS(1214,33)),INDIRECT(ADDRESS(1215,32))-INDIRECT(ADDRESS(1210,33))+INDIRECT(ADDRESS(1213,33))-INDIRECT(ADDRESS(1214,33)))</f>
        <v>0</v>
      </c>
      <c r="AH1215">
        <f>IF(DAY(NOW())&lt;M3,INDIRECT(ADDRESS(1215,33))-INDIRECT(ADDRESS(1210,34))+INDIRECT(ADDRESS(1211,34))-INDIRECT(ADDRESS(1214,34)),INDIRECT(ADDRESS(1215,33))-INDIRECT(ADDRESS(1210,34))+INDIRECT(ADDRESS(1213,34))-INDIRECT(ADDRESS(1214,34)))</f>
        <v>0</v>
      </c>
      <c r="AI1215">
        <f>IF(DAY(NOW())&lt;M3,INDIRECT(ADDRESS(1215,34))-INDIRECT(ADDRESS(1210,35))+INDIRECT(ADDRESS(1211,35))-INDIRECT(ADDRESS(1214,35)),INDIRECT(ADDRESS(1215,34))-INDIRECT(ADDRESS(1210,35))+INDIRECT(ADDRESS(1213,35))-INDIRECT(ADDRESS(1214,35)))</f>
        <v>0</v>
      </c>
      <c r="AJ1215">
        <f>IF(DAY(NOW())&lt;M3,INDIRECT(ADDRESS(1215,35))-INDIRECT(ADDRESS(1210,36))+INDIRECT(ADDRESS(1211,36))-INDIRECT(ADDRESS(1214,36)),INDIRECT(ADDRESS(1215,35))-INDIRECT(ADDRESS(1210,36))+INDIRECT(ADDRESS(1213,36))-INDIRECT(ADDRESS(1214,36)))</f>
        <v>0</v>
      </c>
      <c r="AK1215">
        <f>IF(DAY(NOW())&lt;M3,INDIRECT(ADDRESS(1215,36))-INDIRECT(ADDRESS(1210,37))+INDIRECT(ADDRESS(1211,37))-INDIRECT(ADDRESS(1214,37)),INDIRECT(ADDRESS(1215,36))-INDIRECT(ADDRESS(1210,37))+INDIRECT(ADDRESS(1213,37))-INDIRECT(ADDRESS(1214,37)))</f>
        <v>0</v>
      </c>
      <c r="AL1215">
        <f>IF(DAY(NOW())&lt;M3,INDIRECT(ADDRESS(1215,37))-INDIRECT(ADDRESS(1210,38))+INDIRECT(ADDRESS(1211,38))-INDIRECT(ADDRESS(1214,38)),INDIRECT(ADDRESS(1215,37))-INDIRECT(ADDRESS(1210,38))+INDIRECT(ADDRESS(1213,38))-INDIRECT(ADDRESS(1214,38)))</f>
        <v>0</v>
      </c>
      <c r="AM1215">
        <f>IF(DAY(NOW())&lt;M3,INDIRECT(ADDRESS(1215,38))-INDIRECT(ADDRESS(1210,39))+INDIRECT(ADDRESS(1211,39))-INDIRECT(ADDRESS(1214,39)),INDIRECT(ADDRESS(1215,38))-INDIRECT(ADDRESS(1210,39))+INDIRECT(ADDRESS(1213,39))-INDIRECT(ADDRESS(1214,39)))</f>
        <v>0</v>
      </c>
      <c r="AN1215">
        <f>IF(DAY(NOW())&lt;M3,INDIRECT(ADDRESS(1215,39))-INDIRECT(ADDRESS(1210,40))+INDIRECT(ADDRESS(1211,40))-INDIRECT(ADDRESS(1214,40)),INDIRECT(ADDRESS(1215,39))-INDIRECT(ADDRESS(1210,40))+INDIRECT(ADDRESS(1213,40))-INDIRECT(ADDRESS(1214,40)))</f>
        <v>0</v>
      </c>
      <c r="AO1215">
        <f>IF(DAY(NOW())&lt;M3,INDIRECT(ADDRESS(1215,40))-INDIRECT(ADDRESS(1210,41))+INDIRECT(ADDRESS(1211,41))-INDIRECT(ADDRESS(1214,41)),INDIRECT(ADDRESS(1215,40))-INDIRECT(ADDRESS(1210,41))+INDIRECT(ADDRESS(1213,41))-INDIRECT(ADDRESS(1214,41)))</f>
        <v>0</v>
      </c>
      <c r="AP1215">
        <f>IF(DAY(NOW())&lt;M3,INDIRECT(ADDRESS(1215,41))-INDIRECT(ADDRESS(1210,42))+INDIRECT(ADDRESS(1211,42))-INDIRECT(ADDRESS(1214,42)),INDIRECT(ADDRESS(1215,41))-INDIRECT(ADDRESS(1210,42))+INDIRECT(ADDRESS(1213,42))-INDIRECT(ADDRESS(1214,42)))</f>
        <v>0</v>
      </c>
      <c r="AQ1215">
        <f>IF(DAY(NOW())&lt;M3,INDIRECT(ADDRESS(1215,42))-INDIRECT(ADDRESS(1210,43))+INDIRECT(ADDRESS(1211,43))-INDIRECT(ADDRESS(1214,43)),INDIRECT(ADDRESS(1215,42))-INDIRECT(ADDRESS(1210,43))+INDIRECT(ADDRESS(1213,43))-INDIRECT(ADDRESS(1214,43)))</f>
        <v>0</v>
      </c>
      <c r="AR1215">
        <f>IF(DAY(NOW())&lt;M3,INDIRECT(ADDRESS(1215,43))-INDIRECT(ADDRESS(1210,44))+INDIRECT(ADDRESS(1211,44))-INDIRECT(ADDRESS(1214,44)),INDIRECT(ADDRESS(1215,43))-INDIRECT(ADDRESS(1210,44))+INDIRECT(ADDRESS(1213,44))-INDIRECT(ADDRESS(1214,44)))</f>
        <v>0</v>
      </c>
    </row>
    <row r="1216" spans="1:76">
      <c r="A1216" t="s">
        <v>14</v>
      </c>
      <c r="B1216" t="s">
        <v>458</v>
      </c>
      <c r="C1216" t="s">
        <v>460</v>
      </c>
      <c r="D1216" t="s">
        <v>448</v>
      </c>
      <c r="E1216">
        <v>1</v>
      </c>
      <c r="F1216" t="s">
        <v>460</v>
      </c>
      <c r="K1216" t="s">
        <v>497</v>
      </c>
      <c r="L1216" t="s">
        <v>21</v>
      </c>
      <c r="BX1216">
        <f>sum(j1216:an1216)</f>
        <v>0</v>
      </c>
    </row>
    <row r="1217" spans="1:76">
      <c r="A1217" t="s">
        <v>14</v>
      </c>
      <c r="B1217" t="s">
        <v>458</v>
      </c>
      <c r="C1217" t="s">
        <v>460</v>
      </c>
      <c r="D1217" t="s">
        <v>448</v>
      </c>
      <c r="E1217">
        <v>1</v>
      </c>
      <c r="F1217" t="s">
        <v>460</v>
      </c>
      <c r="K1217" t="s">
        <v>497</v>
      </c>
      <c r="L1217" t="s">
        <v>37</v>
      </c>
    </row>
    <row r="1218" spans="1:76">
      <c r="L1218" t="s">
        <v>662</v>
      </c>
    </row>
    <row r="1219" spans="1:76">
      <c r="L1219" t="s">
        <v>663</v>
      </c>
    </row>
    <row r="1220" spans="1:76">
      <c r="L1220" t="s">
        <v>664</v>
      </c>
    </row>
    <row r="1221" spans="1:76">
      <c r="L1221" t="s">
        <v>665</v>
      </c>
      <c r="M1221">
        <f>IF(DAY(NOW())&lt;M3,INDIRECT(ADDRESS(1221,7))-INDIRECT(ADDRESS(1216,13))+INDIRECT(ADDRESS(1217,13))-INDIRECT(ADDRESS(1220,13)),INDIRECT(ADDRESS(1221,7))-INDIRECT(ADDRESS(1216,13))+INDIRECT(ADDRESS(1219,13))-INDIRECT(ADDRESS(1220,13)))</f>
        <v>0</v>
      </c>
      <c r="N1221">
        <f>IF(DAY(NOW())&lt;M3,INDIRECT(ADDRESS(1221,13))-INDIRECT(ADDRESS(1216,14))+INDIRECT(ADDRESS(1217,14))-INDIRECT(ADDRESS(1220,14)),INDIRECT(ADDRESS(1221,13))-INDIRECT(ADDRESS(1216,14))+INDIRECT(ADDRESS(1219,14))-INDIRECT(ADDRESS(1220,14)))</f>
        <v>0</v>
      </c>
      <c r="O1221">
        <f>IF(DAY(NOW())&lt;M3,INDIRECT(ADDRESS(1221,14))-INDIRECT(ADDRESS(1216,15))+INDIRECT(ADDRESS(1217,15))-INDIRECT(ADDRESS(1220,15)),INDIRECT(ADDRESS(1221,14))-INDIRECT(ADDRESS(1216,15))+INDIRECT(ADDRESS(1219,15))-INDIRECT(ADDRESS(1220,15)))</f>
        <v>0</v>
      </c>
      <c r="P1221">
        <f>IF(DAY(NOW())&lt;M3,INDIRECT(ADDRESS(1221,15))-INDIRECT(ADDRESS(1216,16))+INDIRECT(ADDRESS(1217,16))-INDIRECT(ADDRESS(1220,16)),INDIRECT(ADDRESS(1221,15))-INDIRECT(ADDRESS(1216,16))+INDIRECT(ADDRESS(1219,16))-INDIRECT(ADDRESS(1220,16)))</f>
        <v>0</v>
      </c>
      <c r="Q1221">
        <f>IF(DAY(NOW())&lt;M3,INDIRECT(ADDRESS(1221,16))-INDIRECT(ADDRESS(1216,17))+INDIRECT(ADDRESS(1217,17))-INDIRECT(ADDRESS(1220,17)),INDIRECT(ADDRESS(1221,16))-INDIRECT(ADDRESS(1216,17))+INDIRECT(ADDRESS(1219,17))-INDIRECT(ADDRESS(1220,17)))</f>
        <v>0</v>
      </c>
      <c r="R1221">
        <f>IF(DAY(NOW())&lt;M3,INDIRECT(ADDRESS(1221,17))-INDIRECT(ADDRESS(1216,18))+INDIRECT(ADDRESS(1217,18))-INDIRECT(ADDRESS(1220,18)),INDIRECT(ADDRESS(1221,17))-INDIRECT(ADDRESS(1216,18))+INDIRECT(ADDRESS(1219,18))-INDIRECT(ADDRESS(1220,18)))</f>
        <v>0</v>
      </c>
      <c r="S1221">
        <f>IF(DAY(NOW())&lt;M3,INDIRECT(ADDRESS(1221,18))-INDIRECT(ADDRESS(1216,19))+INDIRECT(ADDRESS(1217,19))-INDIRECT(ADDRESS(1220,19)),INDIRECT(ADDRESS(1221,18))-INDIRECT(ADDRESS(1216,19))+INDIRECT(ADDRESS(1219,19))-INDIRECT(ADDRESS(1220,19)))</f>
        <v>0</v>
      </c>
      <c r="T1221">
        <f>IF(DAY(NOW())&lt;M3,INDIRECT(ADDRESS(1221,19))-INDIRECT(ADDRESS(1216,20))+INDIRECT(ADDRESS(1217,20))-INDIRECT(ADDRESS(1220,20)),INDIRECT(ADDRESS(1221,19))-INDIRECT(ADDRESS(1216,20))+INDIRECT(ADDRESS(1219,20))-INDIRECT(ADDRESS(1220,20)))</f>
        <v>0</v>
      </c>
      <c r="U1221">
        <f>IF(DAY(NOW())&lt;M3,INDIRECT(ADDRESS(1221,20))-INDIRECT(ADDRESS(1216,21))+INDIRECT(ADDRESS(1217,21))-INDIRECT(ADDRESS(1220,21)),INDIRECT(ADDRESS(1221,20))-INDIRECT(ADDRESS(1216,21))+INDIRECT(ADDRESS(1219,21))-INDIRECT(ADDRESS(1220,21)))</f>
        <v>0</v>
      </c>
      <c r="V1221">
        <f>IF(DAY(NOW())&lt;M3,INDIRECT(ADDRESS(1221,21))-INDIRECT(ADDRESS(1216,22))+INDIRECT(ADDRESS(1217,22))-INDIRECT(ADDRESS(1220,22)),INDIRECT(ADDRESS(1221,21))-INDIRECT(ADDRESS(1216,22))+INDIRECT(ADDRESS(1219,22))-INDIRECT(ADDRESS(1220,22)))</f>
        <v>0</v>
      </c>
      <c r="W1221">
        <f>IF(DAY(NOW())&lt;M3,INDIRECT(ADDRESS(1221,22))-INDIRECT(ADDRESS(1216,23))+INDIRECT(ADDRESS(1217,23))-INDIRECT(ADDRESS(1220,23)),INDIRECT(ADDRESS(1221,22))-INDIRECT(ADDRESS(1216,23))+INDIRECT(ADDRESS(1219,23))-INDIRECT(ADDRESS(1220,23)))</f>
        <v>0</v>
      </c>
      <c r="X1221">
        <f>IF(DAY(NOW())&lt;M3,INDIRECT(ADDRESS(1221,23))-INDIRECT(ADDRESS(1216,24))+INDIRECT(ADDRESS(1217,24))-INDIRECT(ADDRESS(1220,24)),INDIRECT(ADDRESS(1221,23))-INDIRECT(ADDRESS(1216,24))+INDIRECT(ADDRESS(1219,24))-INDIRECT(ADDRESS(1220,24)))</f>
        <v>0</v>
      </c>
      <c r="Y1221">
        <f>IF(DAY(NOW())&lt;M3,INDIRECT(ADDRESS(1221,24))-INDIRECT(ADDRESS(1216,25))+INDIRECT(ADDRESS(1217,25))-INDIRECT(ADDRESS(1220,25)),INDIRECT(ADDRESS(1221,24))-INDIRECT(ADDRESS(1216,25))+INDIRECT(ADDRESS(1219,25))-INDIRECT(ADDRESS(1220,25)))</f>
        <v>0</v>
      </c>
      <c r="Z1221">
        <f>IF(DAY(NOW())&lt;M3,INDIRECT(ADDRESS(1221,25))-INDIRECT(ADDRESS(1216,26))+INDIRECT(ADDRESS(1217,26))-INDIRECT(ADDRESS(1220,26)),INDIRECT(ADDRESS(1221,25))-INDIRECT(ADDRESS(1216,26))+INDIRECT(ADDRESS(1219,26))-INDIRECT(ADDRESS(1220,26)))</f>
        <v>0</v>
      </c>
      <c r="AA1221">
        <f>IF(DAY(NOW())&lt;M3,INDIRECT(ADDRESS(1221,26))-INDIRECT(ADDRESS(1216,27))+INDIRECT(ADDRESS(1217,27))-INDIRECT(ADDRESS(1220,27)),INDIRECT(ADDRESS(1221,26))-INDIRECT(ADDRESS(1216,27))+INDIRECT(ADDRESS(1219,27))-INDIRECT(ADDRESS(1220,27)))</f>
        <v>0</v>
      </c>
      <c r="AB1221">
        <f>IF(DAY(NOW())&lt;M3,INDIRECT(ADDRESS(1221,27))-INDIRECT(ADDRESS(1216,28))+INDIRECT(ADDRESS(1217,28))-INDIRECT(ADDRESS(1220,28)),INDIRECT(ADDRESS(1221,27))-INDIRECT(ADDRESS(1216,28))+INDIRECT(ADDRESS(1219,28))-INDIRECT(ADDRESS(1220,28)))</f>
        <v>0</v>
      </c>
      <c r="AC1221">
        <f>IF(DAY(NOW())&lt;M3,INDIRECT(ADDRESS(1221,28))-INDIRECT(ADDRESS(1216,29))+INDIRECT(ADDRESS(1217,29))-INDIRECT(ADDRESS(1220,29)),INDIRECT(ADDRESS(1221,28))-INDIRECT(ADDRESS(1216,29))+INDIRECT(ADDRESS(1219,29))-INDIRECT(ADDRESS(1220,29)))</f>
        <v>0</v>
      </c>
      <c r="AD1221">
        <f>IF(DAY(NOW())&lt;M3,INDIRECT(ADDRESS(1221,29))-INDIRECT(ADDRESS(1216,30))+INDIRECT(ADDRESS(1217,30))-INDIRECT(ADDRESS(1220,30)),INDIRECT(ADDRESS(1221,29))-INDIRECT(ADDRESS(1216,30))+INDIRECT(ADDRESS(1219,30))-INDIRECT(ADDRESS(1220,30)))</f>
        <v>0</v>
      </c>
      <c r="AE1221">
        <f>IF(DAY(NOW())&lt;M3,INDIRECT(ADDRESS(1221,30))-INDIRECT(ADDRESS(1216,31))+INDIRECT(ADDRESS(1217,31))-INDIRECT(ADDRESS(1220,31)),INDIRECT(ADDRESS(1221,30))-INDIRECT(ADDRESS(1216,31))+INDIRECT(ADDRESS(1219,31))-INDIRECT(ADDRESS(1220,31)))</f>
        <v>0</v>
      </c>
      <c r="AF1221">
        <f>IF(DAY(NOW())&lt;M3,INDIRECT(ADDRESS(1221,31))-INDIRECT(ADDRESS(1216,32))+INDIRECT(ADDRESS(1217,32))-INDIRECT(ADDRESS(1220,32)),INDIRECT(ADDRESS(1221,31))-INDIRECT(ADDRESS(1216,32))+INDIRECT(ADDRESS(1219,32))-INDIRECT(ADDRESS(1220,32)))</f>
        <v>0</v>
      </c>
      <c r="AG1221">
        <f>IF(DAY(NOW())&lt;M3,INDIRECT(ADDRESS(1221,32))-INDIRECT(ADDRESS(1216,33))+INDIRECT(ADDRESS(1217,33))-INDIRECT(ADDRESS(1220,33)),INDIRECT(ADDRESS(1221,32))-INDIRECT(ADDRESS(1216,33))+INDIRECT(ADDRESS(1219,33))-INDIRECT(ADDRESS(1220,33)))</f>
        <v>0</v>
      </c>
      <c r="AH1221">
        <f>IF(DAY(NOW())&lt;M3,INDIRECT(ADDRESS(1221,33))-INDIRECT(ADDRESS(1216,34))+INDIRECT(ADDRESS(1217,34))-INDIRECT(ADDRESS(1220,34)),INDIRECT(ADDRESS(1221,33))-INDIRECT(ADDRESS(1216,34))+INDIRECT(ADDRESS(1219,34))-INDIRECT(ADDRESS(1220,34)))</f>
        <v>0</v>
      </c>
      <c r="AI1221">
        <f>IF(DAY(NOW())&lt;M3,INDIRECT(ADDRESS(1221,34))-INDIRECT(ADDRESS(1216,35))+INDIRECT(ADDRESS(1217,35))-INDIRECT(ADDRESS(1220,35)),INDIRECT(ADDRESS(1221,34))-INDIRECT(ADDRESS(1216,35))+INDIRECT(ADDRESS(1219,35))-INDIRECT(ADDRESS(1220,35)))</f>
        <v>0</v>
      </c>
      <c r="AJ1221">
        <f>IF(DAY(NOW())&lt;M3,INDIRECT(ADDRESS(1221,35))-INDIRECT(ADDRESS(1216,36))+INDIRECT(ADDRESS(1217,36))-INDIRECT(ADDRESS(1220,36)),INDIRECT(ADDRESS(1221,35))-INDIRECT(ADDRESS(1216,36))+INDIRECT(ADDRESS(1219,36))-INDIRECT(ADDRESS(1220,36)))</f>
        <v>0</v>
      </c>
      <c r="AK1221">
        <f>IF(DAY(NOW())&lt;M3,INDIRECT(ADDRESS(1221,36))-INDIRECT(ADDRESS(1216,37))+INDIRECT(ADDRESS(1217,37))-INDIRECT(ADDRESS(1220,37)),INDIRECT(ADDRESS(1221,36))-INDIRECT(ADDRESS(1216,37))+INDIRECT(ADDRESS(1219,37))-INDIRECT(ADDRESS(1220,37)))</f>
        <v>0</v>
      </c>
      <c r="AL1221">
        <f>IF(DAY(NOW())&lt;M3,INDIRECT(ADDRESS(1221,37))-INDIRECT(ADDRESS(1216,38))+INDIRECT(ADDRESS(1217,38))-INDIRECT(ADDRESS(1220,38)),INDIRECT(ADDRESS(1221,37))-INDIRECT(ADDRESS(1216,38))+INDIRECT(ADDRESS(1219,38))-INDIRECT(ADDRESS(1220,38)))</f>
        <v>0</v>
      </c>
      <c r="AM1221">
        <f>IF(DAY(NOW())&lt;M3,INDIRECT(ADDRESS(1221,38))-INDIRECT(ADDRESS(1216,39))+INDIRECT(ADDRESS(1217,39))-INDIRECT(ADDRESS(1220,39)),INDIRECT(ADDRESS(1221,38))-INDIRECT(ADDRESS(1216,39))+INDIRECT(ADDRESS(1219,39))-INDIRECT(ADDRESS(1220,39)))</f>
        <v>0</v>
      </c>
      <c r="AN1221">
        <f>IF(DAY(NOW())&lt;M3,INDIRECT(ADDRESS(1221,39))-INDIRECT(ADDRESS(1216,40))+INDIRECT(ADDRESS(1217,40))-INDIRECT(ADDRESS(1220,40)),INDIRECT(ADDRESS(1221,39))-INDIRECT(ADDRESS(1216,40))+INDIRECT(ADDRESS(1219,40))-INDIRECT(ADDRESS(1220,40)))</f>
        <v>0</v>
      </c>
      <c r="AO1221">
        <f>IF(DAY(NOW())&lt;M3,INDIRECT(ADDRESS(1221,40))-INDIRECT(ADDRESS(1216,41))+INDIRECT(ADDRESS(1217,41))-INDIRECT(ADDRESS(1220,41)),INDIRECT(ADDRESS(1221,40))-INDIRECT(ADDRESS(1216,41))+INDIRECT(ADDRESS(1219,41))-INDIRECT(ADDRESS(1220,41)))</f>
        <v>0</v>
      </c>
      <c r="AP1221">
        <f>IF(DAY(NOW())&lt;M3,INDIRECT(ADDRESS(1221,41))-INDIRECT(ADDRESS(1216,42))+INDIRECT(ADDRESS(1217,42))-INDIRECT(ADDRESS(1220,42)),INDIRECT(ADDRESS(1221,41))-INDIRECT(ADDRESS(1216,42))+INDIRECT(ADDRESS(1219,42))-INDIRECT(ADDRESS(1220,42)))</f>
        <v>0</v>
      </c>
      <c r="AQ1221">
        <f>IF(DAY(NOW())&lt;M3,INDIRECT(ADDRESS(1221,42))-INDIRECT(ADDRESS(1216,43))+INDIRECT(ADDRESS(1217,43))-INDIRECT(ADDRESS(1220,43)),INDIRECT(ADDRESS(1221,42))-INDIRECT(ADDRESS(1216,43))+INDIRECT(ADDRESS(1219,43))-INDIRECT(ADDRESS(1220,43)))</f>
        <v>0</v>
      </c>
      <c r="AR1221">
        <f>IF(DAY(NOW())&lt;M3,INDIRECT(ADDRESS(1221,43))-INDIRECT(ADDRESS(1216,44))+INDIRECT(ADDRESS(1217,44))-INDIRECT(ADDRESS(1220,44)),INDIRECT(ADDRESS(1221,43))-INDIRECT(ADDRESS(1216,44))+INDIRECT(ADDRESS(1219,44))-INDIRECT(ADDRESS(1220,44)))</f>
        <v>0</v>
      </c>
    </row>
    <row r="1222" spans="1:76">
      <c r="A1222" t="s">
        <v>14</v>
      </c>
      <c r="B1222" t="s">
        <v>461</v>
      </c>
      <c r="C1222" t="s">
        <v>463</v>
      </c>
      <c r="D1222" t="s">
        <v>452</v>
      </c>
      <c r="E1222" t="s">
        <v>453</v>
      </c>
      <c r="F1222" t="s">
        <v>463</v>
      </c>
      <c r="K1222" t="s">
        <v>497</v>
      </c>
      <c r="L1222" t="s">
        <v>21</v>
      </c>
      <c r="BX1222">
        <f>sum(j1222:an1222)</f>
        <v>0</v>
      </c>
    </row>
    <row r="1223" spans="1:76">
      <c r="A1223" t="s">
        <v>14</v>
      </c>
      <c r="B1223" t="s">
        <v>461</v>
      </c>
      <c r="C1223" t="s">
        <v>463</v>
      </c>
      <c r="D1223" t="s">
        <v>452</v>
      </c>
      <c r="E1223" t="s">
        <v>453</v>
      </c>
      <c r="F1223" t="s">
        <v>463</v>
      </c>
      <c r="K1223" t="s">
        <v>497</v>
      </c>
      <c r="L1223" t="s">
        <v>37</v>
      </c>
    </row>
    <row r="1224" spans="1:76">
      <c r="L1224" t="s">
        <v>662</v>
      </c>
    </row>
    <row r="1225" spans="1:76">
      <c r="L1225" t="s">
        <v>663</v>
      </c>
    </row>
    <row r="1226" spans="1:76">
      <c r="L1226" t="s">
        <v>664</v>
      </c>
    </row>
    <row r="1227" spans="1:76">
      <c r="L1227" t="s">
        <v>665</v>
      </c>
      <c r="M1227">
        <f>IF(DAY(NOW())&lt;M3,INDIRECT(ADDRESS(1227,7))-INDIRECT(ADDRESS(1222,13))+INDIRECT(ADDRESS(1223,13))-INDIRECT(ADDRESS(1226,13)),INDIRECT(ADDRESS(1227,7))-INDIRECT(ADDRESS(1222,13))+INDIRECT(ADDRESS(1225,13))-INDIRECT(ADDRESS(1226,13)))</f>
        <v>0</v>
      </c>
      <c r="N1227">
        <f>IF(DAY(NOW())&lt;M3,INDIRECT(ADDRESS(1227,13))-INDIRECT(ADDRESS(1222,14))+INDIRECT(ADDRESS(1223,14))-INDIRECT(ADDRESS(1226,14)),INDIRECT(ADDRESS(1227,13))-INDIRECT(ADDRESS(1222,14))+INDIRECT(ADDRESS(1225,14))-INDIRECT(ADDRESS(1226,14)))</f>
        <v>0</v>
      </c>
      <c r="O1227">
        <f>IF(DAY(NOW())&lt;M3,INDIRECT(ADDRESS(1227,14))-INDIRECT(ADDRESS(1222,15))+INDIRECT(ADDRESS(1223,15))-INDIRECT(ADDRESS(1226,15)),INDIRECT(ADDRESS(1227,14))-INDIRECT(ADDRESS(1222,15))+INDIRECT(ADDRESS(1225,15))-INDIRECT(ADDRESS(1226,15)))</f>
        <v>0</v>
      </c>
      <c r="P1227">
        <f>IF(DAY(NOW())&lt;M3,INDIRECT(ADDRESS(1227,15))-INDIRECT(ADDRESS(1222,16))+INDIRECT(ADDRESS(1223,16))-INDIRECT(ADDRESS(1226,16)),INDIRECT(ADDRESS(1227,15))-INDIRECT(ADDRESS(1222,16))+INDIRECT(ADDRESS(1225,16))-INDIRECT(ADDRESS(1226,16)))</f>
        <v>0</v>
      </c>
      <c r="Q1227">
        <f>IF(DAY(NOW())&lt;M3,INDIRECT(ADDRESS(1227,16))-INDIRECT(ADDRESS(1222,17))+INDIRECT(ADDRESS(1223,17))-INDIRECT(ADDRESS(1226,17)),INDIRECT(ADDRESS(1227,16))-INDIRECT(ADDRESS(1222,17))+INDIRECT(ADDRESS(1225,17))-INDIRECT(ADDRESS(1226,17)))</f>
        <v>0</v>
      </c>
      <c r="R1227">
        <f>IF(DAY(NOW())&lt;M3,INDIRECT(ADDRESS(1227,17))-INDIRECT(ADDRESS(1222,18))+INDIRECT(ADDRESS(1223,18))-INDIRECT(ADDRESS(1226,18)),INDIRECT(ADDRESS(1227,17))-INDIRECT(ADDRESS(1222,18))+INDIRECT(ADDRESS(1225,18))-INDIRECT(ADDRESS(1226,18)))</f>
        <v>0</v>
      </c>
      <c r="S1227">
        <f>IF(DAY(NOW())&lt;M3,INDIRECT(ADDRESS(1227,18))-INDIRECT(ADDRESS(1222,19))+INDIRECT(ADDRESS(1223,19))-INDIRECT(ADDRESS(1226,19)),INDIRECT(ADDRESS(1227,18))-INDIRECT(ADDRESS(1222,19))+INDIRECT(ADDRESS(1225,19))-INDIRECT(ADDRESS(1226,19)))</f>
        <v>0</v>
      </c>
      <c r="T1227">
        <f>IF(DAY(NOW())&lt;M3,INDIRECT(ADDRESS(1227,19))-INDIRECT(ADDRESS(1222,20))+INDIRECT(ADDRESS(1223,20))-INDIRECT(ADDRESS(1226,20)),INDIRECT(ADDRESS(1227,19))-INDIRECT(ADDRESS(1222,20))+INDIRECT(ADDRESS(1225,20))-INDIRECT(ADDRESS(1226,20)))</f>
        <v>0</v>
      </c>
      <c r="U1227">
        <f>IF(DAY(NOW())&lt;M3,INDIRECT(ADDRESS(1227,20))-INDIRECT(ADDRESS(1222,21))+INDIRECT(ADDRESS(1223,21))-INDIRECT(ADDRESS(1226,21)),INDIRECT(ADDRESS(1227,20))-INDIRECT(ADDRESS(1222,21))+INDIRECT(ADDRESS(1225,21))-INDIRECT(ADDRESS(1226,21)))</f>
        <v>0</v>
      </c>
      <c r="V1227">
        <f>IF(DAY(NOW())&lt;M3,INDIRECT(ADDRESS(1227,21))-INDIRECT(ADDRESS(1222,22))+INDIRECT(ADDRESS(1223,22))-INDIRECT(ADDRESS(1226,22)),INDIRECT(ADDRESS(1227,21))-INDIRECT(ADDRESS(1222,22))+INDIRECT(ADDRESS(1225,22))-INDIRECT(ADDRESS(1226,22)))</f>
        <v>0</v>
      </c>
      <c r="W1227">
        <f>IF(DAY(NOW())&lt;M3,INDIRECT(ADDRESS(1227,22))-INDIRECT(ADDRESS(1222,23))+INDIRECT(ADDRESS(1223,23))-INDIRECT(ADDRESS(1226,23)),INDIRECT(ADDRESS(1227,22))-INDIRECT(ADDRESS(1222,23))+INDIRECT(ADDRESS(1225,23))-INDIRECT(ADDRESS(1226,23)))</f>
        <v>0</v>
      </c>
      <c r="X1227">
        <f>IF(DAY(NOW())&lt;M3,INDIRECT(ADDRESS(1227,23))-INDIRECT(ADDRESS(1222,24))+INDIRECT(ADDRESS(1223,24))-INDIRECT(ADDRESS(1226,24)),INDIRECT(ADDRESS(1227,23))-INDIRECT(ADDRESS(1222,24))+INDIRECT(ADDRESS(1225,24))-INDIRECT(ADDRESS(1226,24)))</f>
        <v>0</v>
      </c>
      <c r="Y1227">
        <f>IF(DAY(NOW())&lt;M3,INDIRECT(ADDRESS(1227,24))-INDIRECT(ADDRESS(1222,25))+INDIRECT(ADDRESS(1223,25))-INDIRECT(ADDRESS(1226,25)),INDIRECT(ADDRESS(1227,24))-INDIRECT(ADDRESS(1222,25))+INDIRECT(ADDRESS(1225,25))-INDIRECT(ADDRESS(1226,25)))</f>
        <v>0</v>
      </c>
      <c r="Z1227">
        <f>IF(DAY(NOW())&lt;M3,INDIRECT(ADDRESS(1227,25))-INDIRECT(ADDRESS(1222,26))+INDIRECT(ADDRESS(1223,26))-INDIRECT(ADDRESS(1226,26)),INDIRECT(ADDRESS(1227,25))-INDIRECT(ADDRESS(1222,26))+INDIRECT(ADDRESS(1225,26))-INDIRECT(ADDRESS(1226,26)))</f>
        <v>0</v>
      </c>
      <c r="AA1227">
        <f>IF(DAY(NOW())&lt;M3,INDIRECT(ADDRESS(1227,26))-INDIRECT(ADDRESS(1222,27))+INDIRECT(ADDRESS(1223,27))-INDIRECT(ADDRESS(1226,27)),INDIRECT(ADDRESS(1227,26))-INDIRECT(ADDRESS(1222,27))+INDIRECT(ADDRESS(1225,27))-INDIRECT(ADDRESS(1226,27)))</f>
        <v>0</v>
      </c>
      <c r="AB1227">
        <f>IF(DAY(NOW())&lt;M3,INDIRECT(ADDRESS(1227,27))-INDIRECT(ADDRESS(1222,28))+INDIRECT(ADDRESS(1223,28))-INDIRECT(ADDRESS(1226,28)),INDIRECT(ADDRESS(1227,27))-INDIRECT(ADDRESS(1222,28))+INDIRECT(ADDRESS(1225,28))-INDIRECT(ADDRESS(1226,28)))</f>
        <v>0</v>
      </c>
      <c r="AC1227">
        <f>IF(DAY(NOW())&lt;M3,INDIRECT(ADDRESS(1227,28))-INDIRECT(ADDRESS(1222,29))+INDIRECT(ADDRESS(1223,29))-INDIRECT(ADDRESS(1226,29)),INDIRECT(ADDRESS(1227,28))-INDIRECT(ADDRESS(1222,29))+INDIRECT(ADDRESS(1225,29))-INDIRECT(ADDRESS(1226,29)))</f>
        <v>0</v>
      </c>
      <c r="AD1227">
        <f>IF(DAY(NOW())&lt;M3,INDIRECT(ADDRESS(1227,29))-INDIRECT(ADDRESS(1222,30))+INDIRECT(ADDRESS(1223,30))-INDIRECT(ADDRESS(1226,30)),INDIRECT(ADDRESS(1227,29))-INDIRECT(ADDRESS(1222,30))+INDIRECT(ADDRESS(1225,30))-INDIRECT(ADDRESS(1226,30)))</f>
        <v>0</v>
      </c>
      <c r="AE1227">
        <f>IF(DAY(NOW())&lt;M3,INDIRECT(ADDRESS(1227,30))-INDIRECT(ADDRESS(1222,31))+INDIRECT(ADDRESS(1223,31))-INDIRECT(ADDRESS(1226,31)),INDIRECT(ADDRESS(1227,30))-INDIRECT(ADDRESS(1222,31))+INDIRECT(ADDRESS(1225,31))-INDIRECT(ADDRESS(1226,31)))</f>
        <v>0</v>
      </c>
      <c r="AF1227">
        <f>IF(DAY(NOW())&lt;M3,INDIRECT(ADDRESS(1227,31))-INDIRECT(ADDRESS(1222,32))+INDIRECT(ADDRESS(1223,32))-INDIRECT(ADDRESS(1226,32)),INDIRECT(ADDRESS(1227,31))-INDIRECT(ADDRESS(1222,32))+INDIRECT(ADDRESS(1225,32))-INDIRECT(ADDRESS(1226,32)))</f>
        <v>0</v>
      </c>
      <c r="AG1227">
        <f>IF(DAY(NOW())&lt;M3,INDIRECT(ADDRESS(1227,32))-INDIRECT(ADDRESS(1222,33))+INDIRECT(ADDRESS(1223,33))-INDIRECT(ADDRESS(1226,33)),INDIRECT(ADDRESS(1227,32))-INDIRECT(ADDRESS(1222,33))+INDIRECT(ADDRESS(1225,33))-INDIRECT(ADDRESS(1226,33)))</f>
        <v>0</v>
      </c>
      <c r="AH1227">
        <f>IF(DAY(NOW())&lt;M3,INDIRECT(ADDRESS(1227,33))-INDIRECT(ADDRESS(1222,34))+INDIRECT(ADDRESS(1223,34))-INDIRECT(ADDRESS(1226,34)),INDIRECT(ADDRESS(1227,33))-INDIRECT(ADDRESS(1222,34))+INDIRECT(ADDRESS(1225,34))-INDIRECT(ADDRESS(1226,34)))</f>
        <v>0</v>
      </c>
      <c r="AI1227">
        <f>IF(DAY(NOW())&lt;M3,INDIRECT(ADDRESS(1227,34))-INDIRECT(ADDRESS(1222,35))+INDIRECT(ADDRESS(1223,35))-INDIRECT(ADDRESS(1226,35)),INDIRECT(ADDRESS(1227,34))-INDIRECT(ADDRESS(1222,35))+INDIRECT(ADDRESS(1225,35))-INDIRECT(ADDRESS(1226,35)))</f>
        <v>0</v>
      </c>
      <c r="AJ1227">
        <f>IF(DAY(NOW())&lt;M3,INDIRECT(ADDRESS(1227,35))-INDIRECT(ADDRESS(1222,36))+INDIRECT(ADDRESS(1223,36))-INDIRECT(ADDRESS(1226,36)),INDIRECT(ADDRESS(1227,35))-INDIRECT(ADDRESS(1222,36))+INDIRECT(ADDRESS(1225,36))-INDIRECT(ADDRESS(1226,36)))</f>
        <v>0</v>
      </c>
      <c r="AK1227">
        <f>IF(DAY(NOW())&lt;M3,INDIRECT(ADDRESS(1227,36))-INDIRECT(ADDRESS(1222,37))+INDIRECT(ADDRESS(1223,37))-INDIRECT(ADDRESS(1226,37)),INDIRECT(ADDRESS(1227,36))-INDIRECT(ADDRESS(1222,37))+INDIRECT(ADDRESS(1225,37))-INDIRECT(ADDRESS(1226,37)))</f>
        <v>0</v>
      </c>
      <c r="AL1227">
        <f>IF(DAY(NOW())&lt;M3,INDIRECT(ADDRESS(1227,37))-INDIRECT(ADDRESS(1222,38))+INDIRECT(ADDRESS(1223,38))-INDIRECT(ADDRESS(1226,38)),INDIRECT(ADDRESS(1227,37))-INDIRECT(ADDRESS(1222,38))+INDIRECT(ADDRESS(1225,38))-INDIRECT(ADDRESS(1226,38)))</f>
        <v>0</v>
      </c>
      <c r="AM1227">
        <f>IF(DAY(NOW())&lt;M3,INDIRECT(ADDRESS(1227,38))-INDIRECT(ADDRESS(1222,39))+INDIRECT(ADDRESS(1223,39))-INDIRECT(ADDRESS(1226,39)),INDIRECT(ADDRESS(1227,38))-INDIRECT(ADDRESS(1222,39))+INDIRECT(ADDRESS(1225,39))-INDIRECT(ADDRESS(1226,39)))</f>
        <v>0</v>
      </c>
      <c r="AN1227">
        <f>IF(DAY(NOW())&lt;M3,INDIRECT(ADDRESS(1227,39))-INDIRECT(ADDRESS(1222,40))+INDIRECT(ADDRESS(1223,40))-INDIRECT(ADDRESS(1226,40)),INDIRECT(ADDRESS(1227,39))-INDIRECT(ADDRESS(1222,40))+INDIRECT(ADDRESS(1225,40))-INDIRECT(ADDRESS(1226,40)))</f>
        <v>0</v>
      </c>
      <c r="AO1227">
        <f>IF(DAY(NOW())&lt;M3,INDIRECT(ADDRESS(1227,40))-INDIRECT(ADDRESS(1222,41))+INDIRECT(ADDRESS(1223,41))-INDIRECT(ADDRESS(1226,41)),INDIRECT(ADDRESS(1227,40))-INDIRECT(ADDRESS(1222,41))+INDIRECT(ADDRESS(1225,41))-INDIRECT(ADDRESS(1226,41)))</f>
        <v>0</v>
      </c>
      <c r="AP1227">
        <f>IF(DAY(NOW())&lt;M3,INDIRECT(ADDRESS(1227,41))-INDIRECT(ADDRESS(1222,42))+INDIRECT(ADDRESS(1223,42))-INDIRECT(ADDRESS(1226,42)),INDIRECT(ADDRESS(1227,41))-INDIRECT(ADDRESS(1222,42))+INDIRECT(ADDRESS(1225,42))-INDIRECT(ADDRESS(1226,42)))</f>
        <v>0</v>
      </c>
      <c r="AQ1227">
        <f>IF(DAY(NOW())&lt;M3,INDIRECT(ADDRESS(1227,42))-INDIRECT(ADDRESS(1222,43))+INDIRECT(ADDRESS(1223,43))-INDIRECT(ADDRESS(1226,43)),INDIRECT(ADDRESS(1227,42))-INDIRECT(ADDRESS(1222,43))+INDIRECT(ADDRESS(1225,43))-INDIRECT(ADDRESS(1226,43)))</f>
        <v>0</v>
      </c>
      <c r="AR1227">
        <f>IF(DAY(NOW())&lt;M3,INDIRECT(ADDRESS(1227,43))-INDIRECT(ADDRESS(1222,44))+INDIRECT(ADDRESS(1223,44))-INDIRECT(ADDRESS(1226,44)),INDIRECT(ADDRESS(1227,43))-INDIRECT(ADDRESS(1222,44))+INDIRECT(ADDRESS(1225,44))-INDIRECT(ADDRESS(1226,44)))</f>
        <v>0</v>
      </c>
    </row>
    <row r="1228" spans="1:76">
      <c r="A1228" t="s">
        <v>14</v>
      </c>
      <c r="B1228" t="s">
        <v>467</v>
      </c>
      <c r="C1228" t="s">
        <v>470</v>
      </c>
      <c r="D1228" t="s">
        <v>469</v>
      </c>
      <c r="E1228" t="s">
        <v>444</v>
      </c>
      <c r="F1228" t="s">
        <v>470</v>
      </c>
      <c r="K1228" t="s">
        <v>497</v>
      </c>
      <c r="L1228" t="s">
        <v>21</v>
      </c>
      <c r="BX1228">
        <f>sum(j1228:an1228)</f>
        <v>0</v>
      </c>
    </row>
    <row r="1229" spans="1:76">
      <c r="A1229" t="s">
        <v>14</v>
      </c>
      <c r="B1229" t="s">
        <v>467</v>
      </c>
      <c r="C1229" t="s">
        <v>470</v>
      </c>
      <c r="D1229" t="s">
        <v>469</v>
      </c>
      <c r="E1229" t="s">
        <v>444</v>
      </c>
      <c r="F1229" t="s">
        <v>470</v>
      </c>
      <c r="K1229" t="s">
        <v>497</v>
      </c>
      <c r="L1229" t="s">
        <v>37</v>
      </c>
    </row>
    <row r="1230" spans="1:76">
      <c r="L1230" t="s">
        <v>662</v>
      </c>
    </row>
    <row r="1231" spans="1:76">
      <c r="L1231" t="s">
        <v>663</v>
      </c>
    </row>
    <row r="1232" spans="1:76">
      <c r="L1232" t="s">
        <v>664</v>
      </c>
    </row>
    <row r="1233" spans="1:76">
      <c r="L1233" t="s">
        <v>665</v>
      </c>
      <c r="M1233">
        <f>IF(DAY(NOW())&lt;M3,INDIRECT(ADDRESS(1233,7))-INDIRECT(ADDRESS(1228,13))+INDIRECT(ADDRESS(1229,13))-INDIRECT(ADDRESS(1232,13)),INDIRECT(ADDRESS(1233,7))-INDIRECT(ADDRESS(1228,13))+INDIRECT(ADDRESS(1231,13))-INDIRECT(ADDRESS(1232,13)))</f>
        <v>0</v>
      </c>
      <c r="N1233">
        <f>IF(DAY(NOW())&lt;M3,INDIRECT(ADDRESS(1233,13))-INDIRECT(ADDRESS(1228,14))+INDIRECT(ADDRESS(1229,14))-INDIRECT(ADDRESS(1232,14)),INDIRECT(ADDRESS(1233,13))-INDIRECT(ADDRESS(1228,14))+INDIRECT(ADDRESS(1231,14))-INDIRECT(ADDRESS(1232,14)))</f>
        <v>0</v>
      </c>
      <c r="O1233">
        <f>IF(DAY(NOW())&lt;M3,INDIRECT(ADDRESS(1233,14))-INDIRECT(ADDRESS(1228,15))+INDIRECT(ADDRESS(1229,15))-INDIRECT(ADDRESS(1232,15)),INDIRECT(ADDRESS(1233,14))-INDIRECT(ADDRESS(1228,15))+INDIRECT(ADDRESS(1231,15))-INDIRECT(ADDRESS(1232,15)))</f>
        <v>0</v>
      </c>
      <c r="P1233">
        <f>IF(DAY(NOW())&lt;M3,INDIRECT(ADDRESS(1233,15))-INDIRECT(ADDRESS(1228,16))+INDIRECT(ADDRESS(1229,16))-INDIRECT(ADDRESS(1232,16)),INDIRECT(ADDRESS(1233,15))-INDIRECT(ADDRESS(1228,16))+INDIRECT(ADDRESS(1231,16))-INDIRECT(ADDRESS(1232,16)))</f>
        <v>0</v>
      </c>
      <c r="Q1233">
        <f>IF(DAY(NOW())&lt;M3,INDIRECT(ADDRESS(1233,16))-INDIRECT(ADDRESS(1228,17))+INDIRECT(ADDRESS(1229,17))-INDIRECT(ADDRESS(1232,17)),INDIRECT(ADDRESS(1233,16))-INDIRECT(ADDRESS(1228,17))+INDIRECT(ADDRESS(1231,17))-INDIRECT(ADDRESS(1232,17)))</f>
        <v>0</v>
      </c>
      <c r="R1233">
        <f>IF(DAY(NOW())&lt;M3,INDIRECT(ADDRESS(1233,17))-INDIRECT(ADDRESS(1228,18))+INDIRECT(ADDRESS(1229,18))-INDIRECT(ADDRESS(1232,18)),INDIRECT(ADDRESS(1233,17))-INDIRECT(ADDRESS(1228,18))+INDIRECT(ADDRESS(1231,18))-INDIRECT(ADDRESS(1232,18)))</f>
        <v>0</v>
      </c>
      <c r="S1233">
        <f>IF(DAY(NOW())&lt;M3,INDIRECT(ADDRESS(1233,18))-INDIRECT(ADDRESS(1228,19))+INDIRECT(ADDRESS(1229,19))-INDIRECT(ADDRESS(1232,19)),INDIRECT(ADDRESS(1233,18))-INDIRECT(ADDRESS(1228,19))+INDIRECT(ADDRESS(1231,19))-INDIRECT(ADDRESS(1232,19)))</f>
        <v>0</v>
      </c>
      <c r="T1233">
        <f>IF(DAY(NOW())&lt;M3,INDIRECT(ADDRESS(1233,19))-INDIRECT(ADDRESS(1228,20))+INDIRECT(ADDRESS(1229,20))-INDIRECT(ADDRESS(1232,20)),INDIRECT(ADDRESS(1233,19))-INDIRECT(ADDRESS(1228,20))+INDIRECT(ADDRESS(1231,20))-INDIRECT(ADDRESS(1232,20)))</f>
        <v>0</v>
      </c>
      <c r="U1233">
        <f>IF(DAY(NOW())&lt;M3,INDIRECT(ADDRESS(1233,20))-INDIRECT(ADDRESS(1228,21))+INDIRECT(ADDRESS(1229,21))-INDIRECT(ADDRESS(1232,21)),INDIRECT(ADDRESS(1233,20))-INDIRECT(ADDRESS(1228,21))+INDIRECT(ADDRESS(1231,21))-INDIRECT(ADDRESS(1232,21)))</f>
        <v>0</v>
      </c>
      <c r="V1233">
        <f>IF(DAY(NOW())&lt;M3,INDIRECT(ADDRESS(1233,21))-INDIRECT(ADDRESS(1228,22))+INDIRECT(ADDRESS(1229,22))-INDIRECT(ADDRESS(1232,22)),INDIRECT(ADDRESS(1233,21))-INDIRECT(ADDRESS(1228,22))+INDIRECT(ADDRESS(1231,22))-INDIRECT(ADDRESS(1232,22)))</f>
        <v>0</v>
      </c>
      <c r="W1233">
        <f>IF(DAY(NOW())&lt;M3,INDIRECT(ADDRESS(1233,22))-INDIRECT(ADDRESS(1228,23))+INDIRECT(ADDRESS(1229,23))-INDIRECT(ADDRESS(1232,23)),INDIRECT(ADDRESS(1233,22))-INDIRECT(ADDRESS(1228,23))+INDIRECT(ADDRESS(1231,23))-INDIRECT(ADDRESS(1232,23)))</f>
        <v>0</v>
      </c>
      <c r="X1233">
        <f>IF(DAY(NOW())&lt;M3,INDIRECT(ADDRESS(1233,23))-INDIRECT(ADDRESS(1228,24))+INDIRECT(ADDRESS(1229,24))-INDIRECT(ADDRESS(1232,24)),INDIRECT(ADDRESS(1233,23))-INDIRECT(ADDRESS(1228,24))+INDIRECT(ADDRESS(1231,24))-INDIRECT(ADDRESS(1232,24)))</f>
        <v>0</v>
      </c>
      <c r="Y1233">
        <f>IF(DAY(NOW())&lt;M3,INDIRECT(ADDRESS(1233,24))-INDIRECT(ADDRESS(1228,25))+INDIRECT(ADDRESS(1229,25))-INDIRECT(ADDRESS(1232,25)),INDIRECT(ADDRESS(1233,24))-INDIRECT(ADDRESS(1228,25))+INDIRECT(ADDRESS(1231,25))-INDIRECT(ADDRESS(1232,25)))</f>
        <v>0</v>
      </c>
      <c r="Z1233">
        <f>IF(DAY(NOW())&lt;M3,INDIRECT(ADDRESS(1233,25))-INDIRECT(ADDRESS(1228,26))+INDIRECT(ADDRESS(1229,26))-INDIRECT(ADDRESS(1232,26)),INDIRECT(ADDRESS(1233,25))-INDIRECT(ADDRESS(1228,26))+INDIRECT(ADDRESS(1231,26))-INDIRECT(ADDRESS(1232,26)))</f>
        <v>0</v>
      </c>
      <c r="AA1233">
        <f>IF(DAY(NOW())&lt;M3,INDIRECT(ADDRESS(1233,26))-INDIRECT(ADDRESS(1228,27))+INDIRECT(ADDRESS(1229,27))-INDIRECT(ADDRESS(1232,27)),INDIRECT(ADDRESS(1233,26))-INDIRECT(ADDRESS(1228,27))+INDIRECT(ADDRESS(1231,27))-INDIRECT(ADDRESS(1232,27)))</f>
        <v>0</v>
      </c>
      <c r="AB1233">
        <f>IF(DAY(NOW())&lt;M3,INDIRECT(ADDRESS(1233,27))-INDIRECT(ADDRESS(1228,28))+INDIRECT(ADDRESS(1229,28))-INDIRECT(ADDRESS(1232,28)),INDIRECT(ADDRESS(1233,27))-INDIRECT(ADDRESS(1228,28))+INDIRECT(ADDRESS(1231,28))-INDIRECT(ADDRESS(1232,28)))</f>
        <v>0</v>
      </c>
      <c r="AC1233">
        <f>IF(DAY(NOW())&lt;M3,INDIRECT(ADDRESS(1233,28))-INDIRECT(ADDRESS(1228,29))+INDIRECT(ADDRESS(1229,29))-INDIRECT(ADDRESS(1232,29)),INDIRECT(ADDRESS(1233,28))-INDIRECT(ADDRESS(1228,29))+INDIRECT(ADDRESS(1231,29))-INDIRECT(ADDRESS(1232,29)))</f>
        <v>0</v>
      </c>
      <c r="AD1233">
        <f>IF(DAY(NOW())&lt;M3,INDIRECT(ADDRESS(1233,29))-INDIRECT(ADDRESS(1228,30))+INDIRECT(ADDRESS(1229,30))-INDIRECT(ADDRESS(1232,30)),INDIRECT(ADDRESS(1233,29))-INDIRECT(ADDRESS(1228,30))+INDIRECT(ADDRESS(1231,30))-INDIRECT(ADDRESS(1232,30)))</f>
        <v>0</v>
      </c>
      <c r="AE1233">
        <f>IF(DAY(NOW())&lt;M3,INDIRECT(ADDRESS(1233,30))-INDIRECT(ADDRESS(1228,31))+INDIRECT(ADDRESS(1229,31))-INDIRECT(ADDRESS(1232,31)),INDIRECT(ADDRESS(1233,30))-INDIRECT(ADDRESS(1228,31))+INDIRECT(ADDRESS(1231,31))-INDIRECT(ADDRESS(1232,31)))</f>
        <v>0</v>
      </c>
      <c r="AF1233">
        <f>IF(DAY(NOW())&lt;M3,INDIRECT(ADDRESS(1233,31))-INDIRECT(ADDRESS(1228,32))+INDIRECT(ADDRESS(1229,32))-INDIRECT(ADDRESS(1232,32)),INDIRECT(ADDRESS(1233,31))-INDIRECT(ADDRESS(1228,32))+INDIRECT(ADDRESS(1231,32))-INDIRECT(ADDRESS(1232,32)))</f>
        <v>0</v>
      </c>
      <c r="AG1233">
        <f>IF(DAY(NOW())&lt;M3,INDIRECT(ADDRESS(1233,32))-INDIRECT(ADDRESS(1228,33))+INDIRECT(ADDRESS(1229,33))-INDIRECT(ADDRESS(1232,33)),INDIRECT(ADDRESS(1233,32))-INDIRECT(ADDRESS(1228,33))+INDIRECT(ADDRESS(1231,33))-INDIRECT(ADDRESS(1232,33)))</f>
        <v>0</v>
      </c>
      <c r="AH1233">
        <f>IF(DAY(NOW())&lt;M3,INDIRECT(ADDRESS(1233,33))-INDIRECT(ADDRESS(1228,34))+INDIRECT(ADDRESS(1229,34))-INDIRECT(ADDRESS(1232,34)),INDIRECT(ADDRESS(1233,33))-INDIRECT(ADDRESS(1228,34))+INDIRECT(ADDRESS(1231,34))-INDIRECT(ADDRESS(1232,34)))</f>
        <v>0</v>
      </c>
      <c r="AI1233">
        <f>IF(DAY(NOW())&lt;M3,INDIRECT(ADDRESS(1233,34))-INDIRECT(ADDRESS(1228,35))+INDIRECT(ADDRESS(1229,35))-INDIRECT(ADDRESS(1232,35)),INDIRECT(ADDRESS(1233,34))-INDIRECT(ADDRESS(1228,35))+INDIRECT(ADDRESS(1231,35))-INDIRECT(ADDRESS(1232,35)))</f>
        <v>0</v>
      </c>
      <c r="AJ1233">
        <f>IF(DAY(NOW())&lt;M3,INDIRECT(ADDRESS(1233,35))-INDIRECT(ADDRESS(1228,36))+INDIRECT(ADDRESS(1229,36))-INDIRECT(ADDRESS(1232,36)),INDIRECT(ADDRESS(1233,35))-INDIRECT(ADDRESS(1228,36))+INDIRECT(ADDRESS(1231,36))-INDIRECT(ADDRESS(1232,36)))</f>
        <v>0</v>
      </c>
      <c r="AK1233">
        <f>IF(DAY(NOW())&lt;M3,INDIRECT(ADDRESS(1233,36))-INDIRECT(ADDRESS(1228,37))+INDIRECT(ADDRESS(1229,37))-INDIRECT(ADDRESS(1232,37)),INDIRECT(ADDRESS(1233,36))-INDIRECT(ADDRESS(1228,37))+INDIRECT(ADDRESS(1231,37))-INDIRECT(ADDRESS(1232,37)))</f>
        <v>0</v>
      </c>
      <c r="AL1233">
        <f>IF(DAY(NOW())&lt;M3,INDIRECT(ADDRESS(1233,37))-INDIRECT(ADDRESS(1228,38))+INDIRECT(ADDRESS(1229,38))-INDIRECT(ADDRESS(1232,38)),INDIRECT(ADDRESS(1233,37))-INDIRECT(ADDRESS(1228,38))+INDIRECT(ADDRESS(1231,38))-INDIRECT(ADDRESS(1232,38)))</f>
        <v>0</v>
      </c>
      <c r="AM1233">
        <f>IF(DAY(NOW())&lt;M3,INDIRECT(ADDRESS(1233,38))-INDIRECT(ADDRESS(1228,39))+INDIRECT(ADDRESS(1229,39))-INDIRECT(ADDRESS(1232,39)),INDIRECT(ADDRESS(1233,38))-INDIRECT(ADDRESS(1228,39))+INDIRECT(ADDRESS(1231,39))-INDIRECT(ADDRESS(1232,39)))</f>
        <v>0</v>
      </c>
      <c r="AN1233">
        <f>IF(DAY(NOW())&lt;M3,INDIRECT(ADDRESS(1233,39))-INDIRECT(ADDRESS(1228,40))+INDIRECT(ADDRESS(1229,40))-INDIRECT(ADDRESS(1232,40)),INDIRECT(ADDRESS(1233,39))-INDIRECT(ADDRESS(1228,40))+INDIRECT(ADDRESS(1231,40))-INDIRECT(ADDRESS(1232,40)))</f>
        <v>0</v>
      </c>
      <c r="AO1233">
        <f>IF(DAY(NOW())&lt;M3,INDIRECT(ADDRESS(1233,40))-INDIRECT(ADDRESS(1228,41))+INDIRECT(ADDRESS(1229,41))-INDIRECT(ADDRESS(1232,41)),INDIRECT(ADDRESS(1233,40))-INDIRECT(ADDRESS(1228,41))+INDIRECT(ADDRESS(1231,41))-INDIRECT(ADDRESS(1232,41)))</f>
        <v>0</v>
      </c>
      <c r="AP1233">
        <f>IF(DAY(NOW())&lt;M3,INDIRECT(ADDRESS(1233,41))-INDIRECT(ADDRESS(1228,42))+INDIRECT(ADDRESS(1229,42))-INDIRECT(ADDRESS(1232,42)),INDIRECT(ADDRESS(1233,41))-INDIRECT(ADDRESS(1228,42))+INDIRECT(ADDRESS(1231,42))-INDIRECT(ADDRESS(1232,42)))</f>
        <v>0</v>
      </c>
      <c r="AQ1233">
        <f>IF(DAY(NOW())&lt;M3,INDIRECT(ADDRESS(1233,42))-INDIRECT(ADDRESS(1228,43))+INDIRECT(ADDRESS(1229,43))-INDIRECT(ADDRESS(1232,43)),INDIRECT(ADDRESS(1233,42))-INDIRECT(ADDRESS(1228,43))+INDIRECT(ADDRESS(1231,43))-INDIRECT(ADDRESS(1232,43)))</f>
        <v>0</v>
      </c>
      <c r="AR1233">
        <f>IF(DAY(NOW())&lt;M3,INDIRECT(ADDRESS(1233,43))-INDIRECT(ADDRESS(1228,44))+INDIRECT(ADDRESS(1229,44))-INDIRECT(ADDRESS(1232,44)),INDIRECT(ADDRESS(1233,43))-INDIRECT(ADDRESS(1228,44))+INDIRECT(ADDRESS(1231,44))-INDIRECT(ADDRESS(1232,44)))</f>
        <v>0</v>
      </c>
    </row>
    <row r="1234" spans="1:76">
      <c r="A1234" t="s">
        <v>14</v>
      </c>
      <c r="B1234" t="s">
        <v>471</v>
      </c>
      <c r="C1234" t="s">
        <v>474</v>
      </c>
      <c r="D1234" t="s">
        <v>473</v>
      </c>
      <c r="E1234">
        <v>1</v>
      </c>
      <c r="F1234" t="s">
        <v>474</v>
      </c>
      <c r="K1234" t="s">
        <v>497</v>
      </c>
      <c r="L1234" t="s">
        <v>21</v>
      </c>
      <c r="BX1234">
        <f>sum(j1234:an1234)</f>
        <v>0</v>
      </c>
    </row>
    <row r="1235" spans="1:76">
      <c r="A1235" t="s">
        <v>14</v>
      </c>
      <c r="B1235" t="s">
        <v>471</v>
      </c>
      <c r="C1235" t="s">
        <v>474</v>
      </c>
      <c r="D1235" t="s">
        <v>473</v>
      </c>
      <c r="E1235">
        <v>1</v>
      </c>
      <c r="F1235" t="s">
        <v>474</v>
      </c>
      <c r="K1235" t="s">
        <v>497</v>
      </c>
      <c r="L1235" t="s">
        <v>37</v>
      </c>
    </row>
    <row r="1236" spans="1:76">
      <c r="L1236" t="s">
        <v>662</v>
      </c>
    </row>
    <row r="1237" spans="1:76">
      <c r="L1237" t="s">
        <v>663</v>
      </c>
    </row>
    <row r="1238" spans="1:76">
      <c r="L1238" t="s">
        <v>664</v>
      </c>
    </row>
    <row r="1239" spans="1:76">
      <c r="L1239" t="s">
        <v>665</v>
      </c>
      <c r="M1239">
        <f>IF(DAY(NOW())&lt;M3,INDIRECT(ADDRESS(1239,7))-INDIRECT(ADDRESS(1234,13))+INDIRECT(ADDRESS(1235,13))-INDIRECT(ADDRESS(1238,13)),INDIRECT(ADDRESS(1239,7))-INDIRECT(ADDRESS(1234,13))+INDIRECT(ADDRESS(1237,13))-INDIRECT(ADDRESS(1238,13)))</f>
        <v>0</v>
      </c>
      <c r="N1239">
        <f>IF(DAY(NOW())&lt;M3,INDIRECT(ADDRESS(1239,13))-INDIRECT(ADDRESS(1234,14))+INDIRECT(ADDRESS(1235,14))-INDIRECT(ADDRESS(1238,14)),INDIRECT(ADDRESS(1239,13))-INDIRECT(ADDRESS(1234,14))+INDIRECT(ADDRESS(1237,14))-INDIRECT(ADDRESS(1238,14)))</f>
        <v>0</v>
      </c>
      <c r="O1239">
        <f>IF(DAY(NOW())&lt;M3,INDIRECT(ADDRESS(1239,14))-INDIRECT(ADDRESS(1234,15))+INDIRECT(ADDRESS(1235,15))-INDIRECT(ADDRESS(1238,15)),INDIRECT(ADDRESS(1239,14))-INDIRECT(ADDRESS(1234,15))+INDIRECT(ADDRESS(1237,15))-INDIRECT(ADDRESS(1238,15)))</f>
        <v>0</v>
      </c>
      <c r="P1239">
        <f>IF(DAY(NOW())&lt;M3,INDIRECT(ADDRESS(1239,15))-INDIRECT(ADDRESS(1234,16))+INDIRECT(ADDRESS(1235,16))-INDIRECT(ADDRESS(1238,16)),INDIRECT(ADDRESS(1239,15))-INDIRECT(ADDRESS(1234,16))+INDIRECT(ADDRESS(1237,16))-INDIRECT(ADDRESS(1238,16)))</f>
        <v>0</v>
      </c>
      <c r="Q1239">
        <f>IF(DAY(NOW())&lt;M3,INDIRECT(ADDRESS(1239,16))-INDIRECT(ADDRESS(1234,17))+INDIRECT(ADDRESS(1235,17))-INDIRECT(ADDRESS(1238,17)),INDIRECT(ADDRESS(1239,16))-INDIRECT(ADDRESS(1234,17))+INDIRECT(ADDRESS(1237,17))-INDIRECT(ADDRESS(1238,17)))</f>
        <v>0</v>
      </c>
      <c r="R1239">
        <f>IF(DAY(NOW())&lt;M3,INDIRECT(ADDRESS(1239,17))-INDIRECT(ADDRESS(1234,18))+INDIRECT(ADDRESS(1235,18))-INDIRECT(ADDRESS(1238,18)),INDIRECT(ADDRESS(1239,17))-INDIRECT(ADDRESS(1234,18))+INDIRECT(ADDRESS(1237,18))-INDIRECT(ADDRESS(1238,18)))</f>
        <v>0</v>
      </c>
      <c r="S1239">
        <f>IF(DAY(NOW())&lt;M3,INDIRECT(ADDRESS(1239,18))-INDIRECT(ADDRESS(1234,19))+INDIRECT(ADDRESS(1235,19))-INDIRECT(ADDRESS(1238,19)),INDIRECT(ADDRESS(1239,18))-INDIRECT(ADDRESS(1234,19))+INDIRECT(ADDRESS(1237,19))-INDIRECT(ADDRESS(1238,19)))</f>
        <v>0</v>
      </c>
      <c r="T1239">
        <f>IF(DAY(NOW())&lt;M3,INDIRECT(ADDRESS(1239,19))-INDIRECT(ADDRESS(1234,20))+INDIRECT(ADDRESS(1235,20))-INDIRECT(ADDRESS(1238,20)),INDIRECT(ADDRESS(1239,19))-INDIRECT(ADDRESS(1234,20))+INDIRECT(ADDRESS(1237,20))-INDIRECT(ADDRESS(1238,20)))</f>
        <v>0</v>
      </c>
      <c r="U1239">
        <f>IF(DAY(NOW())&lt;M3,INDIRECT(ADDRESS(1239,20))-INDIRECT(ADDRESS(1234,21))+INDIRECT(ADDRESS(1235,21))-INDIRECT(ADDRESS(1238,21)),INDIRECT(ADDRESS(1239,20))-INDIRECT(ADDRESS(1234,21))+INDIRECT(ADDRESS(1237,21))-INDIRECT(ADDRESS(1238,21)))</f>
        <v>0</v>
      </c>
      <c r="V1239">
        <f>IF(DAY(NOW())&lt;M3,INDIRECT(ADDRESS(1239,21))-INDIRECT(ADDRESS(1234,22))+INDIRECT(ADDRESS(1235,22))-INDIRECT(ADDRESS(1238,22)),INDIRECT(ADDRESS(1239,21))-INDIRECT(ADDRESS(1234,22))+INDIRECT(ADDRESS(1237,22))-INDIRECT(ADDRESS(1238,22)))</f>
        <v>0</v>
      </c>
      <c r="W1239">
        <f>IF(DAY(NOW())&lt;M3,INDIRECT(ADDRESS(1239,22))-INDIRECT(ADDRESS(1234,23))+INDIRECT(ADDRESS(1235,23))-INDIRECT(ADDRESS(1238,23)),INDIRECT(ADDRESS(1239,22))-INDIRECT(ADDRESS(1234,23))+INDIRECT(ADDRESS(1237,23))-INDIRECT(ADDRESS(1238,23)))</f>
        <v>0</v>
      </c>
      <c r="X1239">
        <f>IF(DAY(NOW())&lt;M3,INDIRECT(ADDRESS(1239,23))-INDIRECT(ADDRESS(1234,24))+INDIRECT(ADDRESS(1235,24))-INDIRECT(ADDRESS(1238,24)),INDIRECT(ADDRESS(1239,23))-INDIRECT(ADDRESS(1234,24))+INDIRECT(ADDRESS(1237,24))-INDIRECT(ADDRESS(1238,24)))</f>
        <v>0</v>
      </c>
      <c r="Y1239">
        <f>IF(DAY(NOW())&lt;M3,INDIRECT(ADDRESS(1239,24))-INDIRECT(ADDRESS(1234,25))+INDIRECT(ADDRESS(1235,25))-INDIRECT(ADDRESS(1238,25)),INDIRECT(ADDRESS(1239,24))-INDIRECT(ADDRESS(1234,25))+INDIRECT(ADDRESS(1237,25))-INDIRECT(ADDRESS(1238,25)))</f>
        <v>0</v>
      </c>
      <c r="Z1239">
        <f>IF(DAY(NOW())&lt;M3,INDIRECT(ADDRESS(1239,25))-INDIRECT(ADDRESS(1234,26))+INDIRECT(ADDRESS(1235,26))-INDIRECT(ADDRESS(1238,26)),INDIRECT(ADDRESS(1239,25))-INDIRECT(ADDRESS(1234,26))+INDIRECT(ADDRESS(1237,26))-INDIRECT(ADDRESS(1238,26)))</f>
        <v>0</v>
      </c>
      <c r="AA1239">
        <f>IF(DAY(NOW())&lt;M3,INDIRECT(ADDRESS(1239,26))-INDIRECT(ADDRESS(1234,27))+INDIRECT(ADDRESS(1235,27))-INDIRECT(ADDRESS(1238,27)),INDIRECT(ADDRESS(1239,26))-INDIRECT(ADDRESS(1234,27))+INDIRECT(ADDRESS(1237,27))-INDIRECT(ADDRESS(1238,27)))</f>
        <v>0</v>
      </c>
      <c r="AB1239">
        <f>IF(DAY(NOW())&lt;M3,INDIRECT(ADDRESS(1239,27))-INDIRECT(ADDRESS(1234,28))+INDIRECT(ADDRESS(1235,28))-INDIRECT(ADDRESS(1238,28)),INDIRECT(ADDRESS(1239,27))-INDIRECT(ADDRESS(1234,28))+INDIRECT(ADDRESS(1237,28))-INDIRECT(ADDRESS(1238,28)))</f>
        <v>0</v>
      </c>
      <c r="AC1239">
        <f>IF(DAY(NOW())&lt;M3,INDIRECT(ADDRESS(1239,28))-INDIRECT(ADDRESS(1234,29))+INDIRECT(ADDRESS(1235,29))-INDIRECT(ADDRESS(1238,29)),INDIRECT(ADDRESS(1239,28))-INDIRECT(ADDRESS(1234,29))+INDIRECT(ADDRESS(1237,29))-INDIRECT(ADDRESS(1238,29)))</f>
        <v>0</v>
      </c>
      <c r="AD1239">
        <f>IF(DAY(NOW())&lt;M3,INDIRECT(ADDRESS(1239,29))-INDIRECT(ADDRESS(1234,30))+INDIRECT(ADDRESS(1235,30))-INDIRECT(ADDRESS(1238,30)),INDIRECT(ADDRESS(1239,29))-INDIRECT(ADDRESS(1234,30))+INDIRECT(ADDRESS(1237,30))-INDIRECT(ADDRESS(1238,30)))</f>
        <v>0</v>
      </c>
      <c r="AE1239">
        <f>IF(DAY(NOW())&lt;M3,INDIRECT(ADDRESS(1239,30))-INDIRECT(ADDRESS(1234,31))+INDIRECT(ADDRESS(1235,31))-INDIRECT(ADDRESS(1238,31)),INDIRECT(ADDRESS(1239,30))-INDIRECT(ADDRESS(1234,31))+INDIRECT(ADDRESS(1237,31))-INDIRECT(ADDRESS(1238,31)))</f>
        <v>0</v>
      </c>
      <c r="AF1239">
        <f>IF(DAY(NOW())&lt;M3,INDIRECT(ADDRESS(1239,31))-INDIRECT(ADDRESS(1234,32))+INDIRECT(ADDRESS(1235,32))-INDIRECT(ADDRESS(1238,32)),INDIRECT(ADDRESS(1239,31))-INDIRECT(ADDRESS(1234,32))+INDIRECT(ADDRESS(1237,32))-INDIRECT(ADDRESS(1238,32)))</f>
        <v>0</v>
      </c>
      <c r="AG1239">
        <f>IF(DAY(NOW())&lt;M3,INDIRECT(ADDRESS(1239,32))-INDIRECT(ADDRESS(1234,33))+INDIRECT(ADDRESS(1235,33))-INDIRECT(ADDRESS(1238,33)),INDIRECT(ADDRESS(1239,32))-INDIRECT(ADDRESS(1234,33))+INDIRECT(ADDRESS(1237,33))-INDIRECT(ADDRESS(1238,33)))</f>
        <v>0</v>
      </c>
      <c r="AH1239">
        <f>IF(DAY(NOW())&lt;M3,INDIRECT(ADDRESS(1239,33))-INDIRECT(ADDRESS(1234,34))+INDIRECT(ADDRESS(1235,34))-INDIRECT(ADDRESS(1238,34)),INDIRECT(ADDRESS(1239,33))-INDIRECT(ADDRESS(1234,34))+INDIRECT(ADDRESS(1237,34))-INDIRECT(ADDRESS(1238,34)))</f>
        <v>0</v>
      </c>
      <c r="AI1239">
        <f>IF(DAY(NOW())&lt;M3,INDIRECT(ADDRESS(1239,34))-INDIRECT(ADDRESS(1234,35))+INDIRECT(ADDRESS(1235,35))-INDIRECT(ADDRESS(1238,35)),INDIRECT(ADDRESS(1239,34))-INDIRECT(ADDRESS(1234,35))+INDIRECT(ADDRESS(1237,35))-INDIRECT(ADDRESS(1238,35)))</f>
        <v>0</v>
      </c>
      <c r="AJ1239">
        <f>IF(DAY(NOW())&lt;M3,INDIRECT(ADDRESS(1239,35))-INDIRECT(ADDRESS(1234,36))+INDIRECT(ADDRESS(1235,36))-INDIRECT(ADDRESS(1238,36)),INDIRECT(ADDRESS(1239,35))-INDIRECT(ADDRESS(1234,36))+INDIRECT(ADDRESS(1237,36))-INDIRECT(ADDRESS(1238,36)))</f>
        <v>0</v>
      </c>
      <c r="AK1239">
        <f>IF(DAY(NOW())&lt;M3,INDIRECT(ADDRESS(1239,36))-INDIRECT(ADDRESS(1234,37))+INDIRECT(ADDRESS(1235,37))-INDIRECT(ADDRESS(1238,37)),INDIRECT(ADDRESS(1239,36))-INDIRECT(ADDRESS(1234,37))+INDIRECT(ADDRESS(1237,37))-INDIRECT(ADDRESS(1238,37)))</f>
        <v>0</v>
      </c>
      <c r="AL1239">
        <f>IF(DAY(NOW())&lt;M3,INDIRECT(ADDRESS(1239,37))-INDIRECT(ADDRESS(1234,38))+INDIRECT(ADDRESS(1235,38))-INDIRECT(ADDRESS(1238,38)),INDIRECT(ADDRESS(1239,37))-INDIRECT(ADDRESS(1234,38))+INDIRECT(ADDRESS(1237,38))-INDIRECT(ADDRESS(1238,38)))</f>
        <v>0</v>
      </c>
      <c r="AM1239">
        <f>IF(DAY(NOW())&lt;M3,INDIRECT(ADDRESS(1239,38))-INDIRECT(ADDRESS(1234,39))+INDIRECT(ADDRESS(1235,39))-INDIRECT(ADDRESS(1238,39)),INDIRECT(ADDRESS(1239,38))-INDIRECT(ADDRESS(1234,39))+INDIRECT(ADDRESS(1237,39))-INDIRECT(ADDRESS(1238,39)))</f>
        <v>0</v>
      </c>
      <c r="AN1239">
        <f>IF(DAY(NOW())&lt;M3,INDIRECT(ADDRESS(1239,39))-INDIRECT(ADDRESS(1234,40))+INDIRECT(ADDRESS(1235,40))-INDIRECT(ADDRESS(1238,40)),INDIRECT(ADDRESS(1239,39))-INDIRECT(ADDRESS(1234,40))+INDIRECT(ADDRESS(1237,40))-INDIRECT(ADDRESS(1238,40)))</f>
        <v>0</v>
      </c>
      <c r="AO1239">
        <f>IF(DAY(NOW())&lt;M3,INDIRECT(ADDRESS(1239,40))-INDIRECT(ADDRESS(1234,41))+INDIRECT(ADDRESS(1235,41))-INDIRECT(ADDRESS(1238,41)),INDIRECT(ADDRESS(1239,40))-INDIRECT(ADDRESS(1234,41))+INDIRECT(ADDRESS(1237,41))-INDIRECT(ADDRESS(1238,41)))</f>
        <v>0</v>
      </c>
      <c r="AP1239">
        <f>IF(DAY(NOW())&lt;M3,INDIRECT(ADDRESS(1239,41))-INDIRECT(ADDRESS(1234,42))+INDIRECT(ADDRESS(1235,42))-INDIRECT(ADDRESS(1238,42)),INDIRECT(ADDRESS(1239,41))-INDIRECT(ADDRESS(1234,42))+INDIRECT(ADDRESS(1237,42))-INDIRECT(ADDRESS(1238,42)))</f>
        <v>0</v>
      </c>
      <c r="AQ1239">
        <f>IF(DAY(NOW())&lt;M3,INDIRECT(ADDRESS(1239,42))-INDIRECT(ADDRESS(1234,43))+INDIRECT(ADDRESS(1235,43))-INDIRECT(ADDRESS(1238,43)),INDIRECT(ADDRESS(1239,42))-INDIRECT(ADDRESS(1234,43))+INDIRECT(ADDRESS(1237,43))-INDIRECT(ADDRESS(1238,43)))</f>
        <v>0</v>
      </c>
      <c r="AR1239">
        <f>IF(DAY(NOW())&lt;M3,INDIRECT(ADDRESS(1239,43))-INDIRECT(ADDRESS(1234,44))+INDIRECT(ADDRESS(1235,44))-INDIRECT(ADDRESS(1238,44)),INDIRECT(ADDRESS(1239,43))-INDIRECT(ADDRESS(1234,44))+INDIRECT(ADDRESS(1237,44))-INDIRECT(ADDRESS(1238,44)))</f>
        <v>0</v>
      </c>
    </row>
    <row r="1240" spans="1:76">
      <c r="A1240" t="s">
        <v>31</v>
      </c>
      <c r="B1240" t="s">
        <v>321</v>
      </c>
      <c r="C1240" t="s">
        <v>323</v>
      </c>
      <c r="E1240" t="s">
        <v>505</v>
      </c>
      <c r="F1240" t="s">
        <v>323</v>
      </c>
      <c r="K1240" t="s">
        <v>499</v>
      </c>
      <c r="L1240" t="s">
        <v>21</v>
      </c>
      <c r="M1240">
        <f>sumifs(BOM!m:m,BOM!A:A,".1",BOM!B:B,"222-014500-000")</f>
        <v>0</v>
      </c>
      <c r="N1240">
        <f>sumifs(BOM!n:n,BOM!A:A,".1",BOM!B:B,"222-014500-000")</f>
        <v>0</v>
      </c>
      <c r="O1240">
        <f>sumifs(BOM!o:o,BOM!A:A,".1",BOM!B:B,"222-014500-000")</f>
        <v>0</v>
      </c>
      <c r="P1240">
        <f>sumifs(BOM!p:p,BOM!A:A,".1",BOM!B:B,"222-014500-000")</f>
        <v>0</v>
      </c>
      <c r="Q1240">
        <f>sumifs(BOM!q:q,BOM!A:A,".1",BOM!B:B,"222-014500-000")</f>
        <v>0</v>
      </c>
      <c r="R1240">
        <f>sumifs(BOM!r:r,BOM!A:A,".1",BOM!B:B,"222-014500-000")</f>
        <v>0</v>
      </c>
      <c r="S1240">
        <f>sumifs(BOM!s:s,BOM!A:A,".1",BOM!B:B,"222-014500-000")</f>
        <v>0</v>
      </c>
      <c r="T1240">
        <f>sumifs(BOM!t:t,BOM!A:A,".1",BOM!B:B,"222-014500-000")</f>
        <v>0</v>
      </c>
      <c r="U1240">
        <f>sumifs(BOM!u:u,BOM!A:A,".1",BOM!B:B,"222-014500-000")</f>
        <v>0</v>
      </c>
      <c r="V1240">
        <f>sumifs(BOM!v:v,BOM!A:A,".1",BOM!B:B,"222-014500-000")</f>
        <v>0</v>
      </c>
      <c r="W1240">
        <f>sumifs(BOM!w:w,BOM!A:A,".1",BOM!B:B,"222-014500-000")</f>
        <v>0</v>
      </c>
      <c r="X1240">
        <f>sumifs(BOM!x:x,BOM!A:A,".1",BOM!B:B,"222-014500-000")</f>
        <v>0</v>
      </c>
      <c r="Y1240">
        <f>sumifs(BOM!y:y,BOM!A:A,".1",BOM!B:B,"222-014500-000")</f>
        <v>0</v>
      </c>
      <c r="Z1240">
        <f>sumifs(BOM!z:z,BOM!A:A,".1",BOM!B:B,"222-014500-000")</f>
        <v>0</v>
      </c>
      <c r="AA1240">
        <f>sumifs(BOM!aa:aa,BOM!A:A,".1",BOM!B:B,"222-014500-000")</f>
        <v>0</v>
      </c>
      <c r="AB1240">
        <f>sumifs(BOM!ab:ab,BOM!A:A,".1",BOM!B:B,"222-014500-000")</f>
        <v>0</v>
      </c>
      <c r="AC1240">
        <f>sumifs(BOM!ac:ac,BOM!A:A,".1",BOM!B:B,"222-014500-000")</f>
        <v>0</v>
      </c>
      <c r="AD1240">
        <f>sumifs(BOM!ad:ad,BOM!A:A,".1",BOM!B:B,"222-014500-000")</f>
        <v>0</v>
      </c>
      <c r="AE1240">
        <f>sumifs(BOM!ae:ae,BOM!A:A,".1",BOM!B:B,"222-014500-000")</f>
        <v>0</v>
      </c>
      <c r="AF1240">
        <f>sumifs(BOM!af:af,BOM!A:A,".1",BOM!B:B,"222-014500-000")</f>
        <v>0</v>
      </c>
      <c r="AG1240">
        <f>sumifs(BOM!ag:ag,BOM!A:A,".1",BOM!B:B,"222-014500-000")</f>
        <v>0</v>
      </c>
      <c r="AH1240">
        <f>sumifs(BOM!ah:ah,BOM!A:A,".1",BOM!B:B,"222-014500-000")</f>
        <v>0</v>
      </c>
      <c r="AI1240">
        <f>sumifs(BOM!ai:ai,BOM!A:A,".1",BOM!B:B,"222-014500-000")</f>
        <v>0</v>
      </c>
      <c r="AJ1240">
        <f>sumifs(BOM!aj:aj,BOM!A:A,".1",BOM!B:B,"222-014500-000")</f>
        <v>0</v>
      </c>
      <c r="AK1240">
        <f>sumifs(BOM!ak:ak,BOM!A:A,".1",BOM!B:B,"222-014500-000")</f>
        <v>0</v>
      </c>
      <c r="AL1240">
        <f>sumifs(BOM!al:al,BOM!A:A,".1",BOM!B:B,"222-014500-000")</f>
        <v>0</v>
      </c>
      <c r="AM1240">
        <f>sumifs(BOM!am:am,BOM!A:A,".1",BOM!B:B,"222-014500-000")</f>
        <v>0</v>
      </c>
      <c r="AN1240">
        <f>sumifs(BOM!an:an,BOM!A:A,".1",BOM!B:B,"222-014500-000")</f>
        <v>0</v>
      </c>
      <c r="AO1240">
        <f>sumifs(BOM!ao:ao,BOM!A:A,".1",BOM!B:B,"222-014500-000")</f>
        <v>0</v>
      </c>
      <c r="AP1240">
        <f>sumifs(BOM!ap:ap,BOM!A:A,".1",BOM!B:B,"222-014500-000")</f>
        <v>0</v>
      </c>
      <c r="AQ1240">
        <f>sumifs(BOM!aq:aq,BOM!A:A,".1",BOM!B:B,"222-014500-000")</f>
        <v>0</v>
      </c>
      <c r="AR1240">
        <f>sumifs(BOM!ar:ar,BOM!A:A,".1",BOM!B:B,"222-014500-000")</f>
        <v>0</v>
      </c>
      <c r="BX1240">
        <f>sum(j1240:an1240)</f>
        <v>0</v>
      </c>
    </row>
    <row r="1241" spans="1:76">
      <c r="A1241" t="s">
        <v>31</v>
      </c>
      <c r="B1241" t="s">
        <v>321</v>
      </c>
      <c r="C1241" t="s">
        <v>323</v>
      </c>
      <c r="E1241" t="s">
        <v>505</v>
      </c>
      <c r="F1241" t="s">
        <v>323</v>
      </c>
      <c r="K1241" t="s">
        <v>499</v>
      </c>
      <c r="L1241" t="s">
        <v>37</v>
      </c>
    </row>
    <row r="1242" spans="1:76">
      <c r="L1242" t="s">
        <v>662</v>
      </c>
    </row>
    <row r="1243" spans="1:76">
      <c r="L1243" t="s">
        <v>663</v>
      </c>
    </row>
    <row r="1244" spans="1:76">
      <c r="L1244" t="s">
        <v>664</v>
      </c>
    </row>
    <row r="1245" spans="1:76">
      <c r="L1245" t="s">
        <v>665</v>
      </c>
      <c r="M1245">
        <f>IF(DAY(NOW())&lt;M3,INDIRECT(ADDRESS(1245,7))-INDIRECT(ADDRESS(1240,13))+INDIRECT(ADDRESS(1241,13))-INDIRECT(ADDRESS(1244,13)),INDIRECT(ADDRESS(1245,7))-INDIRECT(ADDRESS(1240,13))+INDIRECT(ADDRESS(1243,13))-INDIRECT(ADDRESS(1244,13)))</f>
        <v>0</v>
      </c>
      <c r="N1245">
        <f>IF(DAY(NOW())&lt;M3,INDIRECT(ADDRESS(1245,13))-INDIRECT(ADDRESS(1240,14))+INDIRECT(ADDRESS(1241,14))-INDIRECT(ADDRESS(1244,14)),INDIRECT(ADDRESS(1245,13))-INDIRECT(ADDRESS(1240,14))+INDIRECT(ADDRESS(1243,14))-INDIRECT(ADDRESS(1244,14)))</f>
        <v>0</v>
      </c>
      <c r="O1245">
        <f>IF(DAY(NOW())&lt;M3,INDIRECT(ADDRESS(1245,14))-INDIRECT(ADDRESS(1240,15))+INDIRECT(ADDRESS(1241,15))-INDIRECT(ADDRESS(1244,15)),INDIRECT(ADDRESS(1245,14))-INDIRECT(ADDRESS(1240,15))+INDIRECT(ADDRESS(1243,15))-INDIRECT(ADDRESS(1244,15)))</f>
        <v>0</v>
      </c>
      <c r="P1245">
        <f>IF(DAY(NOW())&lt;M3,INDIRECT(ADDRESS(1245,15))-INDIRECT(ADDRESS(1240,16))+INDIRECT(ADDRESS(1241,16))-INDIRECT(ADDRESS(1244,16)),INDIRECT(ADDRESS(1245,15))-INDIRECT(ADDRESS(1240,16))+INDIRECT(ADDRESS(1243,16))-INDIRECT(ADDRESS(1244,16)))</f>
        <v>0</v>
      </c>
      <c r="Q1245">
        <f>IF(DAY(NOW())&lt;M3,INDIRECT(ADDRESS(1245,16))-INDIRECT(ADDRESS(1240,17))+INDIRECT(ADDRESS(1241,17))-INDIRECT(ADDRESS(1244,17)),INDIRECT(ADDRESS(1245,16))-INDIRECT(ADDRESS(1240,17))+INDIRECT(ADDRESS(1243,17))-INDIRECT(ADDRESS(1244,17)))</f>
        <v>0</v>
      </c>
      <c r="R1245">
        <f>IF(DAY(NOW())&lt;M3,INDIRECT(ADDRESS(1245,17))-INDIRECT(ADDRESS(1240,18))+INDIRECT(ADDRESS(1241,18))-INDIRECT(ADDRESS(1244,18)),INDIRECT(ADDRESS(1245,17))-INDIRECT(ADDRESS(1240,18))+INDIRECT(ADDRESS(1243,18))-INDIRECT(ADDRESS(1244,18)))</f>
        <v>0</v>
      </c>
      <c r="S1245">
        <f>IF(DAY(NOW())&lt;M3,INDIRECT(ADDRESS(1245,18))-INDIRECT(ADDRESS(1240,19))+INDIRECT(ADDRESS(1241,19))-INDIRECT(ADDRESS(1244,19)),INDIRECT(ADDRESS(1245,18))-INDIRECT(ADDRESS(1240,19))+INDIRECT(ADDRESS(1243,19))-INDIRECT(ADDRESS(1244,19)))</f>
        <v>0</v>
      </c>
      <c r="T1245">
        <f>IF(DAY(NOW())&lt;M3,INDIRECT(ADDRESS(1245,19))-INDIRECT(ADDRESS(1240,20))+INDIRECT(ADDRESS(1241,20))-INDIRECT(ADDRESS(1244,20)),INDIRECT(ADDRESS(1245,19))-INDIRECT(ADDRESS(1240,20))+INDIRECT(ADDRESS(1243,20))-INDIRECT(ADDRESS(1244,20)))</f>
        <v>0</v>
      </c>
      <c r="U1245">
        <f>IF(DAY(NOW())&lt;M3,INDIRECT(ADDRESS(1245,20))-INDIRECT(ADDRESS(1240,21))+INDIRECT(ADDRESS(1241,21))-INDIRECT(ADDRESS(1244,21)),INDIRECT(ADDRESS(1245,20))-INDIRECT(ADDRESS(1240,21))+INDIRECT(ADDRESS(1243,21))-INDIRECT(ADDRESS(1244,21)))</f>
        <v>0</v>
      </c>
      <c r="V1245">
        <f>IF(DAY(NOW())&lt;M3,INDIRECT(ADDRESS(1245,21))-INDIRECT(ADDRESS(1240,22))+INDIRECT(ADDRESS(1241,22))-INDIRECT(ADDRESS(1244,22)),INDIRECT(ADDRESS(1245,21))-INDIRECT(ADDRESS(1240,22))+INDIRECT(ADDRESS(1243,22))-INDIRECT(ADDRESS(1244,22)))</f>
        <v>0</v>
      </c>
      <c r="W1245">
        <f>IF(DAY(NOW())&lt;M3,INDIRECT(ADDRESS(1245,22))-INDIRECT(ADDRESS(1240,23))+INDIRECT(ADDRESS(1241,23))-INDIRECT(ADDRESS(1244,23)),INDIRECT(ADDRESS(1245,22))-INDIRECT(ADDRESS(1240,23))+INDIRECT(ADDRESS(1243,23))-INDIRECT(ADDRESS(1244,23)))</f>
        <v>0</v>
      </c>
      <c r="X1245">
        <f>IF(DAY(NOW())&lt;M3,INDIRECT(ADDRESS(1245,23))-INDIRECT(ADDRESS(1240,24))+INDIRECT(ADDRESS(1241,24))-INDIRECT(ADDRESS(1244,24)),INDIRECT(ADDRESS(1245,23))-INDIRECT(ADDRESS(1240,24))+INDIRECT(ADDRESS(1243,24))-INDIRECT(ADDRESS(1244,24)))</f>
        <v>0</v>
      </c>
      <c r="Y1245">
        <f>IF(DAY(NOW())&lt;M3,INDIRECT(ADDRESS(1245,24))-INDIRECT(ADDRESS(1240,25))+INDIRECT(ADDRESS(1241,25))-INDIRECT(ADDRESS(1244,25)),INDIRECT(ADDRESS(1245,24))-INDIRECT(ADDRESS(1240,25))+INDIRECT(ADDRESS(1243,25))-INDIRECT(ADDRESS(1244,25)))</f>
        <v>0</v>
      </c>
      <c r="Z1245">
        <f>IF(DAY(NOW())&lt;M3,INDIRECT(ADDRESS(1245,25))-INDIRECT(ADDRESS(1240,26))+INDIRECT(ADDRESS(1241,26))-INDIRECT(ADDRESS(1244,26)),INDIRECT(ADDRESS(1245,25))-INDIRECT(ADDRESS(1240,26))+INDIRECT(ADDRESS(1243,26))-INDIRECT(ADDRESS(1244,26)))</f>
        <v>0</v>
      </c>
      <c r="AA1245">
        <f>IF(DAY(NOW())&lt;M3,INDIRECT(ADDRESS(1245,26))-INDIRECT(ADDRESS(1240,27))+INDIRECT(ADDRESS(1241,27))-INDIRECT(ADDRESS(1244,27)),INDIRECT(ADDRESS(1245,26))-INDIRECT(ADDRESS(1240,27))+INDIRECT(ADDRESS(1243,27))-INDIRECT(ADDRESS(1244,27)))</f>
        <v>0</v>
      </c>
      <c r="AB1245">
        <f>IF(DAY(NOW())&lt;M3,INDIRECT(ADDRESS(1245,27))-INDIRECT(ADDRESS(1240,28))+INDIRECT(ADDRESS(1241,28))-INDIRECT(ADDRESS(1244,28)),INDIRECT(ADDRESS(1245,27))-INDIRECT(ADDRESS(1240,28))+INDIRECT(ADDRESS(1243,28))-INDIRECT(ADDRESS(1244,28)))</f>
        <v>0</v>
      </c>
      <c r="AC1245">
        <f>IF(DAY(NOW())&lt;M3,INDIRECT(ADDRESS(1245,28))-INDIRECT(ADDRESS(1240,29))+INDIRECT(ADDRESS(1241,29))-INDIRECT(ADDRESS(1244,29)),INDIRECT(ADDRESS(1245,28))-INDIRECT(ADDRESS(1240,29))+INDIRECT(ADDRESS(1243,29))-INDIRECT(ADDRESS(1244,29)))</f>
        <v>0</v>
      </c>
      <c r="AD1245">
        <f>IF(DAY(NOW())&lt;M3,INDIRECT(ADDRESS(1245,29))-INDIRECT(ADDRESS(1240,30))+INDIRECT(ADDRESS(1241,30))-INDIRECT(ADDRESS(1244,30)),INDIRECT(ADDRESS(1245,29))-INDIRECT(ADDRESS(1240,30))+INDIRECT(ADDRESS(1243,30))-INDIRECT(ADDRESS(1244,30)))</f>
        <v>0</v>
      </c>
      <c r="AE1245">
        <f>IF(DAY(NOW())&lt;M3,INDIRECT(ADDRESS(1245,30))-INDIRECT(ADDRESS(1240,31))+INDIRECT(ADDRESS(1241,31))-INDIRECT(ADDRESS(1244,31)),INDIRECT(ADDRESS(1245,30))-INDIRECT(ADDRESS(1240,31))+INDIRECT(ADDRESS(1243,31))-INDIRECT(ADDRESS(1244,31)))</f>
        <v>0</v>
      </c>
      <c r="AF1245">
        <f>IF(DAY(NOW())&lt;M3,INDIRECT(ADDRESS(1245,31))-INDIRECT(ADDRESS(1240,32))+INDIRECT(ADDRESS(1241,32))-INDIRECT(ADDRESS(1244,32)),INDIRECT(ADDRESS(1245,31))-INDIRECT(ADDRESS(1240,32))+INDIRECT(ADDRESS(1243,32))-INDIRECT(ADDRESS(1244,32)))</f>
        <v>0</v>
      </c>
      <c r="AG1245">
        <f>IF(DAY(NOW())&lt;M3,INDIRECT(ADDRESS(1245,32))-INDIRECT(ADDRESS(1240,33))+INDIRECT(ADDRESS(1241,33))-INDIRECT(ADDRESS(1244,33)),INDIRECT(ADDRESS(1245,32))-INDIRECT(ADDRESS(1240,33))+INDIRECT(ADDRESS(1243,33))-INDIRECT(ADDRESS(1244,33)))</f>
        <v>0</v>
      </c>
      <c r="AH1245">
        <f>IF(DAY(NOW())&lt;M3,INDIRECT(ADDRESS(1245,33))-INDIRECT(ADDRESS(1240,34))+INDIRECT(ADDRESS(1241,34))-INDIRECT(ADDRESS(1244,34)),INDIRECT(ADDRESS(1245,33))-INDIRECT(ADDRESS(1240,34))+INDIRECT(ADDRESS(1243,34))-INDIRECT(ADDRESS(1244,34)))</f>
        <v>0</v>
      </c>
      <c r="AI1245">
        <f>IF(DAY(NOW())&lt;M3,INDIRECT(ADDRESS(1245,34))-INDIRECT(ADDRESS(1240,35))+INDIRECT(ADDRESS(1241,35))-INDIRECT(ADDRESS(1244,35)),INDIRECT(ADDRESS(1245,34))-INDIRECT(ADDRESS(1240,35))+INDIRECT(ADDRESS(1243,35))-INDIRECT(ADDRESS(1244,35)))</f>
        <v>0</v>
      </c>
      <c r="AJ1245">
        <f>IF(DAY(NOW())&lt;M3,INDIRECT(ADDRESS(1245,35))-INDIRECT(ADDRESS(1240,36))+INDIRECT(ADDRESS(1241,36))-INDIRECT(ADDRESS(1244,36)),INDIRECT(ADDRESS(1245,35))-INDIRECT(ADDRESS(1240,36))+INDIRECT(ADDRESS(1243,36))-INDIRECT(ADDRESS(1244,36)))</f>
        <v>0</v>
      </c>
      <c r="AK1245">
        <f>IF(DAY(NOW())&lt;M3,INDIRECT(ADDRESS(1245,36))-INDIRECT(ADDRESS(1240,37))+INDIRECT(ADDRESS(1241,37))-INDIRECT(ADDRESS(1244,37)),INDIRECT(ADDRESS(1245,36))-INDIRECT(ADDRESS(1240,37))+INDIRECT(ADDRESS(1243,37))-INDIRECT(ADDRESS(1244,37)))</f>
        <v>0</v>
      </c>
      <c r="AL1245">
        <f>IF(DAY(NOW())&lt;M3,INDIRECT(ADDRESS(1245,37))-INDIRECT(ADDRESS(1240,38))+INDIRECT(ADDRESS(1241,38))-INDIRECT(ADDRESS(1244,38)),INDIRECT(ADDRESS(1245,37))-INDIRECT(ADDRESS(1240,38))+INDIRECT(ADDRESS(1243,38))-INDIRECT(ADDRESS(1244,38)))</f>
        <v>0</v>
      </c>
      <c r="AM1245">
        <f>IF(DAY(NOW())&lt;M3,INDIRECT(ADDRESS(1245,38))-INDIRECT(ADDRESS(1240,39))+INDIRECT(ADDRESS(1241,39))-INDIRECT(ADDRESS(1244,39)),INDIRECT(ADDRESS(1245,38))-INDIRECT(ADDRESS(1240,39))+INDIRECT(ADDRESS(1243,39))-INDIRECT(ADDRESS(1244,39)))</f>
        <v>0</v>
      </c>
      <c r="AN1245">
        <f>IF(DAY(NOW())&lt;M3,INDIRECT(ADDRESS(1245,39))-INDIRECT(ADDRESS(1240,40))+INDIRECT(ADDRESS(1241,40))-INDIRECT(ADDRESS(1244,40)),INDIRECT(ADDRESS(1245,39))-INDIRECT(ADDRESS(1240,40))+INDIRECT(ADDRESS(1243,40))-INDIRECT(ADDRESS(1244,40)))</f>
        <v>0</v>
      </c>
      <c r="AO1245">
        <f>IF(DAY(NOW())&lt;M3,INDIRECT(ADDRESS(1245,40))-INDIRECT(ADDRESS(1240,41))+INDIRECT(ADDRESS(1241,41))-INDIRECT(ADDRESS(1244,41)),INDIRECT(ADDRESS(1245,40))-INDIRECT(ADDRESS(1240,41))+INDIRECT(ADDRESS(1243,41))-INDIRECT(ADDRESS(1244,41)))</f>
        <v>0</v>
      </c>
      <c r="AP1245">
        <f>IF(DAY(NOW())&lt;M3,INDIRECT(ADDRESS(1245,41))-INDIRECT(ADDRESS(1240,42))+INDIRECT(ADDRESS(1241,42))-INDIRECT(ADDRESS(1244,42)),INDIRECT(ADDRESS(1245,41))-INDIRECT(ADDRESS(1240,42))+INDIRECT(ADDRESS(1243,42))-INDIRECT(ADDRESS(1244,42)))</f>
        <v>0</v>
      </c>
      <c r="AQ1245">
        <f>IF(DAY(NOW())&lt;M3,INDIRECT(ADDRESS(1245,42))-INDIRECT(ADDRESS(1240,43))+INDIRECT(ADDRESS(1241,43))-INDIRECT(ADDRESS(1244,43)),INDIRECT(ADDRESS(1245,42))-INDIRECT(ADDRESS(1240,43))+INDIRECT(ADDRESS(1243,43))-INDIRECT(ADDRESS(1244,43)))</f>
        <v>0</v>
      </c>
      <c r="AR1245">
        <f>IF(DAY(NOW())&lt;M3,INDIRECT(ADDRESS(1245,43))-INDIRECT(ADDRESS(1240,44))+INDIRECT(ADDRESS(1241,44))-INDIRECT(ADDRESS(1244,44)),INDIRECT(ADDRESS(1245,43))-INDIRECT(ADDRESS(1240,44))+INDIRECT(ADDRESS(1243,44))-INDIRECT(ADDRESS(1244,44)))</f>
        <v>0</v>
      </c>
    </row>
    <row r="1246" spans="1:76">
      <c r="A1246" t="s">
        <v>31</v>
      </c>
      <c r="B1246" t="s">
        <v>506</v>
      </c>
      <c r="C1246" t="s">
        <v>507</v>
      </c>
      <c r="E1246" t="s">
        <v>453</v>
      </c>
      <c r="F1246" t="s">
        <v>507</v>
      </c>
      <c r="K1246" t="s">
        <v>499</v>
      </c>
      <c r="L1246" t="s">
        <v>21</v>
      </c>
      <c r="M1246">
        <f>sumifs(BOM!m:m,BOM!A:A,".1",BOM!B:B,"222-023400-000")</f>
        <v>0</v>
      </c>
      <c r="N1246">
        <f>sumifs(BOM!n:n,BOM!A:A,".1",BOM!B:B,"222-023400-000")</f>
        <v>0</v>
      </c>
      <c r="O1246">
        <f>sumifs(BOM!o:o,BOM!A:A,".1",BOM!B:B,"222-023400-000")</f>
        <v>0</v>
      </c>
      <c r="P1246">
        <f>sumifs(BOM!p:p,BOM!A:A,".1",BOM!B:B,"222-023400-000")</f>
        <v>0</v>
      </c>
      <c r="Q1246">
        <f>sumifs(BOM!q:q,BOM!A:A,".1",BOM!B:B,"222-023400-000")</f>
        <v>0</v>
      </c>
      <c r="R1246">
        <f>sumifs(BOM!r:r,BOM!A:A,".1",BOM!B:B,"222-023400-000")</f>
        <v>0</v>
      </c>
      <c r="S1246">
        <f>sumifs(BOM!s:s,BOM!A:A,".1",BOM!B:B,"222-023400-000")</f>
        <v>0</v>
      </c>
      <c r="T1246">
        <f>sumifs(BOM!t:t,BOM!A:A,".1",BOM!B:B,"222-023400-000")</f>
        <v>0</v>
      </c>
      <c r="U1246">
        <f>sumifs(BOM!u:u,BOM!A:A,".1",BOM!B:B,"222-023400-000")</f>
        <v>0</v>
      </c>
      <c r="V1246">
        <f>sumifs(BOM!v:v,BOM!A:A,".1",BOM!B:B,"222-023400-000")</f>
        <v>0</v>
      </c>
      <c r="W1246">
        <f>sumifs(BOM!w:w,BOM!A:A,".1",BOM!B:B,"222-023400-000")</f>
        <v>0</v>
      </c>
      <c r="X1246">
        <f>sumifs(BOM!x:x,BOM!A:A,".1",BOM!B:B,"222-023400-000")</f>
        <v>0</v>
      </c>
      <c r="Y1246">
        <f>sumifs(BOM!y:y,BOM!A:A,".1",BOM!B:B,"222-023400-000")</f>
        <v>0</v>
      </c>
      <c r="Z1246">
        <f>sumifs(BOM!z:z,BOM!A:A,".1",BOM!B:B,"222-023400-000")</f>
        <v>0</v>
      </c>
      <c r="AA1246">
        <f>sumifs(BOM!aa:aa,BOM!A:A,".1",BOM!B:B,"222-023400-000")</f>
        <v>0</v>
      </c>
      <c r="AB1246">
        <f>sumifs(BOM!ab:ab,BOM!A:A,".1",BOM!B:B,"222-023400-000")</f>
        <v>0</v>
      </c>
      <c r="AC1246">
        <f>sumifs(BOM!ac:ac,BOM!A:A,".1",BOM!B:B,"222-023400-000")</f>
        <v>0</v>
      </c>
      <c r="AD1246">
        <f>sumifs(BOM!ad:ad,BOM!A:A,".1",BOM!B:B,"222-023400-000")</f>
        <v>0</v>
      </c>
      <c r="AE1246">
        <f>sumifs(BOM!ae:ae,BOM!A:A,".1",BOM!B:B,"222-023400-000")</f>
        <v>0</v>
      </c>
      <c r="AF1246">
        <f>sumifs(BOM!af:af,BOM!A:A,".1",BOM!B:B,"222-023400-000")</f>
        <v>0</v>
      </c>
      <c r="AG1246">
        <f>sumifs(BOM!ag:ag,BOM!A:A,".1",BOM!B:B,"222-023400-000")</f>
        <v>0</v>
      </c>
      <c r="AH1246">
        <f>sumifs(BOM!ah:ah,BOM!A:A,".1",BOM!B:B,"222-023400-000")</f>
        <v>0</v>
      </c>
      <c r="AI1246">
        <f>sumifs(BOM!ai:ai,BOM!A:A,".1",BOM!B:B,"222-023400-000")</f>
        <v>0</v>
      </c>
      <c r="AJ1246">
        <f>sumifs(BOM!aj:aj,BOM!A:A,".1",BOM!B:B,"222-023400-000")</f>
        <v>0</v>
      </c>
      <c r="AK1246">
        <f>sumifs(BOM!ak:ak,BOM!A:A,".1",BOM!B:B,"222-023400-000")</f>
        <v>0</v>
      </c>
      <c r="AL1246">
        <f>sumifs(BOM!al:al,BOM!A:A,".1",BOM!B:B,"222-023400-000")</f>
        <v>0</v>
      </c>
      <c r="AM1246">
        <f>sumifs(BOM!am:am,BOM!A:A,".1",BOM!B:B,"222-023400-000")</f>
        <v>0</v>
      </c>
      <c r="AN1246">
        <f>sumifs(BOM!an:an,BOM!A:A,".1",BOM!B:B,"222-023400-000")</f>
        <v>0</v>
      </c>
      <c r="AO1246">
        <f>sumifs(BOM!ao:ao,BOM!A:A,".1",BOM!B:B,"222-023400-000")</f>
        <v>0</v>
      </c>
      <c r="AP1246">
        <f>sumifs(BOM!ap:ap,BOM!A:A,".1",BOM!B:B,"222-023400-000")</f>
        <v>0</v>
      </c>
      <c r="AQ1246">
        <f>sumifs(BOM!aq:aq,BOM!A:A,".1",BOM!B:B,"222-023400-000")</f>
        <v>0</v>
      </c>
      <c r="AR1246">
        <f>sumifs(BOM!ar:ar,BOM!A:A,".1",BOM!B:B,"222-023400-000")</f>
        <v>0</v>
      </c>
      <c r="BX1246">
        <f>sum(j1246:an1246)</f>
        <v>0</v>
      </c>
    </row>
    <row r="1247" spans="1:76">
      <c r="A1247" t="s">
        <v>31</v>
      </c>
      <c r="B1247" t="s">
        <v>506</v>
      </c>
      <c r="C1247" t="s">
        <v>507</v>
      </c>
      <c r="E1247" t="s">
        <v>453</v>
      </c>
      <c r="F1247" t="s">
        <v>507</v>
      </c>
      <c r="K1247" t="s">
        <v>499</v>
      </c>
      <c r="L1247" t="s">
        <v>37</v>
      </c>
    </row>
    <row r="1248" spans="1:76">
      <c r="L1248" t="s">
        <v>662</v>
      </c>
    </row>
    <row r="1249" spans="1:76">
      <c r="L1249" t="s">
        <v>663</v>
      </c>
    </row>
    <row r="1250" spans="1:76">
      <c r="L1250" t="s">
        <v>664</v>
      </c>
    </row>
    <row r="1251" spans="1:76">
      <c r="L1251" t="s">
        <v>665</v>
      </c>
      <c r="M1251">
        <f>IF(DAY(NOW())&lt;M3,INDIRECT(ADDRESS(1251,7))-INDIRECT(ADDRESS(1246,13))+INDIRECT(ADDRESS(1247,13))-INDIRECT(ADDRESS(1250,13)),INDIRECT(ADDRESS(1251,7))-INDIRECT(ADDRESS(1246,13))+INDIRECT(ADDRESS(1249,13))-INDIRECT(ADDRESS(1250,13)))</f>
        <v>0</v>
      </c>
      <c r="N1251">
        <f>IF(DAY(NOW())&lt;M3,INDIRECT(ADDRESS(1251,13))-INDIRECT(ADDRESS(1246,14))+INDIRECT(ADDRESS(1247,14))-INDIRECT(ADDRESS(1250,14)),INDIRECT(ADDRESS(1251,13))-INDIRECT(ADDRESS(1246,14))+INDIRECT(ADDRESS(1249,14))-INDIRECT(ADDRESS(1250,14)))</f>
        <v>0</v>
      </c>
      <c r="O1251">
        <f>IF(DAY(NOW())&lt;M3,INDIRECT(ADDRESS(1251,14))-INDIRECT(ADDRESS(1246,15))+INDIRECT(ADDRESS(1247,15))-INDIRECT(ADDRESS(1250,15)),INDIRECT(ADDRESS(1251,14))-INDIRECT(ADDRESS(1246,15))+INDIRECT(ADDRESS(1249,15))-INDIRECT(ADDRESS(1250,15)))</f>
        <v>0</v>
      </c>
      <c r="P1251">
        <f>IF(DAY(NOW())&lt;M3,INDIRECT(ADDRESS(1251,15))-INDIRECT(ADDRESS(1246,16))+INDIRECT(ADDRESS(1247,16))-INDIRECT(ADDRESS(1250,16)),INDIRECT(ADDRESS(1251,15))-INDIRECT(ADDRESS(1246,16))+INDIRECT(ADDRESS(1249,16))-INDIRECT(ADDRESS(1250,16)))</f>
        <v>0</v>
      </c>
      <c r="Q1251">
        <f>IF(DAY(NOW())&lt;M3,INDIRECT(ADDRESS(1251,16))-INDIRECT(ADDRESS(1246,17))+INDIRECT(ADDRESS(1247,17))-INDIRECT(ADDRESS(1250,17)),INDIRECT(ADDRESS(1251,16))-INDIRECT(ADDRESS(1246,17))+INDIRECT(ADDRESS(1249,17))-INDIRECT(ADDRESS(1250,17)))</f>
        <v>0</v>
      </c>
      <c r="R1251">
        <f>IF(DAY(NOW())&lt;M3,INDIRECT(ADDRESS(1251,17))-INDIRECT(ADDRESS(1246,18))+INDIRECT(ADDRESS(1247,18))-INDIRECT(ADDRESS(1250,18)),INDIRECT(ADDRESS(1251,17))-INDIRECT(ADDRESS(1246,18))+INDIRECT(ADDRESS(1249,18))-INDIRECT(ADDRESS(1250,18)))</f>
        <v>0</v>
      </c>
      <c r="S1251">
        <f>IF(DAY(NOW())&lt;M3,INDIRECT(ADDRESS(1251,18))-INDIRECT(ADDRESS(1246,19))+INDIRECT(ADDRESS(1247,19))-INDIRECT(ADDRESS(1250,19)),INDIRECT(ADDRESS(1251,18))-INDIRECT(ADDRESS(1246,19))+INDIRECT(ADDRESS(1249,19))-INDIRECT(ADDRESS(1250,19)))</f>
        <v>0</v>
      </c>
      <c r="T1251">
        <f>IF(DAY(NOW())&lt;M3,INDIRECT(ADDRESS(1251,19))-INDIRECT(ADDRESS(1246,20))+INDIRECT(ADDRESS(1247,20))-INDIRECT(ADDRESS(1250,20)),INDIRECT(ADDRESS(1251,19))-INDIRECT(ADDRESS(1246,20))+INDIRECT(ADDRESS(1249,20))-INDIRECT(ADDRESS(1250,20)))</f>
        <v>0</v>
      </c>
      <c r="U1251">
        <f>IF(DAY(NOW())&lt;M3,INDIRECT(ADDRESS(1251,20))-INDIRECT(ADDRESS(1246,21))+INDIRECT(ADDRESS(1247,21))-INDIRECT(ADDRESS(1250,21)),INDIRECT(ADDRESS(1251,20))-INDIRECT(ADDRESS(1246,21))+INDIRECT(ADDRESS(1249,21))-INDIRECT(ADDRESS(1250,21)))</f>
        <v>0</v>
      </c>
      <c r="V1251">
        <f>IF(DAY(NOW())&lt;M3,INDIRECT(ADDRESS(1251,21))-INDIRECT(ADDRESS(1246,22))+INDIRECT(ADDRESS(1247,22))-INDIRECT(ADDRESS(1250,22)),INDIRECT(ADDRESS(1251,21))-INDIRECT(ADDRESS(1246,22))+INDIRECT(ADDRESS(1249,22))-INDIRECT(ADDRESS(1250,22)))</f>
        <v>0</v>
      </c>
      <c r="W1251">
        <f>IF(DAY(NOW())&lt;M3,INDIRECT(ADDRESS(1251,22))-INDIRECT(ADDRESS(1246,23))+INDIRECT(ADDRESS(1247,23))-INDIRECT(ADDRESS(1250,23)),INDIRECT(ADDRESS(1251,22))-INDIRECT(ADDRESS(1246,23))+INDIRECT(ADDRESS(1249,23))-INDIRECT(ADDRESS(1250,23)))</f>
        <v>0</v>
      </c>
      <c r="X1251">
        <f>IF(DAY(NOW())&lt;M3,INDIRECT(ADDRESS(1251,23))-INDIRECT(ADDRESS(1246,24))+INDIRECT(ADDRESS(1247,24))-INDIRECT(ADDRESS(1250,24)),INDIRECT(ADDRESS(1251,23))-INDIRECT(ADDRESS(1246,24))+INDIRECT(ADDRESS(1249,24))-INDIRECT(ADDRESS(1250,24)))</f>
        <v>0</v>
      </c>
      <c r="Y1251">
        <f>IF(DAY(NOW())&lt;M3,INDIRECT(ADDRESS(1251,24))-INDIRECT(ADDRESS(1246,25))+INDIRECT(ADDRESS(1247,25))-INDIRECT(ADDRESS(1250,25)),INDIRECT(ADDRESS(1251,24))-INDIRECT(ADDRESS(1246,25))+INDIRECT(ADDRESS(1249,25))-INDIRECT(ADDRESS(1250,25)))</f>
        <v>0</v>
      </c>
      <c r="Z1251">
        <f>IF(DAY(NOW())&lt;M3,INDIRECT(ADDRESS(1251,25))-INDIRECT(ADDRESS(1246,26))+INDIRECT(ADDRESS(1247,26))-INDIRECT(ADDRESS(1250,26)),INDIRECT(ADDRESS(1251,25))-INDIRECT(ADDRESS(1246,26))+INDIRECT(ADDRESS(1249,26))-INDIRECT(ADDRESS(1250,26)))</f>
        <v>0</v>
      </c>
      <c r="AA1251">
        <f>IF(DAY(NOW())&lt;M3,INDIRECT(ADDRESS(1251,26))-INDIRECT(ADDRESS(1246,27))+INDIRECT(ADDRESS(1247,27))-INDIRECT(ADDRESS(1250,27)),INDIRECT(ADDRESS(1251,26))-INDIRECT(ADDRESS(1246,27))+INDIRECT(ADDRESS(1249,27))-INDIRECT(ADDRESS(1250,27)))</f>
        <v>0</v>
      </c>
      <c r="AB1251">
        <f>IF(DAY(NOW())&lt;M3,INDIRECT(ADDRESS(1251,27))-INDIRECT(ADDRESS(1246,28))+INDIRECT(ADDRESS(1247,28))-INDIRECT(ADDRESS(1250,28)),INDIRECT(ADDRESS(1251,27))-INDIRECT(ADDRESS(1246,28))+INDIRECT(ADDRESS(1249,28))-INDIRECT(ADDRESS(1250,28)))</f>
        <v>0</v>
      </c>
      <c r="AC1251">
        <f>IF(DAY(NOW())&lt;M3,INDIRECT(ADDRESS(1251,28))-INDIRECT(ADDRESS(1246,29))+INDIRECT(ADDRESS(1247,29))-INDIRECT(ADDRESS(1250,29)),INDIRECT(ADDRESS(1251,28))-INDIRECT(ADDRESS(1246,29))+INDIRECT(ADDRESS(1249,29))-INDIRECT(ADDRESS(1250,29)))</f>
        <v>0</v>
      </c>
      <c r="AD1251">
        <f>IF(DAY(NOW())&lt;M3,INDIRECT(ADDRESS(1251,29))-INDIRECT(ADDRESS(1246,30))+INDIRECT(ADDRESS(1247,30))-INDIRECT(ADDRESS(1250,30)),INDIRECT(ADDRESS(1251,29))-INDIRECT(ADDRESS(1246,30))+INDIRECT(ADDRESS(1249,30))-INDIRECT(ADDRESS(1250,30)))</f>
        <v>0</v>
      </c>
      <c r="AE1251">
        <f>IF(DAY(NOW())&lt;M3,INDIRECT(ADDRESS(1251,30))-INDIRECT(ADDRESS(1246,31))+INDIRECT(ADDRESS(1247,31))-INDIRECT(ADDRESS(1250,31)),INDIRECT(ADDRESS(1251,30))-INDIRECT(ADDRESS(1246,31))+INDIRECT(ADDRESS(1249,31))-INDIRECT(ADDRESS(1250,31)))</f>
        <v>0</v>
      </c>
      <c r="AF1251">
        <f>IF(DAY(NOW())&lt;M3,INDIRECT(ADDRESS(1251,31))-INDIRECT(ADDRESS(1246,32))+INDIRECT(ADDRESS(1247,32))-INDIRECT(ADDRESS(1250,32)),INDIRECT(ADDRESS(1251,31))-INDIRECT(ADDRESS(1246,32))+INDIRECT(ADDRESS(1249,32))-INDIRECT(ADDRESS(1250,32)))</f>
        <v>0</v>
      </c>
      <c r="AG1251">
        <f>IF(DAY(NOW())&lt;M3,INDIRECT(ADDRESS(1251,32))-INDIRECT(ADDRESS(1246,33))+INDIRECT(ADDRESS(1247,33))-INDIRECT(ADDRESS(1250,33)),INDIRECT(ADDRESS(1251,32))-INDIRECT(ADDRESS(1246,33))+INDIRECT(ADDRESS(1249,33))-INDIRECT(ADDRESS(1250,33)))</f>
        <v>0</v>
      </c>
      <c r="AH1251">
        <f>IF(DAY(NOW())&lt;M3,INDIRECT(ADDRESS(1251,33))-INDIRECT(ADDRESS(1246,34))+INDIRECT(ADDRESS(1247,34))-INDIRECT(ADDRESS(1250,34)),INDIRECT(ADDRESS(1251,33))-INDIRECT(ADDRESS(1246,34))+INDIRECT(ADDRESS(1249,34))-INDIRECT(ADDRESS(1250,34)))</f>
        <v>0</v>
      </c>
      <c r="AI1251">
        <f>IF(DAY(NOW())&lt;M3,INDIRECT(ADDRESS(1251,34))-INDIRECT(ADDRESS(1246,35))+INDIRECT(ADDRESS(1247,35))-INDIRECT(ADDRESS(1250,35)),INDIRECT(ADDRESS(1251,34))-INDIRECT(ADDRESS(1246,35))+INDIRECT(ADDRESS(1249,35))-INDIRECT(ADDRESS(1250,35)))</f>
        <v>0</v>
      </c>
      <c r="AJ1251">
        <f>IF(DAY(NOW())&lt;M3,INDIRECT(ADDRESS(1251,35))-INDIRECT(ADDRESS(1246,36))+INDIRECT(ADDRESS(1247,36))-INDIRECT(ADDRESS(1250,36)),INDIRECT(ADDRESS(1251,35))-INDIRECT(ADDRESS(1246,36))+INDIRECT(ADDRESS(1249,36))-INDIRECT(ADDRESS(1250,36)))</f>
        <v>0</v>
      </c>
      <c r="AK1251">
        <f>IF(DAY(NOW())&lt;M3,INDIRECT(ADDRESS(1251,36))-INDIRECT(ADDRESS(1246,37))+INDIRECT(ADDRESS(1247,37))-INDIRECT(ADDRESS(1250,37)),INDIRECT(ADDRESS(1251,36))-INDIRECT(ADDRESS(1246,37))+INDIRECT(ADDRESS(1249,37))-INDIRECT(ADDRESS(1250,37)))</f>
        <v>0</v>
      </c>
      <c r="AL1251">
        <f>IF(DAY(NOW())&lt;M3,INDIRECT(ADDRESS(1251,37))-INDIRECT(ADDRESS(1246,38))+INDIRECT(ADDRESS(1247,38))-INDIRECT(ADDRESS(1250,38)),INDIRECT(ADDRESS(1251,37))-INDIRECT(ADDRESS(1246,38))+INDIRECT(ADDRESS(1249,38))-INDIRECT(ADDRESS(1250,38)))</f>
        <v>0</v>
      </c>
      <c r="AM1251">
        <f>IF(DAY(NOW())&lt;M3,INDIRECT(ADDRESS(1251,38))-INDIRECT(ADDRESS(1246,39))+INDIRECT(ADDRESS(1247,39))-INDIRECT(ADDRESS(1250,39)),INDIRECT(ADDRESS(1251,38))-INDIRECT(ADDRESS(1246,39))+INDIRECT(ADDRESS(1249,39))-INDIRECT(ADDRESS(1250,39)))</f>
        <v>0</v>
      </c>
      <c r="AN1251">
        <f>IF(DAY(NOW())&lt;M3,INDIRECT(ADDRESS(1251,39))-INDIRECT(ADDRESS(1246,40))+INDIRECT(ADDRESS(1247,40))-INDIRECT(ADDRESS(1250,40)),INDIRECT(ADDRESS(1251,39))-INDIRECT(ADDRESS(1246,40))+INDIRECT(ADDRESS(1249,40))-INDIRECT(ADDRESS(1250,40)))</f>
        <v>0</v>
      </c>
      <c r="AO1251">
        <f>IF(DAY(NOW())&lt;M3,INDIRECT(ADDRESS(1251,40))-INDIRECT(ADDRESS(1246,41))+INDIRECT(ADDRESS(1247,41))-INDIRECT(ADDRESS(1250,41)),INDIRECT(ADDRESS(1251,40))-INDIRECT(ADDRESS(1246,41))+INDIRECT(ADDRESS(1249,41))-INDIRECT(ADDRESS(1250,41)))</f>
        <v>0</v>
      </c>
      <c r="AP1251">
        <f>IF(DAY(NOW())&lt;M3,INDIRECT(ADDRESS(1251,41))-INDIRECT(ADDRESS(1246,42))+INDIRECT(ADDRESS(1247,42))-INDIRECT(ADDRESS(1250,42)),INDIRECT(ADDRESS(1251,41))-INDIRECT(ADDRESS(1246,42))+INDIRECT(ADDRESS(1249,42))-INDIRECT(ADDRESS(1250,42)))</f>
        <v>0</v>
      </c>
      <c r="AQ1251">
        <f>IF(DAY(NOW())&lt;M3,INDIRECT(ADDRESS(1251,42))-INDIRECT(ADDRESS(1246,43))+INDIRECT(ADDRESS(1247,43))-INDIRECT(ADDRESS(1250,43)),INDIRECT(ADDRESS(1251,42))-INDIRECT(ADDRESS(1246,43))+INDIRECT(ADDRESS(1249,43))-INDIRECT(ADDRESS(1250,43)))</f>
        <v>0</v>
      </c>
      <c r="AR1251">
        <f>IF(DAY(NOW())&lt;M3,INDIRECT(ADDRESS(1251,43))-INDIRECT(ADDRESS(1246,44))+INDIRECT(ADDRESS(1247,44))-INDIRECT(ADDRESS(1250,44)),INDIRECT(ADDRESS(1251,43))-INDIRECT(ADDRESS(1246,44))+INDIRECT(ADDRESS(1249,44))-INDIRECT(ADDRESS(1250,44)))</f>
        <v>0</v>
      </c>
    </row>
    <row r="1252" spans="1:76">
      <c r="A1252" t="s">
        <v>31</v>
      </c>
      <c r="B1252" t="s">
        <v>508</v>
      </c>
      <c r="C1252" t="s">
        <v>509</v>
      </c>
      <c r="E1252" t="s">
        <v>444</v>
      </c>
      <c r="F1252" t="s">
        <v>509</v>
      </c>
      <c r="K1252" t="s">
        <v>499</v>
      </c>
      <c r="L1252" t="s">
        <v>21</v>
      </c>
      <c r="M1252">
        <f>sumifs(BOM!m:m,BOM!A:A,".1",BOM!B:B,"212-037200-000")</f>
        <v>0</v>
      </c>
      <c r="N1252">
        <f>sumifs(BOM!n:n,BOM!A:A,".1",BOM!B:B,"212-037200-000")</f>
        <v>0</v>
      </c>
      <c r="O1252">
        <f>sumifs(BOM!o:o,BOM!A:A,".1",BOM!B:B,"212-037200-000")</f>
        <v>0</v>
      </c>
      <c r="P1252">
        <f>sumifs(BOM!p:p,BOM!A:A,".1",BOM!B:B,"212-037200-000")</f>
        <v>0</v>
      </c>
      <c r="Q1252">
        <f>sumifs(BOM!q:q,BOM!A:A,".1",BOM!B:B,"212-037200-000")</f>
        <v>0</v>
      </c>
      <c r="R1252">
        <f>sumifs(BOM!r:r,BOM!A:A,".1",BOM!B:B,"212-037200-000")</f>
        <v>0</v>
      </c>
      <c r="S1252">
        <f>sumifs(BOM!s:s,BOM!A:A,".1",BOM!B:B,"212-037200-000")</f>
        <v>0</v>
      </c>
      <c r="T1252">
        <f>sumifs(BOM!t:t,BOM!A:A,".1",BOM!B:B,"212-037200-000")</f>
        <v>0</v>
      </c>
      <c r="U1252">
        <f>sumifs(BOM!u:u,BOM!A:A,".1",BOM!B:B,"212-037200-000")</f>
        <v>0</v>
      </c>
      <c r="V1252">
        <f>sumifs(BOM!v:v,BOM!A:A,".1",BOM!B:B,"212-037200-000")</f>
        <v>0</v>
      </c>
      <c r="W1252">
        <f>sumifs(BOM!w:w,BOM!A:A,".1",BOM!B:B,"212-037200-000")</f>
        <v>0</v>
      </c>
      <c r="X1252">
        <f>sumifs(BOM!x:x,BOM!A:A,".1",BOM!B:B,"212-037200-000")</f>
        <v>0</v>
      </c>
      <c r="Y1252">
        <f>sumifs(BOM!y:y,BOM!A:A,".1",BOM!B:B,"212-037200-000")</f>
        <v>0</v>
      </c>
      <c r="Z1252">
        <f>sumifs(BOM!z:z,BOM!A:A,".1",BOM!B:B,"212-037200-000")</f>
        <v>0</v>
      </c>
      <c r="AA1252">
        <f>sumifs(BOM!aa:aa,BOM!A:A,".1",BOM!B:B,"212-037200-000")</f>
        <v>0</v>
      </c>
      <c r="AB1252">
        <f>sumifs(BOM!ab:ab,BOM!A:A,".1",BOM!B:B,"212-037200-000")</f>
        <v>0</v>
      </c>
      <c r="AC1252">
        <f>sumifs(BOM!ac:ac,BOM!A:A,".1",BOM!B:B,"212-037200-000")</f>
        <v>0</v>
      </c>
      <c r="AD1252">
        <f>sumifs(BOM!ad:ad,BOM!A:A,".1",BOM!B:B,"212-037200-000")</f>
        <v>0</v>
      </c>
      <c r="AE1252">
        <f>sumifs(BOM!ae:ae,BOM!A:A,".1",BOM!B:B,"212-037200-000")</f>
        <v>0</v>
      </c>
      <c r="AF1252">
        <f>sumifs(BOM!af:af,BOM!A:A,".1",BOM!B:B,"212-037200-000")</f>
        <v>0</v>
      </c>
      <c r="AG1252">
        <f>sumifs(BOM!ag:ag,BOM!A:A,".1",BOM!B:B,"212-037200-000")</f>
        <v>0</v>
      </c>
      <c r="AH1252">
        <f>sumifs(BOM!ah:ah,BOM!A:A,".1",BOM!B:B,"212-037200-000")</f>
        <v>0</v>
      </c>
      <c r="AI1252">
        <f>sumifs(BOM!ai:ai,BOM!A:A,".1",BOM!B:B,"212-037200-000")</f>
        <v>0</v>
      </c>
      <c r="AJ1252">
        <f>sumifs(BOM!aj:aj,BOM!A:A,".1",BOM!B:B,"212-037200-000")</f>
        <v>0</v>
      </c>
      <c r="AK1252">
        <f>sumifs(BOM!ak:ak,BOM!A:A,".1",BOM!B:B,"212-037200-000")</f>
        <v>0</v>
      </c>
      <c r="AL1252">
        <f>sumifs(BOM!al:al,BOM!A:A,".1",BOM!B:B,"212-037200-000")</f>
        <v>0</v>
      </c>
      <c r="AM1252">
        <f>sumifs(BOM!am:am,BOM!A:A,".1",BOM!B:B,"212-037200-000")</f>
        <v>0</v>
      </c>
      <c r="AN1252">
        <f>sumifs(BOM!an:an,BOM!A:A,".1",BOM!B:B,"212-037200-000")</f>
        <v>0</v>
      </c>
      <c r="AO1252">
        <f>sumifs(BOM!ao:ao,BOM!A:A,".1",BOM!B:B,"212-037200-000")</f>
        <v>0</v>
      </c>
      <c r="AP1252">
        <f>sumifs(BOM!ap:ap,BOM!A:A,".1",BOM!B:B,"212-037200-000")</f>
        <v>0</v>
      </c>
      <c r="AQ1252">
        <f>sumifs(BOM!aq:aq,BOM!A:A,".1",BOM!B:B,"212-037200-000")</f>
        <v>0</v>
      </c>
      <c r="AR1252">
        <f>sumifs(BOM!ar:ar,BOM!A:A,".1",BOM!B:B,"212-037200-000")</f>
        <v>0</v>
      </c>
      <c r="BX1252">
        <f>sum(j1252:an1252)</f>
        <v>0</v>
      </c>
    </row>
    <row r="1253" spans="1:76">
      <c r="A1253" t="s">
        <v>31</v>
      </c>
      <c r="B1253" t="s">
        <v>508</v>
      </c>
      <c r="C1253" t="s">
        <v>509</v>
      </c>
      <c r="E1253" t="s">
        <v>444</v>
      </c>
      <c r="F1253" t="s">
        <v>509</v>
      </c>
      <c r="K1253" t="s">
        <v>499</v>
      </c>
      <c r="L1253" t="s">
        <v>37</v>
      </c>
    </row>
    <row r="1254" spans="1:76">
      <c r="L1254" t="s">
        <v>662</v>
      </c>
    </row>
    <row r="1255" spans="1:76">
      <c r="L1255" t="s">
        <v>663</v>
      </c>
    </row>
    <row r="1256" spans="1:76">
      <c r="L1256" t="s">
        <v>664</v>
      </c>
    </row>
    <row r="1257" spans="1:76">
      <c r="L1257" t="s">
        <v>665</v>
      </c>
      <c r="M1257">
        <f>IF(DAY(NOW())&lt;M3,INDIRECT(ADDRESS(1257,7))-INDIRECT(ADDRESS(1252,13))+INDIRECT(ADDRESS(1253,13))-INDIRECT(ADDRESS(1256,13)),INDIRECT(ADDRESS(1257,7))-INDIRECT(ADDRESS(1252,13))+INDIRECT(ADDRESS(1255,13))-INDIRECT(ADDRESS(1256,13)))</f>
        <v>0</v>
      </c>
      <c r="N1257">
        <f>IF(DAY(NOW())&lt;M3,INDIRECT(ADDRESS(1257,13))-INDIRECT(ADDRESS(1252,14))+INDIRECT(ADDRESS(1253,14))-INDIRECT(ADDRESS(1256,14)),INDIRECT(ADDRESS(1257,13))-INDIRECT(ADDRESS(1252,14))+INDIRECT(ADDRESS(1255,14))-INDIRECT(ADDRESS(1256,14)))</f>
        <v>0</v>
      </c>
      <c r="O1257">
        <f>IF(DAY(NOW())&lt;M3,INDIRECT(ADDRESS(1257,14))-INDIRECT(ADDRESS(1252,15))+INDIRECT(ADDRESS(1253,15))-INDIRECT(ADDRESS(1256,15)),INDIRECT(ADDRESS(1257,14))-INDIRECT(ADDRESS(1252,15))+INDIRECT(ADDRESS(1255,15))-INDIRECT(ADDRESS(1256,15)))</f>
        <v>0</v>
      </c>
      <c r="P1257">
        <f>IF(DAY(NOW())&lt;M3,INDIRECT(ADDRESS(1257,15))-INDIRECT(ADDRESS(1252,16))+INDIRECT(ADDRESS(1253,16))-INDIRECT(ADDRESS(1256,16)),INDIRECT(ADDRESS(1257,15))-INDIRECT(ADDRESS(1252,16))+INDIRECT(ADDRESS(1255,16))-INDIRECT(ADDRESS(1256,16)))</f>
        <v>0</v>
      </c>
      <c r="Q1257">
        <f>IF(DAY(NOW())&lt;M3,INDIRECT(ADDRESS(1257,16))-INDIRECT(ADDRESS(1252,17))+INDIRECT(ADDRESS(1253,17))-INDIRECT(ADDRESS(1256,17)),INDIRECT(ADDRESS(1257,16))-INDIRECT(ADDRESS(1252,17))+INDIRECT(ADDRESS(1255,17))-INDIRECT(ADDRESS(1256,17)))</f>
        <v>0</v>
      </c>
      <c r="R1257">
        <f>IF(DAY(NOW())&lt;M3,INDIRECT(ADDRESS(1257,17))-INDIRECT(ADDRESS(1252,18))+INDIRECT(ADDRESS(1253,18))-INDIRECT(ADDRESS(1256,18)),INDIRECT(ADDRESS(1257,17))-INDIRECT(ADDRESS(1252,18))+INDIRECT(ADDRESS(1255,18))-INDIRECT(ADDRESS(1256,18)))</f>
        <v>0</v>
      </c>
      <c r="S1257">
        <f>IF(DAY(NOW())&lt;M3,INDIRECT(ADDRESS(1257,18))-INDIRECT(ADDRESS(1252,19))+INDIRECT(ADDRESS(1253,19))-INDIRECT(ADDRESS(1256,19)),INDIRECT(ADDRESS(1257,18))-INDIRECT(ADDRESS(1252,19))+INDIRECT(ADDRESS(1255,19))-INDIRECT(ADDRESS(1256,19)))</f>
        <v>0</v>
      </c>
      <c r="T1257">
        <f>IF(DAY(NOW())&lt;M3,INDIRECT(ADDRESS(1257,19))-INDIRECT(ADDRESS(1252,20))+INDIRECT(ADDRESS(1253,20))-INDIRECT(ADDRESS(1256,20)),INDIRECT(ADDRESS(1257,19))-INDIRECT(ADDRESS(1252,20))+INDIRECT(ADDRESS(1255,20))-INDIRECT(ADDRESS(1256,20)))</f>
        <v>0</v>
      </c>
      <c r="U1257">
        <f>IF(DAY(NOW())&lt;M3,INDIRECT(ADDRESS(1257,20))-INDIRECT(ADDRESS(1252,21))+INDIRECT(ADDRESS(1253,21))-INDIRECT(ADDRESS(1256,21)),INDIRECT(ADDRESS(1257,20))-INDIRECT(ADDRESS(1252,21))+INDIRECT(ADDRESS(1255,21))-INDIRECT(ADDRESS(1256,21)))</f>
        <v>0</v>
      </c>
      <c r="V1257">
        <f>IF(DAY(NOW())&lt;M3,INDIRECT(ADDRESS(1257,21))-INDIRECT(ADDRESS(1252,22))+INDIRECT(ADDRESS(1253,22))-INDIRECT(ADDRESS(1256,22)),INDIRECT(ADDRESS(1257,21))-INDIRECT(ADDRESS(1252,22))+INDIRECT(ADDRESS(1255,22))-INDIRECT(ADDRESS(1256,22)))</f>
        <v>0</v>
      </c>
      <c r="W1257">
        <f>IF(DAY(NOW())&lt;M3,INDIRECT(ADDRESS(1257,22))-INDIRECT(ADDRESS(1252,23))+INDIRECT(ADDRESS(1253,23))-INDIRECT(ADDRESS(1256,23)),INDIRECT(ADDRESS(1257,22))-INDIRECT(ADDRESS(1252,23))+INDIRECT(ADDRESS(1255,23))-INDIRECT(ADDRESS(1256,23)))</f>
        <v>0</v>
      </c>
      <c r="X1257">
        <f>IF(DAY(NOW())&lt;M3,INDIRECT(ADDRESS(1257,23))-INDIRECT(ADDRESS(1252,24))+INDIRECT(ADDRESS(1253,24))-INDIRECT(ADDRESS(1256,24)),INDIRECT(ADDRESS(1257,23))-INDIRECT(ADDRESS(1252,24))+INDIRECT(ADDRESS(1255,24))-INDIRECT(ADDRESS(1256,24)))</f>
        <v>0</v>
      </c>
      <c r="Y1257">
        <f>IF(DAY(NOW())&lt;M3,INDIRECT(ADDRESS(1257,24))-INDIRECT(ADDRESS(1252,25))+INDIRECT(ADDRESS(1253,25))-INDIRECT(ADDRESS(1256,25)),INDIRECT(ADDRESS(1257,24))-INDIRECT(ADDRESS(1252,25))+INDIRECT(ADDRESS(1255,25))-INDIRECT(ADDRESS(1256,25)))</f>
        <v>0</v>
      </c>
      <c r="Z1257">
        <f>IF(DAY(NOW())&lt;M3,INDIRECT(ADDRESS(1257,25))-INDIRECT(ADDRESS(1252,26))+INDIRECT(ADDRESS(1253,26))-INDIRECT(ADDRESS(1256,26)),INDIRECT(ADDRESS(1257,25))-INDIRECT(ADDRESS(1252,26))+INDIRECT(ADDRESS(1255,26))-INDIRECT(ADDRESS(1256,26)))</f>
        <v>0</v>
      </c>
      <c r="AA1257">
        <f>IF(DAY(NOW())&lt;M3,INDIRECT(ADDRESS(1257,26))-INDIRECT(ADDRESS(1252,27))+INDIRECT(ADDRESS(1253,27))-INDIRECT(ADDRESS(1256,27)),INDIRECT(ADDRESS(1257,26))-INDIRECT(ADDRESS(1252,27))+INDIRECT(ADDRESS(1255,27))-INDIRECT(ADDRESS(1256,27)))</f>
        <v>0</v>
      </c>
      <c r="AB1257">
        <f>IF(DAY(NOW())&lt;M3,INDIRECT(ADDRESS(1257,27))-INDIRECT(ADDRESS(1252,28))+INDIRECT(ADDRESS(1253,28))-INDIRECT(ADDRESS(1256,28)),INDIRECT(ADDRESS(1257,27))-INDIRECT(ADDRESS(1252,28))+INDIRECT(ADDRESS(1255,28))-INDIRECT(ADDRESS(1256,28)))</f>
        <v>0</v>
      </c>
      <c r="AC1257">
        <f>IF(DAY(NOW())&lt;M3,INDIRECT(ADDRESS(1257,28))-INDIRECT(ADDRESS(1252,29))+INDIRECT(ADDRESS(1253,29))-INDIRECT(ADDRESS(1256,29)),INDIRECT(ADDRESS(1257,28))-INDIRECT(ADDRESS(1252,29))+INDIRECT(ADDRESS(1255,29))-INDIRECT(ADDRESS(1256,29)))</f>
        <v>0</v>
      </c>
      <c r="AD1257">
        <f>IF(DAY(NOW())&lt;M3,INDIRECT(ADDRESS(1257,29))-INDIRECT(ADDRESS(1252,30))+INDIRECT(ADDRESS(1253,30))-INDIRECT(ADDRESS(1256,30)),INDIRECT(ADDRESS(1257,29))-INDIRECT(ADDRESS(1252,30))+INDIRECT(ADDRESS(1255,30))-INDIRECT(ADDRESS(1256,30)))</f>
        <v>0</v>
      </c>
      <c r="AE1257">
        <f>IF(DAY(NOW())&lt;M3,INDIRECT(ADDRESS(1257,30))-INDIRECT(ADDRESS(1252,31))+INDIRECT(ADDRESS(1253,31))-INDIRECT(ADDRESS(1256,31)),INDIRECT(ADDRESS(1257,30))-INDIRECT(ADDRESS(1252,31))+INDIRECT(ADDRESS(1255,31))-INDIRECT(ADDRESS(1256,31)))</f>
        <v>0</v>
      </c>
      <c r="AF1257">
        <f>IF(DAY(NOW())&lt;M3,INDIRECT(ADDRESS(1257,31))-INDIRECT(ADDRESS(1252,32))+INDIRECT(ADDRESS(1253,32))-INDIRECT(ADDRESS(1256,32)),INDIRECT(ADDRESS(1257,31))-INDIRECT(ADDRESS(1252,32))+INDIRECT(ADDRESS(1255,32))-INDIRECT(ADDRESS(1256,32)))</f>
        <v>0</v>
      </c>
      <c r="AG1257">
        <f>IF(DAY(NOW())&lt;M3,INDIRECT(ADDRESS(1257,32))-INDIRECT(ADDRESS(1252,33))+INDIRECT(ADDRESS(1253,33))-INDIRECT(ADDRESS(1256,33)),INDIRECT(ADDRESS(1257,32))-INDIRECT(ADDRESS(1252,33))+INDIRECT(ADDRESS(1255,33))-INDIRECT(ADDRESS(1256,33)))</f>
        <v>0</v>
      </c>
      <c r="AH1257">
        <f>IF(DAY(NOW())&lt;M3,INDIRECT(ADDRESS(1257,33))-INDIRECT(ADDRESS(1252,34))+INDIRECT(ADDRESS(1253,34))-INDIRECT(ADDRESS(1256,34)),INDIRECT(ADDRESS(1257,33))-INDIRECT(ADDRESS(1252,34))+INDIRECT(ADDRESS(1255,34))-INDIRECT(ADDRESS(1256,34)))</f>
        <v>0</v>
      </c>
      <c r="AI1257">
        <f>IF(DAY(NOW())&lt;M3,INDIRECT(ADDRESS(1257,34))-INDIRECT(ADDRESS(1252,35))+INDIRECT(ADDRESS(1253,35))-INDIRECT(ADDRESS(1256,35)),INDIRECT(ADDRESS(1257,34))-INDIRECT(ADDRESS(1252,35))+INDIRECT(ADDRESS(1255,35))-INDIRECT(ADDRESS(1256,35)))</f>
        <v>0</v>
      </c>
      <c r="AJ1257">
        <f>IF(DAY(NOW())&lt;M3,INDIRECT(ADDRESS(1257,35))-INDIRECT(ADDRESS(1252,36))+INDIRECT(ADDRESS(1253,36))-INDIRECT(ADDRESS(1256,36)),INDIRECT(ADDRESS(1257,35))-INDIRECT(ADDRESS(1252,36))+INDIRECT(ADDRESS(1255,36))-INDIRECT(ADDRESS(1256,36)))</f>
        <v>0</v>
      </c>
      <c r="AK1257">
        <f>IF(DAY(NOW())&lt;M3,INDIRECT(ADDRESS(1257,36))-INDIRECT(ADDRESS(1252,37))+INDIRECT(ADDRESS(1253,37))-INDIRECT(ADDRESS(1256,37)),INDIRECT(ADDRESS(1257,36))-INDIRECT(ADDRESS(1252,37))+INDIRECT(ADDRESS(1255,37))-INDIRECT(ADDRESS(1256,37)))</f>
        <v>0</v>
      </c>
      <c r="AL1257">
        <f>IF(DAY(NOW())&lt;M3,INDIRECT(ADDRESS(1257,37))-INDIRECT(ADDRESS(1252,38))+INDIRECT(ADDRESS(1253,38))-INDIRECT(ADDRESS(1256,38)),INDIRECT(ADDRESS(1257,37))-INDIRECT(ADDRESS(1252,38))+INDIRECT(ADDRESS(1255,38))-INDIRECT(ADDRESS(1256,38)))</f>
        <v>0</v>
      </c>
      <c r="AM1257">
        <f>IF(DAY(NOW())&lt;M3,INDIRECT(ADDRESS(1257,38))-INDIRECT(ADDRESS(1252,39))+INDIRECT(ADDRESS(1253,39))-INDIRECT(ADDRESS(1256,39)),INDIRECT(ADDRESS(1257,38))-INDIRECT(ADDRESS(1252,39))+INDIRECT(ADDRESS(1255,39))-INDIRECT(ADDRESS(1256,39)))</f>
        <v>0</v>
      </c>
      <c r="AN1257">
        <f>IF(DAY(NOW())&lt;M3,INDIRECT(ADDRESS(1257,39))-INDIRECT(ADDRESS(1252,40))+INDIRECT(ADDRESS(1253,40))-INDIRECT(ADDRESS(1256,40)),INDIRECT(ADDRESS(1257,39))-INDIRECT(ADDRESS(1252,40))+INDIRECT(ADDRESS(1255,40))-INDIRECT(ADDRESS(1256,40)))</f>
        <v>0</v>
      </c>
      <c r="AO1257">
        <f>IF(DAY(NOW())&lt;M3,INDIRECT(ADDRESS(1257,40))-INDIRECT(ADDRESS(1252,41))+INDIRECT(ADDRESS(1253,41))-INDIRECT(ADDRESS(1256,41)),INDIRECT(ADDRESS(1257,40))-INDIRECT(ADDRESS(1252,41))+INDIRECT(ADDRESS(1255,41))-INDIRECT(ADDRESS(1256,41)))</f>
        <v>0</v>
      </c>
      <c r="AP1257">
        <f>IF(DAY(NOW())&lt;M3,INDIRECT(ADDRESS(1257,41))-INDIRECT(ADDRESS(1252,42))+INDIRECT(ADDRESS(1253,42))-INDIRECT(ADDRESS(1256,42)),INDIRECT(ADDRESS(1257,41))-INDIRECT(ADDRESS(1252,42))+INDIRECT(ADDRESS(1255,42))-INDIRECT(ADDRESS(1256,42)))</f>
        <v>0</v>
      </c>
      <c r="AQ1257">
        <f>IF(DAY(NOW())&lt;M3,INDIRECT(ADDRESS(1257,42))-INDIRECT(ADDRESS(1252,43))+INDIRECT(ADDRESS(1253,43))-INDIRECT(ADDRESS(1256,43)),INDIRECT(ADDRESS(1257,42))-INDIRECT(ADDRESS(1252,43))+INDIRECT(ADDRESS(1255,43))-INDIRECT(ADDRESS(1256,43)))</f>
        <v>0</v>
      </c>
      <c r="AR1257">
        <f>IF(DAY(NOW())&lt;M3,INDIRECT(ADDRESS(1257,43))-INDIRECT(ADDRESS(1252,44))+INDIRECT(ADDRESS(1253,44))-INDIRECT(ADDRESS(1256,44)),INDIRECT(ADDRESS(1257,43))-INDIRECT(ADDRESS(1252,44))+INDIRECT(ADDRESS(1255,44))-INDIRECT(ADDRESS(1256,44)))</f>
        <v>0</v>
      </c>
    </row>
    <row r="1258" spans="1:76">
      <c r="A1258" t="s">
        <v>14</v>
      </c>
      <c r="B1258" t="s">
        <v>478</v>
      </c>
      <c r="C1258" t="s">
        <v>481</v>
      </c>
      <c r="D1258" t="s">
        <v>480</v>
      </c>
      <c r="E1258" t="s">
        <v>444</v>
      </c>
      <c r="F1258" t="s">
        <v>481</v>
      </c>
      <c r="K1258" t="s">
        <v>497</v>
      </c>
      <c r="L1258" t="s">
        <v>21</v>
      </c>
      <c r="BX1258">
        <f>sum(j1258:an1258)</f>
        <v>0</v>
      </c>
    </row>
    <row r="1259" spans="1:76">
      <c r="A1259" t="s">
        <v>14</v>
      </c>
      <c r="B1259" t="s">
        <v>478</v>
      </c>
      <c r="C1259" t="s">
        <v>481</v>
      </c>
      <c r="D1259" t="s">
        <v>480</v>
      </c>
      <c r="E1259" t="s">
        <v>444</v>
      </c>
      <c r="F1259" t="s">
        <v>481</v>
      </c>
      <c r="K1259" t="s">
        <v>497</v>
      </c>
      <c r="L1259" t="s">
        <v>37</v>
      </c>
    </row>
    <row r="1260" spans="1:76">
      <c r="L1260" t="s">
        <v>662</v>
      </c>
    </row>
    <row r="1261" spans="1:76">
      <c r="L1261" t="s">
        <v>663</v>
      </c>
    </row>
    <row r="1262" spans="1:76">
      <c r="L1262" t="s">
        <v>664</v>
      </c>
    </row>
    <row r="1263" spans="1:76">
      <c r="L1263" t="s">
        <v>665</v>
      </c>
      <c r="M1263">
        <f>IF(DAY(NOW())&lt;M3,INDIRECT(ADDRESS(1263,7))-INDIRECT(ADDRESS(1258,13))+INDIRECT(ADDRESS(1259,13))-INDIRECT(ADDRESS(1262,13)),INDIRECT(ADDRESS(1263,7))-INDIRECT(ADDRESS(1258,13))+INDIRECT(ADDRESS(1261,13))-INDIRECT(ADDRESS(1262,13)))</f>
        <v>0</v>
      </c>
      <c r="N1263">
        <f>IF(DAY(NOW())&lt;M3,INDIRECT(ADDRESS(1263,13))-INDIRECT(ADDRESS(1258,14))+INDIRECT(ADDRESS(1259,14))-INDIRECT(ADDRESS(1262,14)),INDIRECT(ADDRESS(1263,13))-INDIRECT(ADDRESS(1258,14))+INDIRECT(ADDRESS(1261,14))-INDIRECT(ADDRESS(1262,14)))</f>
        <v>0</v>
      </c>
      <c r="O1263">
        <f>IF(DAY(NOW())&lt;M3,INDIRECT(ADDRESS(1263,14))-INDIRECT(ADDRESS(1258,15))+INDIRECT(ADDRESS(1259,15))-INDIRECT(ADDRESS(1262,15)),INDIRECT(ADDRESS(1263,14))-INDIRECT(ADDRESS(1258,15))+INDIRECT(ADDRESS(1261,15))-INDIRECT(ADDRESS(1262,15)))</f>
        <v>0</v>
      </c>
      <c r="P1263">
        <f>IF(DAY(NOW())&lt;M3,INDIRECT(ADDRESS(1263,15))-INDIRECT(ADDRESS(1258,16))+INDIRECT(ADDRESS(1259,16))-INDIRECT(ADDRESS(1262,16)),INDIRECT(ADDRESS(1263,15))-INDIRECT(ADDRESS(1258,16))+INDIRECT(ADDRESS(1261,16))-INDIRECT(ADDRESS(1262,16)))</f>
        <v>0</v>
      </c>
      <c r="Q1263">
        <f>IF(DAY(NOW())&lt;M3,INDIRECT(ADDRESS(1263,16))-INDIRECT(ADDRESS(1258,17))+INDIRECT(ADDRESS(1259,17))-INDIRECT(ADDRESS(1262,17)),INDIRECT(ADDRESS(1263,16))-INDIRECT(ADDRESS(1258,17))+INDIRECT(ADDRESS(1261,17))-INDIRECT(ADDRESS(1262,17)))</f>
        <v>0</v>
      </c>
      <c r="R1263">
        <f>IF(DAY(NOW())&lt;M3,INDIRECT(ADDRESS(1263,17))-INDIRECT(ADDRESS(1258,18))+INDIRECT(ADDRESS(1259,18))-INDIRECT(ADDRESS(1262,18)),INDIRECT(ADDRESS(1263,17))-INDIRECT(ADDRESS(1258,18))+INDIRECT(ADDRESS(1261,18))-INDIRECT(ADDRESS(1262,18)))</f>
        <v>0</v>
      </c>
      <c r="S1263">
        <f>IF(DAY(NOW())&lt;M3,INDIRECT(ADDRESS(1263,18))-INDIRECT(ADDRESS(1258,19))+INDIRECT(ADDRESS(1259,19))-INDIRECT(ADDRESS(1262,19)),INDIRECT(ADDRESS(1263,18))-INDIRECT(ADDRESS(1258,19))+INDIRECT(ADDRESS(1261,19))-INDIRECT(ADDRESS(1262,19)))</f>
        <v>0</v>
      </c>
      <c r="T1263">
        <f>IF(DAY(NOW())&lt;M3,INDIRECT(ADDRESS(1263,19))-INDIRECT(ADDRESS(1258,20))+INDIRECT(ADDRESS(1259,20))-INDIRECT(ADDRESS(1262,20)),INDIRECT(ADDRESS(1263,19))-INDIRECT(ADDRESS(1258,20))+INDIRECT(ADDRESS(1261,20))-INDIRECT(ADDRESS(1262,20)))</f>
        <v>0</v>
      </c>
      <c r="U1263">
        <f>IF(DAY(NOW())&lt;M3,INDIRECT(ADDRESS(1263,20))-INDIRECT(ADDRESS(1258,21))+INDIRECT(ADDRESS(1259,21))-INDIRECT(ADDRESS(1262,21)),INDIRECT(ADDRESS(1263,20))-INDIRECT(ADDRESS(1258,21))+INDIRECT(ADDRESS(1261,21))-INDIRECT(ADDRESS(1262,21)))</f>
        <v>0</v>
      </c>
      <c r="V1263">
        <f>IF(DAY(NOW())&lt;M3,INDIRECT(ADDRESS(1263,21))-INDIRECT(ADDRESS(1258,22))+INDIRECT(ADDRESS(1259,22))-INDIRECT(ADDRESS(1262,22)),INDIRECT(ADDRESS(1263,21))-INDIRECT(ADDRESS(1258,22))+INDIRECT(ADDRESS(1261,22))-INDIRECT(ADDRESS(1262,22)))</f>
        <v>0</v>
      </c>
      <c r="W1263">
        <f>IF(DAY(NOW())&lt;M3,INDIRECT(ADDRESS(1263,22))-INDIRECT(ADDRESS(1258,23))+INDIRECT(ADDRESS(1259,23))-INDIRECT(ADDRESS(1262,23)),INDIRECT(ADDRESS(1263,22))-INDIRECT(ADDRESS(1258,23))+INDIRECT(ADDRESS(1261,23))-INDIRECT(ADDRESS(1262,23)))</f>
        <v>0</v>
      </c>
      <c r="X1263">
        <f>IF(DAY(NOW())&lt;M3,INDIRECT(ADDRESS(1263,23))-INDIRECT(ADDRESS(1258,24))+INDIRECT(ADDRESS(1259,24))-INDIRECT(ADDRESS(1262,24)),INDIRECT(ADDRESS(1263,23))-INDIRECT(ADDRESS(1258,24))+INDIRECT(ADDRESS(1261,24))-INDIRECT(ADDRESS(1262,24)))</f>
        <v>0</v>
      </c>
      <c r="Y1263">
        <f>IF(DAY(NOW())&lt;M3,INDIRECT(ADDRESS(1263,24))-INDIRECT(ADDRESS(1258,25))+INDIRECT(ADDRESS(1259,25))-INDIRECT(ADDRESS(1262,25)),INDIRECT(ADDRESS(1263,24))-INDIRECT(ADDRESS(1258,25))+INDIRECT(ADDRESS(1261,25))-INDIRECT(ADDRESS(1262,25)))</f>
        <v>0</v>
      </c>
      <c r="Z1263">
        <f>IF(DAY(NOW())&lt;M3,INDIRECT(ADDRESS(1263,25))-INDIRECT(ADDRESS(1258,26))+INDIRECT(ADDRESS(1259,26))-INDIRECT(ADDRESS(1262,26)),INDIRECT(ADDRESS(1263,25))-INDIRECT(ADDRESS(1258,26))+INDIRECT(ADDRESS(1261,26))-INDIRECT(ADDRESS(1262,26)))</f>
        <v>0</v>
      </c>
      <c r="AA1263">
        <f>IF(DAY(NOW())&lt;M3,INDIRECT(ADDRESS(1263,26))-INDIRECT(ADDRESS(1258,27))+INDIRECT(ADDRESS(1259,27))-INDIRECT(ADDRESS(1262,27)),INDIRECT(ADDRESS(1263,26))-INDIRECT(ADDRESS(1258,27))+INDIRECT(ADDRESS(1261,27))-INDIRECT(ADDRESS(1262,27)))</f>
        <v>0</v>
      </c>
      <c r="AB1263">
        <f>IF(DAY(NOW())&lt;M3,INDIRECT(ADDRESS(1263,27))-INDIRECT(ADDRESS(1258,28))+INDIRECT(ADDRESS(1259,28))-INDIRECT(ADDRESS(1262,28)),INDIRECT(ADDRESS(1263,27))-INDIRECT(ADDRESS(1258,28))+INDIRECT(ADDRESS(1261,28))-INDIRECT(ADDRESS(1262,28)))</f>
        <v>0</v>
      </c>
      <c r="AC1263">
        <f>IF(DAY(NOW())&lt;M3,INDIRECT(ADDRESS(1263,28))-INDIRECT(ADDRESS(1258,29))+INDIRECT(ADDRESS(1259,29))-INDIRECT(ADDRESS(1262,29)),INDIRECT(ADDRESS(1263,28))-INDIRECT(ADDRESS(1258,29))+INDIRECT(ADDRESS(1261,29))-INDIRECT(ADDRESS(1262,29)))</f>
        <v>0</v>
      </c>
      <c r="AD1263">
        <f>IF(DAY(NOW())&lt;M3,INDIRECT(ADDRESS(1263,29))-INDIRECT(ADDRESS(1258,30))+INDIRECT(ADDRESS(1259,30))-INDIRECT(ADDRESS(1262,30)),INDIRECT(ADDRESS(1263,29))-INDIRECT(ADDRESS(1258,30))+INDIRECT(ADDRESS(1261,30))-INDIRECT(ADDRESS(1262,30)))</f>
        <v>0</v>
      </c>
      <c r="AE1263">
        <f>IF(DAY(NOW())&lt;M3,INDIRECT(ADDRESS(1263,30))-INDIRECT(ADDRESS(1258,31))+INDIRECT(ADDRESS(1259,31))-INDIRECT(ADDRESS(1262,31)),INDIRECT(ADDRESS(1263,30))-INDIRECT(ADDRESS(1258,31))+INDIRECT(ADDRESS(1261,31))-INDIRECT(ADDRESS(1262,31)))</f>
        <v>0</v>
      </c>
      <c r="AF1263">
        <f>IF(DAY(NOW())&lt;M3,INDIRECT(ADDRESS(1263,31))-INDIRECT(ADDRESS(1258,32))+INDIRECT(ADDRESS(1259,32))-INDIRECT(ADDRESS(1262,32)),INDIRECT(ADDRESS(1263,31))-INDIRECT(ADDRESS(1258,32))+INDIRECT(ADDRESS(1261,32))-INDIRECT(ADDRESS(1262,32)))</f>
        <v>0</v>
      </c>
      <c r="AG1263">
        <f>IF(DAY(NOW())&lt;M3,INDIRECT(ADDRESS(1263,32))-INDIRECT(ADDRESS(1258,33))+INDIRECT(ADDRESS(1259,33))-INDIRECT(ADDRESS(1262,33)),INDIRECT(ADDRESS(1263,32))-INDIRECT(ADDRESS(1258,33))+INDIRECT(ADDRESS(1261,33))-INDIRECT(ADDRESS(1262,33)))</f>
        <v>0</v>
      </c>
      <c r="AH1263">
        <f>IF(DAY(NOW())&lt;M3,INDIRECT(ADDRESS(1263,33))-INDIRECT(ADDRESS(1258,34))+INDIRECT(ADDRESS(1259,34))-INDIRECT(ADDRESS(1262,34)),INDIRECT(ADDRESS(1263,33))-INDIRECT(ADDRESS(1258,34))+INDIRECT(ADDRESS(1261,34))-INDIRECT(ADDRESS(1262,34)))</f>
        <v>0</v>
      </c>
      <c r="AI1263">
        <f>IF(DAY(NOW())&lt;M3,INDIRECT(ADDRESS(1263,34))-INDIRECT(ADDRESS(1258,35))+INDIRECT(ADDRESS(1259,35))-INDIRECT(ADDRESS(1262,35)),INDIRECT(ADDRESS(1263,34))-INDIRECT(ADDRESS(1258,35))+INDIRECT(ADDRESS(1261,35))-INDIRECT(ADDRESS(1262,35)))</f>
        <v>0</v>
      </c>
      <c r="AJ1263">
        <f>IF(DAY(NOW())&lt;M3,INDIRECT(ADDRESS(1263,35))-INDIRECT(ADDRESS(1258,36))+INDIRECT(ADDRESS(1259,36))-INDIRECT(ADDRESS(1262,36)),INDIRECT(ADDRESS(1263,35))-INDIRECT(ADDRESS(1258,36))+INDIRECT(ADDRESS(1261,36))-INDIRECT(ADDRESS(1262,36)))</f>
        <v>0</v>
      </c>
      <c r="AK1263">
        <f>IF(DAY(NOW())&lt;M3,INDIRECT(ADDRESS(1263,36))-INDIRECT(ADDRESS(1258,37))+INDIRECT(ADDRESS(1259,37))-INDIRECT(ADDRESS(1262,37)),INDIRECT(ADDRESS(1263,36))-INDIRECT(ADDRESS(1258,37))+INDIRECT(ADDRESS(1261,37))-INDIRECT(ADDRESS(1262,37)))</f>
        <v>0</v>
      </c>
      <c r="AL1263">
        <f>IF(DAY(NOW())&lt;M3,INDIRECT(ADDRESS(1263,37))-INDIRECT(ADDRESS(1258,38))+INDIRECT(ADDRESS(1259,38))-INDIRECT(ADDRESS(1262,38)),INDIRECT(ADDRESS(1263,37))-INDIRECT(ADDRESS(1258,38))+INDIRECT(ADDRESS(1261,38))-INDIRECT(ADDRESS(1262,38)))</f>
        <v>0</v>
      </c>
      <c r="AM1263">
        <f>IF(DAY(NOW())&lt;M3,INDIRECT(ADDRESS(1263,38))-INDIRECT(ADDRESS(1258,39))+INDIRECT(ADDRESS(1259,39))-INDIRECT(ADDRESS(1262,39)),INDIRECT(ADDRESS(1263,38))-INDIRECT(ADDRESS(1258,39))+INDIRECT(ADDRESS(1261,39))-INDIRECT(ADDRESS(1262,39)))</f>
        <v>0</v>
      </c>
      <c r="AN1263">
        <f>IF(DAY(NOW())&lt;M3,INDIRECT(ADDRESS(1263,39))-INDIRECT(ADDRESS(1258,40))+INDIRECT(ADDRESS(1259,40))-INDIRECT(ADDRESS(1262,40)),INDIRECT(ADDRESS(1263,39))-INDIRECT(ADDRESS(1258,40))+INDIRECT(ADDRESS(1261,40))-INDIRECT(ADDRESS(1262,40)))</f>
        <v>0</v>
      </c>
      <c r="AO1263">
        <f>IF(DAY(NOW())&lt;M3,INDIRECT(ADDRESS(1263,40))-INDIRECT(ADDRESS(1258,41))+INDIRECT(ADDRESS(1259,41))-INDIRECT(ADDRESS(1262,41)),INDIRECT(ADDRESS(1263,40))-INDIRECT(ADDRESS(1258,41))+INDIRECT(ADDRESS(1261,41))-INDIRECT(ADDRESS(1262,41)))</f>
        <v>0</v>
      </c>
      <c r="AP1263">
        <f>IF(DAY(NOW())&lt;M3,INDIRECT(ADDRESS(1263,41))-INDIRECT(ADDRESS(1258,42))+INDIRECT(ADDRESS(1259,42))-INDIRECT(ADDRESS(1262,42)),INDIRECT(ADDRESS(1263,41))-INDIRECT(ADDRESS(1258,42))+INDIRECT(ADDRESS(1261,42))-INDIRECT(ADDRESS(1262,42)))</f>
        <v>0</v>
      </c>
      <c r="AQ1263">
        <f>IF(DAY(NOW())&lt;M3,INDIRECT(ADDRESS(1263,42))-INDIRECT(ADDRESS(1258,43))+INDIRECT(ADDRESS(1259,43))-INDIRECT(ADDRESS(1262,43)),INDIRECT(ADDRESS(1263,42))-INDIRECT(ADDRESS(1258,43))+INDIRECT(ADDRESS(1261,43))-INDIRECT(ADDRESS(1262,43)))</f>
        <v>0</v>
      </c>
      <c r="AR1263">
        <f>IF(DAY(NOW())&lt;M3,INDIRECT(ADDRESS(1263,43))-INDIRECT(ADDRESS(1258,44))+INDIRECT(ADDRESS(1259,44))-INDIRECT(ADDRESS(1262,44)),INDIRECT(ADDRESS(1263,43))-INDIRECT(ADDRESS(1258,44))+INDIRECT(ADDRESS(1261,44))-INDIRECT(ADDRESS(1262,44)))</f>
        <v>0</v>
      </c>
    </row>
    <row r="1264" spans="1:76">
      <c r="A1264" t="s">
        <v>14</v>
      </c>
      <c r="B1264" t="s">
        <v>482</v>
      </c>
      <c r="C1264" t="s">
        <v>484</v>
      </c>
      <c r="D1264" t="s">
        <v>452</v>
      </c>
      <c r="E1264" t="s">
        <v>444</v>
      </c>
      <c r="F1264" t="s">
        <v>484</v>
      </c>
      <c r="K1264" t="s">
        <v>497</v>
      </c>
      <c r="L1264" t="s">
        <v>21</v>
      </c>
      <c r="BX1264">
        <f>sum(j1264:an1264)</f>
        <v>0</v>
      </c>
    </row>
    <row r="1265" spans="1:76">
      <c r="A1265" t="s">
        <v>14</v>
      </c>
      <c r="B1265" t="s">
        <v>482</v>
      </c>
      <c r="C1265" t="s">
        <v>484</v>
      </c>
      <c r="D1265" t="s">
        <v>452</v>
      </c>
      <c r="E1265" t="s">
        <v>444</v>
      </c>
      <c r="F1265" t="s">
        <v>484</v>
      </c>
      <c r="K1265" t="s">
        <v>497</v>
      </c>
      <c r="L1265" t="s">
        <v>37</v>
      </c>
    </row>
    <row r="1266" spans="1:76">
      <c r="L1266" t="s">
        <v>662</v>
      </c>
    </row>
    <row r="1267" spans="1:76">
      <c r="L1267" t="s">
        <v>663</v>
      </c>
    </row>
    <row r="1268" spans="1:76">
      <c r="L1268" t="s">
        <v>664</v>
      </c>
    </row>
    <row r="1269" spans="1:76">
      <c r="L1269" t="s">
        <v>665</v>
      </c>
      <c r="M1269">
        <f>IF(DAY(NOW())&lt;M3,INDIRECT(ADDRESS(1269,7))-INDIRECT(ADDRESS(1264,13))+INDIRECT(ADDRESS(1265,13))-INDIRECT(ADDRESS(1268,13)),INDIRECT(ADDRESS(1269,7))-INDIRECT(ADDRESS(1264,13))+INDIRECT(ADDRESS(1267,13))-INDIRECT(ADDRESS(1268,13)))</f>
        <v>0</v>
      </c>
      <c r="N1269">
        <f>IF(DAY(NOW())&lt;M3,INDIRECT(ADDRESS(1269,13))-INDIRECT(ADDRESS(1264,14))+INDIRECT(ADDRESS(1265,14))-INDIRECT(ADDRESS(1268,14)),INDIRECT(ADDRESS(1269,13))-INDIRECT(ADDRESS(1264,14))+INDIRECT(ADDRESS(1267,14))-INDIRECT(ADDRESS(1268,14)))</f>
        <v>0</v>
      </c>
      <c r="O1269">
        <f>IF(DAY(NOW())&lt;M3,INDIRECT(ADDRESS(1269,14))-INDIRECT(ADDRESS(1264,15))+INDIRECT(ADDRESS(1265,15))-INDIRECT(ADDRESS(1268,15)),INDIRECT(ADDRESS(1269,14))-INDIRECT(ADDRESS(1264,15))+INDIRECT(ADDRESS(1267,15))-INDIRECT(ADDRESS(1268,15)))</f>
        <v>0</v>
      </c>
      <c r="P1269">
        <f>IF(DAY(NOW())&lt;M3,INDIRECT(ADDRESS(1269,15))-INDIRECT(ADDRESS(1264,16))+INDIRECT(ADDRESS(1265,16))-INDIRECT(ADDRESS(1268,16)),INDIRECT(ADDRESS(1269,15))-INDIRECT(ADDRESS(1264,16))+INDIRECT(ADDRESS(1267,16))-INDIRECT(ADDRESS(1268,16)))</f>
        <v>0</v>
      </c>
      <c r="Q1269">
        <f>IF(DAY(NOW())&lt;M3,INDIRECT(ADDRESS(1269,16))-INDIRECT(ADDRESS(1264,17))+INDIRECT(ADDRESS(1265,17))-INDIRECT(ADDRESS(1268,17)),INDIRECT(ADDRESS(1269,16))-INDIRECT(ADDRESS(1264,17))+INDIRECT(ADDRESS(1267,17))-INDIRECT(ADDRESS(1268,17)))</f>
        <v>0</v>
      </c>
      <c r="R1269">
        <f>IF(DAY(NOW())&lt;M3,INDIRECT(ADDRESS(1269,17))-INDIRECT(ADDRESS(1264,18))+INDIRECT(ADDRESS(1265,18))-INDIRECT(ADDRESS(1268,18)),INDIRECT(ADDRESS(1269,17))-INDIRECT(ADDRESS(1264,18))+INDIRECT(ADDRESS(1267,18))-INDIRECT(ADDRESS(1268,18)))</f>
        <v>0</v>
      </c>
      <c r="S1269">
        <f>IF(DAY(NOW())&lt;M3,INDIRECT(ADDRESS(1269,18))-INDIRECT(ADDRESS(1264,19))+INDIRECT(ADDRESS(1265,19))-INDIRECT(ADDRESS(1268,19)),INDIRECT(ADDRESS(1269,18))-INDIRECT(ADDRESS(1264,19))+INDIRECT(ADDRESS(1267,19))-INDIRECT(ADDRESS(1268,19)))</f>
        <v>0</v>
      </c>
      <c r="T1269">
        <f>IF(DAY(NOW())&lt;M3,INDIRECT(ADDRESS(1269,19))-INDIRECT(ADDRESS(1264,20))+INDIRECT(ADDRESS(1265,20))-INDIRECT(ADDRESS(1268,20)),INDIRECT(ADDRESS(1269,19))-INDIRECT(ADDRESS(1264,20))+INDIRECT(ADDRESS(1267,20))-INDIRECT(ADDRESS(1268,20)))</f>
        <v>0</v>
      </c>
      <c r="U1269">
        <f>IF(DAY(NOW())&lt;M3,INDIRECT(ADDRESS(1269,20))-INDIRECT(ADDRESS(1264,21))+INDIRECT(ADDRESS(1265,21))-INDIRECT(ADDRESS(1268,21)),INDIRECT(ADDRESS(1269,20))-INDIRECT(ADDRESS(1264,21))+INDIRECT(ADDRESS(1267,21))-INDIRECT(ADDRESS(1268,21)))</f>
        <v>0</v>
      </c>
      <c r="V1269">
        <f>IF(DAY(NOW())&lt;M3,INDIRECT(ADDRESS(1269,21))-INDIRECT(ADDRESS(1264,22))+INDIRECT(ADDRESS(1265,22))-INDIRECT(ADDRESS(1268,22)),INDIRECT(ADDRESS(1269,21))-INDIRECT(ADDRESS(1264,22))+INDIRECT(ADDRESS(1267,22))-INDIRECT(ADDRESS(1268,22)))</f>
        <v>0</v>
      </c>
      <c r="W1269">
        <f>IF(DAY(NOW())&lt;M3,INDIRECT(ADDRESS(1269,22))-INDIRECT(ADDRESS(1264,23))+INDIRECT(ADDRESS(1265,23))-INDIRECT(ADDRESS(1268,23)),INDIRECT(ADDRESS(1269,22))-INDIRECT(ADDRESS(1264,23))+INDIRECT(ADDRESS(1267,23))-INDIRECT(ADDRESS(1268,23)))</f>
        <v>0</v>
      </c>
      <c r="X1269">
        <f>IF(DAY(NOW())&lt;M3,INDIRECT(ADDRESS(1269,23))-INDIRECT(ADDRESS(1264,24))+INDIRECT(ADDRESS(1265,24))-INDIRECT(ADDRESS(1268,24)),INDIRECT(ADDRESS(1269,23))-INDIRECT(ADDRESS(1264,24))+INDIRECT(ADDRESS(1267,24))-INDIRECT(ADDRESS(1268,24)))</f>
        <v>0</v>
      </c>
      <c r="Y1269">
        <f>IF(DAY(NOW())&lt;M3,INDIRECT(ADDRESS(1269,24))-INDIRECT(ADDRESS(1264,25))+INDIRECT(ADDRESS(1265,25))-INDIRECT(ADDRESS(1268,25)),INDIRECT(ADDRESS(1269,24))-INDIRECT(ADDRESS(1264,25))+INDIRECT(ADDRESS(1267,25))-INDIRECT(ADDRESS(1268,25)))</f>
        <v>0</v>
      </c>
      <c r="Z1269">
        <f>IF(DAY(NOW())&lt;M3,INDIRECT(ADDRESS(1269,25))-INDIRECT(ADDRESS(1264,26))+INDIRECT(ADDRESS(1265,26))-INDIRECT(ADDRESS(1268,26)),INDIRECT(ADDRESS(1269,25))-INDIRECT(ADDRESS(1264,26))+INDIRECT(ADDRESS(1267,26))-INDIRECT(ADDRESS(1268,26)))</f>
        <v>0</v>
      </c>
      <c r="AA1269">
        <f>IF(DAY(NOW())&lt;M3,INDIRECT(ADDRESS(1269,26))-INDIRECT(ADDRESS(1264,27))+INDIRECT(ADDRESS(1265,27))-INDIRECT(ADDRESS(1268,27)),INDIRECT(ADDRESS(1269,26))-INDIRECT(ADDRESS(1264,27))+INDIRECT(ADDRESS(1267,27))-INDIRECT(ADDRESS(1268,27)))</f>
        <v>0</v>
      </c>
      <c r="AB1269">
        <f>IF(DAY(NOW())&lt;M3,INDIRECT(ADDRESS(1269,27))-INDIRECT(ADDRESS(1264,28))+INDIRECT(ADDRESS(1265,28))-INDIRECT(ADDRESS(1268,28)),INDIRECT(ADDRESS(1269,27))-INDIRECT(ADDRESS(1264,28))+INDIRECT(ADDRESS(1267,28))-INDIRECT(ADDRESS(1268,28)))</f>
        <v>0</v>
      </c>
      <c r="AC1269">
        <f>IF(DAY(NOW())&lt;M3,INDIRECT(ADDRESS(1269,28))-INDIRECT(ADDRESS(1264,29))+INDIRECT(ADDRESS(1265,29))-INDIRECT(ADDRESS(1268,29)),INDIRECT(ADDRESS(1269,28))-INDIRECT(ADDRESS(1264,29))+INDIRECT(ADDRESS(1267,29))-INDIRECT(ADDRESS(1268,29)))</f>
        <v>0</v>
      </c>
      <c r="AD1269">
        <f>IF(DAY(NOW())&lt;M3,INDIRECT(ADDRESS(1269,29))-INDIRECT(ADDRESS(1264,30))+INDIRECT(ADDRESS(1265,30))-INDIRECT(ADDRESS(1268,30)),INDIRECT(ADDRESS(1269,29))-INDIRECT(ADDRESS(1264,30))+INDIRECT(ADDRESS(1267,30))-INDIRECT(ADDRESS(1268,30)))</f>
        <v>0</v>
      </c>
      <c r="AE1269">
        <f>IF(DAY(NOW())&lt;M3,INDIRECT(ADDRESS(1269,30))-INDIRECT(ADDRESS(1264,31))+INDIRECT(ADDRESS(1265,31))-INDIRECT(ADDRESS(1268,31)),INDIRECT(ADDRESS(1269,30))-INDIRECT(ADDRESS(1264,31))+INDIRECT(ADDRESS(1267,31))-INDIRECT(ADDRESS(1268,31)))</f>
        <v>0</v>
      </c>
      <c r="AF1269">
        <f>IF(DAY(NOW())&lt;M3,INDIRECT(ADDRESS(1269,31))-INDIRECT(ADDRESS(1264,32))+INDIRECT(ADDRESS(1265,32))-INDIRECT(ADDRESS(1268,32)),INDIRECT(ADDRESS(1269,31))-INDIRECT(ADDRESS(1264,32))+INDIRECT(ADDRESS(1267,32))-INDIRECT(ADDRESS(1268,32)))</f>
        <v>0</v>
      </c>
      <c r="AG1269">
        <f>IF(DAY(NOW())&lt;M3,INDIRECT(ADDRESS(1269,32))-INDIRECT(ADDRESS(1264,33))+INDIRECT(ADDRESS(1265,33))-INDIRECT(ADDRESS(1268,33)),INDIRECT(ADDRESS(1269,32))-INDIRECT(ADDRESS(1264,33))+INDIRECT(ADDRESS(1267,33))-INDIRECT(ADDRESS(1268,33)))</f>
        <v>0</v>
      </c>
      <c r="AH1269">
        <f>IF(DAY(NOW())&lt;M3,INDIRECT(ADDRESS(1269,33))-INDIRECT(ADDRESS(1264,34))+INDIRECT(ADDRESS(1265,34))-INDIRECT(ADDRESS(1268,34)),INDIRECT(ADDRESS(1269,33))-INDIRECT(ADDRESS(1264,34))+INDIRECT(ADDRESS(1267,34))-INDIRECT(ADDRESS(1268,34)))</f>
        <v>0</v>
      </c>
      <c r="AI1269">
        <f>IF(DAY(NOW())&lt;M3,INDIRECT(ADDRESS(1269,34))-INDIRECT(ADDRESS(1264,35))+INDIRECT(ADDRESS(1265,35))-INDIRECT(ADDRESS(1268,35)),INDIRECT(ADDRESS(1269,34))-INDIRECT(ADDRESS(1264,35))+INDIRECT(ADDRESS(1267,35))-INDIRECT(ADDRESS(1268,35)))</f>
        <v>0</v>
      </c>
      <c r="AJ1269">
        <f>IF(DAY(NOW())&lt;M3,INDIRECT(ADDRESS(1269,35))-INDIRECT(ADDRESS(1264,36))+INDIRECT(ADDRESS(1265,36))-INDIRECT(ADDRESS(1268,36)),INDIRECT(ADDRESS(1269,35))-INDIRECT(ADDRESS(1264,36))+INDIRECT(ADDRESS(1267,36))-INDIRECT(ADDRESS(1268,36)))</f>
        <v>0</v>
      </c>
      <c r="AK1269">
        <f>IF(DAY(NOW())&lt;M3,INDIRECT(ADDRESS(1269,36))-INDIRECT(ADDRESS(1264,37))+INDIRECT(ADDRESS(1265,37))-INDIRECT(ADDRESS(1268,37)),INDIRECT(ADDRESS(1269,36))-INDIRECT(ADDRESS(1264,37))+INDIRECT(ADDRESS(1267,37))-INDIRECT(ADDRESS(1268,37)))</f>
        <v>0</v>
      </c>
      <c r="AL1269">
        <f>IF(DAY(NOW())&lt;M3,INDIRECT(ADDRESS(1269,37))-INDIRECT(ADDRESS(1264,38))+INDIRECT(ADDRESS(1265,38))-INDIRECT(ADDRESS(1268,38)),INDIRECT(ADDRESS(1269,37))-INDIRECT(ADDRESS(1264,38))+INDIRECT(ADDRESS(1267,38))-INDIRECT(ADDRESS(1268,38)))</f>
        <v>0</v>
      </c>
      <c r="AM1269">
        <f>IF(DAY(NOW())&lt;M3,INDIRECT(ADDRESS(1269,38))-INDIRECT(ADDRESS(1264,39))+INDIRECT(ADDRESS(1265,39))-INDIRECT(ADDRESS(1268,39)),INDIRECT(ADDRESS(1269,38))-INDIRECT(ADDRESS(1264,39))+INDIRECT(ADDRESS(1267,39))-INDIRECT(ADDRESS(1268,39)))</f>
        <v>0</v>
      </c>
      <c r="AN1269">
        <f>IF(DAY(NOW())&lt;M3,INDIRECT(ADDRESS(1269,39))-INDIRECT(ADDRESS(1264,40))+INDIRECT(ADDRESS(1265,40))-INDIRECT(ADDRESS(1268,40)),INDIRECT(ADDRESS(1269,39))-INDIRECT(ADDRESS(1264,40))+INDIRECT(ADDRESS(1267,40))-INDIRECT(ADDRESS(1268,40)))</f>
        <v>0</v>
      </c>
      <c r="AO1269">
        <f>IF(DAY(NOW())&lt;M3,INDIRECT(ADDRESS(1269,40))-INDIRECT(ADDRESS(1264,41))+INDIRECT(ADDRESS(1265,41))-INDIRECT(ADDRESS(1268,41)),INDIRECT(ADDRESS(1269,40))-INDIRECT(ADDRESS(1264,41))+INDIRECT(ADDRESS(1267,41))-INDIRECT(ADDRESS(1268,41)))</f>
        <v>0</v>
      </c>
      <c r="AP1269">
        <f>IF(DAY(NOW())&lt;M3,INDIRECT(ADDRESS(1269,41))-INDIRECT(ADDRESS(1264,42))+INDIRECT(ADDRESS(1265,42))-INDIRECT(ADDRESS(1268,42)),INDIRECT(ADDRESS(1269,41))-INDIRECT(ADDRESS(1264,42))+INDIRECT(ADDRESS(1267,42))-INDIRECT(ADDRESS(1268,42)))</f>
        <v>0</v>
      </c>
      <c r="AQ1269">
        <f>IF(DAY(NOW())&lt;M3,INDIRECT(ADDRESS(1269,42))-INDIRECT(ADDRESS(1264,43))+INDIRECT(ADDRESS(1265,43))-INDIRECT(ADDRESS(1268,43)),INDIRECT(ADDRESS(1269,42))-INDIRECT(ADDRESS(1264,43))+INDIRECT(ADDRESS(1267,43))-INDIRECT(ADDRESS(1268,43)))</f>
        <v>0</v>
      </c>
      <c r="AR1269">
        <f>IF(DAY(NOW())&lt;M3,INDIRECT(ADDRESS(1269,43))-INDIRECT(ADDRESS(1264,44))+INDIRECT(ADDRESS(1265,44))-INDIRECT(ADDRESS(1268,44)),INDIRECT(ADDRESS(1269,43))-INDIRECT(ADDRESS(1264,44))+INDIRECT(ADDRESS(1267,44))-INDIRECT(ADDRESS(1268,44)))</f>
        <v>0</v>
      </c>
    </row>
    <row r="1270" spans="1:76">
      <c r="A1270" t="s">
        <v>31</v>
      </c>
      <c r="B1270" t="s">
        <v>510</v>
      </c>
      <c r="C1270">
        <v>9000007211</v>
      </c>
      <c r="E1270" t="s">
        <v>453</v>
      </c>
      <c r="F1270">
        <v>9000007211</v>
      </c>
      <c r="K1270" t="s">
        <v>499</v>
      </c>
      <c r="L1270" t="s">
        <v>21</v>
      </c>
      <c r="M1270">
        <f>sumifs(BOM!m:m,BOM!A:A,".1",BOM!B:B,"232-011800-000")</f>
        <v>0</v>
      </c>
      <c r="N1270">
        <f>sumifs(BOM!n:n,BOM!A:A,".1",BOM!B:B,"232-011800-000")</f>
        <v>0</v>
      </c>
      <c r="O1270">
        <f>sumifs(BOM!o:o,BOM!A:A,".1",BOM!B:B,"232-011800-000")</f>
        <v>0</v>
      </c>
      <c r="P1270">
        <f>sumifs(BOM!p:p,BOM!A:A,".1",BOM!B:B,"232-011800-000")</f>
        <v>0</v>
      </c>
      <c r="Q1270">
        <f>sumifs(BOM!q:q,BOM!A:A,".1",BOM!B:B,"232-011800-000")</f>
        <v>0</v>
      </c>
      <c r="R1270">
        <f>sumifs(BOM!r:r,BOM!A:A,".1",BOM!B:B,"232-011800-000")</f>
        <v>0</v>
      </c>
      <c r="S1270">
        <f>sumifs(BOM!s:s,BOM!A:A,".1",BOM!B:B,"232-011800-000")</f>
        <v>0</v>
      </c>
      <c r="T1270">
        <f>sumifs(BOM!t:t,BOM!A:A,".1",BOM!B:B,"232-011800-000")</f>
        <v>0</v>
      </c>
      <c r="U1270">
        <f>sumifs(BOM!u:u,BOM!A:A,".1",BOM!B:B,"232-011800-000")</f>
        <v>0</v>
      </c>
      <c r="V1270">
        <f>sumifs(BOM!v:v,BOM!A:A,".1",BOM!B:B,"232-011800-000")</f>
        <v>0</v>
      </c>
      <c r="W1270">
        <f>sumifs(BOM!w:w,BOM!A:A,".1",BOM!B:B,"232-011800-000")</f>
        <v>0</v>
      </c>
      <c r="X1270">
        <f>sumifs(BOM!x:x,BOM!A:A,".1",BOM!B:B,"232-011800-000")</f>
        <v>0</v>
      </c>
      <c r="Y1270">
        <f>sumifs(BOM!y:y,BOM!A:A,".1",BOM!B:B,"232-011800-000")</f>
        <v>0</v>
      </c>
      <c r="Z1270">
        <f>sumifs(BOM!z:z,BOM!A:A,".1",BOM!B:B,"232-011800-000")</f>
        <v>0</v>
      </c>
      <c r="AA1270">
        <f>sumifs(BOM!aa:aa,BOM!A:A,".1",BOM!B:B,"232-011800-000")</f>
        <v>0</v>
      </c>
      <c r="AB1270">
        <f>sumifs(BOM!ab:ab,BOM!A:A,".1",BOM!B:B,"232-011800-000")</f>
        <v>0</v>
      </c>
      <c r="AC1270">
        <f>sumifs(BOM!ac:ac,BOM!A:A,".1",BOM!B:B,"232-011800-000")</f>
        <v>0</v>
      </c>
      <c r="AD1270">
        <f>sumifs(BOM!ad:ad,BOM!A:A,".1",BOM!B:B,"232-011800-000")</f>
        <v>0</v>
      </c>
      <c r="AE1270">
        <f>sumifs(BOM!ae:ae,BOM!A:A,".1",BOM!B:B,"232-011800-000")</f>
        <v>0</v>
      </c>
      <c r="AF1270">
        <f>sumifs(BOM!af:af,BOM!A:A,".1",BOM!B:B,"232-011800-000")</f>
        <v>0</v>
      </c>
      <c r="AG1270">
        <f>sumifs(BOM!ag:ag,BOM!A:A,".1",BOM!B:B,"232-011800-000")</f>
        <v>0</v>
      </c>
      <c r="AH1270">
        <f>sumifs(BOM!ah:ah,BOM!A:A,".1",BOM!B:B,"232-011800-000")</f>
        <v>0</v>
      </c>
      <c r="AI1270">
        <f>sumifs(BOM!ai:ai,BOM!A:A,".1",BOM!B:B,"232-011800-000")</f>
        <v>0</v>
      </c>
      <c r="AJ1270">
        <f>sumifs(BOM!aj:aj,BOM!A:A,".1",BOM!B:B,"232-011800-000")</f>
        <v>0</v>
      </c>
      <c r="AK1270">
        <f>sumifs(BOM!ak:ak,BOM!A:A,".1",BOM!B:B,"232-011800-000")</f>
        <v>0</v>
      </c>
      <c r="AL1270">
        <f>sumifs(BOM!al:al,BOM!A:A,".1",BOM!B:B,"232-011800-000")</f>
        <v>0</v>
      </c>
      <c r="AM1270">
        <f>sumifs(BOM!am:am,BOM!A:A,".1",BOM!B:B,"232-011800-000")</f>
        <v>0</v>
      </c>
      <c r="AN1270">
        <f>sumifs(BOM!an:an,BOM!A:A,".1",BOM!B:B,"232-011800-000")</f>
        <v>0</v>
      </c>
      <c r="AO1270">
        <f>sumifs(BOM!ao:ao,BOM!A:A,".1",BOM!B:B,"232-011800-000")</f>
        <v>0</v>
      </c>
      <c r="AP1270">
        <f>sumifs(BOM!ap:ap,BOM!A:A,".1",BOM!B:B,"232-011800-000")</f>
        <v>0</v>
      </c>
      <c r="AQ1270">
        <f>sumifs(BOM!aq:aq,BOM!A:A,".1",BOM!B:B,"232-011800-000")</f>
        <v>0</v>
      </c>
      <c r="AR1270">
        <f>sumifs(BOM!ar:ar,BOM!A:A,".1",BOM!B:B,"232-011800-000")</f>
        <v>0</v>
      </c>
      <c r="BX1270">
        <f>sum(j1270:an1270)</f>
        <v>0</v>
      </c>
    </row>
    <row r="1271" spans="1:76">
      <c r="A1271" t="s">
        <v>31</v>
      </c>
      <c r="B1271" t="s">
        <v>510</v>
      </c>
      <c r="C1271">
        <v>9000007211</v>
      </c>
      <c r="E1271" t="s">
        <v>453</v>
      </c>
      <c r="F1271">
        <v>9000007211</v>
      </c>
      <c r="K1271" t="s">
        <v>499</v>
      </c>
      <c r="L1271" t="s">
        <v>37</v>
      </c>
    </row>
    <row r="1272" spans="1:76">
      <c r="L1272" t="s">
        <v>662</v>
      </c>
    </row>
    <row r="1273" spans="1:76">
      <c r="L1273" t="s">
        <v>663</v>
      </c>
    </row>
    <row r="1274" spans="1:76">
      <c r="L1274" t="s">
        <v>664</v>
      </c>
    </row>
    <row r="1275" spans="1:76">
      <c r="L1275" t="s">
        <v>665</v>
      </c>
      <c r="M1275">
        <f>IF(DAY(NOW())&lt;M3,INDIRECT(ADDRESS(1275,7))-INDIRECT(ADDRESS(1270,13))+INDIRECT(ADDRESS(1271,13))-INDIRECT(ADDRESS(1274,13)),INDIRECT(ADDRESS(1275,7))-INDIRECT(ADDRESS(1270,13))+INDIRECT(ADDRESS(1273,13))-INDIRECT(ADDRESS(1274,13)))</f>
        <v>0</v>
      </c>
      <c r="N1275">
        <f>IF(DAY(NOW())&lt;M3,INDIRECT(ADDRESS(1275,13))-INDIRECT(ADDRESS(1270,14))+INDIRECT(ADDRESS(1271,14))-INDIRECT(ADDRESS(1274,14)),INDIRECT(ADDRESS(1275,13))-INDIRECT(ADDRESS(1270,14))+INDIRECT(ADDRESS(1273,14))-INDIRECT(ADDRESS(1274,14)))</f>
        <v>0</v>
      </c>
      <c r="O1275">
        <f>IF(DAY(NOW())&lt;M3,INDIRECT(ADDRESS(1275,14))-INDIRECT(ADDRESS(1270,15))+INDIRECT(ADDRESS(1271,15))-INDIRECT(ADDRESS(1274,15)),INDIRECT(ADDRESS(1275,14))-INDIRECT(ADDRESS(1270,15))+INDIRECT(ADDRESS(1273,15))-INDIRECT(ADDRESS(1274,15)))</f>
        <v>0</v>
      </c>
      <c r="P1275">
        <f>IF(DAY(NOW())&lt;M3,INDIRECT(ADDRESS(1275,15))-INDIRECT(ADDRESS(1270,16))+INDIRECT(ADDRESS(1271,16))-INDIRECT(ADDRESS(1274,16)),INDIRECT(ADDRESS(1275,15))-INDIRECT(ADDRESS(1270,16))+INDIRECT(ADDRESS(1273,16))-INDIRECT(ADDRESS(1274,16)))</f>
        <v>0</v>
      </c>
      <c r="Q1275">
        <f>IF(DAY(NOW())&lt;M3,INDIRECT(ADDRESS(1275,16))-INDIRECT(ADDRESS(1270,17))+INDIRECT(ADDRESS(1271,17))-INDIRECT(ADDRESS(1274,17)),INDIRECT(ADDRESS(1275,16))-INDIRECT(ADDRESS(1270,17))+INDIRECT(ADDRESS(1273,17))-INDIRECT(ADDRESS(1274,17)))</f>
        <v>0</v>
      </c>
      <c r="R1275">
        <f>IF(DAY(NOW())&lt;M3,INDIRECT(ADDRESS(1275,17))-INDIRECT(ADDRESS(1270,18))+INDIRECT(ADDRESS(1271,18))-INDIRECT(ADDRESS(1274,18)),INDIRECT(ADDRESS(1275,17))-INDIRECT(ADDRESS(1270,18))+INDIRECT(ADDRESS(1273,18))-INDIRECT(ADDRESS(1274,18)))</f>
        <v>0</v>
      </c>
      <c r="S1275">
        <f>IF(DAY(NOW())&lt;M3,INDIRECT(ADDRESS(1275,18))-INDIRECT(ADDRESS(1270,19))+INDIRECT(ADDRESS(1271,19))-INDIRECT(ADDRESS(1274,19)),INDIRECT(ADDRESS(1275,18))-INDIRECT(ADDRESS(1270,19))+INDIRECT(ADDRESS(1273,19))-INDIRECT(ADDRESS(1274,19)))</f>
        <v>0</v>
      </c>
      <c r="T1275">
        <f>IF(DAY(NOW())&lt;M3,INDIRECT(ADDRESS(1275,19))-INDIRECT(ADDRESS(1270,20))+INDIRECT(ADDRESS(1271,20))-INDIRECT(ADDRESS(1274,20)),INDIRECT(ADDRESS(1275,19))-INDIRECT(ADDRESS(1270,20))+INDIRECT(ADDRESS(1273,20))-INDIRECT(ADDRESS(1274,20)))</f>
        <v>0</v>
      </c>
      <c r="U1275">
        <f>IF(DAY(NOW())&lt;M3,INDIRECT(ADDRESS(1275,20))-INDIRECT(ADDRESS(1270,21))+INDIRECT(ADDRESS(1271,21))-INDIRECT(ADDRESS(1274,21)),INDIRECT(ADDRESS(1275,20))-INDIRECT(ADDRESS(1270,21))+INDIRECT(ADDRESS(1273,21))-INDIRECT(ADDRESS(1274,21)))</f>
        <v>0</v>
      </c>
      <c r="V1275">
        <f>IF(DAY(NOW())&lt;M3,INDIRECT(ADDRESS(1275,21))-INDIRECT(ADDRESS(1270,22))+INDIRECT(ADDRESS(1271,22))-INDIRECT(ADDRESS(1274,22)),INDIRECT(ADDRESS(1275,21))-INDIRECT(ADDRESS(1270,22))+INDIRECT(ADDRESS(1273,22))-INDIRECT(ADDRESS(1274,22)))</f>
        <v>0</v>
      </c>
      <c r="W1275">
        <f>IF(DAY(NOW())&lt;M3,INDIRECT(ADDRESS(1275,22))-INDIRECT(ADDRESS(1270,23))+INDIRECT(ADDRESS(1271,23))-INDIRECT(ADDRESS(1274,23)),INDIRECT(ADDRESS(1275,22))-INDIRECT(ADDRESS(1270,23))+INDIRECT(ADDRESS(1273,23))-INDIRECT(ADDRESS(1274,23)))</f>
        <v>0</v>
      </c>
      <c r="X1275">
        <f>IF(DAY(NOW())&lt;M3,INDIRECT(ADDRESS(1275,23))-INDIRECT(ADDRESS(1270,24))+INDIRECT(ADDRESS(1271,24))-INDIRECT(ADDRESS(1274,24)),INDIRECT(ADDRESS(1275,23))-INDIRECT(ADDRESS(1270,24))+INDIRECT(ADDRESS(1273,24))-INDIRECT(ADDRESS(1274,24)))</f>
        <v>0</v>
      </c>
      <c r="Y1275">
        <f>IF(DAY(NOW())&lt;M3,INDIRECT(ADDRESS(1275,24))-INDIRECT(ADDRESS(1270,25))+INDIRECT(ADDRESS(1271,25))-INDIRECT(ADDRESS(1274,25)),INDIRECT(ADDRESS(1275,24))-INDIRECT(ADDRESS(1270,25))+INDIRECT(ADDRESS(1273,25))-INDIRECT(ADDRESS(1274,25)))</f>
        <v>0</v>
      </c>
      <c r="Z1275">
        <f>IF(DAY(NOW())&lt;M3,INDIRECT(ADDRESS(1275,25))-INDIRECT(ADDRESS(1270,26))+INDIRECT(ADDRESS(1271,26))-INDIRECT(ADDRESS(1274,26)),INDIRECT(ADDRESS(1275,25))-INDIRECT(ADDRESS(1270,26))+INDIRECT(ADDRESS(1273,26))-INDIRECT(ADDRESS(1274,26)))</f>
        <v>0</v>
      </c>
      <c r="AA1275">
        <f>IF(DAY(NOW())&lt;M3,INDIRECT(ADDRESS(1275,26))-INDIRECT(ADDRESS(1270,27))+INDIRECT(ADDRESS(1271,27))-INDIRECT(ADDRESS(1274,27)),INDIRECT(ADDRESS(1275,26))-INDIRECT(ADDRESS(1270,27))+INDIRECT(ADDRESS(1273,27))-INDIRECT(ADDRESS(1274,27)))</f>
        <v>0</v>
      </c>
      <c r="AB1275">
        <f>IF(DAY(NOW())&lt;M3,INDIRECT(ADDRESS(1275,27))-INDIRECT(ADDRESS(1270,28))+INDIRECT(ADDRESS(1271,28))-INDIRECT(ADDRESS(1274,28)),INDIRECT(ADDRESS(1275,27))-INDIRECT(ADDRESS(1270,28))+INDIRECT(ADDRESS(1273,28))-INDIRECT(ADDRESS(1274,28)))</f>
        <v>0</v>
      </c>
      <c r="AC1275">
        <f>IF(DAY(NOW())&lt;M3,INDIRECT(ADDRESS(1275,28))-INDIRECT(ADDRESS(1270,29))+INDIRECT(ADDRESS(1271,29))-INDIRECT(ADDRESS(1274,29)),INDIRECT(ADDRESS(1275,28))-INDIRECT(ADDRESS(1270,29))+INDIRECT(ADDRESS(1273,29))-INDIRECT(ADDRESS(1274,29)))</f>
        <v>0</v>
      </c>
      <c r="AD1275">
        <f>IF(DAY(NOW())&lt;M3,INDIRECT(ADDRESS(1275,29))-INDIRECT(ADDRESS(1270,30))+INDIRECT(ADDRESS(1271,30))-INDIRECT(ADDRESS(1274,30)),INDIRECT(ADDRESS(1275,29))-INDIRECT(ADDRESS(1270,30))+INDIRECT(ADDRESS(1273,30))-INDIRECT(ADDRESS(1274,30)))</f>
        <v>0</v>
      </c>
      <c r="AE1275">
        <f>IF(DAY(NOW())&lt;M3,INDIRECT(ADDRESS(1275,30))-INDIRECT(ADDRESS(1270,31))+INDIRECT(ADDRESS(1271,31))-INDIRECT(ADDRESS(1274,31)),INDIRECT(ADDRESS(1275,30))-INDIRECT(ADDRESS(1270,31))+INDIRECT(ADDRESS(1273,31))-INDIRECT(ADDRESS(1274,31)))</f>
        <v>0</v>
      </c>
      <c r="AF1275">
        <f>IF(DAY(NOW())&lt;M3,INDIRECT(ADDRESS(1275,31))-INDIRECT(ADDRESS(1270,32))+INDIRECT(ADDRESS(1271,32))-INDIRECT(ADDRESS(1274,32)),INDIRECT(ADDRESS(1275,31))-INDIRECT(ADDRESS(1270,32))+INDIRECT(ADDRESS(1273,32))-INDIRECT(ADDRESS(1274,32)))</f>
        <v>0</v>
      </c>
      <c r="AG1275">
        <f>IF(DAY(NOW())&lt;M3,INDIRECT(ADDRESS(1275,32))-INDIRECT(ADDRESS(1270,33))+INDIRECT(ADDRESS(1271,33))-INDIRECT(ADDRESS(1274,33)),INDIRECT(ADDRESS(1275,32))-INDIRECT(ADDRESS(1270,33))+INDIRECT(ADDRESS(1273,33))-INDIRECT(ADDRESS(1274,33)))</f>
        <v>0</v>
      </c>
      <c r="AH1275">
        <f>IF(DAY(NOW())&lt;M3,INDIRECT(ADDRESS(1275,33))-INDIRECT(ADDRESS(1270,34))+INDIRECT(ADDRESS(1271,34))-INDIRECT(ADDRESS(1274,34)),INDIRECT(ADDRESS(1275,33))-INDIRECT(ADDRESS(1270,34))+INDIRECT(ADDRESS(1273,34))-INDIRECT(ADDRESS(1274,34)))</f>
        <v>0</v>
      </c>
      <c r="AI1275">
        <f>IF(DAY(NOW())&lt;M3,INDIRECT(ADDRESS(1275,34))-INDIRECT(ADDRESS(1270,35))+INDIRECT(ADDRESS(1271,35))-INDIRECT(ADDRESS(1274,35)),INDIRECT(ADDRESS(1275,34))-INDIRECT(ADDRESS(1270,35))+INDIRECT(ADDRESS(1273,35))-INDIRECT(ADDRESS(1274,35)))</f>
        <v>0</v>
      </c>
      <c r="AJ1275">
        <f>IF(DAY(NOW())&lt;M3,INDIRECT(ADDRESS(1275,35))-INDIRECT(ADDRESS(1270,36))+INDIRECT(ADDRESS(1271,36))-INDIRECT(ADDRESS(1274,36)),INDIRECT(ADDRESS(1275,35))-INDIRECT(ADDRESS(1270,36))+INDIRECT(ADDRESS(1273,36))-INDIRECT(ADDRESS(1274,36)))</f>
        <v>0</v>
      </c>
      <c r="AK1275">
        <f>IF(DAY(NOW())&lt;M3,INDIRECT(ADDRESS(1275,36))-INDIRECT(ADDRESS(1270,37))+INDIRECT(ADDRESS(1271,37))-INDIRECT(ADDRESS(1274,37)),INDIRECT(ADDRESS(1275,36))-INDIRECT(ADDRESS(1270,37))+INDIRECT(ADDRESS(1273,37))-INDIRECT(ADDRESS(1274,37)))</f>
        <v>0</v>
      </c>
      <c r="AL1275">
        <f>IF(DAY(NOW())&lt;M3,INDIRECT(ADDRESS(1275,37))-INDIRECT(ADDRESS(1270,38))+INDIRECT(ADDRESS(1271,38))-INDIRECT(ADDRESS(1274,38)),INDIRECT(ADDRESS(1275,37))-INDIRECT(ADDRESS(1270,38))+INDIRECT(ADDRESS(1273,38))-INDIRECT(ADDRESS(1274,38)))</f>
        <v>0</v>
      </c>
      <c r="AM1275">
        <f>IF(DAY(NOW())&lt;M3,INDIRECT(ADDRESS(1275,38))-INDIRECT(ADDRESS(1270,39))+INDIRECT(ADDRESS(1271,39))-INDIRECT(ADDRESS(1274,39)),INDIRECT(ADDRESS(1275,38))-INDIRECT(ADDRESS(1270,39))+INDIRECT(ADDRESS(1273,39))-INDIRECT(ADDRESS(1274,39)))</f>
        <v>0</v>
      </c>
      <c r="AN1275">
        <f>IF(DAY(NOW())&lt;M3,INDIRECT(ADDRESS(1275,39))-INDIRECT(ADDRESS(1270,40))+INDIRECT(ADDRESS(1271,40))-INDIRECT(ADDRESS(1274,40)),INDIRECT(ADDRESS(1275,39))-INDIRECT(ADDRESS(1270,40))+INDIRECT(ADDRESS(1273,40))-INDIRECT(ADDRESS(1274,40)))</f>
        <v>0</v>
      </c>
      <c r="AO1275">
        <f>IF(DAY(NOW())&lt;M3,INDIRECT(ADDRESS(1275,40))-INDIRECT(ADDRESS(1270,41))+INDIRECT(ADDRESS(1271,41))-INDIRECT(ADDRESS(1274,41)),INDIRECT(ADDRESS(1275,40))-INDIRECT(ADDRESS(1270,41))+INDIRECT(ADDRESS(1273,41))-INDIRECT(ADDRESS(1274,41)))</f>
        <v>0</v>
      </c>
      <c r="AP1275">
        <f>IF(DAY(NOW())&lt;M3,INDIRECT(ADDRESS(1275,41))-INDIRECT(ADDRESS(1270,42))+INDIRECT(ADDRESS(1271,42))-INDIRECT(ADDRESS(1274,42)),INDIRECT(ADDRESS(1275,41))-INDIRECT(ADDRESS(1270,42))+INDIRECT(ADDRESS(1273,42))-INDIRECT(ADDRESS(1274,42)))</f>
        <v>0</v>
      </c>
      <c r="AQ1275">
        <f>IF(DAY(NOW())&lt;M3,INDIRECT(ADDRESS(1275,42))-INDIRECT(ADDRESS(1270,43))+INDIRECT(ADDRESS(1271,43))-INDIRECT(ADDRESS(1274,43)),INDIRECT(ADDRESS(1275,42))-INDIRECT(ADDRESS(1270,43))+INDIRECT(ADDRESS(1273,43))-INDIRECT(ADDRESS(1274,43)))</f>
        <v>0</v>
      </c>
      <c r="AR1275">
        <f>IF(DAY(NOW())&lt;M3,INDIRECT(ADDRESS(1275,43))-INDIRECT(ADDRESS(1270,44))+INDIRECT(ADDRESS(1271,44))-INDIRECT(ADDRESS(1274,44)),INDIRECT(ADDRESS(1275,43))-INDIRECT(ADDRESS(1270,44))+INDIRECT(ADDRESS(1273,44))-INDIRECT(ADDRESS(1274,44)))</f>
        <v>0</v>
      </c>
    </row>
    <row r="1276" spans="1:76">
      <c r="A1276" t="s">
        <v>31</v>
      </c>
      <c r="B1276" t="s">
        <v>506</v>
      </c>
      <c r="C1276" t="s">
        <v>506</v>
      </c>
      <c r="E1276" t="s">
        <v>453</v>
      </c>
      <c r="F1276" t="s">
        <v>506</v>
      </c>
      <c r="K1276" t="s">
        <v>499</v>
      </c>
      <c r="L1276" t="s">
        <v>21</v>
      </c>
      <c r="M1276">
        <f>sumifs(BOM!m:m,BOM!A:A,".1",BOM!B:B,"222-023400-000")</f>
        <v>0</v>
      </c>
      <c r="N1276">
        <f>sumifs(BOM!n:n,BOM!A:A,".1",BOM!B:B,"222-023400-000")</f>
        <v>0</v>
      </c>
      <c r="O1276">
        <f>sumifs(BOM!o:o,BOM!A:A,".1",BOM!B:B,"222-023400-000")</f>
        <v>0</v>
      </c>
      <c r="P1276">
        <f>sumifs(BOM!p:p,BOM!A:A,".1",BOM!B:B,"222-023400-000")</f>
        <v>0</v>
      </c>
      <c r="Q1276">
        <f>sumifs(BOM!q:q,BOM!A:A,".1",BOM!B:B,"222-023400-000")</f>
        <v>0</v>
      </c>
      <c r="R1276">
        <f>sumifs(BOM!r:r,BOM!A:A,".1",BOM!B:B,"222-023400-000")</f>
        <v>0</v>
      </c>
      <c r="S1276">
        <f>sumifs(BOM!s:s,BOM!A:A,".1",BOM!B:B,"222-023400-000")</f>
        <v>0</v>
      </c>
      <c r="T1276">
        <f>sumifs(BOM!t:t,BOM!A:A,".1",BOM!B:B,"222-023400-000")</f>
        <v>0</v>
      </c>
      <c r="U1276">
        <f>sumifs(BOM!u:u,BOM!A:A,".1",BOM!B:B,"222-023400-000")</f>
        <v>0</v>
      </c>
      <c r="V1276">
        <f>sumifs(BOM!v:v,BOM!A:A,".1",BOM!B:B,"222-023400-000")</f>
        <v>0</v>
      </c>
      <c r="W1276">
        <f>sumifs(BOM!w:w,BOM!A:A,".1",BOM!B:B,"222-023400-000")</f>
        <v>0</v>
      </c>
      <c r="X1276">
        <f>sumifs(BOM!x:x,BOM!A:A,".1",BOM!B:B,"222-023400-000")</f>
        <v>0</v>
      </c>
      <c r="Y1276">
        <f>sumifs(BOM!y:y,BOM!A:A,".1",BOM!B:B,"222-023400-000")</f>
        <v>0</v>
      </c>
      <c r="Z1276">
        <f>sumifs(BOM!z:z,BOM!A:A,".1",BOM!B:B,"222-023400-000")</f>
        <v>0</v>
      </c>
      <c r="AA1276">
        <f>sumifs(BOM!aa:aa,BOM!A:A,".1",BOM!B:B,"222-023400-000")</f>
        <v>0</v>
      </c>
      <c r="AB1276">
        <f>sumifs(BOM!ab:ab,BOM!A:A,".1",BOM!B:B,"222-023400-000")</f>
        <v>0</v>
      </c>
      <c r="AC1276">
        <f>sumifs(BOM!ac:ac,BOM!A:A,".1",BOM!B:B,"222-023400-000")</f>
        <v>0</v>
      </c>
      <c r="AD1276">
        <f>sumifs(BOM!ad:ad,BOM!A:A,".1",BOM!B:B,"222-023400-000")</f>
        <v>0</v>
      </c>
      <c r="AE1276">
        <f>sumifs(BOM!ae:ae,BOM!A:A,".1",BOM!B:B,"222-023400-000")</f>
        <v>0</v>
      </c>
      <c r="AF1276">
        <f>sumifs(BOM!af:af,BOM!A:A,".1",BOM!B:B,"222-023400-000")</f>
        <v>0</v>
      </c>
      <c r="AG1276">
        <f>sumifs(BOM!ag:ag,BOM!A:A,".1",BOM!B:B,"222-023400-000")</f>
        <v>0</v>
      </c>
      <c r="AH1276">
        <f>sumifs(BOM!ah:ah,BOM!A:A,".1",BOM!B:B,"222-023400-000")</f>
        <v>0</v>
      </c>
      <c r="AI1276">
        <f>sumifs(BOM!ai:ai,BOM!A:A,".1",BOM!B:B,"222-023400-000")</f>
        <v>0</v>
      </c>
      <c r="AJ1276">
        <f>sumifs(BOM!aj:aj,BOM!A:A,".1",BOM!B:B,"222-023400-000")</f>
        <v>0</v>
      </c>
      <c r="AK1276">
        <f>sumifs(BOM!ak:ak,BOM!A:A,".1",BOM!B:B,"222-023400-000")</f>
        <v>0</v>
      </c>
      <c r="AL1276">
        <f>sumifs(BOM!al:al,BOM!A:A,".1",BOM!B:B,"222-023400-000")</f>
        <v>0</v>
      </c>
      <c r="AM1276">
        <f>sumifs(BOM!am:am,BOM!A:A,".1",BOM!B:B,"222-023400-000")</f>
        <v>0</v>
      </c>
      <c r="AN1276">
        <f>sumifs(BOM!an:an,BOM!A:A,".1",BOM!B:B,"222-023400-000")</f>
        <v>0</v>
      </c>
      <c r="AO1276">
        <f>sumifs(BOM!ao:ao,BOM!A:A,".1",BOM!B:B,"222-023400-000")</f>
        <v>0</v>
      </c>
      <c r="AP1276">
        <f>sumifs(BOM!ap:ap,BOM!A:A,".1",BOM!B:B,"222-023400-000")</f>
        <v>0</v>
      </c>
      <c r="AQ1276">
        <f>sumifs(BOM!aq:aq,BOM!A:A,".1",BOM!B:B,"222-023400-000")</f>
        <v>0</v>
      </c>
      <c r="AR1276">
        <f>sumifs(BOM!ar:ar,BOM!A:A,".1",BOM!B:B,"222-023400-000")</f>
        <v>0</v>
      </c>
      <c r="BX1276">
        <f>sum(j1276:an1276)</f>
        <v>0</v>
      </c>
    </row>
    <row r="1277" spans="1:76">
      <c r="A1277" t="s">
        <v>31</v>
      </c>
      <c r="B1277" t="s">
        <v>506</v>
      </c>
      <c r="C1277" t="s">
        <v>506</v>
      </c>
      <c r="E1277" t="s">
        <v>453</v>
      </c>
      <c r="F1277" t="s">
        <v>506</v>
      </c>
      <c r="K1277" t="s">
        <v>499</v>
      </c>
      <c r="L1277" t="s">
        <v>37</v>
      </c>
    </row>
    <row r="1278" spans="1:76">
      <c r="L1278" t="s">
        <v>662</v>
      </c>
    </row>
    <row r="1279" spans="1:76">
      <c r="L1279" t="s">
        <v>663</v>
      </c>
    </row>
    <row r="1280" spans="1:76">
      <c r="L1280" t="s">
        <v>664</v>
      </c>
    </row>
    <row r="1281" spans="1:76">
      <c r="L1281" t="s">
        <v>665</v>
      </c>
      <c r="M1281">
        <f>IF(DAY(NOW())&lt;M3,INDIRECT(ADDRESS(1281,7))-INDIRECT(ADDRESS(1276,13))+INDIRECT(ADDRESS(1277,13))-INDIRECT(ADDRESS(1280,13)),INDIRECT(ADDRESS(1281,7))-INDIRECT(ADDRESS(1276,13))+INDIRECT(ADDRESS(1279,13))-INDIRECT(ADDRESS(1280,13)))</f>
        <v>0</v>
      </c>
      <c r="N1281">
        <f>IF(DAY(NOW())&lt;M3,INDIRECT(ADDRESS(1281,13))-INDIRECT(ADDRESS(1276,14))+INDIRECT(ADDRESS(1277,14))-INDIRECT(ADDRESS(1280,14)),INDIRECT(ADDRESS(1281,13))-INDIRECT(ADDRESS(1276,14))+INDIRECT(ADDRESS(1279,14))-INDIRECT(ADDRESS(1280,14)))</f>
        <v>0</v>
      </c>
      <c r="O1281">
        <f>IF(DAY(NOW())&lt;M3,INDIRECT(ADDRESS(1281,14))-INDIRECT(ADDRESS(1276,15))+INDIRECT(ADDRESS(1277,15))-INDIRECT(ADDRESS(1280,15)),INDIRECT(ADDRESS(1281,14))-INDIRECT(ADDRESS(1276,15))+INDIRECT(ADDRESS(1279,15))-INDIRECT(ADDRESS(1280,15)))</f>
        <v>0</v>
      </c>
      <c r="P1281">
        <f>IF(DAY(NOW())&lt;M3,INDIRECT(ADDRESS(1281,15))-INDIRECT(ADDRESS(1276,16))+INDIRECT(ADDRESS(1277,16))-INDIRECT(ADDRESS(1280,16)),INDIRECT(ADDRESS(1281,15))-INDIRECT(ADDRESS(1276,16))+INDIRECT(ADDRESS(1279,16))-INDIRECT(ADDRESS(1280,16)))</f>
        <v>0</v>
      </c>
      <c r="Q1281">
        <f>IF(DAY(NOW())&lt;M3,INDIRECT(ADDRESS(1281,16))-INDIRECT(ADDRESS(1276,17))+INDIRECT(ADDRESS(1277,17))-INDIRECT(ADDRESS(1280,17)),INDIRECT(ADDRESS(1281,16))-INDIRECT(ADDRESS(1276,17))+INDIRECT(ADDRESS(1279,17))-INDIRECT(ADDRESS(1280,17)))</f>
        <v>0</v>
      </c>
      <c r="R1281">
        <f>IF(DAY(NOW())&lt;M3,INDIRECT(ADDRESS(1281,17))-INDIRECT(ADDRESS(1276,18))+INDIRECT(ADDRESS(1277,18))-INDIRECT(ADDRESS(1280,18)),INDIRECT(ADDRESS(1281,17))-INDIRECT(ADDRESS(1276,18))+INDIRECT(ADDRESS(1279,18))-INDIRECT(ADDRESS(1280,18)))</f>
        <v>0</v>
      </c>
      <c r="S1281">
        <f>IF(DAY(NOW())&lt;M3,INDIRECT(ADDRESS(1281,18))-INDIRECT(ADDRESS(1276,19))+INDIRECT(ADDRESS(1277,19))-INDIRECT(ADDRESS(1280,19)),INDIRECT(ADDRESS(1281,18))-INDIRECT(ADDRESS(1276,19))+INDIRECT(ADDRESS(1279,19))-INDIRECT(ADDRESS(1280,19)))</f>
        <v>0</v>
      </c>
      <c r="T1281">
        <f>IF(DAY(NOW())&lt;M3,INDIRECT(ADDRESS(1281,19))-INDIRECT(ADDRESS(1276,20))+INDIRECT(ADDRESS(1277,20))-INDIRECT(ADDRESS(1280,20)),INDIRECT(ADDRESS(1281,19))-INDIRECT(ADDRESS(1276,20))+INDIRECT(ADDRESS(1279,20))-INDIRECT(ADDRESS(1280,20)))</f>
        <v>0</v>
      </c>
      <c r="U1281">
        <f>IF(DAY(NOW())&lt;M3,INDIRECT(ADDRESS(1281,20))-INDIRECT(ADDRESS(1276,21))+INDIRECT(ADDRESS(1277,21))-INDIRECT(ADDRESS(1280,21)),INDIRECT(ADDRESS(1281,20))-INDIRECT(ADDRESS(1276,21))+INDIRECT(ADDRESS(1279,21))-INDIRECT(ADDRESS(1280,21)))</f>
        <v>0</v>
      </c>
      <c r="V1281">
        <f>IF(DAY(NOW())&lt;M3,INDIRECT(ADDRESS(1281,21))-INDIRECT(ADDRESS(1276,22))+INDIRECT(ADDRESS(1277,22))-INDIRECT(ADDRESS(1280,22)),INDIRECT(ADDRESS(1281,21))-INDIRECT(ADDRESS(1276,22))+INDIRECT(ADDRESS(1279,22))-INDIRECT(ADDRESS(1280,22)))</f>
        <v>0</v>
      </c>
      <c r="W1281">
        <f>IF(DAY(NOW())&lt;M3,INDIRECT(ADDRESS(1281,22))-INDIRECT(ADDRESS(1276,23))+INDIRECT(ADDRESS(1277,23))-INDIRECT(ADDRESS(1280,23)),INDIRECT(ADDRESS(1281,22))-INDIRECT(ADDRESS(1276,23))+INDIRECT(ADDRESS(1279,23))-INDIRECT(ADDRESS(1280,23)))</f>
        <v>0</v>
      </c>
      <c r="X1281">
        <f>IF(DAY(NOW())&lt;M3,INDIRECT(ADDRESS(1281,23))-INDIRECT(ADDRESS(1276,24))+INDIRECT(ADDRESS(1277,24))-INDIRECT(ADDRESS(1280,24)),INDIRECT(ADDRESS(1281,23))-INDIRECT(ADDRESS(1276,24))+INDIRECT(ADDRESS(1279,24))-INDIRECT(ADDRESS(1280,24)))</f>
        <v>0</v>
      </c>
      <c r="Y1281">
        <f>IF(DAY(NOW())&lt;M3,INDIRECT(ADDRESS(1281,24))-INDIRECT(ADDRESS(1276,25))+INDIRECT(ADDRESS(1277,25))-INDIRECT(ADDRESS(1280,25)),INDIRECT(ADDRESS(1281,24))-INDIRECT(ADDRESS(1276,25))+INDIRECT(ADDRESS(1279,25))-INDIRECT(ADDRESS(1280,25)))</f>
        <v>0</v>
      </c>
      <c r="Z1281">
        <f>IF(DAY(NOW())&lt;M3,INDIRECT(ADDRESS(1281,25))-INDIRECT(ADDRESS(1276,26))+INDIRECT(ADDRESS(1277,26))-INDIRECT(ADDRESS(1280,26)),INDIRECT(ADDRESS(1281,25))-INDIRECT(ADDRESS(1276,26))+INDIRECT(ADDRESS(1279,26))-INDIRECT(ADDRESS(1280,26)))</f>
        <v>0</v>
      </c>
      <c r="AA1281">
        <f>IF(DAY(NOW())&lt;M3,INDIRECT(ADDRESS(1281,26))-INDIRECT(ADDRESS(1276,27))+INDIRECT(ADDRESS(1277,27))-INDIRECT(ADDRESS(1280,27)),INDIRECT(ADDRESS(1281,26))-INDIRECT(ADDRESS(1276,27))+INDIRECT(ADDRESS(1279,27))-INDIRECT(ADDRESS(1280,27)))</f>
        <v>0</v>
      </c>
      <c r="AB1281">
        <f>IF(DAY(NOW())&lt;M3,INDIRECT(ADDRESS(1281,27))-INDIRECT(ADDRESS(1276,28))+INDIRECT(ADDRESS(1277,28))-INDIRECT(ADDRESS(1280,28)),INDIRECT(ADDRESS(1281,27))-INDIRECT(ADDRESS(1276,28))+INDIRECT(ADDRESS(1279,28))-INDIRECT(ADDRESS(1280,28)))</f>
        <v>0</v>
      </c>
      <c r="AC1281">
        <f>IF(DAY(NOW())&lt;M3,INDIRECT(ADDRESS(1281,28))-INDIRECT(ADDRESS(1276,29))+INDIRECT(ADDRESS(1277,29))-INDIRECT(ADDRESS(1280,29)),INDIRECT(ADDRESS(1281,28))-INDIRECT(ADDRESS(1276,29))+INDIRECT(ADDRESS(1279,29))-INDIRECT(ADDRESS(1280,29)))</f>
        <v>0</v>
      </c>
      <c r="AD1281">
        <f>IF(DAY(NOW())&lt;M3,INDIRECT(ADDRESS(1281,29))-INDIRECT(ADDRESS(1276,30))+INDIRECT(ADDRESS(1277,30))-INDIRECT(ADDRESS(1280,30)),INDIRECT(ADDRESS(1281,29))-INDIRECT(ADDRESS(1276,30))+INDIRECT(ADDRESS(1279,30))-INDIRECT(ADDRESS(1280,30)))</f>
        <v>0</v>
      </c>
      <c r="AE1281">
        <f>IF(DAY(NOW())&lt;M3,INDIRECT(ADDRESS(1281,30))-INDIRECT(ADDRESS(1276,31))+INDIRECT(ADDRESS(1277,31))-INDIRECT(ADDRESS(1280,31)),INDIRECT(ADDRESS(1281,30))-INDIRECT(ADDRESS(1276,31))+INDIRECT(ADDRESS(1279,31))-INDIRECT(ADDRESS(1280,31)))</f>
        <v>0</v>
      </c>
      <c r="AF1281">
        <f>IF(DAY(NOW())&lt;M3,INDIRECT(ADDRESS(1281,31))-INDIRECT(ADDRESS(1276,32))+INDIRECT(ADDRESS(1277,32))-INDIRECT(ADDRESS(1280,32)),INDIRECT(ADDRESS(1281,31))-INDIRECT(ADDRESS(1276,32))+INDIRECT(ADDRESS(1279,32))-INDIRECT(ADDRESS(1280,32)))</f>
        <v>0</v>
      </c>
      <c r="AG1281">
        <f>IF(DAY(NOW())&lt;M3,INDIRECT(ADDRESS(1281,32))-INDIRECT(ADDRESS(1276,33))+INDIRECT(ADDRESS(1277,33))-INDIRECT(ADDRESS(1280,33)),INDIRECT(ADDRESS(1281,32))-INDIRECT(ADDRESS(1276,33))+INDIRECT(ADDRESS(1279,33))-INDIRECT(ADDRESS(1280,33)))</f>
        <v>0</v>
      </c>
      <c r="AH1281">
        <f>IF(DAY(NOW())&lt;M3,INDIRECT(ADDRESS(1281,33))-INDIRECT(ADDRESS(1276,34))+INDIRECT(ADDRESS(1277,34))-INDIRECT(ADDRESS(1280,34)),INDIRECT(ADDRESS(1281,33))-INDIRECT(ADDRESS(1276,34))+INDIRECT(ADDRESS(1279,34))-INDIRECT(ADDRESS(1280,34)))</f>
        <v>0</v>
      </c>
      <c r="AI1281">
        <f>IF(DAY(NOW())&lt;M3,INDIRECT(ADDRESS(1281,34))-INDIRECT(ADDRESS(1276,35))+INDIRECT(ADDRESS(1277,35))-INDIRECT(ADDRESS(1280,35)),INDIRECT(ADDRESS(1281,34))-INDIRECT(ADDRESS(1276,35))+INDIRECT(ADDRESS(1279,35))-INDIRECT(ADDRESS(1280,35)))</f>
        <v>0</v>
      </c>
      <c r="AJ1281">
        <f>IF(DAY(NOW())&lt;M3,INDIRECT(ADDRESS(1281,35))-INDIRECT(ADDRESS(1276,36))+INDIRECT(ADDRESS(1277,36))-INDIRECT(ADDRESS(1280,36)),INDIRECT(ADDRESS(1281,35))-INDIRECT(ADDRESS(1276,36))+INDIRECT(ADDRESS(1279,36))-INDIRECT(ADDRESS(1280,36)))</f>
        <v>0</v>
      </c>
      <c r="AK1281">
        <f>IF(DAY(NOW())&lt;M3,INDIRECT(ADDRESS(1281,36))-INDIRECT(ADDRESS(1276,37))+INDIRECT(ADDRESS(1277,37))-INDIRECT(ADDRESS(1280,37)),INDIRECT(ADDRESS(1281,36))-INDIRECT(ADDRESS(1276,37))+INDIRECT(ADDRESS(1279,37))-INDIRECT(ADDRESS(1280,37)))</f>
        <v>0</v>
      </c>
      <c r="AL1281">
        <f>IF(DAY(NOW())&lt;M3,INDIRECT(ADDRESS(1281,37))-INDIRECT(ADDRESS(1276,38))+INDIRECT(ADDRESS(1277,38))-INDIRECT(ADDRESS(1280,38)),INDIRECT(ADDRESS(1281,37))-INDIRECT(ADDRESS(1276,38))+INDIRECT(ADDRESS(1279,38))-INDIRECT(ADDRESS(1280,38)))</f>
        <v>0</v>
      </c>
      <c r="AM1281">
        <f>IF(DAY(NOW())&lt;M3,INDIRECT(ADDRESS(1281,38))-INDIRECT(ADDRESS(1276,39))+INDIRECT(ADDRESS(1277,39))-INDIRECT(ADDRESS(1280,39)),INDIRECT(ADDRESS(1281,38))-INDIRECT(ADDRESS(1276,39))+INDIRECT(ADDRESS(1279,39))-INDIRECT(ADDRESS(1280,39)))</f>
        <v>0</v>
      </c>
      <c r="AN1281">
        <f>IF(DAY(NOW())&lt;M3,INDIRECT(ADDRESS(1281,39))-INDIRECT(ADDRESS(1276,40))+INDIRECT(ADDRESS(1277,40))-INDIRECT(ADDRESS(1280,40)),INDIRECT(ADDRESS(1281,39))-INDIRECT(ADDRESS(1276,40))+INDIRECT(ADDRESS(1279,40))-INDIRECT(ADDRESS(1280,40)))</f>
        <v>0</v>
      </c>
      <c r="AO1281">
        <f>IF(DAY(NOW())&lt;M3,INDIRECT(ADDRESS(1281,40))-INDIRECT(ADDRESS(1276,41))+INDIRECT(ADDRESS(1277,41))-INDIRECT(ADDRESS(1280,41)),INDIRECT(ADDRESS(1281,40))-INDIRECT(ADDRESS(1276,41))+INDIRECT(ADDRESS(1279,41))-INDIRECT(ADDRESS(1280,41)))</f>
        <v>0</v>
      </c>
      <c r="AP1281">
        <f>IF(DAY(NOW())&lt;M3,INDIRECT(ADDRESS(1281,41))-INDIRECT(ADDRESS(1276,42))+INDIRECT(ADDRESS(1277,42))-INDIRECT(ADDRESS(1280,42)),INDIRECT(ADDRESS(1281,41))-INDIRECT(ADDRESS(1276,42))+INDIRECT(ADDRESS(1279,42))-INDIRECT(ADDRESS(1280,42)))</f>
        <v>0</v>
      </c>
      <c r="AQ1281">
        <f>IF(DAY(NOW())&lt;M3,INDIRECT(ADDRESS(1281,42))-INDIRECT(ADDRESS(1276,43))+INDIRECT(ADDRESS(1277,43))-INDIRECT(ADDRESS(1280,43)),INDIRECT(ADDRESS(1281,42))-INDIRECT(ADDRESS(1276,43))+INDIRECT(ADDRESS(1279,43))-INDIRECT(ADDRESS(1280,43)))</f>
        <v>0</v>
      </c>
      <c r="AR1281">
        <f>IF(DAY(NOW())&lt;M3,INDIRECT(ADDRESS(1281,43))-INDIRECT(ADDRESS(1276,44))+INDIRECT(ADDRESS(1277,44))-INDIRECT(ADDRESS(1280,44)),INDIRECT(ADDRESS(1281,43))-INDIRECT(ADDRESS(1276,44))+INDIRECT(ADDRESS(1279,44))-INDIRECT(ADDRESS(1280,44)))</f>
        <v>0</v>
      </c>
    </row>
    <row r="1282" spans="1:76">
      <c r="A1282" t="s">
        <v>31</v>
      </c>
      <c r="B1282" t="s">
        <v>511</v>
      </c>
      <c r="C1282" t="s">
        <v>512</v>
      </c>
      <c r="E1282" t="s">
        <v>444</v>
      </c>
      <c r="F1282" t="s">
        <v>512</v>
      </c>
      <c r="K1282" t="s">
        <v>499</v>
      </c>
      <c r="L1282" t="s">
        <v>21</v>
      </c>
      <c r="M1282">
        <f>sumifs(BOM!m:m,BOM!A:A,".1",BOM!B:B,"272-003300-000")</f>
        <v>0</v>
      </c>
      <c r="N1282">
        <f>sumifs(BOM!n:n,BOM!A:A,".1",BOM!B:B,"272-003300-000")</f>
        <v>0</v>
      </c>
      <c r="O1282">
        <f>sumifs(BOM!o:o,BOM!A:A,".1",BOM!B:B,"272-003300-000")</f>
        <v>0</v>
      </c>
      <c r="P1282">
        <f>sumifs(BOM!p:p,BOM!A:A,".1",BOM!B:B,"272-003300-000")</f>
        <v>0</v>
      </c>
      <c r="Q1282">
        <f>sumifs(BOM!q:q,BOM!A:A,".1",BOM!B:B,"272-003300-000")</f>
        <v>0</v>
      </c>
      <c r="R1282">
        <f>sumifs(BOM!r:r,BOM!A:A,".1",BOM!B:B,"272-003300-000")</f>
        <v>0</v>
      </c>
      <c r="S1282">
        <f>sumifs(BOM!s:s,BOM!A:A,".1",BOM!B:B,"272-003300-000")</f>
        <v>0</v>
      </c>
      <c r="T1282">
        <f>sumifs(BOM!t:t,BOM!A:A,".1",BOM!B:B,"272-003300-000")</f>
        <v>0</v>
      </c>
      <c r="U1282">
        <f>sumifs(BOM!u:u,BOM!A:A,".1",BOM!B:B,"272-003300-000")</f>
        <v>0</v>
      </c>
      <c r="V1282">
        <f>sumifs(BOM!v:v,BOM!A:A,".1",BOM!B:B,"272-003300-000")</f>
        <v>0</v>
      </c>
      <c r="W1282">
        <f>sumifs(BOM!w:w,BOM!A:A,".1",BOM!B:B,"272-003300-000")</f>
        <v>0</v>
      </c>
      <c r="X1282">
        <f>sumifs(BOM!x:x,BOM!A:A,".1",BOM!B:B,"272-003300-000")</f>
        <v>0</v>
      </c>
      <c r="Y1282">
        <f>sumifs(BOM!y:y,BOM!A:A,".1",BOM!B:B,"272-003300-000")</f>
        <v>0</v>
      </c>
      <c r="Z1282">
        <f>sumifs(BOM!z:z,BOM!A:A,".1",BOM!B:B,"272-003300-000")</f>
        <v>0</v>
      </c>
      <c r="AA1282">
        <f>sumifs(BOM!aa:aa,BOM!A:A,".1",BOM!B:B,"272-003300-000")</f>
        <v>0</v>
      </c>
      <c r="AB1282">
        <f>sumifs(BOM!ab:ab,BOM!A:A,".1",BOM!B:B,"272-003300-000")</f>
        <v>0</v>
      </c>
      <c r="AC1282">
        <f>sumifs(BOM!ac:ac,BOM!A:A,".1",BOM!B:B,"272-003300-000")</f>
        <v>0</v>
      </c>
      <c r="AD1282">
        <f>sumifs(BOM!ad:ad,BOM!A:A,".1",BOM!B:B,"272-003300-000")</f>
        <v>0</v>
      </c>
      <c r="AE1282">
        <f>sumifs(BOM!ae:ae,BOM!A:A,".1",BOM!B:B,"272-003300-000")</f>
        <v>0</v>
      </c>
      <c r="AF1282">
        <f>sumifs(BOM!af:af,BOM!A:A,".1",BOM!B:B,"272-003300-000")</f>
        <v>0</v>
      </c>
      <c r="AG1282">
        <f>sumifs(BOM!ag:ag,BOM!A:A,".1",BOM!B:B,"272-003300-000")</f>
        <v>0</v>
      </c>
      <c r="AH1282">
        <f>sumifs(BOM!ah:ah,BOM!A:A,".1",BOM!B:B,"272-003300-000")</f>
        <v>0</v>
      </c>
      <c r="AI1282">
        <f>sumifs(BOM!ai:ai,BOM!A:A,".1",BOM!B:B,"272-003300-000")</f>
        <v>0</v>
      </c>
      <c r="AJ1282">
        <f>sumifs(BOM!aj:aj,BOM!A:A,".1",BOM!B:B,"272-003300-000")</f>
        <v>0</v>
      </c>
      <c r="AK1282">
        <f>sumifs(BOM!ak:ak,BOM!A:A,".1",BOM!B:B,"272-003300-000")</f>
        <v>0</v>
      </c>
      <c r="AL1282">
        <f>sumifs(BOM!al:al,BOM!A:A,".1",BOM!B:B,"272-003300-000")</f>
        <v>0</v>
      </c>
      <c r="AM1282">
        <f>sumifs(BOM!am:am,BOM!A:A,".1",BOM!B:B,"272-003300-000")</f>
        <v>0</v>
      </c>
      <c r="AN1282">
        <f>sumifs(BOM!an:an,BOM!A:A,".1",BOM!B:B,"272-003300-000")</f>
        <v>0</v>
      </c>
      <c r="AO1282">
        <f>sumifs(BOM!ao:ao,BOM!A:A,".1",BOM!B:B,"272-003300-000")</f>
        <v>0</v>
      </c>
      <c r="AP1282">
        <f>sumifs(BOM!ap:ap,BOM!A:A,".1",BOM!B:B,"272-003300-000")</f>
        <v>0</v>
      </c>
      <c r="AQ1282">
        <f>sumifs(BOM!aq:aq,BOM!A:A,".1",BOM!B:B,"272-003300-000")</f>
        <v>0</v>
      </c>
      <c r="AR1282">
        <f>sumifs(BOM!ar:ar,BOM!A:A,".1",BOM!B:B,"272-003300-000")</f>
        <v>0</v>
      </c>
      <c r="BX1282">
        <f>sum(j1282:an1282)</f>
        <v>0</v>
      </c>
    </row>
    <row r="1283" spans="1:76">
      <c r="A1283" t="s">
        <v>31</v>
      </c>
      <c r="B1283" t="s">
        <v>511</v>
      </c>
      <c r="C1283" t="s">
        <v>512</v>
      </c>
      <c r="E1283" t="s">
        <v>444</v>
      </c>
      <c r="F1283" t="s">
        <v>512</v>
      </c>
      <c r="K1283" t="s">
        <v>499</v>
      </c>
      <c r="L1283" t="s">
        <v>37</v>
      </c>
    </row>
    <row r="1284" spans="1:76">
      <c r="L1284" t="s">
        <v>662</v>
      </c>
    </row>
    <row r="1285" spans="1:76">
      <c r="L1285" t="s">
        <v>663</v>
      </c>
    </row>
    <row r="1286" spans="1:76">
      <c r="L1286" t="s">
        <v>664</v>
      </c>
    </row>
    <row r="1287" spans="1:76">
      <c r="L1287" t="s">
        <v>665</v>
      </c>
      <c r="M1287">
        <f>IF(DAY(NOW())&lt;M3,INDIRECT(ADDRESS(1287,7))-INDIRECT(ADDRESS(1282,13))+INDIRECT(ADDRESS(1283,13))-INDIRECT(ADDRESS(1286,13)),INDIRECT(ADDRESS(1287,7))-INDIRECT(ADDRESS(1282,13))+INDIRECT(ADDRESS(1285,13))-INDIRECT(ADDRESS(1286,13)))</f>
        <v>0</v>
      </c>
      <c r="N1287">
        <f>IF(DAY(NOW())&lt;M3,INDIRECT(ADDRESS(1287,13))-INDIRECT(ADDRESS(1282,14))+INDIRECT(ADDRESS(1283,14))-INDIRECT(ADDRESS(1286,14)),INDIRECT(ADDRESS(1287,13))-INDIRECT(ADDRESS(1282,14))+INDIRECT(ADDRESS(1285,14))-INDIRECT(ADDRESS(1286,14)))</f>
        <v>0</v>
      </c>
      <c r="O1287">
        <f>IF(DAY(NOW())&lt;M3,INDIRECT(ADDRESS(1287,14))-INDIRECT(ADDRESS(1282,15))+INDIRECT(ADDRESS(1283,15))-INDIRECT(ADDRESS(1286,15)),INDIRECT(ADDRESS(1287,14))-INDIRECT(ADDRESS(1282,15))+INDIRECT(ADDRESS(1285,15))-INDIRECT(ADDRESS(1286,15)))</f>
        <v>0</v>
      </c>
      <c r="P1287">
        <f>IF(DAY(NOW())&lt;M3,INDIRECT(ADDRESS(1287,15))-INDIRECT(ADDRESS(1282,16))+INDIRECT(ADDRESS(1283,16))-INDIRECT(ADDRESS(1286,16)),INDIRECT(ADDRESS(1287,15))-INDIRECT(ADDRESS(1282,16))+INDIRECT(ADDRESS(1285,16))-INDIRECT(ADDRESS(1286,16)))</f>
        <v>0</v>
      </c>
      <c r="Q1287">
        <f>IF(DAY(NOW())&lt;M3,INDIRECT(ADDRESS(1287,16))-INDIRECT(ADDRESS(1282,17))+INDIRECT(ADDRESS(1283,17))-INDIRECT(ADDRESS(1286,17)),INDIRECT(ADDRESS(1287,16))-INDIRECT(ADDRESS(1282,17))+INDIRECT(ADDRESS(1285,17))-INDIRECT(ADDRESS(1286,17)))</f>
        <v>0</v>
      </c>
      <c r="R1287">
        <f>IF(DAY(NOW())&lt;M3,INDIRECT(ADDRESS(1287,17))-INDIRECT(ADDRESS(1282,18))+INDIRECT(ADDRESS(1283,18))-INDIRECT(ADDRESS(1286,18)),INDIRECT(ADDRESS(1287,17))-INDIRECT(ADDRESS(1282,18))+INDIRECT(ADDRESS(1285,18))-INDIRECT(ADDRESS(1286,18)))</f>
        <v>0</v>
      </c>
      <c r="S1287">
        <f>IF(DAY(NOW())&lt;M3,INDIRECT(ADDRESS(1287,18))-INDIRECT(ADDRESS(1282,19))+INDIRECT(ADDRESS(1283,19))-INDIRECT(ADDRESS(1286,19)),INDIRECT(ADDRESS(1287,18))-INDIRECT(ADDRESS(1282,19))+INDIRECT(ADDRESS(1285,19))-INDIRECT(ADDRESS(1286,19)))</f>
        <v>0</v>
      </c>
      <c r="T1287">
        <f>IF(DAY(NOW())&lt;M3,INDIRECT(ADDRESS(1287,19))-INDIRECT(ADDRESS(1282,20))+INDIRECT(ADDRESS(1283,20))-INDIRECT(ADDRESS(1286,20)),INDIRECT(ADDRESS(1287,19))-INDIRECT(ADDRESS(1282,20))+INDIRECT(ADDRESS(1285,20))-INDIRECT(ADDRESS(1286,20)))</f>
        <v>0</v>
      </c>
      <c r="U1287">
        <f>IF(DAY(NOW())&lt;M3,INDIRECT(ADDRESS(1287,20))-INDIRECT(ADDRESS(1282,21))+INDIRECT(ADDRESS(1283,21))-INDIRECT(ADDRESS(1286,21)),INDIRECT(ADDRESS(1287,20))-INDIRECT(ADDRESS(1282,21))+INDIRECT(ADDRESS(1285,21))-INDIRECT(ADDRESS(1286,21)))</f>
        <v>0</v>
      </c>
      <c r="V1287">
        <f>IF(DAY(NOW())&lt;M3,INDIRECT(ADDRESS(1287,21))-INDIRECT(ADDRESS(1282,22))+INDIRECT(ADDRESS(1283,22))-INDIRECT(ADDRESS(1286,22)),INDIRECT(ADDRESS(1287,21))-INDIRECT(ADDRESS(1282,22))+INDIRECT(ADDRESS(1285,22))-INDIRECT(ADDRESS(1286,22)))</f>
        <v>0</v>
      </c>
      <c r="W1287">
        <f>IF(DAY(NOW())&lt;M3,INDIRECT(ADDRESS(1287,22))-INDIRECT(ADDRESS(1282,23))+INDIRECT(ADDRESS(1283,23))-INDIRECT(ADDRESS(1286,23)),INDIRECT(ADDRESS(1287,22))-INDIRECT(ADDRESS(1282,23))+INDIRECT(ADDRESS(1285,23))-INDIRECT(ADDRESS(1286,23)))</f>
        <v>0</v>
      </c>
      <c r="X1287">
        <f>IF(DAY(NOW())&lt;M3,INDIRECT(ADDRESS(1287,23))-INDIRECT(ADDRESS(1282,24))+INDIRECT(ADDRESS(1283,24))-INDIRECT(ADDRESS(1286,24)),INDIRECT(ADDRESS(1287,23))-INDIRECT(ADDRESS(1282,24))+INDIRECT(ADDRESS(1285,24))-INDIRECT(ADDRESS(1286,24)))</f>
        <v>0</v>
      </c>
      <c r="Y1287">
        <f>IF(DAY(NOW())&lt;M3,INDIRECT(ADDRESS(1287,24))-INDIRECT(ADDRESS(1282,25))+INDIRECT(ADDRESS(1283,25))-INDIRECT(ADDRESS(1286,25)),INDIRECT(ADDRESS(1287,24))-INDIRECT(ADDRESS(1282,25))+INDIRECT(ADDRESS(1285,25))-INDIRECT(ADDRESS(1286,25)))</f>
        <v>0</v>
      </c>
      <c r="Z1287">
        <f>IF(DAY(NOW())&lt;M3,INDIRECT(ADDRESS(1287,25))-INDIRECT(ADDRESS(1282,26))+INDIRECT(ADDRESS(1283,26))-INDIRECT(ADDRESS(1286,26)),INDIRECT(ADDRESS(1287,25))-INDIRECT(ADDRESS(1282,26))+INDIRECT(ADDRESS(1285,26))-INDIRECT(ADDRESS(1286,26)))</f>
        <v>0</v>
      </c>
      <c r="AA1287">
        <f>IF(DAY(NOW())&lt;M3,INDIRECT(ADDRESS(1287,26))-INDIRECT(ADDRESS(1282,27))+INDIRECT(ADDRESS(1283,27))-INDIRECT(ADDRESS(1286,27)),INDIRECT(ADDRESS(1287,26))-INDIRECT(ADDRESS(1282,27))+INDIRECT(ADDRESS(1285,27))-INDIRECT(ADDRESS(1286,27)))</f>
        <v>0</v>
      </c>
      <c r="AB1287">
        <f>IF(DAY(NOW())&lt;M3,INDIRECT(ADDRESS(1287,27))-INDIRECT(ADDRESS(1282,28))+INDIRECT(ADDRESS(1283,28))-INDIRECT(ADDRESS(1286,28)),INDIRECT(ADDRESS(1287,27))-INDIRECT(ADDRESS(1282,28))+INDIRECT(ADDRESS(1285,28))-INDIRECT(ADDRESS(1286,28)))</f>
        <v>0</v>
      </c>
      <c r="AC1287">
        <f>IF(DAY(NOW())&lt;M3,INDIRECT(ADDRESS(1287,28))-INDIRECT(ADDRESS(1282,29))+INDIRECT(ADDRESS(1283,29))-INDIRECT(ADDRESS(1286,29)),INDIRECT(ADDRESS(1287,28))-INDIRECT(ADDRESS(1282,29))+INDIRECT(ADDRESS(1285,29))-INDIRECT(ADDRESS(1286,29)))</f>
        <v>0</v>
      </c>
      <c r="AD1287">
        <f>IF(DAY(NOW())&lt;M3,INDIRECT(ADDRESS(1287,29))-INDIRECT(ADDRESS(1282,30))+INDIRECT(ADDRESS(1283,30))-INDIRECT(ADDRESS(1286,30)),INDIRECT(ADDRESS(1287,29))-INDIRECT(ADDRESS(1282,30))+INDIRECT(ADDRESS(1285,30))-INDIRECT(ADDRESS(1286,30)))</f>
        <v>0</v>
      </c>
      <c r="AE1287">
        <f>IF(DAY(NOW())&lt;M3,INDIRECT(ADDRESS(1287,30))-INDIRECT(ADDRESS(1282,31))+INDIRECT(ADDRESS(1283,31))-INDIRECT(ADDRESS(1286,31)),INDIRECT(ADDRESS(1287,30))-INDIRECT(ADDRESS(1282,31))+INDIRECT(ADDRESS(1285,31))-INDIRECT(ADDRESS(1286,31)))</f>
        <v>0</v>
      </c>
      <c r="AF1287">
        <f>IF(DAY(NOW())&lt;M3,INDIRECT(ADDRESS(1287,31))-INDIRECT(ADDRESS(1282,32))+INDIRECT(ADDRESS(1283,32))-INDIRECT(ADDRESS(1286,32)),INDIRECT(ADDRESS(1287,31))-INDIRECT(ADDRESS(1282,32))+INDIRECT(ADDRESS(1285,32))-INDIRECT(ADDRESS(1286,32)))</f>
        <v>0</v>
      </c>
      <c r="AG1287">
        <f>IF(DAY(NOW())&lt;M3,INDIRECT(ADDRESS(1287,32))-INDIRECT(ADDRESS(1282,33))+INDIRECT(ADDRESS(1283,33))-INDIRECT(ADDRESS(1286,33)),INDIRECT(ADDRESS(1287,32))-INDIRECT(ADDRESS(1282,33))+INDIRECT(ADDRESS(1285,33))-INDIRECT(ADDRESS(1286,33)))</f>
        <v>0</v>
      </c>
      <c r="AH1287">
        <f>IF(DAY(NOW())&lt;M3,INDIRECT(ADDRESS(1287,33))-INDIRECT(ADDRESS(1282,34))+INDIRECT(ADDRESS(1283,34))-INDIRECT(ADDRESS(1286,34)),INDIRECT(ADDRESS(1287,33))-INDIRECT(ADDRESS(1282,34))+INDIRECT(ADDRESS(1285,34))-INDIRECT(ADDRESS(1286,34)))</f>
        <v>0</v>
      </c>
      <c r="AI1287">
        <f>IF(DAY(NOW())&lt;M3,INDIRECT(ADDRESS(1287,34))-INDIRECT(ADDRESS(1282,35))+INDIRECT(ADDRESS(1283,35))-INDIRECT(ADDRESS(1286,35)),INDIRECT(ADDRESS(1287,34))-INDIRECT(ADDRESS(1282,35))+INDIRECT(ADDRESS(1285,35))-INDIRECT(ADDRESS(1286,35)))</f>
        <v>0</v>
      </c>
      <c r="AJ1287">
        <f>IF(DAY(NOW())&lt;M3,INDIRECT(ADDRESS(1287,35))-INDIRECT(ADDRESS(1282,36))+INDIRECT(ADDRESS(1283,36))-INDIRECT(ADDRESS(1286,36)),INDIRECT(ADDRESS(1287,35))-INDIRECT(ADDRESS(1282,36))+INDIRECT(ADDRESS(1285,36))-INDIRECT(ADDRESS(1286,36)))</f>
        <v>0</v>
      </c>
      <c r="AK1287">
        <f>IF(DAY(NOW())&lt;M3,INDIRECT(ADDRESS(1287,36))-INDIRECT(ADDRESS(1282,37))+INDIRECT(ADDRESS(1283,37))-INDIRECT(ADDRESS(1286,37)),INDIRECT(ADDRESS(1287,36))-INDIRECT(ADDRESS(1282,37))+INDIRECT(ADDRESS(1285,37))-INDIRECT(ADDRESS(1286,37)))</f>
        <v>0</v>
      </c>
      <c r="AL1287">
        <f>IF(DAY(NOW())&lt;M3,INDIRECT(ADDRESS(1287,37))-INDIRECT(ADDRESS(1282,38))+INDIRECT(ADDRESS(1283,38))-INDIRECT(ADDRESS(1286,38)),INDIRECT(ADDRESS(1287,37))-INDIRECT(ADDRESS(1282,38))+INDIRECT(ADDRESS(1285,38))-INDIRECT(ADDRESS(1286,38)))</f>
        <v>0</v>
      </c>
      <c r="AM1287">
        <f>IF(DAY(NOW())&lt;M3,INDIRECT(ADDRESS(1287,38))-INDIRECT(ADDRESS(1282,39))+INDIRECT(ADDRESS(1283,39))-INDIRECT(ADDRESS(1286,39)),INDIRECT(ADDRESS(1287,38))-INDIRECT(ADDRESS(1282,39))+INDIRECT(ADDRESS(1285,39))-INDIRECT(ADDRESS(1286,39)))</f>
        <v>0</v>
      </c>
      <c r="AN1287">
        <f>IF(DAY(NOW())&lt;M3,INDIRECT(ADDRESS(1287,39))-INDIRECT(ADDRESS(1282,40))+INDIRECT(ADDRESS(1283,40))-INDIRECT(ADDRESS(1286,40)),INDIRECT(ADDRESS(1287,39))-INDIRECT(ADDRESS(1282,40))+INDIRECT(ADDRESS(1285,40))-INDIRECT(ADDRESS(1286,40)))</f>
        <v>0</v>
      </c>
      <c r="AO1287">
        <f>IF(DAY(NOW())&lt;M3,INDIRECT(ADDRESS(1287,40))-INDIRECT(ADDRESS(1282,41))+INDIRECT(ADDRESS(1283,41))-INDIRECT(ADDRESS(1286,41)),INDIRECT(ADDRESS(1287,40))-INDIRECT(ADDRESS(1282,41))+INDIRECT(ADDRESS(1285,41))-INDIRECT(ADDRESS(1286,41)))</f>
        <v>0</v>
      </c>
      <c r="AP1287">
        <f>IF(DAY(NOW())&lt;M3,INDIRECT(ADDRESS(1287,41))-INDIRECT(ADDRESS(1282,42))+INDIRECT(ADDRESS(1283,42))-INDIRECT(ADDRESS(1286,42)),INDIRECT(ADDRESS(1287,41))-INDIRECT(ADDRESS(1282,42))+INDIRECT(ADDRESS(1285,42))-INDIRECT(ADDRESS(1286,42)))</f>
        <v>0</v>
      </c>
      <c r="AQ1287">
        <f>IF(DAY(NOW())&lt;M3,INDIRECT(ADDRESS(1287,42))-INDIRECT(ADDRESS(1282,43))+INDIRECT(ADDRESS(1283,43))-INDIRECT(ADDRESS(1286,43)),INDIRECT(ADDRESS(1287,42))-INDIRECT(ADDRESS(1282,43))+INDIRECT(ADDRESS(1285,43))-INDIRECT(ADDRESS(1286,43)))</f>
        <v>0</v>
      </c>
      <c r="AR1287">
        <f>IF(DAY(NOW())&lt;M3,INDIRECT(ADDRESS(1287,43))-INDIRECT(ADDRESS(1282,44))+INDIRECT(ADDRESS(1283,44))-INDIRECT(ADDRESS(1286,44)),INDIRECT(ADDRESS(1287,43))-INDIRECT(ADDRESS(1282,44))+INDIRECT(ADDRESS(1285,44))-INDIRECT(ADDRESS(1286,44)))</f>
        <v>0</v>
      </c>
    </row>
    <row r="1288" spans="1:76">
      <c r="A1288" t="s">
        <v>14</v>
      </c>
      <c r="B1288" t="s">
        <v>494</v>
      </c>
      <c r="C1288" t="s">
        <v>496</v>
      </c>
      <c r="D1288" t="s">
        <v>480</v>
      </c>
      <c r="E1288" t="s">
        <v>444</v>
      </c>
      <c r="F1288" t="s">
        <v>496</v>
      </c>
      <c r="K1288" t="s">
        <v>497</v>
      </c>
      <c r="L1288" t="s">
        <v>21</v>
      </c>
      <c r="BX1288">
        <f>sum(j1288:an1288)</f>
        <v>0</v>
      </c>
    </row>
    <row r="1289" spans="1:76">
      <c r="A1289" t="s">
        <v>14</v>
      </c>
      <c r="B1289" t="s">
        <v>494</v>
      </c>
      <c r="C1289" t="s">
        <v>496</v>
      </c>
      <c r="D1289" t="s">
        <v>480</v>
      </c>
      <c r="E1289" t="s">
        <v>444</v>
      </c>
      <c r="F1289" t="s">
        <v>496</v>
      </c>
      <c r="K1289" t="s">
        <v>497</v>
      </c>
      <c r="L1289" t="s">
        <v>37</v>
      </c>
    </row>
    <row r="1290" spans="1:76">
      <c r="L1290" t="s">
        <v>662</v>
      </c>
    </row>
    <row r="1291" spans="1:76">
      <c r="L1291" t="s">
        <v>663</v>
      </c>
    </row>
    <row r="1292" spans="1:76">
      <c r="L1292" t="s">
        <v>664</v>
      </c>
    </row>
    <row r="1293" spans="1:76">
      <c r="L1293" t="s">
        <v>665</v>
      </c>
      <c r="M1293">
        <f>IF(DAY(NOW())&lt;M3,INDIRECT(ADDRESS(1293,7))-INDIRECT(ADDRESS(1288,13))+INDIRECT(ADDRESS(1289,13))-INDIRECT(ADDRESS(1292,13)),INDIRECT(ADDRESS(1293,7))-INDIRECT(ADDRESS(1288,13))+INDIRECT(ADDRESS(1291,13))-INDIRECT(ADDRESS(1292,13)))</f>
        <v>0</v>
      </c>
      <c r="N1293">
        <f>IF(DAY(NOW())&lt;M3,INDIRECT(ADDRESS(1293,13))-INDIRECT(ADDRESS(1288,14))+INDIRECT(ADDRESS(1289,14))-INDIRECT(ADDRESS(1292,14)),INDIRECT(ADDRESS(1293,13))-INDIRECT(ADDRESS(1288,14))+INDIRECT(ADDRESS(1291,14))-INDIRECT(ADDRESS(1292,14)))</f>
        <v>0</v>
      </c>
      <c r="O1293">
        <f>IF(DAY(NOW())&lt;M3,INDIRECT(ADDRESS(1293,14))-INDIRECT(ADDRESS(1288,15))+INDIRECT(ADDRESS(1289,15))-INDIRECT(ADDRESS(1292,15)),INDIRECT(ADDRESS(1293,14))-INDIRECT(ADDRESS(1288,15))+INDIRECT(ADDRESS(1291,15))-INDIRECT(ADDRESS(1292,15)))</f>
        <v>0</v>
      </c>
      <c r="P1293">
        <f>IF(DAY(NOW())&lt;M3,INDIRECT(ADDRESS(1293,15))-INDIRECT(ADDRESS(1288,16))+INDIRECT(ADDRESS(1289,16))-INDIRECT(ADDRESS(1292,16)),INDIRECT(ADDRESS(1293,15))-INDIRECT(ADDRESS(1288,16))+INDIRECT(ADDRESS(1291,16))-INDIRECT(ADDRESS(1292,16)))</f>
        <v>0</v>
      </c>
      <c r="Q1293">
        <f>IF(DAY(NOW())&lt;M3,INDIRECT(ADDRESS(1293,16))-INDIRECT(ADDRESS(1288,17))+INDIRECT(ADDRESS(1289,17))-INDIRECT(ADDRESS(1292,17)),INDIRECT(ADDRESS(1293,16))-INDIRECT(ADDRESS(1288,17))+INDIRECT(ADDRESS(1291,17))-INDIRECT(ADDRESS(1292,17)))</f>
        <v>0</v>
      </c>
      <c r="R1293">
        <f>IF(DAY(NOW())&lt;M3,INDIRECT(ADDRESS(1293,17))-INDIRECT(ADDRESS(1288,18))+INDIRECT(ADDRESS(1289,18))-INDIRECT(ADDRESS(1292,18)),INDIRECT(ADDRESS(1293,17))-INDIRECT(ADDRESS(1288,18))+INDIRECT(ADDRESS(1291,18))-INDIRECT(ADDRESS(1292,18)))</f>
        <v>0</v>
      </c>
      <c r="S1293">
        <f>IF(DAY(NOW())&lt;M3,INDIRECT(ADDRESS(1293,18))-INDIRECT(ADDRESS(1288,19))+INDIRECT(ADDRESS(1289,19))-INDIRECT(ADDRESS(1292,19)),INDIRECT(ADDRESS(1293,18))-INDIRECT(ADDRESS(1288,19))+INDIRECT(ADDRESS(1291,19))-INDIRECT(ADDRESS(1292,19)))</f>
        <v>0</v>
      </c>
      <c r="T1293">
        <f>IF(DAY(NOW())&lt;M3,INDIRECT(ADDRESS(1293,19))-INDIRECT(ADDRESS(1288,20))+INDIRECT(ADDRESS(1289,20))-INDIRECT(ADDRESS(1292,20)),INDIRECT(ADDRESS(1293,19))-INDIRECT(ADDRESS(1288,20))+INDIRECT(ADDRESS(1291,20))-INDIRECT(ADDRESS(1292,20)))</f>
        <v>0</v>
      </c>
      <c r="U1293">
        <f>IF(DAY(NOW())&lt;M3,INDIRECT(ADDRESS(1293,20))-INDIRECT(ADDRESS(1288,21))+INDIRECT(ADDRESS(1289,21))-INDIRECT(ADDRESS(1292,21)),INDIRECT(ADDRESS(1293,20))-INDIRECT(ADDRESS(1288,21))+INDIRECT(ADDRESS(1291,21))-INDIRECT(ADDRESS(1292,21)))</f>
        <v>0</v>
      </c>
      <c r="V1293">
        <f>IF(DAY(NOW())&lt;M3,INDIRECT(ADDRESS(1293,21))-INDIRECT(ADDRESS(1288,22))+INDIRECT(ADDRESS(1289,22))-INDIRECT(ADDRESS(1292,22)),INDIRECT(ADDRESS(1293,21))-INDIRECT(ADDRESS(1288,22))+INDIRECT(ADDRESS(1291,22))-INDIRECT(ADDRESS(1292,22)))</f>
        <v>0</v>
      </c>
      <c r="W1293">
        <f>IF(DAY(NOW())&lt;M3,INDIRECT(ADDRESS(1293,22))-INDIRECT(ADDRESS(1288,23))+INDIRECT(ADDRESS(1289,23))-INDIRECT(ADDRESS(1292,23)),INDIRECT(ADDRESS(1293,22))-INDIRECT(ADDRESS(1288,23))+INDIRECT(ADDRESS(1291,23))-INDIRECT(ADDRESS(1292,23)))</f>
        <v>0</v>
      </c>
      <c r="X1293">
        <f>IF(DAY(NOW())&lt;M3,INDIRECT(ADDRESS(1293,23))-INDIRECT(ADDRESS(1288,24))+INDIRECT(ADDRESS(1289,24))-INDIRECT(ADDRESS(1292,24)),INDIRECT(ADDRESS(1293,23))-INDIRECT(ADDRESS(1288,24))+INDIRECT(ADDRESS(1291,24))-INDIRECT(ADDRESS(1292,24)))</f>
        <v>0</v>
      </c>
      <c r="Y1293">
        <f>IF(DAY(NOW())&lt;M3,INDIRECT(ADDRESS(1293,24))-INDIRECT(ADDRESS(1288,25))+INDIRECT(ADDRESS(1289,25))-INDIRECT(ADDRESS(1292,25)),INDIRECT(ADDRESS(1293,24))-INDIRECT(ADDRESS(1288,25))+INDIRECT(ADDRESS(1291,25))-INDIRECT(ADDRESS(1292,25)))</f>
        <v>0</v>
      </c>
      <c r="Z1293">
        <f>IF(DAY(NOW())&lt;M3,INDIRECT(ADDRESS(1293,25))-INDIRECT(ADDRESS(1288,26))+INDIRECT(ADDRESS(1289,26))-INDIRECT(ADDRESS(1292,26)),INDIRECT(ADDRESS(1293,25))-INDIRECT(ADDRESS(1288,26))+INDIRECT(ADDRESS(1291,26))-INDIRECT(ADDRESS(1292,26)))</f>
        <v>0</v>
      </c>
      <c r="AA1293">
        <f>IF(DAY(NOW())&lt;M3,INDIRECT(ADDRESS(1293,26))-INDIRECT(ADDRESS(1288,27))+INDIRECT(ADDRESS(1289,27))-INDIRECT(ADDRESS(1292,27)),INDIRECT(ADDRESS(1293,26))-INDIRECT(ADDRESS(1288,27))+INDIRECT(ADDRESS(1291,27))-INDIRECT(ADDRESS(1292,27)))</f>
        <v>0</v>
      </c>
      <c r="AB1293">
        <f>IF(DAY(NOW())&lt;M3,INDIRECT(ADDRESS(1293,27))-INDIRECT(ADDRESS(1288,28))+INDIRECT(ADDRESS(1289,28))-INDIRECT(ADDRESS(1292,28)),INDIRECT(ADDRESS(1293,27))-INDIRECT(ADDRESS(1288,28))+INDIRECT(ADDRESS(1291,28))-INDIRECT(ADDRESS(1292,28)))</f>
        <v>0</v>
      </c>
      <c r="AC1293">
        <f>IF(DAY(NOW())&lt;M3,INDIRECT(ADDRESS(1293,28))-INDIRECT(ADDRESS(1288,29))+INDIRECT(ADDRESS(1289,29))-INDIRECT(ADDRESS(1292,29)),INDIRECT(ADDRESS(1293,28))-INDIRECT(ADDRESS(1288,29))+INDIRECT(ADDRESS(1291,29))-INDIRECT(ADDRESS(1292,29)))</f>
        <v>0</v>
      </c>
      <c r="AD1293">
        <f>IF(DAY(NOW())&lt;M3,INDIRECT(ADDRESS(1293,29))-INDIRECT(ADDRESS(1288,30))+INDIRECT(ADDRESS(1289,30))-INDIRECT(ADDRESS(1292,30)),INDIRECT(ADDRESS(1293,29))-INDIRECT(ADDRESS(1288,30))+INDIRECT(ADDRESS(1291,30))-INDIRECT(ADDRESS(1292,30)))</f>
        <v>0</v>
      </c>
      <c r="AE1293">
        <f>IF(DAY(NOW())&lt;M3,INDIRECT(ADDRESS(1293,30))-INDIRECT(ADDRESS(1288,31))+INDIRECT(ADDRESS(1289,31))-INDIRECT(ADDRESS(1292,31)),INDIRECT(ADDRESS(1293,30))-INDIRECT(ADDRESS(1288,31))+INDIRECT(ADDRESS(1291,31))-INDIRECT(ADDRESS(1292,31)))</f>
        <v>0</v>
      </c>
      <c r="AF1293">
        <f>IF(DAY(NOW())&lt;M3,INDIRECT(ADDRESS(1293,31))-INDIRECT(ADDRESS(1288,32))+INDIRECT(ADDRESS(1289,32))-INDIRECT(ADDRESS(1292,32)),INDIRECT(ADDRESS(1293,31))-INDIRECT(ADDRESS(1288,32))+INDIRECT(ADDRESS(1291,32))-INDIRECT(ADDRESS(1292,32)))</f>
        <v>0</v>
      </c>
      <c r="AG1293">
        <f>IF(DAY(NOW())&lt;M3,INDIRECT(ADDRESS(1293,32))-INDIRECT(ADDRESS(1288,33))+INDIRECT(ADDRESS(1289,33))-INDIRECT(ADDRESS(1292,33)),INDIRECT(ADDRESS(1293,32))-INDIRECT(ADDRESS(1288,33))+INDIRECT(ADDRESS(1291,33))-INDIRECT(ADDRESS(1292,33)))</f>
        <v>0</v>
      </c>
      <c r="AH1293">
        <f>IF(DAY(NOW())&lt;M3,INDIRECT(ADDRESS(1293,33))-INDIRECT(ADDRESS(1288,34))+INDIRECT(ADDRESS(1289,34))-INDIRECT(ADDRESS(1292,34)),INDIRECT(ADDRESS(1293,33))-INDIRECT(ADDRESS(1288,34))+INDIRECT(ADDRESS(1291,34))-INDIRECT(ADDRESS(1292,34)))</f>
        <v>0</v>
      </c>
      <c r="AI1293">
        <f>IF(DAY(NOW())&lt;M3,INDIRECT(ADDRESS(1293,34))-INDIRECT(ADDRESS(1288,35))+INDIRECT(ADDRESS(1289,35))-INDIRECT(ADDRESS(1292,35)),INDIRECT(ADDRESS(1293,34))-INDIRECT(ADDRESS(1288,35))+INDIRECT(ADDRESS(1291,35))-INDIRECT(ADDRESS(1292,35)))</f>
        <v>0</v>
      </c>
      <c r="AJ1293">
        <f>IF(DAY(NOW())&lt;M3,INDIRECT(ADDRESS(1293,35))-INDIRECT(ADDRESS(1288,36))+INDIRECT(ADDRESS(1289,36))-INDIRECT(ADDRESS(1292,36)),INDIRECT(ADDRESS(1293,35))-INDIRECT(ADDRESS(1288,36))+INDIRECT(ADDRESS(1291,36))-INDIRECT(ADDRESS(1292,36)))</f>
        <v>0</v>
      </c>
      <c r="AK1293">
        <f>IF(DAY(NOW())&lt;M3,INDIRECT(ADDRESS(1293,36))-INDIRECT(ADDRESS(1288,37))+INDIRECT(ADDRESS(1289,37))-INDIRECT(ADDRESS(1292,37)),INDIRECT(ADDRESS(1293,36))-INDIRECT(ADDRESS(1288,37))+INDIRECT(ADDRESS(1291,37))-INDIRECT(ADDRESS(1292,37)))</f>
        <v>0</v>
      </c>
      <c r="AL1293">
        <f>IF(DAY(NOW())&lt;M3,INDIRECT(ADDRESS(1293,37))-INDIRECT(ADDRESS(1288,38))+INDIRECT(ADDRESS(1289,38))-INDIRECT(ADDRESS(1292,38)),INDIRECT(ADDRESS(1293,37))-INDIRECT(ADDRESS(1288,38))+INDIRECT(ADDRESS(1291,38))-INDIRECT(ADDRESS(1292,38)))</f>
        <v>0</v>
      </c>
      <c r="AM1293">
        <f>IF(DAY(NOW())&lt;M3,INDIRECT(ADDRESS(1293,38))-INDIRECT(ADDRESS(1288,39))+INDIRECT(ADDRESS(1289,39))-INDIRECT(ADDRESS(1292,39)),INDIRECT(ADDRESS(1293,38))-INDIRECT(ADDRESS(1288,39))+INDIRECT(ADDRESS(1291,39))-INDIRECT(ADDRESS(1292,39)))</f>
        <v>0</v>
      </c>
      <c r="AN1293">
        <f>IF(DAY(NOW())&lt;M3,INDIRECT(ADDRESS(1293,39))-INDIRECT(ADDRESS(1288,40))+INDIRECT(ADDRESS(1289,40))-INDIRECT(ADDRESS(1292,40)),INDIRECT(ADDRESS(1293,39))-INDIRECT(ADDRESS(1288,40))+INDIRECT(ADDRESS(1291,40))-INDIRECT(ADDRESS(1292,40)))</f>
        <v>0</v>
      </c>
      <c r="AO1293">
        <f>IF(DAY(NOW())&lt;M3,INDIRECT(ADDRESS(1293,40))-INDIRECT(ADDRESS(1288,41))+INDIRECT(ADDRESS(1289,41))-INDIRECT(ADDRESS(1292,41)),INDIRECT(ADDRESS(1293,40))-INDIRECT(ADDRESS(1288,41))+INDIRECT(ADDRESS(1291,41))-INDIRECT(ADDRESS(1292,41)))</f>
        <v>0</v>
      </c>
      <c r="AP1293">
        <f>IF(DAY(NOW())&lt;M3,INDIRECT(ADDRESS(1293,41))-INDIRECT(ADDRESS(1288,42))+INDIRECT(ADDRESS(1289,42))-INDIRECT(ADDRESS(1292,42)),INDIRECT(ADDRESS(1293,41))-INDIRECT(ADDRESS(1288,42))+INDIRECT(ADDRESS(1291,42))-INDIRECT(ADDRESS(1292,42)))</f>
        <v>0</v>
      </c>
      <c r="AQ1293">
        <f>IF(DAY(NOW())&lt;M3,INDIRECT(ADDRESS(1293,42))-INDIRECT(ADDRESS(1288,43))+INDIRECT(ADDRESS(1289,43))-INDIRECT(ADDRESS(1292,43)),INDIRECT(ADDRESS(1293,42))-INDIRECT(ADDRESS(1288,43))+INDIRECT(ADDRESS(1291,43))-INDIRECT(ADDRESS(1292,43)))</f>
        <v>0</v>
      </c>
      <c r="AR1293">
        <f>IF(DAY(NOW())&lt;M3,INDIRECT(ADDRESS(1293,43))-INDIRECT(ADDRESS(1288,44))+INDIRECT(ADDRESS(1289,44))-INDIRECT(ADDRESS(1292,44)),INDIRECT(ADDRESS(1293,43))-INDIRECT(ADDRESS(1288,44))+INDIRECT(ADDRESS(1291,44))-INDIRECT(ADDRESS(1292,44)))</f>
        <v>0</v>
      </c>
    </row>
    <row r="1294" spans="1:76">
      <c r="A1294" t="s">
        <v>14</v>
      </c>
      <c r="B1294" t="s">
        <v>513</v>
      </c>
      <c r="C1294" t="s">
        <v>514</v>
      </c>
      <c r="E1294">
        <v>1</v>
      </c>
      <c r="F1294" t="s">
        <v>515</v>
      </c>
      <c r="K1294" t="s">
        <v>516</v>
      </c>
      <c r="L1294" t="s">
        <v>21</v>
      </c>
      <c r="BX1294">
        <f>sum(j1294:an1294)</f>
        <v>0</v>
      </c>
    </row>
    <row r="1295" spans="1:76">
      <c r="A1295" t="s">
        <v>14</v>
      </c>
      <c r="B1295" t="s">
        <v>513</v>
      </c>
      <c r="C1295" t="s">
        <v>514</v>
      </c>
      <c r="E1295">
        <v>1</v>
      </c>
      <c r="F1295" t="s">
        <v>515</v>
      </c>
      <c r="K1295" t="s">
        <v>516</v>
      </c>
      <c r="L1295" t="s">
        <v>37</v>
      </c>
    </row>
    <row r="1296" spans="1:76">
      <c r="L1296" t="s">
        <v>662</v>
      </c>
    </row>
    <row r="1297" spans="1:76">
      <c r="L1297" t="s">
        <v>663</v>
      </c>
    </row>
    <row r="1298" spans="1:76">
      <c r="L1298" t="s">
        <v>664</v>
      </c>
    </row>
    <row r="1299" spans="1:76">
      <c r="L1299" t="s">
        <v>665</v>
      </c>
      <c r="M1299">
        <f>IF(DAY(NOW())&lt;M3,INDIRECT(ADDRESS(1299,7))-INDIRECT(ADDRESS(1294,13))+INDIRECT(ADDRESS(1295,13))-INDIRECT(ADDRESS(1298,13)),INDIRECT(ADDRESS(1299,7))-INDIRECT(ADDRESS(1294,13))+INDIRECT(ADDRESS(1297,13))-INDIRECT(ADDRESS(1298,13)))</f>
        <v>0</v>
      </c>
      <c r="N1299">
        <f>IF(DAY(NOW())&lt;M3,INDIRECT(ADDRESS(1299,13))-INDIRECT(ADDRESS(1294,14))+INDIRECT(ADDRESS(1295,14))-INDIRECT(ADDRESS(1298,14)),INDIRECT(ADDRESS(1299,13))-INDIRECT(ADDRESS(1294,14))+INDIRECT(ADDRESS(1297,14))-INDIRECT(ADDRESS(1298,14)))</f>
        <v>0</v>
      </c>
      <c r="O1299">
        <f>IF(DAY(NOW())&lt;M3,INDIRECT(ADDRESS(1299,14))-INDIRECT(ADDRESS(1294,15))+INDIRECT(ADDRESS(1295,15))-INDIRECT(ADDRESS(1298,15)),INDIRECT(ADDRESS(1299,14))-INDIRECT(ADDRESS(1294,15))+INDIRECT(ADDRESS(1297,15))-INDIRECT(ADDRESS(1298,15)))</f>
        <v>0</v>
      </c>
      <c r="P1299">
        <f>IF(DAY(NOW())&lt;M3,INDIRECT(ADDRESS(1299,15))-INDIRECT(ADDRESS(1294,16))+INDIRECT(ADDRESS(1295,16))-INDIRECT(ADDRESS(1298,16)),INDIRECT(ADDRESS(1299,15))-INDIRECT(ADDRESS(1294,16))+INDIRECT(ADDRESS(1297,16))-INDIRECT(ADDRESS(1298,16)))</f>
        <v>0</v>
      </c>
      <c r="Q1299">
        <f>IF(DAY(NOW())&lt;M3,INDIRECT(ADDRESS(1299,16))-INDIRECT(ADDRESS(1294,17))+INDIRECT(ADDRESS(1295,17))-INDIRECT(ADDRESS(1298,17)),INDIRECT(ADDRESS(1299,16))-INDIRECT(ADDRESS(1294,17))+INDIRECT(ADDRESS(1297,17))-INDIRECT(ADDRESS(1298,17)))</f>
        <v>0</v>
      </c>
      <c r="R1299">
        <f>IF(DAY(NOW())&lt;M3,INDIRECT(ADDRESS(1299,17))-INDIRECT(ADDRESS(1294,18))+INDIRECT(ADDRESS(1295,18))-INDIRECT(ADDRESS(1298,18)),INDIRECT(ADDRESS(1299,17))-INDIRECT(ADDRESS(1294,18))+INDIRECT(ADDRESS(1297,18))-INDIRECT(ADDRESS(1298,18)))</f>
        <v>0</v>
      </c>
      <c r="S1299">
        <f>IF(DAY(NOW())&lt;M3,INDIRECT(ADDRESS(1299,18))-INDIRECT(ADDRESS(1294,19))+INDIRECT(ADDRESS(1295,19))-INDIRECT(ADDRESS(1298,19)),INDIRECT(ADDRESS(1299,18))-INDIRECT(ADDRESS(1294,19))+INDIRECT(ADDRESS(1297,19))-INDIRECT(ADDRESS(1298,19)))</f>
        <v>0</v>
      </c>
      <c r="T1299">
        <f>IF(DAY(NOW())&lt;M3,INDIRECT(ADDRESS(1299,19))-INDIRECT(ADDRESS(1294,20))+INDIRECT(ADDRESS(1295,20))-INDIRECT(ADDRESS(1298,20)),INDIRECT(ADDRESS(1299,19))-INDIRECT(ADDRESS(1294,20))+INDIRECT(ADDRESS(1297,20))-INDIRECT(ADDRESS(1298,20)))</f>
        <v>0</v>
      </c>
      <c r="U1299">
        <f>IF(DAY(NOW())&lt;M3,INDIRECT(ADDRESS(1299,20))-INDIRECT(ADDRESS(1294,21))+INDIRECT(ADDRESS(1295,21))-INDIRECT(ADDRESS(1298,21)),INDIRECT(ADDRESS(1299,20))-INDIRECT(ADDRESS(1294,21))+INDIRECT(ADDRESS(1297,21))-INDIRECT(ADDRESS(1298,21)))</f>
        <v>0</v>
      </c>
      <c r="V1299">
        <f>IF(DAY(NOW())&lt;M3,INDIRECT(ADDRESS(1299,21))-INDIRECT(ADDRESS(1294,22))+INDIRECT(ADDRESS(1295,22))-INDIRECT(ADDRESS(1298,22)),INDIRECT(ADDRESS(1299,21))-INDIRECT(ADDRESS(1294,22))+INDIRECT(ADDRESS(1297,22))-INDIRECT(ADDRESS(1298,22)))</f>
        <v>0</v>
      </c>
      <c r="W1299">
        <f>IF(DAY(NOW())&lt;M3,INDIRECT(ADDRESS(1299,22))-INDIRECT(ADDRESS(1294,23))+INDIRECT(ADDRESS(1295,23))-INDIRECT(ADDRESS(1298,23)),INDIRECT(ADDRESS(1299,22))-INDIRECT(ADDRESS(1294,23))+INDIRECT(ADDRESS(1297,23))-INDIRECT(ADDRESS(1298,23)))</f>
        <v>0</v>
      </c>
      <c r="X1299">
        <f>IF(DAY(NOW())&lt;M3,INDIRECT(ADDRESS(1299,23))-INDIRECT(ADDRESS(1294,24))+INDIRECT(ADDRESS(1295,24))-INDIRECT(ADDRESS(1298,24)),INDIRECT(ADDRESS(1299,23))-INDIRECT(ADDRESS(1294,24))+INDIRECT(ADDRESS(1297,24))-INDIRECT(ADDRESS(1298,24)))</f>
        <v>0</v>
      </c>
      <c r="Y1299">
        <f>IF(DAY(NOW())&lt;M3,INDIRECT(ADDRESS(1299,24))-INDIRECT(ADDRESS(1294,25))+INDIRECT(ADDRESS(1295,25))-INDIRECT(ADDRESS(1298,25)),INDIRECT(ADDRESS(1299,24))-INDIRECT(ADDRESS(1294,25))+INDIRECT(ADDRESS(1297,25))-INDIRECT(ADDRESS(1298,25)))</f>
        <v>0</v>
      </c>
      <c r="Z1299">
        <f>IF(DAY(NOW())&lt;M3,INDIRECT(ADDRESS(1299,25))-INDIRECT(ADDRESS(1294,26))+INDIRECT(ADDRESS(1295,26))-INDIRECT(ADDRESS(1298,26)),INDIRECT(ADDRESS(1299,25))-INDIRECT(ADDRESS(1294,26))+INDIRECT(ADDRESS(1297,26))-INDIRECT(ADDRESS(1298,26)))</f>
        <v>0</v>
      </c>
      <c r="AA1299">
        <f>IF(DAY(NOW())&lt;M3,INDIRECT(ADDRESS(1299,26))-INDIRECT(ADDRESS(1294,27))+INDIRECT(ADDRESS(1295,27))-INDIRECT(ADDRESS(1298,27)),INDIRECT(ADDRESS(1299,26))-INDIRECT(ADDRESS(1294,27))+INDIRECT(ADDRESS(1297,27))-INDIRECT(ADDRESS(1298,27)))</f>
        <v>0</v>
      </c>
      <c r="AB1299">
        <f>IF(DAY(NOW())&lt;M3,INDIRECT(ADDRESS(1299,27))-INDIRECT(ADDRESS(1294,28))+INDIRECT(ADDRESS(1295,28))-INDIRECT(ADDRESS(1298,28)),INDIRECT(ADDRESS(1299,27))-INDIRECT(ADDRESS(1294,28))+INDIRECT(ADDRESS(1297,28))-INDIRECT(ADDRESS(1298,28)))</f>
        <v>0</v>
      </c>
      <c r="AC1299">
        <f>IF(DAY(NOW())&lt;M3,INDIRECT(ADDRESS(1299,28))-INDIRECT(ADDRESS(1294,29))+INDIRECT(ADDRESS(1295,29))-INDIRECT(ADDRESS(1298,29)),INDIRECT(ADDRESS(1299,28))-INDIRECT(ADDRESS(1294,29))+INDIRECT(ADDRESS(1297,29))-INDIRECT(ADDRESS(1298,29)))</f>
        <v>0</v>
      </c>
      <c r="AD1299">
        <f>IF(DAY(NOW())&lt;M3,INDIRECT(ADDRESS(1299,29))-INDIRECT(ADDRESS(1294,30))+INDIRECT(ADDRESS(1295,30))-INDIRECT(ADDRESS(1298,30)),INDIRECT(ADDRESS(1299,29))-INDIRECT(ADDRESS(1294,30))+INDIRECT(ADDRESS(1297,30))-INDIRECT(ADDRESS(1298,30)))</f>
        <v>0</v>
      </c>
      <c r="AE1299">
        <f>IF(DAY(NOW())&lt;M3,INDIRECT(ADDRESS(1299,30))-INDIRECT(ADDRESS(1294,31))+INDIRECT(ADDRESS(1295,31))-INDIRECT(ADDRESS(1298,31)),INDIRECT(ADDRESS(1299,30))-INDIRECT(ADDRESS(1294,31))+INDIRECT(ADDRESS(1297,31))-INDIRECT(ADDRESS(1298,31)))</f>
        <v>0</v>
      </c>
      <c r="AF1299">
        <f>IF(DAY(NOW())&lt;M3,INDIRECT(ADDRESS(1299,31))-INDIRECT(ADDRESS(1294,32))+INDIRECT(ADDRESS(1295,32))-INDIRECT(ADDRESS(1298,32)),INDIRECT(ADDRESS(1299,31))-INDIRECT(ADDRESS(1294,32))+INDIRECT(ADDRESS(1297,32))-INDIRECT(ADDRESS(1298,32)))</f>
        <v>0</v>
      </c>
      <c r="AG1299">
        <f>IF(DAY(NOW())&lt;M3,INDIRECT(ADDRESS(1299,32))-INDIRECT(ADDRESS(1294,33))+INDIRECT(ADDRESS(1295,33))-INDIRECT(ADDRESS(1298,33)),INDIRECT(ADDRESS(1299,32))-INDIRECT(ADDRESS(1294,33))+INDIRECT(ADDRESS(1297,33))-INDIRECT(ADDRESS(1298,33)))</f>
        <v>0</v>
      </c>
      <c r="AH1299">
        <f>IF(DAY(NOW())&lt;M3,INDIRECT(ADDRESS(1299,33))-INDIRECT(ADDRESS(1294,34))+INDIRECT(ADDRESS(1295,34))-INDIRECT(ADDRESS(1298,34)),INDIRECT(ADDRESS(1299,33))-INDIRECT(ADDRESS(1294,34))+INDIRECT(ADDRESS(1297,34))-INDIRECT(ADDRESS(1298,34)))</f>
        <v>0</v>
      </c>
      <c r="AI1299">
        <f>IF(DAY(NOW())&lt;M3,INDIRECT(ADDRESS(1299,34))-INDIRECT(ADDRESS(1294,35))+INDIRECT(ADDRESS(1295,35))-INDIRECT(ADDRESS(1298,35)),INDIRECT(ADDRESS(1299,34))-INDIRECT(ADDRESS(1294,35))+INDIRECT(ADDRESS(1297,35))-INDIRECT(ADDRESS(1298,35)))</f>
        <v>0</v>
      </c>
      <c r="AJ1299">
        <f>IF(DAY(NOW())&lt;M3,INDIRECT(ADDRESS(1299,35))-INDIRECT(ADDRESS(1294,36))+INDIRECT(ADDRESS(1295,36))-INDIRECT(ADDRESS(1298,36)),INDIRECT(ADDRESS(1299,35))-INDIRECT(ADDRESS(1294,36))+INDIRECT(ADDRESS(1297,36))-INDIRECT(ADDRESS(1298,36)))</f>
        <v>0</v>
      </c>
      <c r="AK1299">
        <f>IF(DAY(NOW())&lt;M3,INDIRECT(ADDRESS(1299,36))-INDIRECT(ADDRESS(1294,37))+INDIRECT(ADDRESS(1295,37))-INDIRECT(ADDRESS(1298,37)),INDIRECT(ADDRESS(1299,36))-INDIRECT(ADDRESS(1294,37))+INDIRECT(ADDRESS(1297,37))-INDIRECT(ADDRESS(1298,37)))</f>
        <v>0</v>
      </c>
      <c r="AL1299">
        <f>IF(DAY(NOW())&lt;M3,INDIRECT(ADDRESS(1299,37))-INDIRECT(ADDRESS(1294,38))+INDIRECT(ADDRESS(1295,38))-INDIRECT(ADDRESS(1298,38)),INDIRECT(ADDRESS(1299,37))-INDIRECT(ADDRESS(1294,38))+INDIRECT(ADDRESS(1297,38))-INDIRECT(ADDRESS(1298,38)))</f>
        <v>0</v>
      </c>
      <c r="AM1299">
        <f>IF(DAY(NOW())&lt;M3,INDIRECT(ADDRESS(1299,38))-INDIRECT(ADDRESS(1294,39))+INDIRECT(ADDRESS(1295,39))-INDIRECT(ADDRESS(1298,39)),INDIRECT(ADDRESS(1299,38))-INDIRECT(ADDRESS(1294,39))+INDIRECT(ADDRESS(1297,39))-INDIRECT(ADDRESS(1298,39)))</f>
        <v>0</v>
      </c>
      <c r="AN1299">
        <f>IF(DAY(NOW())&lt;M3,INDIRECT(ADDRESS(1299,39))-INDIRECT(ADDRESS(1294,40))+INDIRECT(ADDRESS(1295,40))-INDIRECT(ADDRESS(1298,40)),INDIRECT(ADDRESS(1299,39))-INDIRECT(ADDRESS(1294,40))+INDIRECT(ADDRESS(1297,40))-INDIRECT(ADDRESS(1298,40)))</f>
        <v>0</v>
      </c>
      <c r="AO1299">
        <f>IF(DAY(NOW())&lt;M3,INDIRECT(ADDRESS(1299,40))-INDIRECT(ADDRESS(1294,41))+INDIRECT(ADDRESS(1295,41))-INDIRECT(ADDRESS(1298,41)),INDIRECT(ADDRESS(1299,40))-INDIRECT(ADDRESS(1294,41))+INDIRECT(ADDRESS(1297,41))-INDIRECT(ADDRESS(1298,41)))</f>
        <v>0</v>
      </c>
      <c r="AP1299">
        <f>IF(DAY(NOW())&lt;M3,INDIRECT(ADDRESS(1299,41))-INDIRECT(ADDRESS(1294,42))+INDIRECT(ADDRESS(1295,42))-INDIRECT(ADDRESS(1298,42)),INDIRECT(ADDRESS(1299,41))-INDIRECT(ADDRESS(1294,42))+INDIRECT(ADDRESS(1297,42))-INDIRECT(ADDRESS(1298,42)))</f>
        <v>0</v>
      </c>
      <c r="AQ1299">
        <f>IF(DAY(NOW())&lt;M3,INDIRECT(ADDRESS(1299,42))-INDIRECT(ADDRESS(1294,43))+INDIRECT(ADDRESS(1295,43))-INDIRECT(ADDRESS(1298,43)),INDIRECT(ADDRESS(1299,42))-INDIRECT(ADDRESS(1294,43))+INDIRECT(ADDRESS(1297,43))-INDIRECT(ADDRESS(1298,43)))</f>
        <v>0</v>
      </c>
      <c r="AR1299">
        <f>IF(DAY(NOW())&lt;M3,INDIRECT(ADDRESS(1299,43))-INDIRECT(ADDRESS(1294,44))+INDIRECT(ADDRESS(1295,44))-INDIRECT(ADDRESS(1298,44)),INDIRECT(ADDRESS(1299,43))-INDIRECT(ADDRESS(1294,44))+INDIRECT(ADDRESS(1297,44))-INDIRECT(ADDRESS(1298,44)))</f>
        <v>0</v>
      </c>
    </row>
    <row r="1300" spans="1:76">
      <c r="A1300" t="s">
        <v>31</v>
      </c>
      <c r="B1300" t="s">
        <v>517</v>
      </c>
      <c r="C1300" t="s">
        <v>518</v>
      </c>
      <c r="E1300">
        <v>1</v>
      </c>
      <c r="F1300" t="s">
        <v>519</v>
      </c>
      <c r="K1300" t="s">
        <v>516</v>
      </c>
      <c r="L1300" t="s">
        <v>21</v>
      </c>
      <c r="M1300">
        <f>sumifs(BOM!m:m,BOM!A:A,".1",BOM!B:B,"852-184000-110")</f>
        <v>0</v>
      </c>
      <c r="N1300">
        <f>sumifs(BOM!n:n,BOM!A:A,".1",BOM!B:B,"852-184000-110")</f>
        <v>0</v>
      </c>
      <c r="O1300">
        <f>sumifs(BOM!o:o,BOM!A:A,".1",BOM!B:B,"852-184000-110")</f>
        <v>0</v>
      </c>
      <c r="P1300">
        <f>sumifs(BOM!p:p,BOM!A:A,".1",BOM!B:B,"852-184000-110")</f>
        <v>0</v>
      </c>
      <c r="Q1300">
        <f>sumifs(BOM!q:q,BOM!A:A,".1",BOM!B:B,"852-184000-110")</f>
        <v>0</v>
      </c>
      <c r="R1300">
        <f>sumifs(BOM!r:r,BOM!A:A,".1",BOM!B:B,"852-184000-110")</f>
        <v>0</v>
      </c>
      <c r="S1300">
        <f>sumifs(BOM!s:s,BOM!A:A,".1",BOM!B:B,"852-184000-110")</f>
        <v>0</v>
      </c>
      <c r="T1300">
        <f>sumifs(BOM!t:t,BOM!A:A,".1",BOM!B:B,"852-184000-110")</f>
        <v>0</v>
      </c>
      <c r="U1300">
        <f>sumifs(BOM!u:u,BOM!A:A,".1",BOM!B:B,"852-184000-110")</f>
        <v>0</v>
      </c>
      <c r="V1300">
        <f>sumifs(BOM!v:v,BOM!A:A,".1",BOM!B:B,"852-184000-110")</f>
        <v>0</v>
      </c>
      <c r="W1300">
        <f>sumifs(BOM!w:w,BOM!A:A,".1",BOM!B:B,"852-184000-110")</f>
        <v>0</v>
      </c>
      <c r="X1300">
        <f>sumifs(BOM!x:x,BOM!A:A,".1",BOM!B:B,"852-184000-110")</f>
        <v>0</v>
      </c>
      <c r="Y1300">
        <f>sumifs(BOM!y:y,BOM!A:A,".1",BOM!B:B,"852-184000-110")</f>
        <v>0</v>
      </c>
      <c r="Z1300">
        <f>sumifs(BOM!z:z,BOM!A:A,".1",BOM!B:B,"852-184000-110")</f>
        <v>0</v>
      </c>
      <c r="AA1300">
        <f>sumifs(BOM!aa:aa,BOM!A:A,".1",BOM!B:B,"852-184000-110")</f>
        <v>0</v>
      </c>
      <c r="AB1300">
        <f>sumifs(BOM!ab:ab,BOM!A:A,".1",BOM!B:B,"852-184000-110")</f>
        <v>0</v>
      </c>
      <c r="AC1300">
        <f>sumifs(BOM!ac:ac,BOM!A:A,".1",BOM!B:B,"852-184000-110")</f>
        <v>0</v>
      </c>
      <c r="AD1300">
        <f>sumifs(BOM!ad:ad,BOM!A:A,".1",BOM!B:B,"852-184000-110")</f>
        <v>0</v>
      </c>
      <c r="AE1300">
        <f>sumifs(BOM!ae:ae,BOM!A:A,".1",BOM!B:B,"852-184000-110")</f>
        <v>0</v>
      </c>
      <c r="AF1300">
        <f>sumifs(BOM!af:af,BOM!A:A,".1",BOM!B:B,"852-184000-110")</f>
        <v>0</v>
      </c>
      <c r="AG1300">
        <f>sumifs(BOM!ag:ag,BOM!A:A,".1",BOM!B:B,"852-184000-110")</f>
        <v>0</v>
      </c>
      <c r="AH1300">
        <f>sumifs(BOM!ah:ah,BOM!A:A,".1",BOM!B:B,"852-184000-110")</f>
        <v>0</v>
      </c>
      <c r="AI1300">
        <f>sumifs(BOM!ai:ai,BOM!A:A,".1",BOM!B:B,"852-184000-110")</f>
        <v>0</v>
      </c>
      <c r="AJ1300">
        <f>sumifs(BOM!aj:aj,BOM!A:A,".1",BOM!B:B,"852-184000-110")</f>
        <v>0</v>
      </c>
      <c r="AK1300">
        <f>sumifs(BOM!ak:ak,BOM!A:A,".1",BOM!B:B,"852-184000-110")</f>
        <v>0</v>
      </c>
      <c r="AL1300">
        <f>sumifs(BOM!al:al,BOM!A:A,".1",BOM!B:B,"852-184000-110")</f>
        <v>0</v>
      </c>
      <c r="AM1300">
        <f>sumifs(BOM!am:am,BOM!A:A,".1",BOM!B:B,"852-184000-110")</f>
        <v>0</v>
      </c>
      <c r="AN1300">
        <f>sumifs(BOM!an:an,BOM!A:A,".1",BOM!B:B,"852-184000-110")</f>
        <v>0</v>
      </c>
      <c r="AO1300">
        <f>sumifs(BOM!ao:ao,BOM!A:A,".1",BOM!B:B,"852-184000-110")</f>
        <v>0</v>
      </c>
      <c r="AP1300">
        <f>sumifs(BOM!ap:ap,BOM!A:A,".1",BOM!B:B,"852-184000-110")</f>
        <v>0</v>
      </c>
      <c r="AQ1300">
        <f>sumifs(BOM!aq:aq,BOM!A:A,".1",BOM!B:B,"852-184000-110")</f>
        <v>0</v>
      </c>
      <c r="AR1300">
        <f>sumifs(BOM!ar:ar,BOM!A:A,".1",BOM!B:B,"852-184000-110")</f>
        <v>0</v>
      </c>
      <c r="BX1300">
        <f>sum(j1300:an1300)</f>
        <v>0</v>
      </c>
    </row>
    <row r="1301" spans="1:76">
      <c r="A1301" t="s">
        <v>31</v>
      </c>
      <c r="B1301" t="s">
        <v>517</v>
      </c>
      <c r="C1301" t="s">
        <v>518</v>
      </c>
      <c r="E1301">
        <v>1</v>
      </c>
      <c r="F1301" t="s">
        <v>519</v>
      </c>
      <c r="K1301" t="s">
        <v>516</v>
      </c>
      <c r="L1301" t="s">
        <v>37</v>
      </c>
    </row>
    <row r="1302" spans="1:76">
      <c r="L1302" t="s">
        <v>662</v>
      </c>
    </row>
    <row r="1303" spans="1:76">
      <c r="L1303" t="s">
        <v>663</v>
      </c>
    </row>
    <row r="1304" spans="1:76">
      <c r="L1304" t="s">
        <v>664</v>
      </c>
    </row>
    <row r="1305" spans="1:76">
      <c r="L1305" t="s">
        <v>665</v>
      </c>
      <c r="M1305">
        <f>IF(DAY(NOW())&lt;M3,INDIRECT(ADDRESS(1305,7))-INDIRECT(ADDRESS(1300,13))+INDIRECT(ADDRESS(1301,13))-INDIRECT(ADDRESS(1304,13)),INDIRECT(ADDRESS(1305,7))-INDIRECT(ADDRESS(1300,13))+INDIRECT(ADDRESS(1303,13))-INDIRECT(ADDRESS(1304,13)))</f>
        <v>0</v>
      </c>
      <c r="N1305">
        <f>IF(DAY(NOW())&lt;M3,INDIRECT(ADDRESS(1305,13))-INDIRECT(ADDRESS(1300,14))+INDIRECT(ADDRESS(1301,14))-INDIRECT(ADDRESS(1304,14)),INDIRECT(ADDRESS(1305,13))-INDIRECT(ADDRESS(1300,14))+INDIRECT(ADDRESS(1303,14))-INDIRECT(ADDRESS(1304,14)))</f>
        <v>0</v>
      </c>
      <c r="O1305">
        <f>IF(DAY(NOW())&lt;M3,INDIRECT(ADDRESS(1305,14))-INDIRECT(ADDRESS(1300,15))+INDIRECT(ADDRESS(1301,15))-INDIRECT(ADDRESS(1304,15)),INDIRECT(ADDRESS(1305,14))-INDIRECT(ADDRESS(1300,15))+INDIRECT(ADDRESS(1303,15))-INDIRECT(ADDRESS(1304,15)))</f>
        <v>0</v>
      </c>
      <c r="P1305">
        <f>IF(DAY(NOW())&lt;M3,INDIRECT(ADDRESS(1305,15))-INDIRECT(ADDRESS(1300,16))+INDIRECT(ADDRESS(1301,16))-INDIRECT(ADDRESS(1304,16)),INDIRECT(ADDRESS(1305,15))-INDIRECT(ADDRESS(1300,16))+INDIRECT(ADDRESS(1303,16))-INDIRECT(ADDRESS(1304,16)))</f>
        <v>0</v>
      </c>
      <c r="Q1305">
        <f>IF(DAY(NOW())&lt;M3,INDIRECT(ADDRESS(1305,16))-INDIRECT(ADDRESS(1300,17))+INDIRECT(ADDRESS(1301,17))-INDIRECT(ADDRESS(1304,17)),INDIRECT(ADDRESS(1305,16))-INDIRECT(ADDRESS(1300,17))+INDIRECT(ADDRESS(1303,17))-INDIRECT(ADDRESS(1304,17)))</f>
        <v>0</v>
      </c>
      <c r="R1305">
        <f>IF(DAY(NOW())&lt;M3,INDIRECT(ADDRESS(1305,17))-INDIRECT(ADDRESS(1300,18))+INDIRECT(ADDRESS(1301,18))-INDIRECT(ADDRESS(1304,18)),INDIRECT(ADDRESS(1305,17))-INDIRECT(ADDRESS(1300,18))+INDIRECT(ADDRESS(1303,18))-INDIRECT(ADDRESS(1304,18)))</f>
        <v>0</v>
      </c>
      <c r="S1305">
        <f>IF(DAY(NOW())&lt;M3,INDIRECT(ADDRESS(1305,18))-INDIRECT(ADDRESS(1300,19))+INDIRECT(ADDRESS(1301,19))-INDIRECT(ADDRESS(1304,19)),INDIRECT(ADDRESS(1305,18))-INDIRECT(ADDRESS(1300,19))+INDIRECT(ADDRESS(1303,19))-INDIRECT(ADDRESS(1304,19)))</f>
        <v>0</v>
      </c>
      <c r="T1305">
        <f>IF(DAY(NOW())&lt;M3,INDIRECT(ADDRESS(1305,19))-INDIRECT(ADDRESS(1300,20))+INDIRECT(ADDRESS(1301,20))-INDIRECT(ADDRESS(1304,20)),INDIRECT(ADDRESS(1305,19))-INDIRECT(ADDRESS(1300,20))+INDIRECT(ADDRESS(1303,20))-INDIRECT(ADDRESS(1304,20)))</f>
        <v>0</v>
      </c>
      <c r="U1305">
        <f>IF(DAY(NOW())&lt;M3,INDIRECT(ADDRESS(1305,20))-INDIRECT(ADDRESS(1300,21))+INDIRECT(ADDRESS(1301,21))-INDIRECT(ADDRESS(1304,21)),INDIRECT(ADDRESS(1305,20))-INDIRECT(ADDRESS(1300,21))+INDIRECT(ADDRESS(1303,21))-INDIRECT(ADDRESS(1304,21)))</f>
        <v>0</v>
      </c>
      <c r="V1305">
        <f>IF(DAY(NOW())&lt;M3,INDIRECT(ADDRESS(1305,21))-INDIRECT(ADDRESS(1300,22))+INDIRECT(ADDRESS(1301,22))-INDIRECT(ADDRESS(1304,22)),INDIRECT(ADDRESS(1305,21))-INDIRECT(ADDRESS(1300,22))+INDIRECT(ADDRESS(1303,22))-INDIRECT(ADDRESS(1304,22)))</f>
        <v>0</v>
      </c>
      <c r="W1305">
        <f>IF(DAY(NOW())&lt;M3,INDIRECT(ADDRESS(1305,22))-INDIRECT(ADDRESS(1300,23))+INDIRECT(ADDRESS(1301,23))-INDIRECT(ADDRESS(1304,23)),INDIRECT(ADDRESS(1305,22))-INDIRECT(ADDRESS(1300,23))+INDIRECT(ADDRESS(1303,23))-INDIRECT(ADDRESS(1304,23)))</f>
        <v>0</v>
      </c>
      <c r="X1305">
        <f>IF(DAY(NOW())&lt;M3,INDIRECT(ADDRESS(1305,23))-INDIRECT(ADDRESS(1300,24))+INDIRECT(ADDRESS(1301,24))-INDIRECT(ADDRESS(1304,24)),INDIRECT(ADDRESS(1305,23))-INDIRECT(ADDRESS(1300,24))+INDIRECT(ADDRESS(1303,24))-INDIRECT(ADDRESS(1304,24)))</f>
        <v>0</v>
      </c>
      <c r="Y1305">
        <f>IF(DAY(NOW())&lt;M3,INDIRECT(ADDRESS(1305,24))-INDIRECT(ADDRESS(1300,25))+INDIRECT(ADDRESS(1301,25))-INDIRECT(ADDRESS(1304,25)),INDIRECT(ADDRESS(1305,24))-INDIRECT(ADDRESS(1300,25))+INDIRECT(ADDRESS(1303,25))-INDIRECT(ADDRESS(1304,25)))</f>
        <v>0</v>
      </c>
      <c r="Z1305">
        <f>IF(DAY(NOW())&lt;M3,INDIRECT(ADDRESS(1305,25))-INDIRECT(ADDRESS(1300,26))+INDIRECT(ADDRESS(1301,26))-INDIRECT(ADDRESS(1304,26)),INDIRECT(ADDRESS(1305,25))-INDIRECT(ADDRESS(1300,26))+INDIRECT(ADDRESS(1303,26))-INDIRECT(ADDRESS(1304,26)))</f>
        <v>0</v>
      </c>
      <c r="AA1305">
        <f>IF(DAY(NOW())&lt;M3,INDIRECT(ADDRESS(1305,26))-INDIRECT(ADDRESS(1300,27))+INDIRECT(ADDRESS(1301,27))-INDIRECT(ADDRESS(1304,27)),INDIRECT(ADDRESS(1305,26))-INDIRECT(ADDRESS(1300,27))+INDIRECT(ADDRESS(1303,27))-INDIRECT(ADDRESS(1304,27)))</f>
        <v>0</v>
      </c>
      <c r="AB1305">
        <f>IF(DAY(NOW())&lt;M3,INDIRECT(ADDRESS(1305,27))-INDIRECT(ADDRESS(1300,28))+INDIRECT(ADDRESS(1301,28))-INDIRECT(ADDRESS(1304,28)),INDIRECT(ADDRESS(1305,27))-INDIRECT(ADDRESS(1300,28))+INDIRECT(ADDRESS(1303,28))-INDIRECT(ADDRESS(1304,28)))</f>
        <v>0</v>
      </c>
      <c r="AC1305">
        <f>IF(DAY(NOW())&lt;M3,INDIRECT(ADDRESS(1305,28))-INDIRECT(ADDRESS(1300,29))+INDIRECT(ADDRESS(1301,29))-INDIRECT(ADDRESS(1304,29)),INDIRECT(ADDRESS(1305,28))-INDIRECT(ADDRESS(1300,29))+INDIRECT(ADDRESS(1303,29))-INDIRECT(ADDRESS(1304,29)))</f>
        <v>0</v>
      </c>
      <c r="AD1305">
        <f>IF(DAY(NOW())&lt;M3,INDIRECT(ADDRESS(1305,29))-INDIRECT(ADDRESS(1300,30))+INDIRECT(ADDRESS(1301,30))-INDIRECT(ADDRESS(1304,30)),INDIRECT(ADDRESS(1305,29))-INDIRECT(ADDRESS(1300,30))+INDIRECT(ADDRESS(1303,30))-INDIRECT(ADDRESS(1304,30)))</f>
        <v>0</v>
      </c>
      <c r="AE1305">
        <f>IF(DAY(NOW())&lt;M3,INDIRECT(ADDRESS(1305,30))-INDIRECT(ADDRESS(1300,31))+INDIRECT(ADDRESS(1301,31))-INDIRECT(ADDRESS(1304,31)),INDIRECT(ADDRESS(1305,30))-INDIRECT(ADDRESS(1300,31))+INDIRECT(ADDRESS(1303,31))-INDIRECT(ADDRESS(1304,31)))</f>
        <v>0</v>
      </c>
      <c r="AF1305">
        <f>IF(DAY(NOW())&lt;M3,INDIRECT(ADDRESS(1305,31))-INDIRECT(ADDRESS(1300,32))+INDIRECT(ADDRESS(1301,32))-INDIRECT(ADDRESS(1304,32)),INDIRECT(ADDRESS(1305,31))-INDIRECT(ADDRESS(1300,32))+INDIRECT(ADDRESS(1303,32))-INDIRECT(ADDRESS(1304,32)))</f>
        <v>0</v>
      </c>
      <c r="AG1305">
        <f>IF(DAY(NOW())&lt;M3,INDIRECT(ADDRESS(1305,32))-INDIRECT(ADDRESS(1300,33))+INDIRECT(ADDRESS(1301,33))-INDIRECT(ADDRESS(1304,33)),INDIRECT(ADDRESS(1305,32))-INDIRECT(ADDRESS(1300,33))+INDIRECT(ADDRESS(1303,33))-INDIRECT(ADDRESS(1304,33)))</f>
        <v>0</v>
      </c>
      <c r="AH1305">
        <f>IF(DAY(NOW())&lt;M3,INDIRECT(ADDRESS(1305,33))-INDIRECT(ADDRESS(1300,34))+INDIRECT(ADDRESS(1301,34))-INDIRECT(ADDRESS(1304,34)),INDIRECT(ADDRESS(1305,33))-INDIRECT(ADDRESS(1300,34))+INDIRECT(ADDRESS(1303,34))-INDIRECT(ADDRESS(1304,34)))</f>
        <v>0</v>
      </c>
      <c r="AI1305">
        <f>IF(DAY(NOW())&lt;M3,INDIRECT(ADDRESS(1305,34))-INDIRECT(ADDRESS(1300,35))+INDIRECT(ADDRESS(1301,35))-INDIRECT(ADDRESS(1304,35)),INDIRECT(ADDRESS(1305,34))-INDIRECT(ADDRESS(1300,35))+INDIRECT(ADDRESS(1303,35))-INDIRECT(ADDRESS(1304,35)))</f>
        <v>0</v>
      </c>
      <c r="AJ1305">
        <f>IF(DAY(NOW())&lt;M3,INDIRECT(ADDRESS(1305,35))-INDIRECT(ADDRESS(1300,36))+INDIRECT(ADDRESS(1301,36))-INDIRECT(ADDRESS(1304,36)),INDIRECT(ADDRESS(1305,35))-INDIRECT(ADDRESS(1300,36))+INDIRECT(ADDRESS(1303,36))-INDIRECT(ADDRESS(1304,36)))</f>
        <v>0</v>
      </c>
      <c r="AK1305">
        <f>IF(DAY(NOW())&lt;M3,INDIRECT(ADDRESS(1305,36))-INDIRECT(ADDRESS(1300,37))+INDIRECT(ADDRESS(1301,37))-INDIRECT(ADDRESS(1304,37)),INDIRECT(ADDRESS(1305,36))-INDIRECT(ADDRESS(1300,37))+INDIRECT(ADDRESS(1303,37))-INDIRECT(ADDRESS(1304,37)))</f>
        <v>0</v>
      </c>
      <c r="AL1305">
        <f>IF(DAY(NOW())&lt;M3,INDIRECT(ADDRESS(1305,37))-INDIRECT(ADDRESS(1300,38))+INDIRECT(ADDRESS(1301,38))-INDIRECT(ADDRESS(1304,38)),INDIRECT(ADDRESS(1305,37))-INDIRECT(ADDRESS(1300,38))+INDIRECT(ADDRESS(1303,38))-INDIRECT(ADDRESS(1304,38)))</f>
        <v>0</v>
      </c>
      <c r="AM1305">
        <f>IF(DAY(NOW())&lt;M3,INDIRECT(ADDRESS(1305,38))-INDIRECT(ADDRESS(1300,39))+INDIRECT(ADDRESS(1301,39))-INDIRECT(ADDRESS(1304,39)),INDIRECT(ADDRESS(1305,38))-INDIRECT(ADDRESS(1300,39))+INDIRECT(ADDRESS(1303,39))-INDIRECT(ADDRESS(1304,39)))</f>
        <v>0</v>
      </c>
      <c r="AN1305">
        <f>IF(DAY(NOW())&lt;M3,INDIRECT(ADDRESS(1305,39))-INDIRECT(ADDRESS(1300,40))+INDIRECT(ADDRESS(1301,40))-INDIRECT(ADDRESS(1304,40)),INDIRECT(ADDRESS(1305,39))-INDIRECT(ADDRESS(1300,40))+INDIRECT(ADDRESS(1303,40))-INDIRECT(ADDRESS(1304,40)))</f>
        <v>0</v>
      </c>
      <c r="AO1305">
        <f>IF(DAY(NOW())&lt;M3,INDIRECT(ADDRESS(1305,40))-INDIRECT(ADDRESS(1300,41))+INDIRECT(ADDRESS(1301,41))-INDIRECT(ADDRESS(1304,41)),INDIRECT(ADDRESS(1305,40))-INDIRECT(ADDRESS(1300,41))+INDIRECT(ADDRESS(1303,41))-INDIRECT(ADDRESS(1304,41)))</f>
        <v>0</v>
      </c>
      <c r="AP1305">
        <f>IF(DAY(NOW())&lt;M3,INDIRECT(ADDRESS(1305,41))-INDIRECT(ADDRESS(1300,42))+INDIRECT(ADDRESS(1301,42))-INDIRECT(ADDRESS(1304,42)),INDIRECT(ADDRESS(1305,41))-INDIRECT(ADDRESS(1300,42))+INDIRECT(ADDRESS(1303,42))-INDIRECT(ADDRESS(1304,42)))</f>
        <v>0</v>
      </c>
      <c r="AQ1305">
        <f>IF(DAY(NOW())&lt;M3,INDIRECT(ADDRESS(1305,42))-INDIRECT(ADDRESS(1300,43))+INDIRECT(ADDRESS(1301,43))-INDIRECT(ADDRESS(1304,43)),INDIRECT(ADDRESS(1305,42))-INDIRECT(ADDRESS(1300,43))+INDIRECT(ADDRESS(1303,43))-INDIRECT(ADDRESS(1304,43)))</f>
        <v>0</v>
      </c>
      <c r="AR1305">
        <f>IF(DAY(NOW())&lt;M3,INDIRECT(ADDRESS(1305,43))-INDIRECT(ADDRESS(1300,44))+INDIRECT(ADDRESS(1301,44))-INDIRECT(ADDRESS(1304,44)),INDIRECT(ADDRESS(1305,43))-INDIRECT(ADDRESS(1300,44))+INDIRECT(ADDRESS(1303,44))-INDIRECT(ADDRESS(1304,44)))</f>
        <v>0</v>
      </c>
    </row>
    <row r="1306" spans="1:76">
      <c r="A1306" t="s">
        <v>31</v>
      </c>
      <c r="B1306" t="s">
        <v>520</v>
      </c>
      <c r="C1306" t="s">
        <v>521</v>
      </c>
      <c r="F1306" t="s">
        <v>522</v>
      </c>
      <c r="K1306" t="s">
        <v>516</v>
      </c>
      <c r="L1306" t="s">
        <v>21</v>
      </c>
      <c r="M1306">
        <f>sumifs(BOM!m:m,BOM!A:A,".1",BOM!B:B,"852-184000-111")</f>
        <v>0</v>
      </c>
      <c r="N1306">
        <f>sumifs(BOM!n:n,BOM!A:A,".1",BOM!B:B,"852-184000-111")</f>
        <v>0</v>
      </c>
      <c r="O1306">
        <f>sumifs(BOM!o:o,BOM!A:A,".1",BOM!B:B,"852-184000-111")</f>
        <v>0</v>
      </c>
      <c r="P1306">
        <f>sumifs(BOM!p:p,BOM!A:A,".1",BOM!B:B,"852-184000-111")</f>
        <v>0</v>
      </c>
      <c r="Q1306">
        <f>sumifs(BOM!q:q,BOM!A:A,".1",BOM!B:B,"852-184000-111")</f>
        <v>0</v>
      </c>
      <c r="R1306">
        <f>sumifs(BOM!r:r,BOM!A:A,".1",BOM!B:B,"852-184000-111")</f>
        <v>0</v>
      </c>
      <c r="S1306">
        <f>sumifs(BOM!s:s,BOM!A:A,".1",BOM!B:B,"852-184000-111")</f>
        <v>0</v>
      </c>
      <c r="T1306">
        <f>sumifs(BOM!t:t,BOM!A:A,".1",BOM!B:B,"852-184000-111")</f>
        <v>0</v>
      </c>
      <c r="U1306">
        <f>sumifs(BOM!u:u,BOM!A:A,".1",BOM!B:B,"852-184000-111")</f>
        <v>0</v>
      </c>
      <c r="V1306">
        <f>sumifs(BOM!v:v,BOM!A:A,".1",BOM!B:B,"852-184000-111")</f>
        <v>0</v>
      </c>
      <c r="W1306">
        <f>sumifs(BOM!w:w,BOM!A:A,".1",BOM!B:B,"852-184000-111")</f>
        <v>0</v>
      </c>
      <c r="X1306">
        <f>sumifs(BOM!x:x,BOM!A:A,".1",BOM!B:B,"852-184000-111")</f>
        <v>0</v>
      </c>
      <c r="Y1306">
        <f>sumifs(BOM!y:y,BOM!A:A,".1",BOM!B:B,"852-184000-111")</f>
        <v>0</v>
      </c>
      <c r="Z1306">
        <f>sumifs(BOM!z:z,BOM!A:A,".1",BOM!B:B,"852-184000-111")</f>
        <v>0</v>
      </c>
      <c r="AA1306">
        <f>sumifs(BOM!aa:aa,BOM!A:A,".1",BOM!B:B,"852-184000-111")</f>
        <v>0</v>
      </c>
      <c r="AB1306">
        <f>sumifs(BOM!ab:ab,BOM!A:A,".1",BOM!B:B,"852-184000-111")</f>
        <v>0</v>
      </c>
      <c r="AC1306">
        <f>sumifs(BOM!ac:ac,BOM!A:A,".1",BOM!B:B,"852-184000-111")</f>
        <v>0</v>
      </c>
      <c r="AD1306">
        <f>sumifs(BOM!ad:ad,BOM!A:A,".1",BOM!B:B,"852-184000-111")</f>
        <v>0</v>
      </c>
      <c r="AE1306">
        <f>sumifs(BOM!ae:ae,BOM!A:A,".1",BOM!B:B,"852-184000-111")</f>
        <v>0</v>
      </c>
      <c r="AF1306">
        <f>sumifs(BOM!af:af,BOM!A:A,".1",BOM!B:B,"852-184000-111")</f>
        <v>0</v>
      </c>
      <c r="AG1306">
        <f>sumifs(BOM!ag:ag,BOM!A:A,".1",BOM!B:B,"852-184000-111")</f>
        <v>0</v>
      </c>
      <c r="AH1306">
        <f>sumifs(BOM!ah:ah,BOM!A:A,".1",BOM!B:B,"852-184000-111")</f>
        <v>0</v>
      </c>
      <c r="AI1306">
        <f>sumifs(BOM!ai:ai,BOM!A:A,".1",BOM!B:B,"852-184000-111")</f>
        <v>0</v>
      </c>
      <c r="AJ1306">
        <f>sumifs(BOM!aj:aj,BOM!A:A,".1",BOM!B:B,"852-184000-111")</f>
        <v>0</v>
      </c>
      <c r="AK1306">
        <f>sumifs(BOM!ak:ak,BOM!A:A,".1",BOM!B:B,"852-184000-111")</f>
        <v>0</v>
      </c>
      <c r="AL1306">
        <f>sumifs(BOM!al:al,BOM!A:A,".1",BOM!B:B,"852-184000-111")</f>
        <v>0</v>
      </c>
      <c r="AM1306">
        <f>sumifs(BOM!am:am,BOM!A:A,".1",BOM!B:B,"852-184000-111")</f>
        <v>0</v>
      </c>
      <c r="AN1306">
        <f>sumifs(BOM!an:an,BOM!A:A,".1",BOM!B:B,"852-184000-111")</f>
        <v>0</v>
      </c>
      <c r="AO1306">
        <f>sumifs(BOM!ao:ao,BOM!A:A,".1",BOM!B:B,"852-184000-111")</f>
        <v>0</v>
      </c>
      <c r="AP1306">
        <f>sumifs(BOM!ap:ap,BOM!A:A,".1",BOM!B:B,"852-184000-111")</f>
        <v>0</v>
      </c>
      <c r="AQ1306">
        <f>sumifs(BOM!aq:aq,BOM!A:A,".1",BOM!B:B,"852-184000-111")</f>
        <v>0</v>
      </c>
      <c r="AR1306">
        <f>sumifs(BOM!ar:ar,BOM!A:A,".1",BOM!B:B,"852-184000-111")</f>
        <v>0</v>
      </c>
      <c r="BX1306">
        <f>sum(j1306:an1306)</f>
        <v>0</v>
      </c>
    </row>
    <row r="1307" spans="1:76">
      <c r="A1307" t="s">
        <v>31</v>
      </c>
      <c r="B1307" t="s">
        <v>520</v>
      </c>
      <c r="C1307" t="s">
        <v>521</v>
      </c>
      <c r="F1307" t="s">
        <v>522</v>
      </c>
      <c r="K1307" t="s">
        <v>516</v>
      </c>
      <c r="L1307" t="s">
        <v>37</v>
      </c>
    </row>
    <row r="1308" spans="1:76">
      <c r="L1308" t="s">
        <v>662</v>
      </c>
    </row>
    <row r="1309" spans="1:76">
      <c r="L1309" t="s">
        <v>663</v>
      </c>
    </row>
    <row r="1310" spans="1:76">
      <c r="L1310" t="s">
        <v>664</v>
      </c>
    </row>
    <row r="1311" spans="1:76">
      <c r="L1311" t="s">
        <v>665</v>
      </c>
      <c r="M1311">
        <f>IF(DAY(NOW())&lt;M3,INDIRECT(ADDRESS(1311,7))-INDIRECT(ADDRESS(1306,13))+INDIRECT(ADDRESS(1307,13))-INDIRECT(ADDRESS(1310,13)),INDIRECT(ADDRESS(1311,7))-INDIRECT(ADDRESS(1306,13))+INDIRECT(ADDRESS(1309,13))-INDIRECT(ADDRESS(1310,13)))</f>
        <v>0</v>
      </c>
      <c r="N1311">
        <f>IF(DAY(NOW())&lt;M3,INDIRECT(ADDRESS(1311,13))-INDIRECT(ADDRESS(1306,14))+INDIRECT(ADDRESS(1307,14))-INDIRECT(ADDRESS(1310,14)),INDIRECT(ADDRESS(1311,13))-INDIRECT(ADDRESS(1306,14))+INDIRECT(ADDRESS(1309,14))-INDIRECT(ADDRESS(1310,14)))</f>
        <v>0</v>
      </c>
      <c r="O1311">
        <f>IF(DAY(NOW())&lt;M3,INDIRECT(ADDRESS(1311,14))-INDIRECT(ADDRESS(1306,15))+INDIRECT(ADDRESS(1307,15))-INDIRECT(ADDRESS(1310,15)),INDIRECT(ADDRESS(1311,14))-INDIRECT(ADDRESS(1306,15))+INDIRECT(ADDRESS(1309,15))-INDIRECT(ADDRESS(1310,15)))</f>
        <v>0</v>
      </c>
      <c r="P1311">
        <f>IF(DAY(NOW())&lt;M3,INDIRECT(ADDRESS(1311,15))-INDIRECT(ADDRESS(1306,16))+INDIRECT(ADDRESS(1307,16))-INDIRECT(ADDRESS(1310,16)),INDIRECT(ADDRESS(1311,15))-INDIRECT(ADDRESS(1306,16))+INDIRECT(ADDRESS(1309,16))-INDIRECT(ADDRESS(1310,16)))</f>
        <v>0</v>
      </c>
      <c r="Q1311">
        <f>IF(DAY(NOW())&lt;M3,INDIRECT(ADDRESS(1311,16))-INDIRECT(ADDRESS(1306,17))+INDIRECT(ADDRESS(1307,17))-INDIRECT(ADDRESS(1310,17)),INDIRECT(ADDRESS(1311,16))-INDIRECT(ADDRESS(1306,17))+INDIRECT(ADDRESS(1309,17))-INDIRECT(ADDRESS(1310,17)))</f>
        <v>0</v>
      </c>
      <c r="R1311">
        <f>IF(DAY(NOW())&lt;M3,INDIRECT(ADDRESS(1311,17))-INDIRECT(ADDRESS(1306,18))+INDIRECT(ADDRESS(1307,18))-INDIRECT(ADDRESS(1310,18)),INDIRECT(ADDRESS(1311,17))-INDIRECT(ADDRESS(1306,18))+INDIRECT(ADDRESS(1309,18))-INDIRECT(ADDRESS(1310,18)))</f>
        <v>0</v>
      </c>
      <c r="S1311">
        <f>IF(DAY(NOW())&lt;M3,INDIRECT(ADDRESS(1311,18))-INDIRECT(ADDRESS(1306,19))+INDIRECT(ADDRESS(1307,19))-INDIRECT(ADDRESS(1310,19)),INDIRECT(ADDRESS(1311,18))-INDIRECT(ADDRESS(1306,19))+INDIRECT(ADDRESS(1309,19))-INDIRECT(ADDRESS(1310,19)))</f>
        <v>0</v>
      </c>
      <c r="T1311">
        <f>IF(DAY(NOW())&lt;M3,INDIRECT(ADDRESS(1311,19))-INDIRECT(ADDRESS(1306,20))+INDIRECT(ADDRESS(1307,20))-INDIRECT(ADDRESS(1310,20)),INDIRECT(ADDRESS(1311,19))-INDIRECT(ADDRESS(1306,20))+INDIRECT(ADDRESS(1309,20))-INDIRECT(ADDRESS(1310,20)))</f>
        <v>0</v>
      </c>
      <c r="U1311">
        <f>IF(DAY(NOW())&lt;M3,INDIRECT(ADDRESS(1311,20))-INDIRECT(ADDRESS(1306,21))+INDIRECT(ADDRESS(1307,21))-INDIRECT(ADDRESS(1310,21)),INDIRECT(ADDRESS(1311,20))-INDIRECT(ADDRESS(1306,21))+INDIRECT(ADDRESS(1309,21))-INDIRECT(ADDRESS(1310,21)))</f>
        <v>0</v>
      </c>
      <c r="V1311">
        <f>IF(DAY(NOW())&lt;M3,INDIRECT(ADDRESS(1311,21))-INDIRECT(ADDRESS(1306,22))+INDIRECT(ADDRESS(1307,22))-INDIRECT(ADDRESS(1310,22)),INDIRECT(ADDRESS(1311,21))-INDIRECT(ADDRESS(1306,22))+INDIRECT(ADDRESS(1309,22))-INDIRECT(ADDRESS(1310,22)))</f>
        <v>0</v>
      </c>
      <c r="W1311">
        <f>IF(DAY(NOW())&lt;M3,INDIRECT(ADDRESS(1311,22))-INDIRECT(ADDRESS(1306,23))+INDIRECT(ADDRESS(1307,23))-INDIRECT(ADDRESS(1310,23)),INDIRECT(ADDRESS(1311,22))-INDIRECT(ADDRESS(1306,23))+INDIRECT(ADDRESS(1309,23))-INDIRECT(ADDRESS(1310,23)))</f>
        <v>0</v>
      </c>
      <c r="X1311">
        <f>IF(DAY(NOW())&lt;M3,INDIRECT(ADDRESS(1311,23))-INDIRECT(ADDRESS(1306,24))+INDIRECT(ADDRESS(1307,24))-INDIRECT(ADDRESS(1310,24)),INDIRECT(ADDRESS(1311,23))-INDIRECT(ADDRESS(1306,24))+INDIRECT(ADDRESS(1309,24))-INDIRECT(ADDRESS(1310,24)))</f>
        <v>0</v>
      </c>
      <c r="Y1311">
        <f>IF(DAY(NOW())&lt;M3,INDIRECT(ADDRESS(1311,24))-INDIRECT(ADDRESS(1306,25))+INDIRECT(ADDRESS(1307,25))-INDIRECT(ADDRESS(1310,25)),INDIRECT(ADDRESS(1311,24))-INDIRECT(ADDRESS(1306,25))+INDIRECT(ADDRESS(1309,25))-INDIRECT(ADDRESS(1310,25)))</f>
        <v>0</v>
      </c>
      <c r="Z1311">
        <f>IF(DAY(NOW())&lt;M3,INDIRECT(ADDRESS(1311,25))-INDIRECT(ADDRESS(1306,26))+INDIRECT(ADDRESS(1307,26))-INDIRECT(ADDRESS(1310,26)),INDIRECT(ADDRESS(1311,25))-INDIRECT(ADDRESS(1306,26))+INDIRECT(ADDRESS(1309,26))-INDIRECT(ADDRESS(1310,26)))</f>
        <v>0</v>
      </c>
      <c r="AA1311">
        <f>IF(DAY(NOW())&lt;M3,INDIRECT(ADDRESS(1311,26))-INDIRECT(ADDRESS(1306,27))+INDIRECT(ADDRESS(1307,27))-INDIRECT(ADDRESS(1310,27)),INDIRECT(ADDRESS(1311,26))-INDIRECT(ADDRESS(1306,27))+INDIRECT(ADDRESS(1309,27))-INDIRECT(ADDRESS(1310,27)))</f>
        <v>0</v>
      </c>
      <c r="AB1311">
        <f>IF(DAY(NOW())&lt;M3,INDIRECT(ADDRESS(1311,27))-INDIRECT(ADDRESS(1306,28))+INDIRECT(ADDRESS(1307,28))-INDIRECT(ADDRESS(1310,28)),INDIRECT(ADDRESS(1311,27))-INDIRECT(ADDRESS(1306,28))+INDIRECT(ADDRESS(1309,28))-INDIRECT(ADDRESS(1310,28)))</f>
        <v>0</v>
      </c>
      <c r="AC1311">
        <f>IF(DAY(NOW())&lt;M3,INDIRECT(ADDRESS(1311,28))-INDIRECT(ADDRESS(1306,29))+INDIRECT(ADDRESS(1307,29))-INDIRECT(ADDRESS(1310,29)),INDIRECT(ADDRESS(1311,28))-INDIRECT(ADDRESS(1306,29))+INDIRECT(ADDRESS(1309,29))-INDIRECT(ADDRESS(1310,29)))</f>
        <v>0</v>
      </c>
      <c r="AD1311">
        <f>IF(DAY(NOW())&lt;M3,INDIRECT(ADDRESS(1311,29))-INDIRECT(ADDRESS(1306,30))+INDIRECT(ADDRESS(1307,30))-INDIRECT(ADDRESS(1310,30)),INDIRECT(ADDRESS(1311,29))-INDIRECT(ADDRESS(1306,30))+INDIRECT(ADDRESS(1309,30))-INDIRECT(ADDRESS(1310,30)))</f>
        <v>0</v>
      </c>
      <c r="AE1311">
        <f>IF(DAY(NOW())&lt;M3,INDIRECT(ADDRESS(1311,30))-INDIRECT(ADDRESS(1306,31))+INDIRECT(ADDRESS(1307,31))-INDIRECT(ADDRESS(1310,31)),INDIRECT(ADDRESS(1311,30))-INDIRECT(ADDRESS(1306,31))+INDIRECT(ADDRESS(1309,31))-INDIRECT(ADDRESS(1310,31)))</f>
        <v>0</v>
      </c>
      <c r="AF1311">
        <f>IF(DAY(NOW())&lt;M3,INDIRECT(ADDRESS(1311,31))-INDIRECT(ADDRESS(1306,32))+INDIRECT(ADDRESS(1307,32))-INDIRECT(ADDRESS(1310,32)),INDIRECT(ADDRESS(1311,31))-INDIRECT(ADDRESS(1306,32))+INDIRECT(ADDRESS(1309,32))-INDIRECT(ADDRESS(1310,32)))</f>
        <v>0</v>
      </c>
      <c r="AG1311">
        <f>IF(DAY(NOW())&lt;M3,INDIRECT(ADDRESS(1311,32))-INDIRECT(ADDRESS(1306,33))+INDIRECT(ADDRESS(1307,33))-INDIRECT(ADDRESS(1310,33)),INDIRECT(ADDRESS(1311,32))-INDIRECT(ADDRESS(1306,33))+INDIRECT(ADDRESS(1309,33))-INDIRECT(ADDRESS(1310,33)))</f>
        <v>0</v>
      </c>
      <c r="AH1311">
        <f>IF(DAY(NOW())&lt;M3,INDIRECT(ADDRESS(1311,33))-INDIRECT(ADDRESS(1306,34))+INDIRECT(ADDRESS(1307,34))-INDIRECT(ADDRESS(1310,34)),INDIRECT(ADDRESS(1311,33))-INDIRECT(ADDRESS(1306,34))+INDIRECT(ADDRESS(1309,34))-INDIRECT(ADDRESS(1310,34)))</f>
        <v>0</v>
      </c>
      <c r="AI1311">
        <f>IF(DAY(NOW())&lt;M3,INDIRECT(ADDRESS(1311,34))-INDIRECT(ADDRESS(1306,35))+INDIRECT(ADDRESS(1307,35))-INDIRECT(ADDRESS(1310,35)),INDIRECT(ADDRESS(1311,34))-INDIRECT(ADDRESS(1306,35))+INDIRECT(ADDRESS(1309,35))-INDIRECT(ADDRESS(1310,35)))</f>
        <v>0</v>
      </c>
      <c r="AJ1311">
        <f>IF(DAY(NOW())&lt;M3,INDIRECT(ADDRESS(1311,35))-INDIRECT(ADDRESS(1306,36))+INDIRECT(ADDRESS(1307,36))-INDIRECT(ADDRESS(1310,36)),INDIRECT(ADDRESS(1311,35))-INDIRECT(ADDRESS(1306,36))+INDIRECT(ADDRESS(1309,36))-INDIRECT(ADDRESS(1310,36)))</f>
        <v>0</v>
      </c>
      <c r="AK1311">
        <f>IF(DAY(NOW())&lt;M3,INDIRECT(ADDRESS(1311,36))-INDIRECT(ADDRESS(1306,37))+INDIRECT(ADDRESS(1307,37))-INDIRECT(ADDRESS(1310,37)),INDIRECT(ADDRESS(1311,36))-INDIRECT(ADDRESS(1306,37))+INDIRECT(ADDRESS(1309,37))-INDIRECT(ADDRESS(1310,37)))</f>
        <v>0</v>
      </c>
      <c r="AL1311">
        <f>IF(DAY(NOW())&lt;M3,INDIRECT(ADDRESS(1311,37))-INDIRECT(ADDRESS(1306,38))+INDIRECT(ADDRESS(1307,38))-INDIRECT(ADDRESS(1310,38)),INDIRECT(ADDRESS(1311,37))-INDIRECT(ADDRESS(1306,38))+INDIRECT(ADDRESS(1309,38))-INDIRECT(ADDRESS(1310,38)))</f>
        <v>0</v>
      </c>
      <c r="AM1311">
        <f>IF(DAY(NOW())&lt;M3,INDIRECT(ADDRESS(1311,38))-INDIRECT(ADDRESS(1306,39))+INDIRECT(ADDRESS(1307,39))-INDIRECT(ADDRESS(1310,39)),INDIRECT(ADDRESS(1311,38))-INDIRECT(ADDRESS(1306,39))+INDIRECT(ADDRESS(1309,39))-INDIRECT(ADDRESS(1310,39)))</f>
        <v>0</v>
      </c>
      <c r="AN1311">
        <f>IF(DAY(NOW())&lt;M3,INDIRECT(ADDRESS(1311,39))-INDIRECT(ADDRESS(1306,40))+INDIRECT(ADDRESS(1307,40))-INDIRECT(ADDRESS(1310,40)),INDIRECT(ADDRESS(1311,39))-INDIRECT(ADDRESS(1306,40))+INDIRECT(ADDRESS(1309,40))-INDIRECT(ADDRESS(1310,40)))</f>
        <v>0</v>
      </c>
      <c r="AO1311">
        <f>IF(DAY(NOW())&lt;M3,INDIRECT(ADDRESS(1311,40))-INDIRECT(ADDRESS(1306,41))+INDIRECT(ADDRESS(1307,41))-INDIRECT(ADDRESS(1310,41)),INDIRECT(ADDRESS(1311,40))-INDIRECT(ADDRESS(1306,41))+INDIRECT(ADDRESS(1309,41))-INDIRECT(ADDRESS(1310,41)))</f>
        <v>0</v>
      </c>
      <c r="AP1311">
        <f>IF(DAY(NOW())&lt;M3,INDIRECT(ADDRESS(1311,41))-INDIRECT(ADDRESS(1306,42))+INDIRECT(ADDRESS(1307,42))-INDIRECT(ADDRESS(1310,42)),INDIRECT(ADDRESS(1311,41))-INDIRECT(ADDRESS(1306,42))+INDIRECT(ADDRESS(1309,42))-INDIRECT(ADDRESS(1310,42)))</f>
        <v>0</v>
      </c>
      <c r="AQ1311">
        <f>IF(DAY(NOW())&lt;M3,INDIRECT(ADDRESS(1311,42))-INDIRECT(ADDRESS(1306,43))+INDIRECT(ADDRESS(1307,43))-INDIRECT(ADDRESS(1310,43)),INDIRECT(ADDRESS(1311,42))-INDIRECT(ADDRESS(1306,43))+INDIRECT(ADDRESS(1309,43))-INDIRECT(ADDRESS(1310,43)))</f>
        <v>0</v>
      </c>
      <c r="AR1311">
        <f>IF(DAY(NOW())&lt;M3,INDIRECT(ADDRESS(1311,43))-INDIRECT(ADDRESS(1306,44))+INDIRECT(ADDRESS(1307,44))-INDIRECT(ADDRESS(1310,44)),INDIRECT(ADDRESS(1311,43))-INDIRECT(ADDRESS(1306,44))+INDIRECT(ADDRESS(1309,44))-INDIRECT(ADDRESS(1310,44)))</f>
        <v>0</v>
      </c>
    </row>
    <row r="1312" spans="1:76">
      <c r="A1312" t="s">
        <v>31</v>
      </c>
      <c r="B1312" t="s">
        <v>523</v>
      </c>
      <c r="C1312" t="s">
        <v>524</v>
      </c>
      <c r="D1312" t="s">
        <v>525</v>
      </c>
      <c r="E1312">
        <v>1</v>
      </c>
      <c r="F1312" t="s">
        <v>526</v>
      </c>
      <c r="K1312" t="s">
        <v>516</v>
      </c>
      <c r="L1312" t="s">
        <v>21</v>
      </c>
      <c r="M1312">
        <f>sumifs(BOM!m:m,BOM!A:A,".1",BOM!B:B,"852-184000-100")</f>
        <v>0</v>
      </c>
      <c r="N1312">
        <f>sumifs(BOM!n:n,BOM!A:A,".1",BOM!B:B,"852-184000-100")</f>
        <v>0</v>
      </c>
      <c r="O1312">
        <f>sumifs(BOM!o:o,BOM!A:A,".1",BOM!B:B,"852-184000-100")</f>
        <v>0</v>
      </c>
      <c r="P1312">
        <f>sumifs(BOM!p:p,BOM!A:A,".1",BOM!B:B,"852-184000-100")</f>
        <v>0</v>
      </c>
      <c r="Q1312">
        <f>sumifs(BOM!q:q,BOM!A:A,".1",BOM!B:B,"852-184000-100")</f>
        <v>0</v>
      </c>
      <c r="R1312">
        <f>sumifs(BOM!r:r,BOM!A:A,".1",BOM!B:B,"852-184000-100")</f>
        <v>0</v>
      </c>
      <c r="S1312">
        <f>sumifs(BOM!s:s,BOM!A:A,".1",BOM!B:B,"852-184000-100")</f>
        <v>0</v>
      </c>
      <c r="T1312">
        <f>sumifs(BOM!t:t,BOM!A:A,".1",BOM!B:B,"852-184000-100")</f>
        <v>0</v>
      </c>
      <c r="U1312">
        <f>sumifs(BOM!u:u,BOM!A:A,".1",BOM!B:B,"852-184000-100")</f>
        <v>0</v>
      </c>
      <c r="V1312">
        <f>sumifs(BOM!v:v,BOM!A:A,".1",BOM!B:B,"852-184000-100")</f>
        <v>0</v>
      </c>
      <c r="W1312">
        <f>sumifs(BOM!w:w,BOM!A:A,".1",BOM!B:B,"852-184000-100")</f>
        <v>0</v>
      </c>
      <c r="X1312">
        <f>sumifs(BOM!x:x,BOM!A:A,".1",BOM!B:B,"852-184000-100")</f>
        <v>0</v>
      </c>
      <c r="Y1312">
        <f>sumifs(BOM!y:y,BOM!A:A,".1",BOM!B:B,"852-184000-100")</f>
        <v>0</v>
      </c>
      <c r="Z1312">
        <f>sumifs(BOM!z:z,BOM!A:A,".1",BOM!B:B,"852-184000-100")</f>
        <v>0</v>
      </c>
      <c r="AA1312">
        <f>sumifs(BOM!aa:aa,BOM!A:A,".1",BOM!B:B,"852-184000-100")</f>
        <v>0</v>
      </c>
      <c r="AB1312">
        <f>sumifs(BOM!ab:ab,BOM!A:A,".1",BOM!B:B,"852-184000-100")</f>
        <v>0</v>
      </c>
      <c r="AC1312">
        <f>sumifs(BOM!ac:ac,BOM!A:A,".1",BOM!B:B,"852-184000-100")</f>
        <v>0</v>
      </c>
      <c r="AD1312">
        <f>sumifs(BOM!ad:ad,BOM!A:A,".1",BOM!B:B,"852-184000-100")</f>
        <v>0</v>
      </c>
      <c r="AE1312">
        <f>sumifs(BOM!ae:ae,BOM!A:A,".1",BOM!B:B,"852-184000-100")</f>
        <v>0</v>
      </c>
      <c r="AF1312">
        <f>sumifs(BOM!af:af,BOM!A:A,".1",BOM!B:B,"852-184000-100")</f>
        <v>0</v>
      </c>
      <c r="AG1312">
        <f>sumifs(BOM!ag:ag,BOM!A:A,".1",BOM!B:B,"852-184000-100")</f>
        <v>0</v>
      </c>
      <c r="AH1312">
        <f>sumifs(BOM!ah:ah,BOM!A:A,".1",BOM!B:B,"852-184000-100")</f>
        <v>0</v>
      </c>
      <c r="AI1312">
        <f>sumifs(BOM!ai:ai,BOM!A:A,".1",BOM!B:B,"852-184000-100")</f>
        <v>0</v>
      </c>
      <c r="AJ1312">
        <f>sumifs(BOM!aj:aj,BOM!A:A,".1",BOM!B:B,"852-184000-100")</f>
        <v>0</v>
      </c>
      <c r="AK1312">
        <f>sumifs(BOM!ak:ak,BOM!A:A,".1",BOM!B:B,"852-184000-100")</f>
        <v>0</v>
      </c>
      <c r="AL1312">
        <f>sumifs(BOM!al:al,BOM!A:A,".1",BOM!B:B,"852-184000-100")</f>
        <v>0</v>
      </c>
      <c r="AM1312">
        <f>sumifs(BOM!am:am,BOM!A:A,".1",BOM!B:B,"852-184000-100")</f>
        <v>0</v>
      </c>
      <c r="AN1312">
        <f>sumifs(BOM!an:an,BOM!A:A,".1",BOM!B:B,"852-184000-100")</f>
        <v>0</v>
      </c>
      <c r="AO1312">
        <f>sumifs(BOM!ao:ao,BOM!A:A,".1",BOM!B:B,"852-184000-100")</f>
        <v>0</v>
      </c>
      <c r="AP1312">
        <f>sumifs(BOM!ap:ap,BOM!A:A,".1",BOM!B:B,"852-184000-100")</f>
        <v>0</v>
      </c>
      <c r="AQ1312">
        <f>sumifs(BOM!aq:aq,BOM!A:A,".1",BOM!B:B,"852-184000-100")</f>
        <v>0</v>
      </c>
      <c r="AR1312">
        <f>sumifs(BOM!ar:ar,BOM!A:A,".1",BOM!B:B,"852-184000-100")</f>
        <v>0</v>
      </c>
      <c r="BX1312">
        <f>sum(j1312:an1312)</f>
        <v>0</v>
      </c>
    </row>
    <row r="1313" spans="1:76">
      <c r="A1313" t="s">
        <v>31</v>
      </c>
      <c r="B1313" t="s">
        <v>523</v>
      </c>
      <c r="C1313" t="s">
        <v>524</v>
      </c>
      <c r="D1313" t="s">
        <v>525</v>
      </c>
      <c r="E1313">
        <v>1</v>
      </c>
      <c r="F1313" t="s">
        <v>526</v>
      </c>
      <c r="K1313" t="s">
        <v>516</v>
      </c>
      <c r="L1313" t="s">
        <v>37</v>
      </c>
    </row>
    <row r="1314" spans="1:76">
      <c r="L1314" t="s">
        <v>662</v>
      </c>
    </row>
    <row r="1315" spans="1:76">
      <c r="L1315" t="s">
        <v>663</v>
      </c>
    </row>
    <row r="1316" spans="1:76">
      <c r="L1316" t="s">
        <v>664</v>
      </c>
    </row>
    <row r="1317" spans="1:76">
      <c r="L1317" t="s">
        <v>665</v>
      </c>
      <c r="M1317">
        <f>IF(DAY(NOW())&lt;M3,INDIRECT(ADDRESS(1317,7))-INDIRECT(ADDRESS(1312,13))+INDIRECT(ADDRESS(1313,13))-INDIRECT(ADDRESS(1316,13)),INDIRECT(ADDRESS(1317,7))-INDIRECT(ADDRESS(1312,13))+INDIRECT(ADDRESS(1315,13))-INDIRECT(ADDRESS(1316,13)))</f>
        <v>0</v>
      </c>
      <c r="N1317">
        <f>IF(DAY(NOW())&lt;M3,INDIRECT(ADDRESS(1317,13))-INDIRECT(ADDRESS(1312,14))+INDIRECT(ADDRESS(1313,14))-INDIRECT(ADDRESS(1316,14)),INDIRECT(ADDRESS(1317,13))-INDIRECT(ADDRESS(1312,14))+INDIRECT(ADDRESS(1315,14))-INDIRECT(ADDRESS(1316,14)))</f>
        <v>0</v>
      </c>
      <c r="O1317">
        <f>IF(DAY(NOW())&lt;M3,INDIRECT(ADDRESS(1317,14))-INDIRECT(ADDRESS(1312,15))+INDIRECT(ADDRESS(1313,15))-INDIRECT(ADDRESS(1316,15)),INDIRECT(ADDRESS(1317,14))-INDIRECT(ADDRESS(1312,15))+INDIRECT(ADDRESS(1315,15))-INDIRECT(ADDRESS(1316,15)))</f>
        <v>0</v>
      </c>
      <c r="P1317">
        <f>IF(DAY(NOW())&lt;M3,INDIRECT(ADDRESS(1317,15))-INDIRECT(ADDRESS(1312,16))+INDIRECT(ADDRESS(1313,16))-INDIRECT(ADDRESS(1316,16)),INDIRECT(ADDRESS(1317,15))-INDIRECT(ADDRESS(1312,16))+INDIRECT(ADDRESS(1315,16))-INDIRECT(ADDRESS(1316,16)))</f>
        <v>0</v>
      </c>
      <c r="Q1317">
        <f>IF(DAY(NOW())&lt;M3,INDIRECT(ADDRESS(1317,16))-INDIRECT(ADDRESS(1312,17))+INDIRECT(ADDRESS(1313,17))-INDIRECT(ADDRESS(1316,17)),INDIRECT(ADDRESS(1317,16))-INDIRECT(ADDRESS(1312,17))+INDIRECT(ADDRESS(1315,17))-INDIRECT(ADDRESS(1316,17)))</f>
        <v>0</v>
      </c>
      <c r="R1317">
        <f>IF(DAY(NOW())&lt;M3,INDIRECT(ADDRESS(1317,17))-INDIRECT(ADDRESS(1312,18))+INDIRECT(ADDRESS(1313,18))-INDIRECT(ADDRESS(1316,18)),INDIRECT(ADDRESS(1317,17))-INDIRECT(ADDRESS(1312,18))+INDIRECT(ADDRESS(1315,18))-INDIRECT(ADDRESS(1316,18)))</f>
        <v>0</v>
      </c>
      <c r="S1317">
        <f>IF(DAY(NOW())&lt;M3,INDIRECT(ADDRESS(1317,18))-INDIRECT(ADDRESS(1312,19))+INDIRECT(ADDRESS(1313,19))-INDIRECT(ADDRESS(1316,19)),INDIRECT(ADDRESS(1317,18))-INDIRECT(ADDRESS(1312,19))+INDIRECT(ADDRESS(1315,19))-INDIRECT(ADDRESS(1316,19)))</f>
        <v>0</v>
      </c>
      <c r="T1317">
        <f>IF(DAY(NOW())&lt;M3,INDIRECT(ADDRESS(1317,19))-INDIRECT(ADDRESS(1312,20))+INDIRECT(ADDRESS(1313,20))-INDIRECT(ADDRESS(1316,20)),INDIRECT(ADDRESS(1317,19))-INDIRECT(ADDRESS(1312,20))+INDIRECT(ADDRESS(1315,20))-INDIRECT(ADDRESS(1316,20)))</f>
        <v>0</v>
      </c>
      <c r="U1317">
        <f>IF(DAY(NOW())&lt;M3,INDIRECT(ADDRESS(1317,20))-INDIRECT(ADDRESS(1312,21))+INDIRECT(ADDRESS(1313,21))-INDIRECT(ADDRESS(1316,21)),INDIRECT(ADDRESS(1317,20))-INDIRECT(ADDRESS(1312,21))+INDIRECT(ADDRESS(1315,21))-INDIRECT(ADDRESS(1316,21)))</f>
        <v>0</v>
      </c>
      <c r="V1317">
        <f>IF(DAY(NOW())&lt;M3,INDIRECT(ADDRESS(1317,21))-INDIRECT(ADDRESS(1312,22))+INDIRECT(ADDRESS(1313,22))-INDIRECT(ADDRESS(1316,22)),INDIRECT(ADDRESS(1317,21))-INDIRECT(ADDRESS(1312,22))+INDIRECT(ADDRESS(1315,22))-INDIRECT(ADDRESS(1316,22)))</f>
        <v>0</v>
      </c>
      <c r="W1317">
        <f>IF(DAY(NOW())&lt;M3,INDIRECT(ADDRESS(1317,22))-INDIRECT(ADDRESS(1312,23))+INDIRECT(ADDRESS(1313,23))-INDIRECT(ADDRESS(1316,23)),INDIRECT(ADDRESS(1317,22))-INDIRECT(ADDRESS(1312,23))+INDIRECT(ADDRESS(1315,23))-INDIRECT(ADDRESS(1316,23)))</f>
        <v>0</v>
      </c>
      <c r="X1317">
        <f>IF(DAY(NOW())&lt;M3,INDIRECT(ADDRESS(1317,23))-INDIRECT(ADDRESS(1312,24))+INDIRECT(ADDRESS(1313,24))-INDIRECT(ADDRESS(1316,24)),INDIRECT(ADDRESS(1317,23))-INDIRECT(ADDRESS(1312,24))+INDIRECT(ADDRESS(1315,24))-INDIRECT(ADDRESS(1316,24)))</f>
        <v>0</v>
      </c>
      <c r="Y1317">
        <f>IF(DAY(NOW())&lt;M3,INDIRECT(ADDRESS(1317,24))-INDIRECT(ADDRESS(1312,25))+INDIRECT(ADDRESS(1313,25))-INDIRECT(ADDRESS(1316,25)),INDIRECT(ADDRESS(1317,24))-INDIRECT(ADDRESS(1312,25))+INDIRECT(ADDRESS(1315,25))-INDIRECT(ADDRESS(1316,25)))</f>
        <v>0</v>
      </c>
      <c r="Z1317">
        <f>IF(DAY(NOW())&lt;M3,INDIRECT(ADDRESS(1317,25))-INDIRECT(ADDRESS(1312,26))+INDIRECT(ADDRESS(1313,26))-INDIRECT(ADDRESS(1316,26)),INDIRECT(ADDRESS(1317,25))-INDIRECT(ADDRESS(1312,26))+INDIRECT(ADDRESS(1315,26))-INDIRECT(ADDRESS(1316,26)))</f>
        <v>0</v>
      </c>
      <c r="AA1317">
        <f>IF(DAY(NOW())&lt;M3,INDIRECT(ADDRESS(1317,26))-INDIRECT(ADDRESS(1312,27))+INDIRECT(ADDRESS(1313,27))-INDIRECT(ADDRESS(1316,27)),INDIRECT(ADDRESS(1317,26))-INDIRECT(ADDRESS(1312,27))+INDIRECT(ADDRESS(1315,27))-INDIRECT(ADDRESS(1316,27)))</f>
        <v>0</v>
      </c>
      <c r="AB1317">
        <f>IF(DAY(NOW())&lt;M3,INDIRECT(ADDRESS(1317,27))-INDIRECT(ADDRESS(1312,28))+INDIRECT(ADDRESS(1313,28))-INDIRECT(ADDRESS(1316,28)),INDIRECT(ADDRESS(1317,27))-INDIRECT(ADDRESS(1312,28))+INDIRECT(ADDRESS(1315,28))-INDIRECT(ADDRESS(1316,28)))</f>
        <v>0</v>
      </c>
      <c r="AC1317">
        <f>IF(DAY(NOW())&lt;M3,INDIRECT(ADDRESS(1317,28))-INDIRECT(ADDRESS(1312,29))+INDIRECT(ADDRESS(1313,29))-INDIRECT(ADDRESS(1316,29)),INDIRECT(ADDRESS(1317,28))-INDIRECT(ADDRESS(1312,29))+INDIRECT(ADDRESS(1315,29))-INDIRECT(ADDRESS(1316,29)))</f>
        <v>0</v>
      </c>
      <c r="AD1317">
        <f>IF(DAY(NOW())&lt;M3,INDIRECT(ADDRESS(1317,29))-INDIRECT(ADDRESS(1312,30))+INDIRECT(ADDRESS(1313,30))-INDIRECT(ADDRESS(1316,30)),INDIRECT(ADDRESS(1317,29))-INDIRECT(ADDRESS(1312,30))+INDIRECT(ADDRESS(1315,30))-INDIRECT(ADDRESS(1316,30)))</f>
        <v>0</v>
      </c>
      <c r="AE1317">
        <f>IF(DAY(NOW())&lt;M3,INDIRECT(ADDRESS(1317,30))-INDIRECT(ADDRESS(1312,31))+INDIRECT(ADDRESS(1313,31))-INDIRECT(ADDRESS(1316,31)),INDIRECT(ADDRESS(1317,30))-INDIRECT(ADDRESS(1312,31))+INDIRECT(ADDRESS(1315,31))-INDIRECT(ADDRESS(1316,31)))</f>
        <v>0</v>
      </c>
      <c r="AF1317">
        <f>IF(DAY(NOW())&lt;M3,INDIRECT(ADDRESS(1317,31))-INDIRECT(ADDRESS(1312,32))+INDIRECT(ADDRESS(1313,32))-INDIRECT(ADDRESS(1316,32)),INDIRECT(ADDRESS(1317,31))-INDIRECT(ADDRESS(1312,32))+INDIRECT(ADDRESS(1315,32))-INDIRECT(ADDRESS(1316,32)))</f>
        <v>0</v>
      </c>
      <c r="AG1317">
        <f>IF(DAY(NOW())&lt;M3,INDIRECT(ADDRESS(1317,32))-INDIRECT(ADDRESS(1312,33))+INDIRECT(ADDRESS(1313,33))-INDIRECT(ADDRESS(1316,33)),INDIRECT(ADDRESS(1317,32))-INDIRECT(ADDRESS(1312,33))+INDIRECT(ADDRESS(1315,33))-INDIRECT(ADDRESS(1316,33)))</f>
        <v>0</v>
      </c>
      <c r="AH1317">
        <f>IF(DAY(NOW())&lt;M3,INDIRECT(ADDRESS(1317,33))-INDIRECT(ADDRESS(1312,34))+INDIRECT(ADDRESS(1313,34))-INDIRECT(ADDRESS(1316,34)),INDIRECT(ADDRESS(1317,33))-INDIRECT(ADDRESS(1312,34))+INDIRECT(ADDRESS(1315,34))-INDIRECT(ADDRESS(1316,34)))</f>
        <v>0</v>
      </c>
      <c r="AI1317">
        <f>IF(DAY(NOW())&lt;M3,INDIRECT(ADDRESS(1317,34))-INDIRECT(ADDRESS(1312,35))+INDIRECT(ADDRESS(1313,35))-INDIRECT(ADDRESS(1316,35)),INDIRECT(ADDRESS(1317,34))-INDIRECT(ADDRESS(1312,35))+INDIRECT(ADDRESS(1315,35))-INDIRECT(ADDRESS(1316,35)))</f>
        <v>0</v>
      </c>
      <c r="AJ1317">
        <f>IF(DAY(NOW())&lt;M3,INDIRECT(ADDRESS(1317,35))-INDIRECT(ADDRESS(1312,36))+INDIRECT(ADDRESS(1313,36))-INDIRECT(ADDRESS(1316,36)),INDIRECT(ADDRESS(1317,35))-INDIRECT(ADDRESS(1312,36))+INDIRECT(ADDRESS(1315,36))-INDIRECT(ADDRESS(1316,36)))</f>
        <v>0</v>
      </c>
      <c r="AK1317">
        <f>IF(DAY(NOW())&lt;M3,INDIRECT(ADDRESS(1317,36))-INDIRECT(ADDRESS(1312,37))+INDIRECT(ADDRESS(1313,37))-INDIRECT(ADDRESS(1316,37)),INDIRECT(ADDRESS(1317,36))-INDIRECT(ADDRESS(1312,37))+INDIRECT(ADDRESS(1315,37))-INDIRECT(ADDRESS(1316,37)))</f>
        <v>0</v>
      </c>
      <c r="AL1317">
        <f>IF(DAY(NOW())&lt;M3,INDIRECT(ADDRESS(1317,37))-INDIRECT(ADDRESS(1312,38))+INDIRECT(ADDRESS(1313,38))-INDIRECT(ADDRESS(1316,38)),INDIRECT(ADDRESS(1317,37))-INDIRECT(ADDRESS(1312,38))+INDIRECT(ADDRESS(1315,38))-INDIRECT(ADDRESS(1316,38)))</f>
        <v>0</v>
      </c>
      <c r="AM1317">
        <f>IF(DAY(NOW())&lt;M3,INDIRECT(ADDRESS(1317,38))-INDIRECT(ADDRESS(1312,39))+INDIRECT(ADDRESS(1313,39))-INDIRECT(ADDRESS(1316,39)),INDIRECT(ADDRESS(1317,38))-INDIRECT(ADDRESS(1312,39))+INDIRECT(ADDRESS(1315,39))-INDIRECT(ADDRESS(1316,39)))</f>
        <v>0</v>
      </c>
      <c r="AN1317">
        <f>IF(DAY(NOW())&lt;M3,INDIRECT(ADDRESS(1317,39))-INDIRECT(ADDRESS(1312,40))+INDIRECT(ADDRESS(1313,40))-INDIRECT(ADDRESS(1316,40)),INDIRECT(ADDRESS(1317,39))-INDIRECT(ADDRESS(1312,40))+INDIRECT(ADDRESS(1315,40))-INDIRECT(ADDRESS(1316,40)))</f>
        <v>0</v>
      </c>
      <c r="AO1317">
        <f>IF(DAY(NOW())&lt;M3,INDIRECT(ADDRESS(1317,40))-INDIRECT(ADDRESS(1312,41))+INDIRECT(ADDRESS(1313,41))-INDIRECT(ADDRESS(1316,41)),INDIRECT(ADDRESS(1317,40))-INDIRECT(ADDRESS(1312,41))+INDIRECT(ADDRESS(1315,41))-INDIRECT(ADDRESS(1316,41)))</f>
        <v>0</v>
      </c>
      <c r="AP1317">
        <f>IF(DAY(NOW())&lt;M3,INDIRECT(ADDRESS(1317,41))-INDIRECT(ADDRESS(1312,42))+INDIRECT(ADDRESS(1313,42))-INDIRECT(ADDRESS(1316,42)),INDIRECT(ADDRESS(1317,41))-INDIRECT(ADDRESS(1312,42))+INDIRECT(ADDRESS(1315,42))-INDIRECT(ADDRESS(1316,42)))</f>
        <v>0</v>
      </c>
      <c r="AQ1317">
        <f>IF(DAY(NOW())&lt;M3,INDIRECT(ADDRESS(1317,42))-INDIRECT(ADDRESS(1312,43))+INDIRECT(ADDRESS(1313,43))-INDIRECT(ADDRESS(1316,43)),INDIRECT(ADDRESS(1317,42))-INDIRECT(ADDRESS(1312,43))+INDIRECT(ADDRESS(1315,43))-INDIRECT(ADDRESS(1316,43)))</f>
        <v>0</v>
      </c>
      <c r="AR1317">
        <f>IF(DAY(NOW())&lt;M3,INDIRECT(ADDRESS(1317,43))-INDIRECT(ADDRESS(1312,44))+INDIRECT(ADDRESS(1313,44))-INDIRECT(ADDRESS(1316,44)),INDIRECT(ADDRESS(1317,43))-INDIRECT(ADDRESS(1312,44))+INDIRECT(ADDRESS(1315,44))-INDIRECT(ADDRESS(1316,44)))</f>
        <v>0</v>
      </c>
    </row>
    <row r="1318" spans="1:76">
      <c r="A1318" t="s">
        <v>31</v>
      </c>
      <c r="B1318" t="s">
        <v>527</v>
      </c>
      <c r="C1318" t="s">
        <v>528</v>
      </c>
      <c r="D1318" t="s">
        <v>469</v>
      </c>
      <c r="E1318">
        <v>1</v>
      </c>
      <c r="F1318" t="s">
        <v>529</v>
      </c>
      <c r="K1318" t="s">
        <v>516</v>
      </c>
      <c r="L1318" t="s">
        <v>21</v>
      </c>
      <c r="M1318">
        <f>sumifs(BOM!m:m,BOM!A:A,".1",BOM!B:B,"852-180000-100")</f>
        <v>0</v>
      </c>
      <c r="N1318">
        <f>sumifs(BOM!n:n,BOM!A:A,".1",BOM!B:B,"852-180000-100")</f>
        <v>0</v>
      </c>
      <c r="O1318">
        <f>sumifs(BOM!o:o,BOM!A:A,".1",BOM!B:B,"852-180000-100")</f>
        <v>0</v>
      </c>
      <c r="P1318">
        <f>sumifs(BOM!p:p,BOM!A:A,".1",BOM!B:B,"852-180000-100")</f>
        <v>0</v>
      </c>
      <c r="Q1318">
        <f>sumifs(BOM!q:q,BOM!A:A,".1",BOM!B:B,"852-180000-100")</f>
        <v>0</v>
      </c>
      <c r="R1318">
        <f>sumifs(BOM!r:r,BOM!A:A,".1",BOM!B:B,"852-180000-100")</f>
        <v>0</v>
      </c>
      <c r="S1318">
        <f>sumifs(BOM!s:s,BOM!A:A,".1",BOM!B:B,"852-180000-100")</f>
        <v>0</v>
      </c>
      <c r="T1318">
        <f>sumifs(BOM!t:t,BOM!A:A,".1",BOM!B:B,"852-180000-100")</f>
        <v>0</v>
      </c>
      <c r="U1318">
        <f>sumifs(BOM!u:u,BOM!A:A,".1",BOM!B:B,"852-180000-100")</f>
        <v>0</v>
      </c>
      <c r="V1318">
        <f>sumifs(BOM!v:v,BOM!A:A,".1",BOM!B:B,"852-180000-100")</f>
        <v>0</v>
      </c>
      <c r="W1318">
        <f>sumifs(BOM!w:w,BOM!A:A,".1",BOM!B:B,"852-180000-100")</f>
        <v>0</v>
      </c>
      <c r="X1318">
        <f>sumifs(BOM!x:x,BOM!A:A,".1",BOM!B:B,"852-180000-100")</f>
        <v>0</v>
      </c>
      <c r="Y1318">
        <f>sumifs(BOM!y:y,BOM!A:A,".1",BOM!B:B,"852-180000-100")</f>
        <v>0</v>
      </c>
      <c r="Z1318">
        <f>sumifs(BOM!z:z,BOM!A:A,".1",BOM!B:B,"852-180000-100")</f>
        <v>0</v>
      </c>
      <c r="AA1318">
        <f>sumifs(BOM!aa:aa,BOM!A:A,".1",BOM!B:B,"852-180000-100")</f>
        <v>0</v>
      </c>
      <c r="AB1318">
        <f>sumifs(BOM!ab:ab,BOM!A:A,".1",BOM!B:B,"852-180000-100")</f>
        <v>0</v>
      </c>
      <c r="AC1318">
        <f>sumifs(BOM!ac:ac,BOM!A:A,".1",BOM!B:B,"852-180000-100")</f>
        <v>0</v>
      </c>
      <c r="AD1318">
        <f>sumifs(BOM!ad:ad,BOM!A:A,".1",BOM!B:B,"852-180000-100")</f>
        <v>0</v>
      </c>
      <c r="AE1318">
        <f>sumifs(BOM!ae:ae,BOM!A:A,".1",BOM!B:B,"852-180000-100")</f>
        <v>0</v>
      </c>
      <c r="AF1318">
        <f>sumifs(BOM!af:af,BOM!A:A,".1",BOM!B:B,"852-180000-100")</f>
        <v>0</v>
      </c>
      <c r="AG1318">
        <f>sumifs(BOM!ag:ag,BOM!A:A,".1",BOM!B:B,"852-180000-100")</f>
        <v>0</v>
      </c>
      <c r="AH1318">
        <f>sumifs(BOM!ah:ah,BOM!A:A,".1",BOM!B:B,"852-180000-100")</f>
        <v>0</v>
      </c>
      <c r="AI1318">
        <f>sumifs(BOM!ai:ai,BOM!A:A,".1",BOM!B:B,"852-180000-100")</f>
        <v>0</v>
      </c>
      <c r="AJ1318">
        <f>sumifs(BOM!aj:aj,BOM!A:A,".1",BOM!B:B,"852-180000-100")</f>
        <v>0</v>
      </c>
      <c r="AK1318">
        <f>sumifs(BOM!ak:ak,BOM!A:A,".1",BOM!B:B,"852-180000-100")</f>
        <v>0</v>
      </c>
      <c r="AL1318">
        <f>sumifs(BOM!al:al,BOM!A:A,".1",BOM!B:B,"852-180000-100")</f>
        <v>0</v>
      </c>
      <c r="AM1318">
        <f>sumifs(BOM!am:am,BOM!A:A,".1",BOM!B:B,"852-180000-100")</f>
        <v>0</v>
      </c>
      <c r="AN1318">
        <f>sumifs(BOM!an:an,BOM!A:A,".1",BOM!B:B,"852-180000-100")</f>
        <v>0</v>
      </c>
      <c r="AO1318">
        <f>sumifs(BOM!ao:ao,BOM!A:A,".1",BOM!B:B,"852-180000-100")</f>
        <v>0</v>
      </c>
      <c r="AP1318">
        <f>sumifs(BOM!ap:ap,BOM!A:A,".1",BOM!B:B,"852-180000-100")</f>
        <v>0</v>
      </c>
      <c r="AQ1318">
        <f>sumifs(BOM!aq:aq,BOM!A:A,".1",BOM!B:B,"852-180000-100")</f>
        <v>0</v>
      </c>
      <c r="AR1318">
        <f>sumifs(BOM!ar:ar,BOM!A:A,".1",BOM!B:B,"852-180000-100")</f>
        <v>0</v>
      </c>
      <c r="BX1318">
        <f>sum(j1318:an1318)</f>
        <v>0</v>
      </c>
    </row>
    <row r="1319" spans="1:76">
      <c r="A1319" t="s">
        <v>31</v>
      </c>
      <c r="B1319" t="s">
        <v>527</v>
      </c>
      <c r="C1319" t="s">
        <v>528</v>
      </c>
      <c r="D1319" t="s">
        <v>469</v>
      </c>
      <c r="E1319">
        <v>1</v>
      </c>
      <c r="F1319" t="s">
        <v>529</v>
      </c>
      <c r="K1319" t="s">
        <v>516</v>
      </c>
      <c r="L1319" t="s">
        <v>37</v>
      </c>
    </row>
    <row r="1320" spans="1:76">
      <c r="L1320" t="s">
        <v>662</v>
      </c>
    </row>
    <row r="1321" spans="1:76">
      <c r="L1321" t="s">
        <v>663</v>
      </c>
    </row>
    <row r="1322" spans="1:76">
      <c r="L1322" t="s">
        <v>664</v>
      </c>
    </row>
    <row r="1323" spans="1:76">
      <c r="L1323" t="s">
        <v>665</v>
      </c>
      <c r="M1323">
        <f>IF(DAY(NOW())&lt;M3,INDIRECT(ADDRESS(1323,7))-INDIRECT(ADDRESS(1318,13))+INDIRECT(ADDRESS(1319,13))-INDIRECT(ADDRESS(1322,13)),INDIRECT(ADDRESS(1323,7))-INDIRECT(ADDRESS(1318,13))+INDIRECT(ADDRESS(1321,13))-INDIRECT(ADDRESS(1322,13)))</f>
        <v>0</v>
      </c>
      <c r="N1323">
        <f>IF(DAY(NOW())&lt;M3,INDIRECT(ADDRESS(1323,13))-INDIRECT(ADDRESS(1318,14))+INDIRECT(ADDRESS(1319,14))-INDIRECT(ADDRESS(1322,14)),INDIRECT(ADDRESS(1323,13))-INDIRECT(ADDRESS(1318,14))+INDIRECT(ADDRESS(1321,14))-INDIRECT(ADDRESS(1322,14)))</f>
        <v>0</v>
      </c>
      <c r="O1323">
        <f>IF(DAY(NOW())&lt;M3,INDIRECT(ADDRESS(1323,14))-INDIRECT(ADDRESS(1318,15))+INDIRECT(ADDRESS(1319,15))-INDIRECT(ADDRESS(1322,15)),INDIRECT(ADDRESS(1323,14))-INDIRECT(ADDRESS(1318,15))+INDIRECT(ADDRESS(1321,15))-INDIRECT(ADDRESS(1322,15)))</f>
        <v>0</v>
      </c>
      <c r="P1323">
        <f>IF(DAY(NOW())&lt;M3,INDIRECT(ADDRESS(1323,15))-INDIRECT(ADDRESS(1318,16))+INDIRECT(ADDRESS(1319,16))-INDIRECT(ADDRESS(1322,16)),INDIRECT(ADDRESS(1323,15))-INDIRECT(ADDRESS(1318,16))+INDIRECT(ADDRESS(1321,16))-INDIRECT(ADDRESS(1322,16)))</f>
        <v>0</v>
      </c>
      <c r="Q1323">
        <f>IF(DAY(NOW())&lt;M3,INDIRECT(ADDRESS(1323,16))-INDIRECT(ADDRESS(1318,17))+INDIRECT(ADDRESS(1319,17))-INDIRECT(ADDRESS(1322,17)),INDIRECT(ADDRESS(1323,16))-INDIRECT(ADDRESS(1318,17))+INDIRECT(ADDRESS(1321,17))-INDIRECT(ADDRESS(1322,17)))</f>
        <v>0</v>
      </c>
      <c r="R1323">
        <f>IF(DAY(NOW())&lt;M3,INDIRECT(ADDRESS(1323,17))-INDIRECT(ADDRESS(1318,18))+INDIRECT(ADDRESS(1319,18))-INDIRECT(ADDRESS(1322,18)),INDIRECT(ADDRESS(1323,17))-INDIRECT(ADDRESS(1318,18))+INDIRECT(ADDRESS(1321,18))-INDIRECT(ADDRESS(1322,18)))</f>
        <v>0</v>
      </c>
      <c r="S1323">
        <f>IF(DAY(NOW())&lt;M3,INDIRECT(ADDRESS(1323,18))-INDIRECT(ADDRESS(1318,19))+INDIRECT(ADDRESS(1319,19))-INDIRECT(ADDRESS(1322,19)),INDIRECT(ADDRESS(1323,18))-INDIRECT(ADDRESS(1318,19))+INDIRECT(ADDRESS(1321,19))-INDIRECT(ADDRESS(1322,19)))</f>
        <v>0</v>
      </c>
      <c r="T1323">
        <f>IF(DAY(NOW())&lt;M3,INDIRECT(ADDRESS(1323,19))-INDIRECT(ADDRESS(1318,20))+INDIRECT(ADDRESS(1319,20))-INDIRECT(ADDRESS(1322,20)),INDIRECT(ADDRESS(1323,19))-INDIRECT(ADDRESS(1318,20))+INDIRECT(ADDRESS(1321,20))-INDIRECT(ADDRESS(1322,20)))</f>
        <v>0</v>
      </c>
      <c r="U1323">
        <f>IF(DAY(NOW())&lt;M3,INDIRECT(ADDRESS(1323,20))-INDIRECT(ADDRESS(1318,21))+INDIRECT(ADDRESS(1319,21))-INDIRECT(ADDRESS(1322,21)),INDIRECT(ADDRESS(1323,20))-INDIRECT(ADDRESS(1318,21))+INDIRECT(ADDRESS(1321,21))-INDIRECT(ADDRESS(1322,21)))</f>
        <v>0</v>
      </c>
      <c r="V1323">
        <f>IF(DAY(NOW())&lt;M3,INDIRECT(ADDRESS(1323,21))-INDIRECT(ADDRESS(1318,22))+INDIRECT(ADDRESS(1319,22))-INDIRECT(ADDRESS(1322,22)),INDIRECT(ADDRESS(1323,21))-INDIRECT(ADDRESS(1318,22))+INDIRECT(ADDRESS(1321,22))-INDIRECT(ADDRESS(1322,22)))</f>
        <v>0</v>
      </c>
      <c r="W1323">
        <f>IF(DAY(NOW())&lt;M3,INDIRECT(ADDRESS(1323,22))-INDIRECT(ADDRESS(1318,23))+INDIRECT(ADDRESS(1319,23))-INDIRECT(ADDRESS(1322,23)),INDIRECT(ADDRESS(1323,22))-INDIRECT(ADDRESS(1318,23))+INDIRECT(ADDRESS(1321,23))-INDIRECT(ADDRESS(1322,23)))</f>
        <v>0</v>
      </c>
      <c r="X1323">
        <f>IF(DAY(NOW())&lt;M3,INDIRECT(ADDRESS(1323,23))-INDIRECT(ADDRESS(1318,24))+INDIRECT(ADDRESS(1319,24))-INDIRECT(ADDRESS(1322,24)),INDIRECT(ADDRESS(1323,23))-INDIRECT(ADDRESS(1318,24))+INDIRECT(ADDRESS(1321,24))-INDIRECT(ADDRESS(1322,24)))</f>
        <v>0</v>
      </c>
      <c r="Y1323">
        <f>IF(DAY(NOW())&lt;M3,INDIRECT(ADDRESS(1323,24))-INDIRECT(ADDRESS(1318,25))+INDIRECT(ADDRESS(1319,25))-INDIRECT(ADDRESS(1322,25)),INDIRECT(ADDRESS(1323,24))-INDIRECT(ADDRESS(1318,25))+INDIRECT(ADDRESS(1321,25))-INDIRECT(ADDRESS(1322,25)))</f>
        <v>0</v>
      </c>
      <c r="Z1323">
        <f>IF(DAY(NOW())&lt;M3,INDIRECT(ADDRESS(1323,25))-INDIRECT(ADDRESS(1318,26))+INDIRECT(ADDRESS(1319,26))-INDIRECT(ADDRESS(1322,26)),INDIRECT(ADDRESS(1323,25))-INDIRECT(ADDRESS(1318,26))+INDIRECT(ADDRESS(1321,26))-INDIRECT(ADDRESS(1322,26)))</f>
        <v>0</v>
      </c>
      <c r="AA1323">
        <f>IF(DAY(NOW())&lt;M3,INDIRECT(ADDRESS(1323,26))-INDIRECT(ADDRESS(1318,27))+INDIRECT(ADDRESS(1319,27))-INDIRECT(ADDRESS(1322,27)),INDIRECT(ADDRESS(1323,26))-INDIRECT(ADDRESS(1318,27))+INDIRECT(ADDRESS(1321,27))-INDIRECT(ADDRESS(1322,27)))</f>
        <v>0</v>
      </c>
      <c r="AB1323">
        <f>IF(DAY(NOW())&lt;M3,INDIRECT(ADDRESS(1323,27))-INDIRECT(ADDRESS(1318,28))+INDIRECT(ADDRESS(1319,28))-INDIRECT(ADDRESS(1322,28)),INDIRECT(ADDRESS(1323,27))-INDIRECT(ADDRESS(1318,28))+INDIRECT(ADDRESS(1321,28))-INDIRECT(ADDRESS(1322,28)))</f>
        <v>0</v>
      </c>
      <c r="AC1323">
        <f>IF(DAY(NOW())&lt;M3,INDIRECT(ADDRESS(1323,28))-INDIRECT(ADDRESS(1318,29))+INDIRECT(ADDRESS(1319,29))-INDIRECT(ADDRESS(1322,29)),INDIRECT(ADDRESS(1323,28))-INDIRECT(ADDRESS(1318,29))+INDIRECT(ADDRESS(1321,29))-INDIRECT(ADDRESS(1322,29)))</f>
        <v>0</v>
      </c>
      <c r="AD1323">
        <f>IF(DAY(NOW())&lt;M3,INDIRECT(ADDRESS(1323,29))-INDIRECT(ADDRESS(1318,30))+INDIRECT(ADDRESS(1319,30))-INDIRECT(ADDRESS(1322,30)),INDIRECT(ADDRESS(1323,29))-INDIRECT(ADDRESS(1318,30))+INDIRECT(ADDRESS(1321,30))-INDIRECT(ADDRESS(1322,30)))</f>
        <v>0</v>
      </c>
      <c r="AE1323">
        <f>IF(DAY(NOW())&lt;M3,INDIRECT(ADDRESS(1323,30))-INDIRECT(ADDRESS(1318,31))+INDIRECT(ADDRESS(1319,31))-INDIRECT(ADDRESS(1322,31)),INDIRECT(ADDRESS(1323,30))-INDIRECT(ADDRESS(1318,31))+INDIRECT(ADDRESS(1321,31))-INDIRECT(ADDRESS(1322,31)))</f>
        <v>0</v>
      </c>
      <c r="AF1323">
        <f>IF(DAY(NOW())&lt;M3,INDIRECT(ADDRESS(1323,31))-INDIRECT(ADDRESS(1318,32))+INDIRECT(ADDRESS(1319,32))-INDIRECT(ADDRESS(1322,32)),INDIRECT(ADDRESS(1323,31))-INDIRECT(ADDRESS(1318,32))+INDIRECT(ADDRESS(1321,32))-INDIRECT(ADDRESS(1322,32)))</f>
        <v>0</v>
      </c>
      <c r="AG1323">
        <f>IF(DAY(NOW())&lt;M3,INDIRECT(ADDRESS(1323,32))-INDIRECT(ADDRESS(1318,33))+INDIRECT(ADDRESS(1319,33))-INDIRECT(ADDRESS(1322,33)),INDIRECT(ADDRESS(1323,32))-INDIRECT(ADDRESS(1318,33))+INDIRECT(ADDRESS(1321,33))-INDIRECT(ADDRESS(1322,33)))</f>
        <v>0</v>
      </c>
      <c r="AH1323">
        <f>IF(DAY(NOW())&lt;M3,INDIRECT(ADDRESS(1323,33))-INDIRECT(ADDRESS(1318,34))+INDIRECT(ADDRESS(1319,34))-INDIRECT(ADDRESS(1322,34)),INDIRECT(ADDRESS(1323,33))-INDIRECT(ADDRESS(1318,34))+INDIRECT(ADDRESS(1321,34))-INDIRECT(ADDRESS(1322,34)))</f>
        <v>0</v>
      </c>
      <c r="AI1323">
        <f>IF(DAY(NOW())&lt;M3,INDIRECT(ADDRESS(1323,34))-INDIRECT(ADDRESS(1318,35))+INDIRECT(ADDRESS(1319,35))-INDIRECT(ADDRESS(1322,35)),INDIRECT(ADDRESS(1323,34))-INDIRECT(ADDRESS(1318,35))+INDIRECT(ADDRESS(1321,35))-INDIRECT(ADDRESS(1322,35)))</f>
        <v>0</v>
      </c>
      <c r="AJ1323">
        <f>IF(DAY(NOW())&lt;M3,INDIRECT(ADDRESS(1323,35))-INDIRECT(ADDRESS(1318,36))+INDIRECT(ADDRESS(1319,36))-INDIRECT(ADDRESS(1322,36)),INDIRECT(ADDRESS(1323,35))-INDIRECT(ADDRESS(1318,36))+INDIRECT(ADDRESS(1321,36))-INDIRECT(ADDRESS(1322,36)))</f>
        <v>0</v>
      </c>
      <c r="AK1323">
        <f>IF(DAY(NOW())&lt;M3,INDIRECT(ADDRESS(1323,36))-INDIRECT(ADDRESS(1318,37))+INDIRECT(ADDRESS(1319,37))-INDIRECT(ADDRESS(1322,37)),INDIRECT(ADDRESS(1323,36))-INDIRECT(ADDRESS(1318,37))+INDIRECT(ADDRESS(1321,37))-INDIRECT(ADDRESS(1322,37)))</f>
        <v>0</v>
      </c>
      <c r="AL1323">
        <f>IF(DAY(NOW())&lt;M3,INDIRECT(ADDRESS(1323,37))-INDIRECT(ADDRESS(1318,38))+INDIRECT(ADDRESS(1319,38))-INDIRECT(ADDRESS(1322,38)),INDIRECT(ADDRESS(1323,37))-INDIRECT(ADDRESS(1318,38))+INDIRECT(ADDRESS(1321,38))-INDIRECT(ADDRESS(1322,38)))</f>
        <v>0</v>
      </c>
      <c r="AM1323">
        <f>IF(DAY(NOW())&lt;M3,INDIRECT(ADDRESS(1323,38))-INDIRECT(ADDRESS(1318,39))+INDIRECT(ADDRESS(1319,39))-INDIRECT(ADDRESS(1322,39)),INDIRECT(ADDRESS(1323,38))-INDIRECT(ADDRESS(1318,39))+INDIRECT(ADDRESS(1321,39))-INDIRECT(ADDRESS(1322,39)))</f>
        <v>0</v>
      </c>
      <c r="AN1323">
        <f>IF(DAY(NOW())&lt;M3,INDIRECT(ADDRESS(1323,39))-INDIRECT(ADDRESS(1318,40))+INDIRECT(ADDRESS(1319,40))-INDIRECT(ADDRESS(1322,40)),INDIRECT(ADDRESS(1323,39))-INDIRECT(ADDRESS(1318,40))+INDIRECT(ADDRESS(1321,40))-INDIRECT(ADDRESS(1322,40)))</f>
        <v>0</v>
      </c>
      <c r="AO1323">
        <f>IF(DAY(NOW())&lt;M3,INDIRECT(ADDRESS(1323,40))-INDIRECT(ADDRESS(1318,41))+INDIRECT(ADDRESS(1319,41))-INDIRECT(ADDRESS(1322,41)),INDIRECT(ADDRESS(1323,40))-INDIRECT(ADDRESS(1318,41))+INDIRECT(ADDRESS(1321,41))-INDIRECT(ADDRESS(1322,41)))</f>
        <v>0</v>
      </c>
      <c r="AP1323">
        <f>IF(DAY(NOW())&lt;M3,INDIRECT(ADDRESS(1323,41))-INDIRECT(ADDRESS(1318,42))+INDIRECT(ADDRESS(1319,42))-INDIRECT(ADDRESS(1322,42)),INDIRECT(ADDRESS(1323,41))-INDIRECT(ADDRESS(1318,42))+INDIRECT(ADDRESS(1321,42))-INDIRECT(ADDRESS(1322,42)))</f>
        <v>0</v>
      </c>
      <c r="AQ1323">
        <f>IF(DAY(NOW())&lt;M3,INDIRECT(ADDRESS(1323,42))-INDIRECT(ADDRESS(1318,43))+INDIRECT(ADDRESS(1319,43))-INDIRECT(ADDRESS(1322,43)),INDIRECT(ADDRESS(1323,42))-INDIRECT(ADDRESS(1318,43))+INDIRECT(ADDRESS(1321,43))-INDIRECT(ADDRESS(1322,43)))</f>
        <v>0</v>
      </c>
      <c r="AR1323">
        <f>IF(DAY(NOW())&lt;M3,INDIRECT(ADDRESS(1323,43))-INDIRECT(ADDRESS(1318,44))+INDIRECT(ADDRESS(1319,44))-INDIRECT(ADDRESS(1322,44)),INDIRECT(ADDRESS(1323,43))-INDIRECT(ADDRESS(1318,44))+INDIRECT(ADDRESS(1321,44))-INDIRECT(ADDRESS(1322,44)))</f>
        <v>0</v>
      </c>
    </row>
    <row r="1324" spans="1:76">
      <c r="A1324" t="s">
        <v>31</v>
      </c>
      <c r="B1324" t="s">
        <v>530</v>
      </c>
      <c r="C1324" t="s">
        <v>531</v>
      </c>
      <c r="F1324" t="s">
        <v>532</v>
      </c>
      <c r="K1324" t="s">
        <v>516</v>
      </c>
      <c r="L1324" t="s">
        <v>21</v>
      </c>
      <c r="M1324">
        <f>sumifs(BOM!m:m,BOM!A:A,".1",BOM!B:B,"852-187000-110")</f>
        <v>0</v>
      </c>
      <c r="N1324">
        <f>sumifs(BOM!n:n,BOM!A:A,".1",BOM!B:B,"852-187000-110")</f>
        <v>0</v>
      </c>
      <c r="O1324">
        <f>sumifs(BOM!o:o,BOM!A:A,".1",BOM!B:B,"852-187000-110")</f>
        <v>0</v>
      </c>
      <c r="P1324">
        <f>sumifs(BOM!p:p,BOM!A:A,".1",BOM!B:B,"852-187000-110")</f>
        <v>0</v>
      </c>
      <c r="Q1324">
        <f>sumifs(BOM!q:q,BOM!A:A,".1",BOM!B:B,"852-187000-110")</f>
        <v>0</v>
      </c>
      <c r="R1324">
        <f>sumifs(BOM!r:r,BOM!A:A,".1",BOM!B:B,"852-187000-110")</f>
        <v>0</v>
      </c>
      <c r="S1324">
        <f>sumifs(BOM!s:s,BOM!A:A,".1",BOM!B:B,"852-187000-110")</f>
        <v>0</v>
      </c>
      <c r="T1324">
        <f>sumifs(BOM!t:t,BOM!A:A,".1",BOM!B:B,"852-187000-110")</f>
        <v>0</v>
      </c>
      <c r="U1324">
        <f>sumifs(BOM!u:u,BOM!A:A,".1",BOM!B:B,"852-187000-110")</f>
        <v>0</v>
      </c>
      <c r="V1324">
        <f>sumifs(BOM!v:v,BOM!A:A,".1",BOM!B:B,"852-187000-110")</f>
        <v>0</v>
      </c>
      <c r="W1324">
        <f>sumifs(BOM!w:w,BOM!A:A,".1",BOM!B:B,"852-187000-110")</f>
        <v>0</v>
      </c>
      <c r="X1324">
        <f>sumifs(BOM!x:x,BOM!A:A,".1",BOM!B:B,"852-187000-110")</f>
        <v>0</v>
      </c>
      <c r="Y1324">
        <f>sumifs(BOM!y:y,BOM!A:A,".1",BOM!B:B,"852-187000-110")</f>
        <v>0</v>
      </c>
      <c r="Z1324">
        <f>sumifs(BOM!z:z,BOM!A:A,".1",BOM!B:B,"852-187000-110")</f>
        <v>0</v>
      </c>
      <c r="AA1324">
        <f>sumifs(BOM!aa:aa,BOM!A:A,".1",BOM!B:B,"852-187000-110")</f>
        <v>0</v>
      </c>
      <c r="AB1324">
        <f>sumifs(BOM!ab:ab,BOM!A:A,".1",BOM!B:B,"852-187000-110")</f>
        <v>0</v>
      </c>
      <c r="AC1324">
        <f>sumifs(BOM!ac:ac,BOM!A:A,".1",BOM!B:B,"852-187000-110")</f>
        <v>0</v>
      </c>
      <c r="AD1324">
        <f>sumifs(BOM!ad:ad,BOM!A:A,".1",BOM!B:B,"852-187000-110")</f>
        <v>0</v>
      </c>
      <c r="AE1324">
        <f>sumifs(BOM!ae:ae,BOM!A:A,".1",BOM!B:B,"852-187000-110")</f>
        <v>0</v>
      </c>
      <c r="AF1324">
        <f>sumifs(BOM!af:af,BOM!A:A,".1",BOM!B:B,"852-187000-110")</f>
        <v>0</v>
      </c>
      <c r="AG1324">
        <f>sumifs(BOM!ag:ag,BOM!A:A,".1",BOM!B:B,"852-187000-110")</f>
        <v>0</v>
      </c>
      <c r="AH1324">
        <f>sumifs(BOM!ah:ah,BOM!A:A,".1",BOM!B:B,"852-187000-110")</f>
        <v>0</v>
      </c>
      <c r="AI1324">
        <f>sumifs(BOM!ai:ai,BOM!A:A,".1",BOM!B:B,"852-187000-110")</f>
        <v>0</v>
      </c>
      <c r="AJ1324">
        <f>sumifs(BOM!aj:aj,BOM!A:A,".1",BOM!B:B,"852-187000-110")</f>
        <v>0</v>
      </c>
      <c r="AK1324">
        <f>sumifs(BOM!ak:ak,BOM!A:A,".1",BOM!B:B,"852-187000-110")</f>
        <v>0</v>
      </c>
      <c r="AL1324">
        <f>sumifs(BOM!al:al,BOM!A:A,".1",BOM!B:B,"852-187000-110")</f>
        <v>0</v>
      </c>
      <c r="AM1324">
        <f>sumifs(BOM!am:am,BOM!A:A,".1",BOM!B:B,"852-187000-110")</f>
        <v>0</v>
      </c>
      <c r="AN1324">
        <f>sumifs(BOM!an:an,BOM!A:A,".1",BOM!B:B,"852-187000-110")</f>
        <v>0</v>
      </c>
      <c r="AO1324">
        <f>sumifs(BOM!ao:ao,BOM!A:A,".1",BOM!B:B,"852-187000-110")</f>
        <v>0</v>
      </c>
      <c r="AP1324">
        <f>sumifs(BOM!ap:ap,BOM!A:A,".1",BOM!B:B,"852-187000-110")</f>
        <v>0</v>
      </c>
      <c r="AQ1324">
        <f>sumifs(BOM!aq:aq,BOM!A:A,".1",BOM!B:B,"852-187000-110")</f>
        <v>0</v>
      </c>
      <c r="AR1324">
        <f>sumifs(BOM!ar:ar,BOM!A:A,".1",BOM!B:B,"852-187000-110")</f>
        <v>0</v>
      </c>
      <c r="BX1324">
        <f>sum(j1324:an1324)</f>
        <v>0</v>
      </c>
    </row>
    <row r="1325" spans="1:76">
      <c r="A1325" t="s">
        <v>31</v>
      </c>
      <c r="B1325" t="s">
        <v>530</v>
      </c>
      <c r="C1325" t="s">
        <v>531</v>
      </c>
      <c r="F1325" t="s">
        <v>532</v>
      </c>
      <c r="K1325" t="s">
        <v>516</v>
      </c>
      <c r="L1325" t="s">
        <v>37</v>
      </c>
    </row>
    <row r="1326" spans="1:76">
      <c r="L1326" t="s">
        <v>662</v>
      </c>
    </row>
    <row r="1327" spans="1:76">
      <c r="L1327" t="s">
        <v>663</v>
      </c>
    </row>
    <row r="1328" spans="1:76">
      <c r="L1328" t="s">
        <v>664</v>
      </c>
    </row>
    <row r="1329" spans="1:76">
      <c r="L1329" t="s">
        <v>665</v>
      </c>
      <c r="M1329">
        <f>IF(DAY(NOW())&lt;M3,INDIRECT(ADDRESS(1329,7))-INDIRECT(ADDRESS(1324,13))+INDIRECT(ADDRESS(1325,13))-INDIRECT(ADDRESS(1328,13)),INDIRECT(ADDRESS(1329,7))-INDIRECT(ADDRESS(1324,13))+INDIRECT(ADDRESS(1327,13))-INDIRECT(ADDRESS(1328,13)))</f>
        <v>0</v>
      </c>
      <c r="N1329">
        <f>IF(DAY(NOW())&lt;M3,INDIRECT(ADDRESS(1329,13))-INDIRECT(ADDRESS(1324,14))+INDIRECT(ADDRESS(1325,14))-INDIRECT(ADDRESS(1328,14)),INDIRECT(ADDRESS(1329,13))-INDIRECT(ADDRESS(1324,14))+INDIRECT(ADDRESS(1327,14))-INDIRECT(ADDRESS(1328,14)))</f>
        <v>0</v>
      </c>
      <c r="O1329">
        <f>IF(DAY(NOW())&lt;M3,INDIRECT(ADDRESS(1329,14))-INDIRECT(ADDRESS(1324,15))+INDIRECT(ADDRESS(1325,15))-INDIRECT(ADDRESS(1328,15)),INDIRECT(ADDRESS(1329,14))-INDIRECT(ADDRESS(1324,15))+INDIRECT(ADDRESS(1327,15))-INDIRECT(ADDRESS(1328,15)))</f>
        <v>0</v>
      </c>
      <c r="P1329">
        <f>IF(DAY(NOW())&lt;M3,INDIRECT(ADDRESS(1329,15))-INDIRECT(ADDRESS(1324,16))+INDIRECT(ADDRESS(1325,16))-INDIRECT(ADDRESS(1328,16)),INDIRECT(ADDRESS(1329,15))-INDIRECT(ADDRESS(1324,16))+INDIRECT(ADDRESS(1327,16))-INDIRECT(ADDRESS(1328,16)))</f>
        <v>0</v>
      </c>
      <c r="Q1329">
        <f>IF(DAY(NOW())&lt;M3,INDIRECT(ADDRESS(1329,16))-INDIRECT(ADDRESS(1324,17))+INDIRECT(ADDRESS(1325,17))-INDIRECT(ADDRESS(1328,17)),INDIRECT(ADDRESS(1329,16))-INDIRECT(ADDRESS(1324,17))+INDIRECT(ADDRESS(1327,17))-INDIRECT(ADDRESS(1328,17)))</f>
        <v>0</v>
      </c>
      <c r="R1329">
        <f>IF(DAY(NOW())&lt;M3,INDIRECT(ADDRESS(1329,17))-INDIRECT(ADDRESS(1324,18))+INDIRECT(ADDRESS(1325,18))-INDIRECT(ADDRESS(1328,18)),INDIRECT(ADDRESS(1329,17))-INDIRECT(ADDRESS(1324,18))+INDIRECT(ADDRESS(1327,18))-INDIRECT(ADDRESS(1328,18)))</f>
        <v>0</v>
      </c>
      <c r="S1329">
        <f>IF(DAY(NOW())&lt;M3,INDIRECT(ADDRESS(1329,18))-INDIRECT(ADDRESS(1324,19))+INDIRECT(ADDRESS(1325,19))-INDIRECT(ADDRESS(1328,19)),INDIRECT(ADDRESS(1329,18))-INDIRECT(ADDRESS(1324,19))+INDIRECT(ADDRESS(1327,19))-INDIRECT(ADDRESS(1328,19)))</f>
        <v>0</v>
      </c>
      <c r="T1329">
        <f>IF(DAY(NOW())&lt;M3,INDIRECT(ADDRESS(1329,19))-INDIRECT(ADDRESS(1324,20))+INDIRECT(ADDRESS(1325,20))-INDIRECT(ADDRESS(1328,20)),INDIRECT(ADDRESS(1329,19))-INDIRECT(ADDRESS(1324,20))+INDIRECT(ADDRESS(1327,20))-INDIRECT(ADDRESS(1328,20)))</f>
        <v>0</v>
      </c>
      <c r="U1329">
        <f>IF(DAY(NOW())&lt;M3,INDIRECT(ADDRESS(1329,20))-INDIRECT(ADDRESS(1324,21))+INDIRECT(ADDRESS(1325,21))-INDIRECT(ADDRESS(1328,21)),INDIRECT(ADDRESS(1329,20))-INDIRECT(ADDRESS(1324,21))+INDIRECT(ADDRESS(1327,21))-INDIRECT(ADDRESS(1328,21)))</f>
        <v>0</v>
      </c>
      <c r="V1329">
        <f>IF(DAY(NOW())&lt;M3,INDIRECT(ADDRESS(1329,21))-INDIRECT(ADDRESS(1324,22))+INDIRECT(ADDRESS(1325,22))-INDIRECT(ADDRESS(1328,22)),INDIRECT(ADDRESS(1329,21))-INDIRECT(ADDRESS(1324,22))+INDIRECT(ADDRESS(1327,22))-INDIRECT(ADDRESS(1328,22)))</f>
        <v>0</v>
      </c>
      <c r="W1329">
        <f>IF(DAY(NOW())&lt;M3,INDIRECT(ADDRESS(1329,22))-INDIRECT(ADDRESS(1324,23))+INDIRECT(ADDRESS(1325,23))-INDIRECT(ADDRESS(1328,23)),INDIRECT(ADDRESS(1329,22))-INDIRECT(ADDRESS(1324,23))+INDIRECT(ADDRESS(1327,23))-INDIRECT(ADDRESS(1328,23)))</f>
        <v>0</v>
      </c>
      <c r="X1329">
        <f>IF(DAY(NOW())&lt;M3,INDIRECT(ADDRESS(1329,23))-INDIRECT(ADDRESS(1324,24))+INDIRECT(ADDRESS(1325,24))-INDIRECT(ADDRESS(1328,24)),INDIRECT(ADDRESS(1329,23))-INDIRECT(ADDRESS(1324,24))+INDIRECT(ADDRESS(1327,24))-INDIRECT(ADDRESS(1328,24)))</f>
        <v>0</v>
      </c>
      <c r="Y1329">
        <f>IF(DAY(NOW())&lt;M3,INDIRECT(ADDRESS(1329,24))-INDIRECT(ADDRESS(1324,25))+INDIRECT(ADDRESS(1325,25))-INDIRECT(ADDRESS(1328,25)),INDIRECT(ADDRESS(1329,24))-INDIRECT(ADDRESS(1324,25))+INDIRECT(ADDRESS(1327,25))-INDIRECT(ADDRESS(1328,25)))</f>
        <v>0</v>
      </c>
      <c r="Z1329">
        <f>IF(DAY(NOW())&lt;M3,INDIRECT(ADDRESS(1329,25))-INDIRECT(ADDRESS(1324,26))+INDIRECT(ADDRESS(1325,26))-INDIRECT(ADDRESS(1328,26)),INDIRECT(ADDRESS(1329,25))-INDIRECT(ADDRESS(1324,26))+INDIRECT(ADDRESS(1327,26))-INDIRECT(ADDRESS(1328,26)))</f>
        <v>0</v>
      </c>
      <c r="AA1329">
        <f>IF(DAY(NOW())&lt;M3,INDIRECT(ADDRESS(1329,26))-INDIRECT(ADDRESS(1324,27))+INDIRECT(ADDRESS(1325,27))-INDIRECT(ADDRESS(1328,27)),INDIRECT(ADDRESS(1329,26))-INDIRECT(ADDRESS(1324,27))+INDIRECT(ADDRESS(1327,27))-INDIRECT(ADDRESS(1328,27)))</f>
        <v>0</v>
      </c>
      <c r="AB1329">
        <f>IF(DAY(NOW())&lt;M3,INDIRECT(ADDRESS(1329,27))-INDIRECT(ADDRESS(1324,28))+INDIRECT(ADDRESS(1325,28))-INDIRECT(ADDRESS(1328,28)),INDIRECT(ADDRESS(1329,27))-INDIRECT(ADDRESS(1324,28))+INDIRECT(ADDRESS(1327,28))-INDIRECT(ADDRESS(1328,28)))</f>
        <v>0</v>
      </c>
      <c r="AC1329">
        <f>IF(DAY(NOW())&lt;M3,INDIRECT(ADDRESS(1329,28))-INDIRECT(ADDRESS(1324,29))+INDIRECT(ADDRESS(1325,29))-INDIRECT(ADDRESS(1328,29)),INDIRECT(ADDRESS(1329,28))-INDIRECT(ADDRESS(1324,29))+INDIRECT(ADDRESS(1327,29))-INDIRECT(ADDRESS(1328,29)))</f>
        <v>0</v>
      </c>
      <c r="AD1329">
        <f>IF(DAY(NOW())&lt;M3,INDIRECT(ADDRESS(1329,29))-INDIRECT(ADDRESS(1324,30))+INDIRECT(ADDRESS(1325,30))-INDIRECT(ADDRESS(1328,30)),INDIRECT(ADDRESS(1329,29))-INDIRECT(ADDRESS(1324,30))+INDIRECT(ADDRESS(1327,30))-INDIRECT(ADDRESS(1328,30)))</f>
        <v>0</v>
      </c>
      <c r="AE1329">
        <f>IF(DAY(NOW())&lt;M3,INDIRECT(ADDRESS(1329,30))-INDIRECT(ADDRESS(1324,31))+INDIRECT(ADDRESS(1325,31))-INDIRECT(ADDRESS(1328,31)),INDIRECT(ADDRESS(1329,30))-INDIRECT(ADDRESS(1324,31))+INDIRECT(ADDRESS(1327,31))-INDIRECT(ADDRESS(1328,31)))</f>
        <v>0</v>
      </c>
      <c r="AF1329">
        <f>IF(DAY(NOW())&lt;M3,INDIRECT(ADDRESS(1329,31))-INDIRECT(ADDRESS(1324,32))+INDIRECT(ADDRESS(1325,32))-INDIRECT(ADDRESS(1328,32)),INDIRECT(ADDRESS(1329,31))-INDIRECT(ADDRESS(1324,32))+INDIRECT(ADDRESS(1327,32))-INDIRECT(ADDRESS(1328,32)))</f>
        <v>0</v>
      </c>
      <c r="AG1329">
        <f>IF(DAY(NOW())&lt;M3,INDIRECT(ADDRESS(1329,32))-INDIRECT(ADDRESS(1324,33))+INDIRECT(ADDRESS(1325,33))-INDIRECT(ADDRESS(1328,33)),INDIRECT(ADDRESS(1329,32))-INDIRECT(ADDRESS(1324,33))+INDIRECT(ADDRESS(1327,33))-INDIRECT(ADDRESS(1328,33)))</f>
        <v>0</v>
      </c>
      <c r="AH1329">
        <f>IF(DAY(NOW())&lt;M3,INDIRECT(ADDRESS(1329,33))-INDIRECT(ADDRESS(1324,34))+INDIRECT(ADDRESS(1325,34))-INDIRECT(ADDRESS(1328,34)),INDIRECT(ADDRESS(1329,33))-INDIRECT(ADDRESS(1324,34))+INDIRECT(ADDRESS(1327,34))-INDIRECT(ADDRESS(1328,34)))</f>
        <v>0</v>
      </c>
      <c r="AI1329">
        <f>IF(DAY(NOW())&lt;M3,INDIRECT(ADDRESS(1329,34))-INDIRECT(ADDRESS(1324,35))+INDIRECT(ADDRESS(1325,35))-INDIRECT(ADDRESS(1328,35)),INDIRECT(ADDRESS(1329,34))-INDIRECT(ADDRESS(1324,35))+INDIRECT(ADDRESS(1327,35))-INDIRECT(ADDRESS(1328,35)))</f>
        <v>0</v>
      </c>
      <c r="AJ1329">
        <f>IF(DAY(NOW())&lt;M3,INDIRECT(ADDRESS(1329,35))-INDIRECT(ADDRESS(1324,36))+INDIRECT(ADDRESS(1325,36))-INDIRECT(ADDRESS(1328,36)),INDIRECT(ADDRESS(1329,35))-INDIRECT(ADDRESS(1324,36))+INDIRECT(ADDRESS(1327,36))-INDIRECT(ADDRESS(1328,36)))</f>
        <v>0</v>
      </c>
      <c r="AK1329">
        <f>IF(DAY(NOW())&lt;M3,INDIRECT(ADDRESS(1329,36))-INDIRECT(ADDRESS(1324,37))+INDIRECT(ADDRESS(1325,37))-INDIRECT(ADDRESS(1328,37)),INDIRECT(ADDRESS(1329,36))-INDIRECT(ADDRESS(1324,37))+INDIRECT(ADDRESS(1327,37))-INDIRECT(ADDRESS(1328,37)))</f>
        <v>0</v>
      </c>
      <c r="AL1329">
        <f>IF(DAY(NOW())&lt;M3,INDIRECT(ADDRESS(1329,37))-INDIRECT(ADDRESS(1324,38))+INDIRECT(ADDRESS(1325,38))-INDIRECT(ADDRESS(1328,38)),INDIRECT(ADDRESS(1329,37))-INDIRECT(ADDRESS(1324,38))+INDIRECT(ADDRESS(1327,38))-INDIRECT(ADDRESS(1328,38)))</f>
        <v>0</v>
      </c>
      <c r="AM1329">
        <f>IF(DAY(NOW())&lt;M3,INDIRECT(ADDRESS(1329,38))-INDIRECT(ADDRESS(1324,39))+INDIRECT(ADDRESS(1325,39))-INDIRECT(ADDRESS(1328,39)),INDIRECT(ADDRESS(1329,38))-INDIRECT(ADDRESS(1324,39))+INDIRECT(ADDRESS(1327,39))-INDIRECT(ADDRESS(1328,39)))</f>
        <v>0</v>
      </c>
      <c r="AN1329">
        <f>IF(DAY(NOW())&lt;M3,INDIRECT(ADDRESS(1329,39))-INDIRECT(ADDRESS(1324,40))+INDIRECT(ADDRESS(1325,40))-INDIRECT(ADDRESS(1328,40)),INDIRECT(ADDRESS(1329,39))-INDIRECT(ADDRESS(1324,40))+INDIRECT(ADDRESS(1327,40))-INDIRECT(ADDRESS(1328,40)))</f>
        <v>0</v>
      </c>
      <c r="AO1329">
        <f>IF(DAY(NOW())&lt;M3,INDIRECT(ADDRESS(1329,40))-INDIRECT(ADDRESS(1324,41))+INDIRECT(ADDRESS(1325,41))-INDIRECT(ADDRESS(1328,41)),INDIRECT(ADDRESS(1329,40))-INDIRECT(ADDRESS(1324,41))+INDIRECT(ADDRESS(1327,41))-INDIRECT(ADDRESS(1328,41)))</f>
        <v>0</v>
      </c>
      <c r="AP1329">
        <f>IF(DAY(NOW())&lt;M3,INDIRECT(ADDRESS(1329,41))-INDIRECT(ADDRESS(1324,42))+INDIRECT(ADDRESS(1325,42))-INDIRECT(ADDRESS(1328,42)),INDIRECT(ADDRESS(1329,41))-INDIRECT(ADDRESS(1324,42))+INDIRECT(ADDRESS(1327,42))-INDIRECT(ADDRESS(1328,42)))</f>
        <v>0</v>
      </c>
      <c r="AQ1329">
        <f>IF(DAY(NOW())&lt;M3,INDIRECT(ADDRESS(1329,42))-INDIRECT(ADDRESS(1324,43))+INDIRECT(ADDRESS(1325,43))-INDIRECT(ADDRESS(1328,43)),INDIRECT(ADDRESS(1329,42))-INDIRECT(ADDRESS(1324,43))+INDIRECT(ADDRESS(1327,43))-INDIRECT(ADDRESS(1328,43)))</f>
        <v>0</v>
      </c>
      <c r="AR1329">
        <f>IF(DAY(NOW())&lt;M3,INDIRECT(ADDRESS(1329,43))-INDIRECT(ADDRESS(1324,44))+INDIRECT(ADDRESS(1325,44))-INDIRECT(ADDRESS(1328,44)),INDIRECT(ADDRESS(1329,43))-INDIRECT(ADDRESS(1324,44))+INDIRECT(ADDRESS(1327,44))-INDIRECT(ADDRESS(1328,44)))</f>
        <v>0</v>
      </c>
    </row>
    <row r="1330" spans="1:76">
      <c r="A1330" t="s">
        <v>31</v>
      </c>
      <c r="B1330" t="s">
        <v>533</v>
      </c>
      <c r="C1330" t="s">
        <v>534</v>
      </c>
      <c r="E1330">
        <v>1</v>
      </c>
      <c r="F1330" t="s">
        <v>535</v>
      </c>
      <c r="K1330" t="s">
        <v>516</v>
      </c>
      <c r="L1330" t="s">
        <v>21</v>
      </c>
      <c r="M1330">
        <f>sumifs(BOM!m:m,BOM!A:A,".1",BOM!B:B,"852-187000-111")</f>
        <v>0</v>
      </c>
      <c r="N1330">
        <f>sumifs(BOM!n:n,BOM!A:A,".1",BOM!B:B,"852-187000-111")</f>
        <v>0</v>
      </c>
      <c r="O1330">
        <f>sumifs(BOM!o:o,BOM!A:A,".1",BOM!B:B,"852-187000-111")</f>
        <v>0</v>
      </c>
      <c r="P1330">
        <f>sumifs(BOM!p:p,BOM!A:A,".1",BOM!B:B,"852-187000-111")</f>
        <v>0</v>
      </c>
      <c r="Q1330">
        <f>sumifs(BOM!q:q,BOM!A:A,".1",BOM!B:B,"852-187000-111")</f>
        <v>0</v>
      </c>
      <c r="R1330">
        <f>sumifs(BOM!r:r,BOM!A:A,".1",BOM!B:B,"852-187000-111")</f>
        <v>0</v>
      </c>
      <c r="S1330">
        <f>sumifs(BOM!s:s,BOM!A:A,".1",BOM!B:B,"852-187000-111")</f>
        <v>0</v>
      </c>
      <c r="T1330">
        <f>sumifs(BOM!t:t,BOM!A:A,".1",BOM!B:B,"852-187000-111")</f>
        <v>0</v>
      </c>
      <c r="U1330">
        <f>sumifs(BOM!u:u,BOM!A:A,".1",BOM!B:B,"852-187000-111")</f>
        <v>0</v>
      </c>
      <c r="V1330">
        <f>sumifs(BOM!v:v,BOM!A:A,".1",BOM!B:B,"852-187000-111")</f>
        <v>0</v>
      </c>
      <c r="W1330">
        <f>sumifs(BOM!w:w,BOM!A:A,".1",BOM!B:B,"852-187000-111")</f>
        <v>0</v>
      </c>
      <c r="X1330">
        <f>sumifs(BOM!x:x,BOM!A:A,".1",BOM!B:B,"852-187000-111")</f>
        <v>0</v>
      </c>
      <c r="Y1330">
        <f>sumifs(BOM!y:y,BOM!A:A,".1",BOM!B:B,"852-187000-111")</f>
        <v>0</v>
      </c>
      <c r="Z1330">
        <f>sumifs(BOM!z:z,BOM!A:A,".1",BOM!B:B,"852-187000-111")</f>
        <v>0</v>
      </c>
      <c r="AA1330">
        <f>sumifs(BOM!aa:aa,BOM!A:A,".1",BOM!B:B,"852-187000-111")</f>
        <v>0</v>
      </c>
      <c r="AB1330">
        <f>sumifs(BOM!ab:ab,BOM!A:A,".1",BOM!B:B,"852-187000-111")</f>
        <v>0</v>
      </c>
      <c r="AC1330">
        <f>sumifs(BOM!ac:ac,BOM!A:A,".1",BOM!B:B,"852-187000-111")</f>
        <v>0</v>
      </c>
      <c r="AD1330">
        <f>sumifs(BOM!ad:ad,BOM!A:A,".1",BOM!B:B,"852-187000-111")</f>
        <v>0</v>
      </c>
      <c r="AE1330">
        <f>sumifs(BOM!ae:ae,BOM!A:A,".1",BOM!B:B,"852-187000-111")</f>
        <v>0</v>
      </c>
      <c r="AF1330">
        <f>sumifs(BOM!af:af,BOM!A:A,".1",BOM!B:B,"852-187000-111")</f>
        <v>0</v>
      </c>
      <c r="AG1330">
        <f>sumifs(BOM!ag:ag,BOM!A:A,".1",BOM!B:B,"852-187000-111")</f>
        <v>0</v>
      </c>
      <c r="AH1330">
        <f>sumifs(BOM!ah:ah,BOM!A:A,".1",BOM!B:B,"852-187000-111")</f>
        <v>0</v>
      </c>
      <c r="AI1330">
        <f>sumifs(BOM!ai:ai,BOM!A:A,".1",BOM!B:B,"852-187000-111")</f>
        <v>0</v>
      </c>
      <c r="AJ1330">
        <f>sumifs(BOM!aj:aj,BOM!A:A,".1",BOM!B:B,"852-187000-111")</f>
        <v>0</v>
      </c>
      <c r="AK1330">
        <f>sumifs(BOM!ak:ak,BOM!A:A,".1",BOM!B:B,"852-187000-111")</f>
        <v>0</v>
      </c>
      <c r="AL1330">
        <f>sumifs(BOM!al:al,BOM!A:A,".1",BOM!B:B,"852-187000-111")</f>
        <v>0</v>
      </c>
      <c r="AM1330">
        <f>sumifs(BOM!am:am,BOM!A:A,".1",BOM!B:B,"852-187000-111")</f>
        <v>0</v>
      </c>
      <c r="AN1330">
        <f>sumifs(BOM!an:an,BOM!A:A,".1",BOM!B:B,"852-187000-111")</f>
        <v>0</v>
      </c>
      <c r="AO1330">
        <f>sumifs(BOM!ao:ao,BOM!A:A,".1",BOM!B:B,"852-187000-111")</f>
        <v>0</v>
      </c>
      <c r="AP1330">
        <f>sumifs(BOM!ap:ap,BOM!A:A,".1",BOM!B:B,"852-187000-111")</f>
        <v>0</v>
      </c>
      <c r="AQ1330">
        <f>sumifs(BOM!aq:aq,BOM!A:A,".1",BOM!B:B,"852-187000-111")</f>
        <v>0</v>
      </c>
      <c r="AR1330">
        <f>sumifs(BOM!ar:ar,BOM!A:A,".1",BOM!B:B,"852-187000-111")</f>
        <v>0</v>
      </c>
      <c r="BX1330">
        <f>sum(j1330:an1330)</f>
        <v>0</v>
      </c>
    </row>
    <row r="1331" spans="1:76">
      <c r="A1331" t="s">
        <v>31</v>
      </c>
      <c r="B1331" t="s">
        <v>533</v>
      </c>
      <c r="C1331" t="s">
        <v>534</v>
      </c>
      <c r="E1331">
        <v>1</v>
      </c>
      <c r="F1331" t="s">
        <v>535</v>
      </c>
      <c r="K1331" t="s">
        <v>516</v>
      </c>
      <c r="L1331" t="s">
        <v>37</v>
      </c>
    </row>
    <row r="1332" spans="1:76">
      <c r="L1332" t="s">
        <v>662</v>
      </c>
    </row>
    <row r="1333" spans="1:76">
      <c r="L1333" t="s">
        <v>663</v>
      </c>
    </row>
    <row r="1334" spans="1:76">
      <c r="L1334" t="s">
        <v>664</v>
      </c>
    </row>
    <row r="1335" spans="1:76">
      <c r="L1335" t="s">
        <v>665</v>
      </c>
      <c r="M1335">
        <f>IF(DAY(NOW())&lt;M3,INDIRECT(ADDRESS(1335,7))-INDIRECT(ADDRESS(1330,13))+INDIRECT(ADDRESS(1331,13))-INDIRECT(ADDRESS(1334,13)),INDIRECT(ADDRESS(1335,7))-INDIRECT(ADDRESS(1330,13))+INDIRECT(ADDRESS(1333,13))-INDIRECT(ADDRESS(1334,13)))</f>
        <v>0</v>
      </c>
      <c r="N1335">
        <f>IF(DAY(NOW())&lt;M3,INDIRECT(ADDRESS(1335,13))-INDIRECT(ADDRESS(1330,14))+INDIRECT(ADDRESS(1331,14))-INDIRECT(ADDRESS(1334,14)),INDIRECT(ADDRESS(1335,13))-INDIRECT(ADDRESS(1330,14))+INDIRECT(ADDRESS(1333,14))-INDIRECT(ADDRESS(1334,14)))</f>
        <v>0</v>
      </c>
      <c r="O1335">
        <f>IF(DAY(NOW())&lt;M3,INDIRECT(ADDRESS(1335,14))-INDIRECT(ADDRESS(1330,15))+INDIRECT(ADDRESS(1331,15))-INDIRECT(ADDRESS(1334,15)),INDIRECT(ADDRESS(1335,14))-INDIRECT(ADDRESS(1330,15))+INDIRECT(ADDRESS(1333,15))-INDIRECT(ADDRESS(1334,15)))</f>
        <v>0</v>
      </c>
      <c r="P1335">
        <f>IF(DAY(NOW())&lt;M3,INDIRECT(ADDRESS(1335,15))-INDIRECT(ADDRESS(1330,16))+INDIRECT(ADDRESS(1331,16))-INDIRECT(ADDRESS(1334,16)),INDIRECT(ADDRESS(1335,15))-INDIRECT(ADDRESS(1330,16))+INDIRECT(ADDRESS(1333,16))-INDIRECT(ADDRESS(1334,16)))</f>
        <v>0</v>
      </c>
      <c r="Q1335">
        <f>IF(DAY(NOW())&lt;M3,INDIRECT(ADDRESS(1335,16))-INDIRECT(ADDRESS(1330,17))+INDIRECT(ADDRESS(1331,17))-INDIRECT(ADDRESS(1334,17)),INDIRECT(ADDRESS(1335,16))-INDIRECT(ADDRESS(1330,17))+INDIRECT(ADDRESS(1333,17))-INDIRECT(ADDRESS(1334,17)))</f>
        <v>0</v>
      </c>
      <c r="R1335">
        <f>IF(DAY(NOW())&lt;M3,INDIRECT(ADDRESS(1335,17))-INDIRECT(ADDRESS(1330,18))+INDIRECT(ADDRESS(1331,18))-INDIRECT(ADDRESS(1334,18)),INDIRECT(ADDRESS(1335,17))-INDIRECT(ADDRESS(1330,18))+INDIRECT(ADDRESS(1333,18))-INDIRECT(ADDRESS(1334,18)))</f>
        <v>0</v>
      </c>
      <c r="S1335">
        <f>IF(DAY(NOW())&lt;M3,INDIRECT(ADDRESS(1335,18))-INDIRECT(ADDRESS(1330,19))+INDIRECT(ADDRESS(1331,19))-INDIRECT(ADDRESS(1334,19)),INDIRECT(ADDRESS(1335,18))-INDIRECT(ADDRESS(1330,19))+INDIRECT(ADDRESS(1333,19))-INDIRECT(ADDRESS(1334,19)))</f>
        <v>0</v>
      </c>
      <c r="T1335">
        <f>IF(DAY(NOW())&lt;M3,INDIRECT(ADDRESS(1335,19))-INDIRECT(ADDRESS(1330,20))+INDIRECT(ADDRESS(1331,20))-INDIRECT(ADDRESS(1334,20)),INDIRECT(ADDRESS(1335,19))-INDIRECT(ADDRESS(1330,20))+INDIRECT(ADDRESS(1333,20))-INDIRECT(ADDRESS(1334,20)))</f>
        <v>0</v>
      </c>
      <c r="U1335">
        <f>IF(DAY(NOW())&lt;M3,INDIRECT(ADDRESS(1335,20))-INDIRECT(ADDRESS(1330,21))+INDIRECT(ADDRESS(1331,21))-INDIRECT(ADDRESS(1334,21)),INDIRECT(ADDRESS(1335,20))-INDIRECT(ADDRESS(1330,21))+INDIRECT(ADDRESS(1333,21))-INDIRECT(ADDRESS(1334,21)))</f>
        <v>0</v>
      </c>
      <c r="V1335">
        <f>IF(DAY(NOW())&lt;M3,INDIRECT(ADDRESS(1335,21))-INDIRECT(ADDRESS(1330,22))+INDIRECT(ADDRESS(1331,22))-INDIRECT(ADDRESS(1334,22)),INDIRECT(ADDRESS(1335,21))-INDIRECT(ADDRESS(1330,22))+INDIRECT(ADDRESS(1333,22))-INDIRECT(ADDRESS(1334,22)))</f>
        <v>0</v>
      </c>
      <c r="W1335">
        <f>IF(DAY(NOW())&lt;M3,INDIRECT(ADDRESS(1335,22))-INDIRECT(ADDRESS(1330,23))+INDIRECT(ADDRESS(1331,23))-INDIRECT(ADDRESS(1334,23)),INDIRECT(ADDRESS(1335,22))-INDIRECT(ADDRESS(1330,23))+INDIRECT(ADDRESS(1333,23))-INDIRECT(ADDRESS(1334,23)))</f>
        <v>0</v>
      </c>
      <c r="X1335">
        <f>IF(DAY(NOW())&lt;M3,INDIRECT(ADDRESS(1335,23))-INDIRECT(ADDRESS(1330,24))+INDIRECT(ADDRESS(1331,24))-INDIRECT(ADDRESS(1334,24)),INDIRECT(ADDRESS(1335,23))-INDIRECT(ADDRESS(1330,24))+INDIRECT(ADDRESS(1333,24))-INDIRECT(ADDRESS(1334,24)))</f>
        <v>0</v>
      </c>
      <c r="Y1335">
        <f>IF(DAY(NOW())&lt;M3,INDIRECT(ADDRESS(1335,24))-INDIRECT(ADDRESS(1330,25))+INDIRECT(ADDRESS(1331,25))-INDIRECT(ADDRESS(1334,25)),INDIRECT(ADDRESS(1335,24))-INDIRECT(ADDRESS(1330,25))+INDIRECT(ADDRESS(1333,25))-INDIRECT(ADDRESS(1334,25)))</f>
        <v>0</v>
      </c>
      <c r="Z1335">
        <f>IF(DAY(NOW())&lt;M3,INDIRECT(ADDRESS(1335,25))-INDIRECT(ADDRESS(1330,26))+INDIRECT(ADDRESS(1331,26))-INDIRECT(ADDRESS(1334,26)),INDIRECT(ADDRESS(1335,25))-INDIRECT(ADDRESS(1330,26))+INDIRECT(ADDRESS(1333,26))-INDIRECT(ADDRESS(1334,26)))</f>
        <v>0</v>
      </c>
      <c r="AA1335">
        <f>IF(DAY(NOW())&lt;M3,INDIRECT(ADDRESS(1335,26))-INDIRECT(ADDRESS(1330,27))+INDIRECT(ADDRESS(1331,27))-INDIRECT(ADDRESS(1334,27)),INDIRECT(ADDRESS(1335,26))-INDIRECT(ADDRESS(1330,27))+INDIRECT(ADDRESS(1333,27))-INDIRECT(ADDRESS(1334,27)))</f>
        <v>0</v>
      </c>
      <c r="AB1335">
        <f>IF(DAY(NOW())&lt;M3,INDIRECT(ADDRESS(1335,27))-INDIRECT(ADDRESS(1330,28))+INDIRECT(ADDRESS(1331,28))-INDIRECT(ADDRESS(1334,28)),INDIRECT(ADDRESS(1335,27))-INDIRECT(ADDRESS(1330,28))+INDIRECT(ADDRESS(1333,28))-INDIRECT(ADDRESS(1334,28)))</f>
        <v>0</v>
      </c>
      <c r="AC1335">
        <f>IF(DAY(NOW())&lt;M3,INDIRECT(ADDRESS(1335,28))-INDIRECT(ADDRESS(1330,29))+INDIRECT(ADDRESS(1331,29))-INDIRECT(ADDRESS(1334,29)),INDIRECT(ADDRESS(1335,28))-INDIRECT(ADDRESS(1330,29))+INDIRECT(ADDRESS(1333,29))-INDIRECT(ADDRESS(1334,29)))</f>
        <v>0</v>
      </c>
      <c r="AD1335">
        <f>IF(DAY(NOW())&lt;M3,INDIRECT(ADDRESS(1335,29))-INDIRECT(ADDRESS(1330,30))+INDIRECT(ADDRESS(1331,30))-INDIRECT(ADDRESS(1334,30)),INDIRECT(ADDRESS(1335,29))-INDIRECT(ADDRESS(1330,30))+INDIRECT(ADDRESS(1333,30))-INDIRECT(ADDRESS(1334,30)))</f>
        <v>0</v>
      </c>
      <c r="AE1335">
        <f>IF(DAY(NOW())&lt;M3,INDIRECT(ADDRESS(1335,30))-INDIRECT(ADDRESS(1330,31))+INDIRECT(ADDRESS(1331,31))-INDIRECT(ADDRESS(1334,31)),INDIRECT(ADDRESS(1335,30))-INDIRECT(ADDRESS(1330,31))+INDIRECT(ADDRESS(1333,31))-INDIRECT(ADDRESS(1334,31)))</f>
        <v>0</v>
      </c>
      <c r="AF1335">
        <f>IF(DAY(NOW())&lt;M3,INDIRECT(ADDRESS(1335,31))-INDIRECT(ADDRESS(1330,32))+INDIRECT(ADDRESS(1331,32))-INDIRECT(ADDRESS(1334,32)),INDIRECT(ADDRESS(1335,31))-INDIRECT(ADDRESS(1330,32))+INDIRECT(ADDRESS(1333,32))-INDIRECT(ADDRESS(1334,32)))</f>
        <v>0</v>
      </c>
      <c r="AG1335">
        <f>IF(DAY(NOW())&lt;M3,INDIRECT(ADDRESS(1335,32))-INDIRECT(ADDRESS(1330,33))+INDIRECT(ADDRESS(1331,33))-INDIRECT(ADDRESS(1334,33)),INDIRECT(ADDRESS(1335,32))-INDIRECT(ADDRESS(1330,33))+INDIRECT(ADDRESS(1333,33))-INDIRECT(ADDRESS(1334,33)))</f>
        <v>0</v>
      </c>
      <c r="AH1335">
        <f>IF(DAY(NOW())&lt;M3,INDIRECT(ADDRESS(1335,33))-INDIRECT(ADDRESS(1330,34))+INDIRECT(ADDRESS(1331,34))-INDIRECT(ADDRESS(1334,34)),INDIRECT(ADDRESS(1335,33))-INDIRECT(ADDRESS(1330,34))+INDIRECT(ADDRESS(1333,34))-INDIRECT(ADDRESS(1334,34)))</f>
        <v>0</v>
      </c>
      <c r="AI1335">
        <f>IF(DAY(NOW())&lt;M3,INDIRECT(ADDRESS(1335,34))-INDIRECT(ADDRESS(1330,35))+INDIRECT(ADDRESS(1331,35))-INDIRECT(ADDRESS(1334,35)),INDIRECT(ADDRESS(1335,34))-INDIRECT(ADDRESS(1330,35))+INDIRECT(ADDRESS(1333,35))-INDIRECT(ADDRESS(1334,35)))</f>
        <v>0</v>
      </c>
      <c r="AJ1335">
        <f>IF(DAY(NOW())&lt;M3,INDIRECT(ADDRESS(1335,35))-INDIRECT(ADDRESS(1330,36))+INDIRECT(ADDRESS(1331,36))-INDIRECT(ADDRESS(1334,36)),INDIRECT(ADDRESS(1335,35))-INDIRECT(ADDRESS(1330,36))+INDIRECT(ADDRESS(1333,36))-INDIRECT(ADDRESS(1334,36)))</f>
        <v>0</v>
      </c>
      <c r="AK1335">
        <f>IF(DAY(NOW())&lt;M3,INDIRECT(ADDRESS(1335,36))-INDIRECT(ADDRESS(1330,37))+INDIRECT(ADDRESS(1331,37))-INDIRECT(ADDRESS(1334,37)),INDIRECT(ADDRESS(1335,36))-INDIRECT(ADDRESS(1330,37))+INDIRECT(ADDRESS(1333,37))-INDIRECT(ADDRESS(1334,37)))</f>
        <v>0</v>
      </c>
      <c r="AL1335">
        <f>IF(DAY(NOW())&lt;M3,INDIRECT(ADDRESS(1335,37))-INDIRECT(ADDRESS(1330,38))+INDIRECT(ADDRESS(1331,38))-INDIRECT(ADDRESS(1334,38)),INDIRECT(ADDRESS(1335,37))-INDIRECT(ADDRESS(1330,38))+INDIRECT(ADDRESS(1333,38))-INDIRECT(ADDRESS(1334,38)))</f>
        <v>0</v>
      </c>
      <c r="AM1335">
        <f>IF(DAY(NOW())&lt;M3,INDIRECT(ADDRESS(1335,38))-INDIRECT(ADDRESS(1330,39))+INDIRECT(ADDRESS(1331,39))-INDIRECT(ADDRESS(1334,39)),INDIRECT(ADDRESS(1335,38))-INDIRECT(ADDRESS(1330,39))+INDIRECT(ADDRESS(1333,39))-INDIRECT(ADDRESS(1334,39)))</f>
        <v>0</v>
      </c>
      <c r="AN1335">
        <f>IF(DAY(NOW())&lt;M3,INDIRECT(ADDRESS(1335,39))-INDIRECT(ADDRESS(1330,40))+INDIRECT(ADDRESS(1331,40))-INDIRECT(ADDRESS(1334,40)),INDIRECT(ADDRESS(1335,39))-INDIRECT(ADDRESS(1330,40))+INDIRECT(ADDRESS(1333,40))-INDIRECT(ADDRESS(1334,40)))</f>
        <v>0</v>
      </c>
      <c r="AO1335">
        <f>IF(DAY(NOW())&lt;M3,INDIRECT(ADDRESS(1335,40))-INDIRECT(ADDRESS(1330,41))+INDIRECT(ADDRESS(1331,41))-INDIRECT(ADDRESS(1334,41)),INDIRECT(ADDRESS(1335,40))-INDIRECT(ADDRESS(1330,41))+INDIRECT(ADDRESS(1333,41))-INDIRECT(ADDRESS(1334,41)))</f>
        <v>0</v>
      </c>
      <c r="AP1335">
        <f>IF(DAY(NOW())&lt;M3,INDIRECT(ADDRESS(1335,41))-INDIRECT(ADDRESS(1330,42))+INDIRECT(ADDRESS(1331,42))-INDIRECT(ADDRESS(1334,42)),INDIRECT(ADDRESS(1335,41))-INDIRECT(ADDRESS(1330,42))+INDIRECT(ADDRESS(1333,42))-INDIRECT(ADDRESS(1334,42)))</f>
        <v>0</v>
      </c>
      <c r="AQ1335">
        <f>IF(DAY(NOW())&lt;M3,INDIRECT(ADDRESS(1335,42))-INDIRECT(ADDRESS(1330,43))+INDIRECT(ADDRESS(1331,43))-INDIRECT(ADDRESS(1334,43)),INDIRECT(ADDRESS(1335,42))-INDIRECT(ADDRESS(1330,43))+INDIRECT(ADDRESS(1333,43))-INDIRECT(ADDRESS(1334,43)))</f>
        <v>0</v>
      </c>
      <c r="AR1335">
        <f>IF(DAY(NOW())&lt;M3,INDIRECT(ADDRESS(1335,43))-INDIRECT(ADDRESS(1330,44))+INDIRECT(ADDRESS(1331,44))-INDIRECT(ADDRESS(1334,44)),INDIRECT(ADDRESS(1335,43))-INDIRECT(ADDRESS(1330,44))+INDIRECT(ADDRESS(1333,44))-INDIRECT(ADDRESS(1334,44)))</f>
        <v>0</v>
      </c>
    </row>
    <row r="1336" spans="1:76">
      <c r="A1336" t="s">
        <v>31</v>
      </c>
      <c r="B1336" t="s">
        <v>536</v>
      </c>
      <c r="C1336" t="s">
        <v>537</v>
      </c>
      <c r="D1336" t="s">
        <v>525</v>
      </c>
      <c r="E1336" t="s">
        <v>444</v>
      </c>
      <c r="F1336" t="s">
        <v>538</v>
      </c>
      <c r="K1336" t="s">
        <v>516</v>
      </c>
      <c r="L1336" t="s">
        <v>21</v>
      </c>
      <c r="M1336">
        <f>sumifs(BOM!m:m,BOM!A:A,".1",BOM!B:B,"852-187000-100")</f>
        <v>0</v>
      </c>
      <c r="N1336">
        <f>sumifs(BOM!n:n,BOM!A:A,".1",BOM!B:B,"852-187000-100")</f>
        <v>0</v>
      </c>
      <c r="O1336">
        <f>sumifs(BOM!o:o,BOM!A:A,".1",BOM!B:B,"852-187000-100")</f>
        <v>0</v>
      </c>
      <c r="P1336">
        <f>sumifs(BOM!p:p,BOM!A:A,".1",BOM!B:B,"852-187000-100")</f>
        <v>0</v>
      </c>
      <c r="Q1336">
        <f>sumifs(BOM!q:q,BOM!A:A,".1",BOM!B:B,"852-187000-100")</f>
        <v>0</v>
      </c>
      <c r="R1336">
        <f>sumifs(BOM!r:r,BOM!A:A,".1",BOM!B:B,"852-187000-100")</f>
        <v>0</v>
      </c>
      <c r="S1336">
        <f>sumifs(BOM!s:s,BOM!A:A,".1",BOM!B:B,"852-187000-100")</f>
        <v>0</v>
      </c>
      <c r="T1336">
        <f>sumifs(BOM!t:t,BOM!A:A,".1",BOM!B:B,"852-187000-100")</f>
        <v>0</v>
      </c>
      <c r="U1336">
        <f>sumifs(BOM!u:u,BOM!A:A,".1",BOM!B:B,"852-187000-100")</f>
        <v>0</v>
      </c>
      <c r="V1336">
        <f>sumifs(BOM!v:v,BOM!A:A,".1",BOM!B:B,"852-187000-100")</f>
        <v>0</v>
      </c>
      <c r="W1336">
        <f>sumifs(BOM!w:w,BOM!A:A,".1",BOM!B:B,"852-187000-100")</f>
        <v>0</v>
      </c>
      <c r="X1336">
        <f>sumifs(BOM!x:x,BOM!A:A,".1",BOM!B:B,"852-187000-100")</f>
        <v>0</v>
      </c>
      <c r="Y1336">
        <f>sumifs(BOM!y:y,BOM!A:A,".1",BOM!B:B,"852-187000-100")</f>
        <v>0</v>
      </c>
      <c r="Z1336">
        <f>sumifs(BOM!z:z,BOM!A:A,".1",BOM!B:B,"852-187000-100")</f>
        <v>0</v>
      </c>
      <c r="AA1336">
        <f>sumifs(BOM!aa:aa,BOM!A:A,".1",BOM!B:B,"852-187000-100")</f>
        <v>0</v>
      </c>
      <c r="AB1336">
        <f>sumifs(BOM!ab:ab,BOM!A:A,".1",BOM!B:B,"852-187000-100")</f>
        <v>0</v>
      </c>
      <c r="AC1336">
        <f>sumifs(BOM!ac:ac,BOM!A:A,".1",BOM!B:B,"852-187000-100")</f>
        <v>0</v>
      </c>
      <c r="AD1336">
        <f>sumifs(BOM!ad:ad,BOM!A:A,".1",BOM!B:B,"852-187000-100")</f>
        <v>0</v>
      </c>
      <c r="AE1336">
        <f>sumifs(BOM!ae:ae,BOM!A:A,".1",BOM!B:B,"852-187000-100")</f>
        <v>0</v>
      </c>
      <c r="AF1336">
        <f>sumifs(BOM!af:af,BOM!A:A,".1",BOM!B:B,"852-187000-100")</f>
        <v>0</v>
      </c>
      <c r="AG1336">
        <f>sumifs(BOM!ag:ag,BOM!A:A,".1",BOM!B:B,"852-187000-100")</f>
        <v>0</v>
      </c>
      <c r="AH1336">
        <f>sumifs(BOM!ah:ah,BOM!A:A,".1",BOM!B:B,"852-187000-100")</f>
        <v>0</v>
      </c>
      <c r="AI1336">
        <f>sumifs(BOM!ai:ai,BOM!A:A,".1",BOM!B:B,"852-187000-100")</f>
        <v>0</v>
      </c>
      <c r="AJ1336">
        <f>sumifs(BOM!aj:aj,BOM!A:A,".1",BOM!B:B,"852-187000-100")</f>
        <v>0</v>
      </c>
      <c r="AK1336">
        <f>sumifs(BOM!ak:ak,BOM!A:A,".1",BOM!B:B,"852-187000-100")</f>
        <v>0</v>
      </c>
      <c r="AL1336">
        <f>sumifs(BOM!al:al,BOM!A:A,".1",BOM!B:B,"852-187000-100")</f>
        <v>0</v>
      </c>
      <c r="AM1336">
        <f>sumifs(BOM!am:am,BOM!A:A,".1",BOM!B:B,"852-187000-100")</f>
        <v>0</v>
      </c>
      <c r="AN1336">
        <f>sumifs(BOM!an:an,BOM!A:A,".1",BOM!B:B,"852-187000-100")</f>
        <v>0</v>
      </c>
      <c r="AO1336">
        <f>sumifs(BOM!ao:ao,BOM!A:A,".1",BOM!B:B,"852-187000-100")</f>
        <v>0</v>
      </c>
      <c r="AP1336">
        <f>sumifs(BOM!ap:ap,BOM!A:A,".1",BOM!B:B,"852-187000-100")</f>
        <v>0</v>
      </c>
      <c r="AQ1336">
        <f>sumifs(BOM!aq:aq,BOM!A:A,".1",BOM!B:B,"852-187000-100")</f>
        <v>0</v>
      </c>
      <c r="AR1336">
        <f>sumifs(BOM!ar:ar,BOM!A:A,".1",BOM!B:B,"852-187000-100")</f>
        <v>0</v>
      </c>
      <c r="BX1336">
        <f>sum(j1336:an1336)</f>
        <v>0</v>
      </c>
    </row>
    <row r="1337" spans="1:76">
      <c r="A1337" t="s">
        <v>31</v>
      </c>
      <c r="B1337" t="s">
        <v>536</v>
      </c>
      <c r="C1337" t="s">
        <v>537</v>
      </c>
      <c r="D1337" t="s">
        <v>525</v>
      </c>
      <c r="E1337" t="s">
        <v>444</v>
      </c>
      <c r="F1337" t="s">
        <v>538</v>
      </c>
      <c r="K1337" t="s">
        <v>516</v>
      </c>
      <c r="L1337" t="s">
        <v>37</v>
      </c>
    </row>
    <row r="1338" spans="1:76">
      <c r="L1338" t="s">
        <v>662</v>
      </c>
    </row>
    <row r="1339" spans="1:76">
      <c r="L1339" t="s">
        <v>663</v>
      </c>
    </row>
    <row r="1340" spans="1:76">
      <c r="L1340" t="s">
        <v>664</v>
      </c>
    </row>
    <row r="1341" spans="1:76">
      <c r="L1341" t="s">
        <v>665</v>
      </c>
      <c r="M1341">
        <f>IF(DAY(NOW())&lt;M3,INDIRECT(ADDRESS(1341,7))-INDIRECT(ADDRESS(1336,13))+INDIRECT(ADDRESS(1337,13))-INDIRECT(ADDRESS(1340,13)),INDIRECT(ADDRESS(1341,7))-INDIRECT(ADDRESS(1336,13))+INDIRECT(ADDRESS(1339,13))-INDIRECT(ADDRESS(1340,13)))</f>
        <v>0</v>
      </c>
      <c r="N1341">
        <f>IF(DAY(NOW())&lt;M3,INDIRECT(ADDRESS(1341,13))-INDIRECT(ADDRESS(1336,14))+INDIRECT(ADDRESS(1337,14))-INDIRECT(ADDRESS(1340,14)),INDIRECT(ADDRESS(1341,13))-INDIRECT(ADDRESS(1336,14))+INDIRECT(ADDRESS(1339,14))-INDIRECT(ADDRESS(1340,14)))</f>
        <v>0</v>
      </c>
      <c r="O1341">
        <f>IF(DAY(NOW())&lt;M3,INDIRECT(ADDRESS(1341,14))-INDIRECT(ADDRESS(1336,15))+INDIRECT(ADDRESS(1337,15))-INDIRECT(ADDRESS(1340,15)),INDIRECT(ADDRESS(1341,14))-INDIRECT(ADDRESS(1336,15))+INDIRECT(ADDRESS(1339,15))-INDIRECT(ADDRESS(1340,15)))</f>
        <v>0</v>
      </c>
      <c r="P1341">
        <f>IF(DAY(NOW())&lt;M3,INDIRECT(ADDRESS(1341,15))-INDIRECT(ADDRESS(1336,16))+INDIRECT(ADDRESS(1337,16))-INDIRECT(ADDRESS(1340,16)),INDIRECT(ADDRESS(1341,15))-INDIRECT(ADDRESS(1336,16))+INDIRECT(ADDRESS(1339,16))-INDIRECT(ADDRESS(1340,16)))</f>
        <v>0</v>
      </c>
      <c r="Q1341">
        <f>IF(DAY(NOW())&lt;M3,INDIRECT(ADDRESS(1341,16))-INDIRECT(ADDRESS(1336,17))+INDIRECT(ADDRESS(1337,17))-INDIRECT(ADDRESS(1340,17)),INDIRECT(ADDRESS(1341,16))-INDIRECT(ADDRESS(1336,17))+INDIRECT(ADDRESS(1339,17))-INDIRECT(ADDRESS(1340,17)))</f>
        <v>0</v>
      </c>
      <c r="R1341">
        <f>IF(DAY(NOW())&lt;M3,INDIRECT(ADDRESS(1341,17))-INDIRECT(ADDRESS(1336,18))+INDIRECT(ADDRESS(1337,18))-INDIRECT(ADDRESS(1340,18)),INDIRECT(ADDRESS(1341,17))-INDIRECT(ADDRESS(1336,18))+INDIRECT(ADDRESS(1339,18))-INDIRECT(ADDRESS(1340,18)))</f>
        <v>0</v>
      </c>
      <c r="S1341">
        <f>IF(DAY(NOW())&lt;M3,INDIRECT(ADDRESS(1341,18))-INDIRECT(ADDRESS(1336,19))+INDIRECT(ADDRESS(1337,19))-INDIRECT(ADDRESS(1340,19)),INDIRECT(ADDRESS(1341,18))-INDIRECT(ADDRESS(1336,19))+INDIRECT(ADDRESS(1339,19))-INDIRECT(ADDRESS(1340,19)))</f>
        <v>0</v>
      </c>
      <c r="T1341">
        <f>IF(DAY(NOW())&lt;M3,INDIRECT(ADDRESS(1341,19))-INDIRECT(ADDRESS(1336,20))+INDIRECT(ADDRESS(1337,20))-INDIRECT(ADDRESS(1340,20)),INDIRECT(ADDRESS(1341,19))-INDIRECT(ADDRESS(1336,20))+INDIRECT(ADDRESS(1339,20))-INDIRECT(ADDRESS(1340,20)))</f>
        <v>0</v>
      </c>
      <c r="U1341">
        <f>IF(DAY(NOW())&lt;M3,INDIRECT(ADDRESS(1341,20))-INDIRECT(ADDRESS(1336,21))+INDIRECT(ADDRESS(1337,21))-INDIRECT(ADDRESS(1340,21)),INDIRECT(ADDRESS(1341,20))-INDIRECT(ADDRESS(1336,21))+INDIRECT(ADDRESS(1339,21))-INDIRECT(ADDRESS(1340,21)))</f>
        <v>0</v>
      </c>
      <c r="V1341">
        <f>IF(DAY(NOW())&lt;M3,INDIRECT(ADDRESS(1341,21))-INDIRECT(ADDRESS(1336,22))+INDIRECT(ADDRESS(1337,22))-INDIRECT(ADDRESS(1340,22)),INDIRECT(ADDRESS(1341,21))-INDIRECT(ADDRESS(1336,22))+INDIRECT(ADDRESS(1339,22))-INDIRECT(ADDRESS(1340,22)))</f>
        <v>0</v>
      </c>
      <c r="W1341">
        <f>IF(DAY(NOW())&lt;M3,INDIRECT(ADDRESS(1341,22))-INDIRECT(ADDRESS(1336,23))+INDIRECT(ADDRESS(1337,23))-INDIRECT(ADDRESS(1340,23)),INDIRECT(ADDRESS(1341,22))-INDIRECT(ADDRESS(1336,23))+INDIRECT(ADDRESS(1339,23))-INDIRECT(ADDRESS(1340,23)))</f>
        <v>0</v>
      </c>
      <c r="X1341">
        <f>IF(DAY(NOW())&lt;M3,INDIRECT(ADDRESS(1341,23))-INDIRECT(ADDRESS(1336,24))+INDIRECT(ADDRESS(1337,24))-INDIRECT(ADDRESS(1340,24)),INDIRECT(ADDRESS(1341,23))-INDIRECT(ADDRESS(1336,24))+INDIRECT(ADDRESS(1339,24))-INDIRECT(ADDRESS(1340,24)))</f>
        <v>0</v>
      </c>
      <c r="Y1341">
        <f>IF(DAY(NOW())&lt;M3,INDIRECT(ADDRESS(1341,24))-INDIRECT(ADDRESS(1336,25))+INDIRECT(ADDRESS(1337,25))-INDIRECT(ADDRESS(1340,25)),INDIRECT(ADDRESS(1341,24))-INDIRECT(ADDRESS(1336,25))+INDIRECT(ADDRESS(1339,25))-INDIRECT(ADDRESS(1340,25)))</f>
        <v>0</v>
      </c>
      <c r="Z1341">
        <f>IF(DAY(NOW())&lt;M3,INDIRECT(ADDRESS(1341,25))-INDIRECT(ADDRESS(1336,26))+INDIRECT(ADDRESS(1337,26))-INDIRECT(ADDRESS(1340,26)),INDIRECT(ADDRESS(1341,25))-INDIRECT(ADDRESS(1336,26))+INDIRECT(ADDRESS(1339,26))-INDIRECT(ADDRESS(1340,26)))</f>
        <v>0</v>
      </c>
      <c r="AA1341">
        <f>IF(DAY(NOW())&lt;M3,INDIRECT(ADDRESS(1341,26))-INDIRECT(ADDRESS(1336,27))+INDIRECT(ADDRESS(1337,27))-INDIRECT(ADDRESS(1340,27)),INDIRECT(ADDRESS(1341,26))-INDIRECT(ADDRESS(1336,27))+INDIRECT(ADDRESS(1339,27))-INDIRECT(ADDRESS(1340,27)))</f>
        <v>0</v>
      </c>
      <c r="AB1341">
        <f>IF(DAY(NOW())&lt;M3,INDIRECT(ADDRESS(1341,27))-INDIRECT(ADDRESS(1336,28))+INDIRECT(ADDRESS(1337,28))-INDIRECT(ADDRESS(1340,28)),INDIRECT(ADDRESS(1341,27))-INDIRECT(ADDRESS(1336,28))+INDIRECT(ADDRESS(1339,28))-INDIRECT(ADDRESS(1340,28)))</f>
        <v>0</v>
      </c>
      <c r="AC1341">
        <f>IF(DAY(NOW())&lt;M3,INDIRECT(ADDRESS(1341,28))-INDIRECT(ADDRESS(1336,29))+INDIRECT(ADDRESS(1337,29))-INDIRECT(ADDRESS(1340,29)),INDIRECT(ADDRESS(1341,28))-INDIRECT(ADDRESS(1336,29))+INDIRECT(ADDRESS(1339,29))-INDIRECT(ADDRESS(1340,29)))</f>
        <v>0</v>
      </c>
      <c r="AD1341">
        <f>IF(DAY(NOW())&lt;M3,INDIRECT(ADDRESS(1341,29))-INDIRECT(ADDRESS(1336,30))+INDIRECT(ADDRESS(1337,30))-INDIRECT(ADDRESS(1340,30)),INDIRECT(ADDRESS(1341,29))-INDIRECT(ADDRESS(1336,30))+INDIRECT(ADDRESS(1339,30))-INDIRECT(ADDRESS(1340,30)))</f>
        <v>0</v>
      </c>
      <c r="AE1341">
        <f>IF(DAY(NOW())&lt;M3,INDIRECT(ADDRESS(1341,30))-INDIRECT(ADDRESS(1336,31))+INDIRECT(ADDRESS(1337,31))-INDIRECT(ADDRESS(1340,31)),INDIRECT(ADDRESS(1341,30))-INDIRECT(ADDRESS(1336,31))+INDIRECT(ADDRESS(1339,31))-INDIRECT(ADDRESS(1340,31)))</f>
        <v>0</v>
      </c>
      <c r="AF1341">
        <f>IF(DAY(NOW())&lt;M3,INDIRECT(ADDRESS(1341,31))-INDIRECT(ADDRESS(1336,32))+INDIRECT(ADDRESS(1337,32))-INDIRECT(ADDRESS(1340,32)),INDIRECT(ADDRESS(1341,31))-INDIRECT(ADDRESS(1336,32))+INDIRECT(ADDRESS(1339,32))-INDIRECT(ADDRESS(1340,32)))</f>
        <v>0</v>
      </c>
      <c r="AG1341">
        <f>IF(DAY(NOW())&lt;M3,INDIRECT(ADDRESS(1341,32))-INDIRECT(ADDRESS(1336,33))+INDIRECT(ADDRESS(1337,33))-INDIRECT(ADDRESS(1340,33)),INDIRECT(ADDRESS(1341,32))-INDIRECT(ADDRESS(1336,33))+INDIRECT(ADDRESS(1339,33))-INDIRECT(ADDRESS(1340,33)))</f>
        <v>0</v>
      </c>
      <c r="AH1341">
        <f>IF(DAY(NOW())&lt;M3,INDIRECT(ADDRESS(1341,33))-INDIRECT(ADDRESS(1336,34))+INDIRECT(ADDRESS(1337,34))-INDIRECT(ADDRESS(1340,34)),INDIRECT(ADDRESS(1341,33))-INDIRECT(ADDRESS(1336,34))+INDIRECT(ADDRESS(1339,34))-INDIRECT(ADDRESS(1340,34)))</f>
        <v>0</v>
      </c>
      <c r="AI1341">
        <f>IF(DAY(NOW())&lt;M3,INDIRECT(ADDRESS(1341,34))-INDIRECT(ADDRESS(1336,35))+INDIRECT(ADDRESS(1337,35))-INDIRECT(ADDRESS(1340,35)),INDIRECT(ADDRESS(1341,34))-INDIRECT(ADDRESS(1336,35))+INDIRECT(ADDRESS(1339,35))-INDIRECT(ADDRESS(1340,35)))</f>
        <v>0</v>
      </c>
      <c r="AJ1341">
        <f>IF(DAY(NOW())&lt;M3,INDIRECT(ADDRESS(1341,35))-INDIRECT(ADDRESS(1336,36))+INDIRECT(ADDRESS(1337,36))-INDIRECT(ADDRESS(1340,36)),INDIRECT(ADDRESS(1341,35))-INDIRECT(ADDRESS(1336,36))+INDIRECT(ADDRESS(1339,36))-INDIRECT(ADDRESS(1340,36)))</f>
        <v>0</v>
      </c>
      <c r="AK1341">
        <f>IF(DAY(NOW())&lt;M3,INDIRECT(ADDRESS(1341,36))-INDIRECT(ADDRESS(1336,37))+INDIRECT(ADDRESS(1337,37))-INDIRECT(ADDRESS(1340,37)),INDIRECT(ADDRESS(1341,36))-INDIRECT(ADDRESS(1336,37))+INDIRECT(ADDRESS(1339,37))-INDIRECT(ADDRESS(1340,37)))</f>
        <v>0</v>
      </c>
      <c r="AL1341">
        <f>IF(DAY(NOW())&lt;M3,INDIRECT(ADDRESS(1341,37))-INDIRECT(ADDRESS(1336,38))+INDIRECT(ADDRESS(1337,38))-INDIRECT(ADDRESS(1340,38)),INDIRECT(ADDRESS(1341,37))-INDIRECT(ADDRESS(1336,38))+INDIRECT(ADDRESS(1339,38))-INDIRECT(ADDRESS(1340,38)))</f>
        <v>0</v>
      </c>
      <c r="AM1341">
        <f>IF(DAY(NOW())&lt;M3,INDIRECT(ADDRESS(1341,38))-INDIRECT(ADDRESS(1336,39))+INDIRECT(ADDRESS(1337,39))-INDIRECT(ADDRESS(1340,39)),INDIRECT(ADDRESS(1341,38))-INDIRECT(ADDRESS(1336,39))+INDIRECT(ADDRESS(1339,39))-INDIRECT(ADDRESS(1340,39)))</f>
        <v>0</v>
      </c>
      <c r="AN1341">
        <f>IF(DAY(NOW())&lt;M3,INDIRECT(ADDRESS(1341,39))-INDIRECT(ADDRESS(1336,40))+INDIRECT(ADDRESS(1337,40))-INDIRECT(ADDRESS(1340,40)),INDIRECT(ADDRESS(1341,39))-INDIRECT(ADDRESS(1336,40))+INDIRECT(ADDRESS(1339,40))-INDIRECT(ADDRESS(1340,40)))</f>
        <v>0</v>
      </c>
      <c r="AO1341">
        <f>IF(DAY(NOW())&lt;M3,INDIRECT(ADDRESS(1341,40))-INDIRECT(ADDRESS(1336,41))+INDIRECT(ADDRESS(1337,41))-INDIRECT(ADDRESS(1340,41)),INDIRECT(ADDRESS(1341,40))-INDIRECT(ADDRESS(1336,41))+INDIRECT(ADDRESS(1339,41))-INDIRECT(ADDRESS(1340,41)))</f>
        <v>0</v>
      </c>
      <c r="AP1341">
        <f>IF(DAY(NOW())&lt;M3,INDIRECT(ADDRESS(1341,41))-INDIRECT(ADDRESS(1336,42))+INDIRECT(ADDRESS(1337,42))-INDIRECT(ADDRESS(1340,42)),INDIRECT(ADDRESS(1341,41))-INDIRECT(ADDRESS(1336,42))+INDIRECT(ADDRESS(1339,42))-INDIRECT(ADDRESS(1340,42)))</f>
        <v>0</v>
      </c>
      <c r="AQ1341">
        <f>IF(DAY(NOW())&lt;M3,INDIRECT(ADDRESS(1341,42))-INDIRECT(ADDRESS(1336,43))+INDIRECT(ADDRESS(1337,43))-INDIRECT(ADDRESS(1340,43)),INDIRECT(ADDRESS(1341,42))-INDIRECT(ADDRESS(1336,43))+INDIRECT(ADDRESS(1339,43))-INDIRECT(ADDRESS(1340,43)))</f>
        <v>0</v>
      </c>
      <c r="AR1341">
        <f>IF(DAY(NOW())&lt;M3,INDIRECT(ADDRESS(1341,43))-INDIRECT(ADDRESS(1336,44))+INDIRECT(ADDRESS(1337,44))-INDIRECT(ADDRESS(1340,44)),INDIRECT(ADDRESS(1341,43))-INDIRECT(ADDRESS(1336,44))+INDIRECT(ADDRESS(1339,44))-INDIRECT(ADDRESS(1340,44)))</f>
        <v>0</v>
      </c>
    </row>
    <row r="1342" spans="1:76">
      <c r="A1342" t="s">
        <v>31</v>
      </c>
      <c r="B1342" t="s">
        <v>539</v>
      </c>
      <c r="C1342" t="s">
        <v>540</v>
      </c>
      <c r="F1342" t="s">
        <v>541</v>
      </c>
      <c r="K1342" t="s">
        <v>516</v>
      </c>
      <c r="L1342" t="s">
        <v>21</v>
      </c>
      <c r="M1342">
        <f>sumifs(BOM!m:m,BOM!A:A,".1",BOM!B:B,"852-189000-110")</f>
        <v>0</v>
      </c>
      <c r="N1342">
        <f>sumifs(BOM!n:n,BOM!A:A,".1",BOM!B:B,"852-189000-110")</f>
        <v>0</v>
      </c>
      <c r="O1342">
        <f>sumifs(BOM!o:o,BOM!A:A,".1",BOM!B:B,"852-189000-110")</f>
        <v>0</v>
      </c>
      <c r="P1342">
        <f>sumifs(BOM!p:p,BOM!A:A,".1",BOM!B:B,"852-189000-110")</f>
        <v>0</v>
      </c>
      <c r="Q1342">
        <f>sumifs(BOM!q:q,BOM!A:A,".1",BOM!B:B,"852-189000-110")</f>
        <v>0</v>
      </c>
      <c r="R1342">
        <f>sumifs(BOM!r:r,BOM!A:A,".1",BOM!B:B,"852-189000-110")</f>
        <v>0</v>
      </c>
      <c r="S1342">
        <f>sumifs(BOM!s:s,BOM!A:A,".1",BOM!B:B,"852-189000-110")</f>
        <v>0</v>
      </c>
      <c r="T1342">
        <f>sumifs(BOM!t:t,BOM!A:A,".1",BOM!B:B,"852-189000-110")</f>
        <v>0</v>
      </c>
      <c r="U1342">
        <f>sumifs(BOM!u:u,BOM!A:A,".1",BOM!B:B,"852-189000-110")</f>
        <v>0</v>
      </c>
      <c r="V1342">
        <f>sumifs(BOM!v:v,BOM!A:A,".1",BOM!B:B,"852-189000-110")</f>
        <v>0</v>
      </c>
      <c r="W1342">
        <f>sumifs(BOM!w:w,BOM!A:A,".1",BOM!B:B,"852-189000-110")</f>
        <v>0</v>
      </c>
      <c r="X1342">
        <f>sumifs(BOM!x:x,BOM!A:A,".1",BOM!B:B,"852-189000-110")</f>
        <v>0</v>
      </c>
      <c r="Y1342">
        <f>sumifs(BOM!y:y,BOM!A:A,".1",BOM!B:B,"852-189000-110")</f>
        <v>0</v>
      </c>
      <c r="Z1342">
        <f>sumifs(BOM!z:z,BOM!A:A,".1",BOM!B:B,"852-189000-110")</f>
        <v>0</v>
      </c>
      <c r="AA1342">
        <f>sumifs(BOM!aa:aa,BOM!A:A,".1",BOM!B:B,"852-189000-110")</f>
        <v>0</v>
      </c>
      <c r="AB1342">
        <f>sumifs(BOM!ab:ab,BOM!A:A,".1",BOM!B:B,"852-189000-110")</f>
        <v>0</v>
      </c>
      <c r="AC1342">
        <f>sumifs(BOM!ac:ac,BOM!A:A,".1",BOM!B:B,"852-189000-110")</f>
        <v>0</v>
      </c>
      <c r="AD1342">
        <f>sumifs(BOM!ad:ad,BOM!A:A,".1",BOM!B:B,"852-189000-110")</f>
        <v>0</v>
      </c>
      <c r="AE1342">
        <f>sumifs(BOM!ae:ae,BOM!A:A,".1",BOM!B:B,"852-189000-110")</f>
        <v>0</v>
      </c>
      <c r="AF1342">
        <f>sumifs(BOM!af:af,BOM!A:A,".1",BOM!B:B,"852-189000-110")</f>
        <v>0</v>
      </c>
      <c r="AG1342">
        <f>sumifs(BOM!ag:ag,BOM!A:A,".1",BOM!B:B,"852-189000-110")</f>
        <v>0</v>
      </c>
      <c r="AH1342">
        <f>sumifs(BOM!ah:ah,BOM!A:A,".1",BOM!B:B,"852-189000-110")</f>
        <v>0</v>
      </c>
      <c r="AI1342">
        <f>sumifs(BOM!ai:ai,BOM!A:A,".1",BOM!B:B,"852-189000-110")</f>
        <v>0</v>
      </c>
      <c r="AJ1342">
        <f>sumifs(BOM!aj:aj,BOM!A:A,".1",BOM!B:B,"852-189000-110")</f>
        <v>0</v>
      </c>
      <c r="AK1342">
        <f>sumifs(BOM!ak:ak,BOM!A:A,".1",BOM!B:B,"852-189000-110")</f>
        <v>0</v>
      </c>
      <c r="AL1342">
        <f>sumifs(BOM!al:al,BOM!A:A,".1",BOM!B:B,"852-189000-110")</f>
        <v>0</v>
      </c>
      <c r="AM1342">
        <f>sumifs(BOM!am:am,BOM!A:A,".1",BOM!B:B,"852-189000-110")</f>
        <v>0</v>
      </c>
      <c r="AN1342">
        <f>sumifs(BOM!an:an,BOM!A:A,".1",BOM!B:B,"852-189000-110")</f>
        <v>0</v>
      </c>
      <c r="AO1342">
        <f>sumifs(BOM!ao:ao,BOM!A:A,".1",BOM!B:B,"852-189000-110")</f>
        <v>0</v>
      </c>
      <c r="AP1342">
        <f>sumifs(BOM!ap:ap,BOM!A:A,".1",BOM!B:B,"852-189000-110")</f>
        <v>0</v>
      </c>
      <c r="AQ1342">
        <f>sumifs(BOM!aq:aq,BOM!A:A,".1",BOM!B:B,"852-189000-110")</f>
        <v>0</v>
      </c>
      <c r="AR1342">
        <f>sumifs(BOM!ar:ar,BOM!A:A,".1",BOM!B:B,"852-189000-110")</f>
        <v>0</v>
      </c>
      <c r="BX1342">
        <f>sum(j1342:an1342)</f>
        <v>0</v>
      </c>
    </row>
    <row r="1343" spans="1:76">
      <c r="A1343" t="s">
        <v>31</v>
      </c>
      <c r="B1343" t="s">
        <v>539</v>
      </c>
      <c r="C1343" t="s">
        <v>540</v>
      </c>
      <c r="F1343" t="s">
        <v>541</v>
      </c>
      <c r="K1343" t="s">
        <v>516</v>
      </c>
      <c r="L1343" t="s">
        <v>37</v>
      </c>
    </row>
    <row r="1344" spans="1:76">
      <c r="L1344" t="s">
        <v>662</v>
      </c>
    </row>
    <row r="1345" spans="1:76">
      <c r="L1345" t="s">
        <v>663</v>
      </c>
    </row>
    <row r="1346" spans="1:76">
      <c r="L1346" t="s">
        <v>664</v>
      </c>
    </row>
    <row r="1347" spans="1:76">
      <c r="L1347" t="s">
        <v>665</v>
      </c>
      <c r="M1347">
        <f>IF(DAY(NOW())&lt;M3,INDIRECT(ADDRESS(1347,7))-INDIRECT(ADDRESS(1342,13))+INDIRECT(ADDRESS(1343,13))-INDIRECT(ADDRESS(1346,13)),INDIRECT(ADDRESS(1347,7))-INDIRECT(ADDRESS(1342,13))+INDIRECT(ADDRESS(1345,13))-INDIRECT(ADDRESS(1346,13)))</f>
        <v>0</v>
      </c>
      <c r="N1347">
        <f>IF(DAY(NOW())&lt;M3,INDIRECT(ADDRESS(1347,13))-INDIRECT(ADDRESS(1342,14))+INDIRECT(ADDRESS(1343,14))-INDIRECT(ADDRESS(1346,14)),INDIRECT(ADDRESS(1347,13))-INDIRECT(ADDRESS(1342,14))+INDIRECT(ADDRESS(1345,14))-INDIRECT(ADDRESS(1346,14)))</f>
        <v>0</v>
      </c>
      <c r="O1347">
        <f>IF(DAY(NOW())&lt;M3,INDIRECT(ADDRESS(1347,14))-INDIRECT(ADDRESS(1342,15))+INDIRECT(ADDRESS(1343,15))-INDIRECT(ADDRESS(1346,15)),INDIRECT(ADDRESS(1347,14))-INDIRECT(ADDRESS(1342,15))+INDIRECT(ADDRESS(1345,15))-INDIRECT(ADDRESS(1346,15)))</f>
        <v>0</v>
      </c>
      <c r="P1347">
        <f>IF(DAY(NOW())&lt;M3,INDIRECT(ADDRESS(1347,15))-INDIRECT(ADDRESS(1342,16))+INDIRECT(ADDRESS(1343,16))-INDIRECT(ADDRESS(1346,16)),INDIRECT(ADDRESS(1347,15))-INDIRECT(ADDRESS(1342,16))+INDIRECT(ADDRESS(1345,16))-INDIRECT(ADDRESS(1346,16)))</f>
        <v>0</v>
      </c>
      <c r="Q1347">
        <f>IF(DAY(NOW())&lt;M3,INDIRECT(ADDRESS(1347,16))-INDIRECT(ADDRESS(1342,17))+INDIRECT(ADDRESS(1343,17))-INDIRECT(ADDRESS(1346,17)),INDIRECT(ADDRESS(1347,16))-INDIRECT(ADDRESS(1342,17))+INDIRECT(ADDRESS(1345,17))-INDIRECT(ADDRESS(1346,17)))</f>
        <v>0</v>
      </c>
      <c r="R1347">
        <f>IF(DAY(NOW())&lt;M3,INDIRECT(ADDRESS(1347,17))-INDIRECT(ADDRESS(1342,18))+INDIRECT(ADDRESS(1343,18))-INDIRECT(ADDRESS(1346,18)),INDIRECT(ADDRESS(1347,17))-INDIRECT(ADDRESS(1342,18))+INDIRECT(ADDRESS(1345,18))-INDIRECT(ADDRESS(1346,18)))</f>
        <v>0</v>
      </c>
      <c r="S1347">
        <f>IF(DAY(NOW())&lt;M3,INDIRECT(ADDRESS(1347,18))-INDIRECT(ADDRESS(1342,19))+INDIRECT(ADDRESS(1343,19))-INDIRECT(ADDRESS(1346,19)),INDIRECT(ADDRESS(1347,18))-INDIRECT(ADDRESS(1342,19))+INDIRECT(ADDRESS(1345,19))-INDIRECT(ADDRESS(1346,19)))</f>
        <v>0</v>
      </c>
      <c r="T1347">
        <f>IF(DAY(NOW())&lt;M3,INDIRECT(ADDRESS(1347,19))-INDIRECT(ADDRESS(1342,20))+INDIRECT(ADDRESS(1343,20))-INDIRECT(ADDRESS(1346,20)),INDIRECT(ADDRESS(1347,19))-INDIRECT(ADDRESS(1342,20))+INDIRECT(ADDRESS(1345,20))-INDIRECT(ADDRESS(1346,20)))</f>
        <v>0</v>
      </c>
      <c r="U1347">
        <f>IF(DAY(NOW())&lt;M3,INDIRECT(ADDRESS(1347,20))-INDIRECT(ADDRESS(1342,21))+INDIRECT(ADDRESS(1343,21))-INDIRECT(ADDRESS(1346,21)),INDIRECT(ADDRESS(1347,20))-INDIRECT(ADDRESS(1342,21))+INDIRECT(ADDRESS(1345,21))-INDIRECT(ADDRESS(1346,21)))</f>
        <v>0</v>
      </c>
      <c r="V1347">
        <f>IF(DAY(NOW())&lt;M3,INDIRECT(ADDRESS(1347,21))-INDIRECT(ADDRESS(1342,22))+INDIRECT(ADDRESS(1343,22))-INDIRECT(ADDRESS(1346,22)),INDIRECT(ADDRESS(1347,21))-INDIRECT(ADDRESS(1342,22))+INDIRECT(ADDRESS(1345,22))-INDIRECT(ADDRESS(1346,22)))</f>
        <v>0</v>
      </c>
      <c r="W1347">
        <f>IF(DAY(NOW())&lt;M3,INDIRECT(ADDRESS(1347,22))-INDIRECT(ADDRESS(1342,23))+INDIRECT(ADDRESS(1343,23))-INDIRECT(ADDRESS(1346,23)),INDIRECT(ADDRESS(1347,22))-INDIRECT(ADDRESS(1342,23))+INDIRECT(ADDRESS(1345,23))-INDIRECT(ADDRESS(1346,23)))</f>
        <v>0</v>
      </c>
      <c r="X1347">
        <f>IF(DAY(NOW())&lt;M3,INDIRECT(ADDRESS(1347,23))-INDIRECT(ADDRESS(1342,24))+INDIRECT(ADDRESS(1343,24))-INDIRECT(ADDRESS(1346,24)),INDIRECT(ADDRESS(1347,23))-INDIRECT(ADDRESS(1342,24))+INDIRECT(ADDRESS(1345,24))-INDIRECT(ADDRESS(1346,24)))</f>
        <v>0</v>
      </c>
      <c r="Y1347">
        <f>IF(DAY(NOW())&lt;M3,INDIRECT(ADDRESS(1347,24))-INDIRECT(ADDRESS(1342,25))+INDIRECT(ADDRESS(1343,25))-INDIRECT(ADDRESS(1346,25)),INDIRECT(ADDRESS(1347,24))-INDIRECT(ADDRESS(1342,25))+INDIRECT(ADDRESS(1345,25))-INDIRECT(ADDRESS(1346,25)))</f>
        <v>0</v>
      </c>
      <c r="Z1347">
        <f>IF(DAY(NOW())&lt;M3,INDIRECT(ADDRESS(1347,25))-INDIRECT(ADDRESS(1342,26))+INDIRECT(ADDRESS(1343,26))-INDIRECT(ADDRESS(1346,26)),INDIRECT(ADDRESS(1347,25))-INDIRECT(ADDRESS(1342,26))+INDIRECT(ADDRESS(1345,26))-INDIRECT(ADDRESS(1346,26)))</f>
        <v>0</v>
      </c>
      <c r="AA1347">
        <f>IF(DAY(NOW())&lt;M3,INDIRECT(ADDRESS(1347,26))-INDIRECT(ADDRESS(1342,27))+INDIRECT(ADDRESS(1343,27))-INDIRECT(ADDRESS(1346,27)),INDIRECT(ADDRESS(1347,26))-INDIRECT(ADDRESS(1342,27))+INDIRECT(ADDRESS(1345,27))-INDIRECT(ADDRESS(1346,27)))</f>
        <v>0</v>
      </c>
      <c r="AB1347">
        <f>IF(DAY(NOW())&lt;M3,INDIRECT(ADDRESS(1347,27))-INDIRECT(ADDRESS(1342,28))+INDIRECT(ADDRESS(1343,28))-INDIRECT(ADDRESS(1346,28)),INDIRECT(ADDRESS(1347,27))-INDIRECT(ADDRESS(1342,28))+INDIRECT(ADDRESS(1345,28))-INDIRECT(ADDRESS(1346,28)))</f>
        <v>0</v>
      </c>
      <c r="AC1347">
        <f>IF(DAY(NOW())&lt;M3,INDIRECT(ADDRESS(1347,28))-INDIRECT(ADDRESS(1342,29))+INDIRECT(ADDRESS(1343,29))-INDIRECT(ADDRESS(1346,29)),INDIRECT(ADDRESS(1347,28))-INDIRECT(ADDRESS(1342,29))+INDIRECT(ADDRESS(1345,29))-INDIRECT(ADDRESS(1346,29)))</f>
        <v>0</v>
      </c>
      <c r="AD1347">
        <f>IF(DAY(NOW())&lt;M3,INDIRECT(ADDRESS(1347,29))-INDIRECT(ADDRESS(1342,30))+INDIRECT(ADDRESS(1343,30))-INDIRECT(ADDRESS(1346,30)),INDIRECT(ADDRESS(1347,29))-INDIRECT(ADDRESS(1342,30))+INDIRECT(ADDRESS(1345,30))-INDIRECT(ADDRESS(1346,30)))</f>
        <v>0</v>
      </c>
      <c r="AE1347">
        <f>IF(DAY(NOW())&lt;M3,INDIRECT(ADDRESS(1347,30))-INDIRECT(ADDRESS(1342,31))+INDIRECT(ADDRESS(1343,31))-INDIRECT(ADDRESS(1346,31)),INDIRECT(ADDRESS(1347,30))-INDIRECT(ADDRESS(1342,31))+INDIRECT(ADDRESS(1345,31))-INDIRECT(ADDRESS(1346,31)))</f>
        <v>0</v>
      </c>
      <c r="AF1347">
        <f>IF(DAY(NOW())&lt;M3,INDIRECT(ADDRESS(1347,31))-INDIRECT(ADDRESS(1342,32))+INDIRECT(ADDRESS(1343,32))-INDIRECT(ADDRESS(1346,32)),INDIRECT(ADDRESS(1347,31))-INDIRECT(ADDRESS(1342,32))+INDIRECT(ADDRESS(1345,32))-INDIRECT(ADDRESS(1346,32)))</f>
        <v>0</v>
      </c>
      <c r="AG1347">
        <f>IF(DAY(NOW())&lt;M3,INDIRECT(ADDRESS(1347,32))-INDIRECT(ADDRESS(1342,33))+INDIRECT(ADDRESS(1343,33))-INDIRECT(ADDRESS(1346,33)),INDIRECT(ADDRESS(1347,32))-INDIRECT(ADDRESS(1342,33))+INDIRECT(ADDRESS(1345,33))-INDIRECT(ADDRESS(1346,33)))</f>
        <v>0</v>
      </c>
      <c r="AH1347">
        <f>IF(DAY(NOW())&lt;M3,INDIRECT(ADDRESS(1347,33))-INDIRECT(ADDRESS(1342,34))+INDIRECT(ADDRESS(1343,34))-INDIRECT(ADDRESS(1346,34)),INDIRECT(ADDRESS(1347,33))-INDIRECT(ADDRESS(1342,34))+INDIRECT(ADDRESS(1345,34))-INDIRECT(ADDRESS(1346,34)))</f>
        <v>0</v>
      </c>
      <c r="AI1347">
        <f>IF(DAY(NOW())&lt;M3,INDIRECT(ADDRESS(1347,34))-INDIRECT(ADDRESS(1342,35))+INDIRECT(ADDRESS(1343,35))-INDIRECT(ADDRESS(1346,35)),INDIRECT(ADDRESS(1347,34))-INDIRECT(ADDRESS(1342,35))+INDIRECT(ADDRESS(1345,35))-INDIRECT(ADDRESS(1346,35)))</f>
        <v>0</v>
      </c>
      <c r="AJ1347">
        <f>IF(DAY(NOW())&lt;M3,INDIRECT(ADDRESS(1347,35))-INDIRECT(ADDRESS(1342,36))+INDIRECT(ADDRESS(1343,36))-INDIRECT(ADDRESS(1346,36)),INDIRECT(ADDRESS(1347,35))-INDIRECT(ADDRESS(1342,36))+INDIRECT(ADDRESS(1345,36))-INDIRECT(ADDRESS(1346,36)))</f>
        <v>0</v>
      </c>
      <c r="AK1347">
        <f>IF(DAY(NOW())&lt;M3,INDIRECT(ADDRESS(1347,36))-INDIRECT(ADDRESS(1342,37))+INDIRECT(ADDRESS(1343,37))-INDIRECT(ADDRESS(1346,37)),INDIRECT(ADDRESS(1347,36))-INDIRECT(ADDRESS(1342,37))+INDIRECT(ADDRESS(1345,37))-INDIRECT(ADDRESS(1346,37)))</f>
        <v>0</v>
      </c>
      <c r="AL1347">
        <f>IF(DAY(NOW())&lt;M3,INDIRECT(ADDRESS(1347,37))-INDIRECT(ADDRESS(1342,38))+INDIRECT(ADDRESS(1343,38))-INDIRECT(ADDRESS(1346,38)),INDIRECT(ADDRESS(1347,37))-INDIRECT(ADDRESS(1342,38))+INDIRECT(ADDRESS(1345,38))-INDIRECT(ADDRESS(1346,38)))</f>
        <v>0</v>
      </c>
      <c r="AM1347">
        <f>IF(DAY(NOW())&lt;M3,INDIRECT(ADDRESS(1347,38))-INDIRECT(ADDRESS(1342,39))+INDIRECT(ADDRESS(1343,39))-INDIRECT(ADDRESS(1346,39)),INDIRECT(ADDRESS(1347,38))-INDIRECT(ADDRESS(1342,39))+INDIRECT(ADDRESS(1345,39))-INDIRECT(ADDRESS(1346,39)))</f>
        <v>0</v>
      </c>
      <c r="AN1347">
        <f>IF(DAY(NOW())&lt;M3,INDIRECT(ADDRESS(1347,39))-INDIRECT(ADDRESS(1342,40))+INDIRECT(ADDRESS(1343,40))-INDIRECT(ADDRESS(1346,40)),INDIRECT(ADDRESS(1347,39))-INDIRECT(ADDRESS(1342,40))+INDIRECT(ADDRESS(1345,40))-INDIRECT(ADDRESS(1346,40)))</f>
        <v>0</v>
      </c>
      <c r="AO1347">
        <f>IF(DAY(NOW())&lt;M3,INDIRECT(ADDRESS(1347,40))-INDIRECT(ADDRESS(1342,41))+INDIRECT(ADDRESS(1343,41))-INDIRECT(ADDRESS(1346,41)),INDIRECT(ADDRESS(1347,40))-INDIRECT(ADDRESS(1342,41))+INDIRECT(ADDRESS(1345,41))-INDIRECT(ADDRESS(1346,41)))</f>
        <v>0</v>
      </c>
      <c r="AP1347">
        <f>IF(DAY(NOW())&lt;M3,INDIRECT(ADDRESS(1347,41))-INDIRECT(ADDRESS(1342,42))+INDIRECT(ADDRESS(1343,42))-INDIRECT(ADDRESS(1346,42)),INDIRECT(ADDRESS(1347,41))-INDIRECT(ADDRESS(1342,42))+INDIRECT(ADDRESS(1345,42))-INDIRECT(ADDRESS(1346,42)))</f>
        <v>0</v>
      </c>
      <c r="AQ1347">
        <f>IF(DAY(NOW())&lt;M3,INDIRECT(ADDRESS(1347,42))-INDIRECT(ADDRESS(1342,43))+INDIRECT(ADDRESS(1343,43))-INDIRECT(ADDRESS(1346,43)),INDIRECT(ADDRESS(1347,42))-INDIRECT(ADDRESS(1342,43))+INDIRECT(ADDRESS(1345,43))-INDIRECT(ADDRESS(1346,43)))</f>
        <v>0</v>
      </c>
      <c r="AR1347">
        <f>IF(DAY(NOW())&lt;M3,INDIRECT(ADDRESS(1347,43))-INDIRECT(ADDRESS(1342,44))+INDIRECT(ADDRESS(1343,44))-INDIRECT(ADDRESS(1346,44)),INDIRECT(ADDRESS(1347,43))-INDIRECT(ADDRESS(1342,44))+INDIRECT(ADDRESS(1345,44))-INDIRECT(ADDRESS(1346,44)))</f>
        <v>0</v>
      </c>
    </row>
    <row r="1348" spans="1:76">
      <c r="A1348" t="s">
        <v>31</v>
      </c>
      <c r="B1348" t="s">
        <v>542</v>
      </c>
      <c r="C1348" t="s">
        <v>543</v>
      </c>
      <c r="E1348" t="s">
        <v>444</v>
      </c>
      <c r="F1348" t="s">
        <v>544</v>
      </c>
      <c r="K1348" t="s">
        <v>516</v>
      </c>
      <c r="L1348" t="s">
        <v>21</v>
      </c>
      <c r="M1348">
        <f>sumifs(BOM!m:m,BOM!A:A,".1",BOM!B:B,"852-189000-111")</f>
        <v>0</v>
      </c>
      <c r="N1348">
        <f>sumifs(BOM!n:n,BOM!A:A,".1",BOM!B:B,"852-189000-111")</f>
        <v>0</v>
      </c>
      <c r="O1348">
        <f>sumifs(BOM!o:o,BOM!A:A,".1",BOM!B:B,"852-189000-111")</f>
        <v>0</v>
      </c>
      <c r="P1348">
        <f>sumifs(BOM!p:p,BOM!A:A,".1",BOM!B:B,"852-189000-111")</f>
        <v>0</v>
      </c>
      <c r="Q1348">
        <f>sumifs(BOM!q:q,BOM!A:A,".1",BOM!B:B,"852-189000-111")</f>
        <v>0</v>
      </c>
      <c r="R1348">
        <f>sumifs(BOM!r:r,BOM!A:A,".1",BOM!B:B,"852-189000-111")</f>
        <v>0</v>
      </c>
      <c r="S1348">
        <f>sumifs(BOM!s:s,BOM!A:A,".1",BOM!B:B,"852-189000-111")</f>
        <v>0</v>
      </c>
      <c r="T1348">
        <f>sumifs(BOM!t:t,BOM!A:A,".1",BOM!B:B,"852-189000-111")</f>
        <v>0</v>
      </c>
      <c r="U1348">
        <f>sumifs(BOM!u:u,BOM!A:A,".1",BOM!B:B,"852-189000-111")</f>
        <v>0</v>
      </c>
      <c r="V1348">
        <f>sumifs(BOM!v:v,BOM!A:A,".1",BOM!B:B,"852-189000-111")</f>
        <v>0</v>
      </c>
      <c r="W1348">
        <f>sumifs(BOM!w:w,BOM!A:A,".1",BOM!B:B,"852-189000-111")</f>
        <v>0</v>
      </c>
      <c r="X1348">
        <f>sumifs(BOM!x:x,BOM!A:A,".1",BOM!B:B,"852-189000-111")</f>
        <v>0</v>
      </c>
      <c r="Y1348">
        <f>sumifs(BOM!y:y,BOM!A:A,".1",BOM!B:B,"852-189000-111")</f>
        <v>0</v>
      </c>
      <c r="Z1348">
        <f>sumifs(BOM!z:z,BOM!A:A,".1",BOM!B:B,"852-189000-111")</f>
        <v>0</v>
      </c>
      <c r="AA1348">
        <f>sumifs(BOM!aa:aa,BOM!A:A,".1",BOM!B:B,"852-189000-111")</f>
        <v>0</v>
      </c>
      <c r="AB1348">
        <f>sumifs(BOM!ab:ab,BOM!A:A,".1",BOM!B:B,"852-189000-111")</f>
        <v>0</v>
      </c>
      <c r="AC1348">
        <f>sumifs(BOM!ac:ac,BOM!A:A,".1",BOM!B:B,"852-189000-111")</f>
        <v>0</v>
      </c>
      <c r="AD1348">
        <f>sumifs(BOM!ad:ad,BOM!A:A,".1",BOM!B:B,"852-189000-111")</f>
        <v>0</v>
      </c>
      <c r="AE1348">
        <f>sumifs(BOM!ae:ae,BOM!A:A,".1",BOM!B:B,"852-189000-111")</f>
        <v>0</v>
      </c>
      <c r="AF1348">
        <f>sumifs(BOM!af:af,BOM!A:A,".1",BOM!B:B,"852-189000-111")</f>
        <v>0</v>
      </c>
      <c r="AG1348">
        <f>sumifs(BOM!ag:ag,BOM!A:A,".1",BOM!B:B,"852-189000-111")</f>
        <v>0</v>
      </c>
      <c r="AH1348">
        <f>sumifs(BOM!ah:ah,BOM!A:A,".1",BOM!B:B,"852-189000-111")</f>
        <v>0</v>
      </c>
      <c r="AI1348">
        <f>sumifs(BOM!ai:ai,BOM!A:A,".1",BOM!B:B,"852-189000-111")</f>
        <v>0</v>
      </c>
      <c r="AJ1348">
        <f>sumifs(BOM!aj:aj,BOM!A:A,".1",BOM!B:B,"852-189000-111")</f>
        <v>0</v>
      </c>
      <c r="AK1348">
        <f>sumifs(BOM!ak:ak,BOM!A:A,".1",BOM!B:B,"852-189000-111")</f>
        <v>0</v>
      </c>
      <c r="AL1348">
        <f>sumifs(BOM!al:al,BOM!A:A,".1",BOM!B:B,"852-189000-111")</f>
        <v>0</v>
      </c>
      <c r="AM1348">
        <f>sumifs(BOM!am:am,BOM!A:A,".1",BOM!B:B,"852-189000-111")</f>
        <v>0</v>
      </c>
      <c r="AN1348">
        <f>sumifs(BOM!an:an,BOM!A:A,".1",BOM!B:B,"852-189000-111")</f>
        <v>0</v>
      </c>
      <c r="AO1348">
        <f>sumifs(BOM!ao:ao,BOM!A:A,".1",BOM!B:B,"852-189000-111")</f>
        <v>0</v>
      </c>
      <c r="AP1348">
        <f>sumifs(BOM!ap:ap,BOM!A:A,".1",BOM!B:B,"852-189000-111")</f>
        <v>0</v>
      </c>
      <c r="AQ1348">
        <f>sumifs(BOM!aq:aq,BOM!A:A,".1",BOM!B:B,"852-189000-111")</f>
        <v>0</v>
      </c>
      <c r="AR1348">
        <f>sumifs(BOM!ar:ar,BOM!A:A,".1",BOM!B:B,"852-189000-111")</f>
        <v>0</v>
      </c>
      <c r="BX1348">
        <f>sum(j1348:an1348)</f>
        <v>0</v>
      </c>
    </row>
    <row r="1349" spans="1:76">
      <c r="A1349" t="s">
        <v>31</v>
      </c>
      <c r="B1349" t="s">
        <v>542</v>
      </c>
      <c r="C1349" t="s">
        <v>543</v>
      </c>
      <c r="E1349" t="s">
        <v>444</v>
      </c>
      <c r="F1349" t="s">
        <v>544</v>
      </c>
      <c r="K1349" t="s">
        <v>516</v>
      </c>
      <c r="L1349" t="s">
        <v>37</v>
      </c>
    </row>
    <row r="1350" spans="1:76">
      <c r="L1350" t="s">
        <v>662</v>
      </c>
    </row>
    <row r="1351" spans="1:76">
      <c r="L1351" t="s">
        <v>663</v>
      </c>
    </row>
    <row r="1352" spans="1:76">
      <c r="L1352" t="s">
        <v>664</v>
      </c>
    </row>
    <row r="1353" spans="1:76">
      <c r="L1353" t="s">
        <v>665</v>
      </c>
      <c r="M1353">
        <f>IF(DAY(NOW())&lt;M3,INDIRECT(ADDRESS(1353,7))-INDIRECT(ADDRESS(1348,13))+INDIRECT(ADDRESS(1349,13))-INDIRECT(ADDRESS(1352,13)),INDIRECT(ADDRESS(1353,7))-INDIRECT(ADDRESS(1348,13))+INDIRECT(ADDRESS(1351,13))-INDIRECT(ADDRESS(1352,13)))</f>
        <v>0</v>
      </c>
      <c r="N1353">
        <f>IF(DAY(NOW())&lt;M3,INDIRECT(ADDRESS(1353,13))-INDIRECT(ADDRESS(1348,14))+INDIRECT(ADDRESS(1349,14))-INDIRECT(ADDRESS(1352,14)),INDIRECT(ADDRESS(1353,13))-INDIRECT(ADDRESS(1348,14))+INDIRECT(ADDRESS(1351,14))-INDIRECT(ADDRESS(1352,14)))</f>
        <v>0</v>
      </c>
      <c r="O1353">
        <f>IF(DAY(NOW())&lt;M3,INDIRECT(ADDRESS(1353,14))-INDIRECT(ADDRESS(1348,15))+INDIRECT(ADDRESS(1349,15))-INDIRECT(ADDRESS(1352,15)),INDIRECT(ADDRESS(1353,14))-INDIRECT(ADDRESS(1348,15))+INDIRECT(ADDRESS(1351,15))-INDIRECT(ADDRESS(1352,15)))</f>
        <v>0</v>
      </c>
      <c r="P1353">
        <f>IF(DAY(NOW())&lt;M3,INDIRECT(ADDRESS(1353,15))-INDIRECT(ADDRESS(1348,16))+INDIRECT(ADDRESS(1349,16))-INDIRECT(ADDRESS(1352,16)),INDIRECT(ADDRESS(1353,15))-INDIRECT(ADDRESS(1348,16))+INDIRECT(ADDRESS(1351,16))-INDIRECT(ADDRESS(1352,16)))</f>
        <v>0</v>
      </c>
      <c r="Q1353">
        <f>IF(DAY(NOW())&lt;M3,INDIRECT(ADDRESS(1353,16))-INDIRECT(ADDRESS(1348,17))+INDIRECT(ADDRESS(1349,17))-INDIRECT(ADDRESS(1352,17)),INDIRECT(ADDRESS(1353,16))-INDIRECT(ADDRESS(1348,17))+INDIRECT(ADDRESS(1351,17))-INDIRECT(ADDRESS(1352,17)))</f>
        <v>0</v>
      </c>
      <c r="R1353">
        <f>IF(DAY(NOW())&lt;M3,INDIRECT(ADDRESS(1353,17))-INDIRECT(ADDRESS(1348,18))+INDIRECT(ADDRESS(1349,18))-INDIRECT(ADDRESS(1352,18)),INDIRECT(ADDRESS(1353,17))-INDIRECT(ADDRESS(1348,18))+INDIRECT(ADDRESS(1351,18))-INDIRECT(ADDRESS(1352,18)))</f>
        <v>0</v>
      </c>
      <c r="S1353">
        <f>IF(DAY(NOW())&lt;M3,INDIRECT(ADDRESS(1353,18))-INDIRECT(ADDRESS(1348,19))+INDIRECT(ADDRESS(1349,19))-INDIRECT(ADDRESS(1352,19)),INDIRECT(ADDRESS(1353,18))-INDIRECT(ADDRESS(1348,19))+INDIRECT(ADDRESS(1351,19))-INDIRECT(ADDRESS(1352,19)))</f>
        <v>0</v>
      </c>
      <c r="T1353">
        <f>IF(DAY(NOW())&lt;M3,INDIRECT(ADDRESS(1353,19))-INDIRECT(ADDRESS(1348,20))+INDIRECT(ADDRESS(1349,20))-INDIRECT(ADDRESS(1352,20)),INDIRECT(ADDRESS(1353,19))-INDIRECT(ADDRESS(1348,20))+INDIRECT(ADDRESS(1351,20))-INDIRECT(ADDRESS(1352,20)))</f>
        <v>0</v>
      </c>
      <c r="U1353">
        <f>IF(DAY(NOW())&lt;M3,INDIRECT(ADDRESS(1353,20))-INDIRECT(ADDRESS(1348,21))+INDIRECT(ADDRESS(1349,21))-INDIRECT(ADDRESS(1352,21)),INDIRECT(ADDRESS(1353,20))-INDIRECT(ADDRESS(1348,21))+INDIRECT(ADDRESS(1351,21))-INDIRECT(ADDRESS(1352,21)))</f>
        <v>0</v>
      </c>
      <c r="V1353">
        <f>IF(DAY(NOW())&lt;M3,INDIRECT(ADDRESS(1353,21))-INDIRECT(ADDRESS(1348,22))+INDIRECT(ADDRESS(1349,22))-INDIRECT(ADDRESS(1352,22)),INDIRECT(ADDRESS(1353,21))-INDIRECT(ADDRESS(1348,22))+INDIRECT(ADDRESS(1351,22))-INDIRECT(ADDRESS(1352,22)))</f>
        <v>0</v>
      </c>
      <c r="W1353">
        <f>IF(DAY(NOW())&lt;M3,INDIRECT(ADDRESS(1353,22))-INDIRECT(ADDRESS(1348,23))+INDIRECT(ADDRESS(1349,23))-INDIRECT(ADDRESS(1352,23)),INDIRECT(ADDRESS(1353,22))-INDIRECT(ADDRESS(1348,23))+INDIRECT(ADDRESS(1351,23))-INDIRECT(ADDRESS(1352,23)))</f>
        <v>0</v>
      </c>
      <c r="X1353">
        <f>IF(DAY(NOW())&lt;M3,INDIRECT(ADDRESS(1353,23))-INDIRECT(ADDRESS(1348,24))+INDIRECT(ADDRESS(1349,24))-INDIRECT(ADDRESS(1352,24)),INDIRECT(ADDRESS(1353,23))-INDIRECT(ADDRESS(1348,24))+INDIRECT(ADDRESS(1351,24))-INDIRECT(ADDRESS(1352,24)))</f>
        <v>0</v>
      </c>
      <c r="Y1353">
        <f>IF(DAY(NOW())&lt;M3,INDIRECT(ADDRESS(1353,24))-INDIRECT(ADDRESS(1348,25))+INDIRECT(ADDRESS(1349,25))-INDIRECT(ADDRESS(1352,25)),INDIRECT(ADDRESS(1353,24))-INDIRECT(ADDRESS(1348,25))+INDIRECT(ADDRESS(1351,25))-INDIRECT(ADDRESS(1352,25)))</f>
        <v>0</v>
      </c>
      <c r="Z1353">
        <f>IF(DAY(NOW())&lt;M3,INDIRECT(ADDRESS(1353,25))-INDIRECT(ADDRESS(1348,26))+INDIRECT(ADDRESS(1349,26))-INDIRECT(ADDRESS(1352,26)),INDIRECT(ADDRESS(1353,25))-INDIRECT(ADDRESS(1348,26))+INDIRECT(ADDRESS(1351,26))-INDIRECT(ADDRESS(1352,26)))</f>
        <v>0</v>
      </c>
      <c r="AA1353">
        <f>IF(DAY(NOW())&lt;M3,INDIRECT(ADDRESS(1353,26))-INDIRECT(ADDRESS(1348,27))+INDIRECT(ADDRESS(1349,27))-INDIRECT(ADDRESS(1352,27)),INDIRECT(ADDRESS(1353,26))-INDIRECT(ADDRESS(1348,27))+INDIRECT(ADDRESS(1351,27))-INDIRECT(ADDRESS(1352,27)))</f>
        <v>0</v>
      </c>
      <c r="AB1353">
        <f>IF(DAY(NOW())&lt;M3,INDIRECT(ADDRESS(1353,27))-INDIRECT(ADDRESS(1348,28))+INDIRECT(ADDRESS(1349,28))-INDIRECT(ADDRESS(1352,28)),INDIRECT(ADDRESS(1353,27))-INDIRECT(ADDRESS(1348,28))+INDIRECT(ADDRESS(1351,28))-INDIRECT(ADDRESS(1352,28)))</f>
        <v>0</v>
      </c>
      <c r="AC1353">
        <f>IF(DAY(NOW())&lt;M3,INDIRECT(ADDRESS(1353,28))-INDIRECT(ADDRESS(1348,29))+INDIRECT(ADDRESS(1349,29))-INDIRECT(ADDRESS(1352,29)),INDIRECT(ADDRESS(1353,28))-INDIRECT(ADDRESS(1348,29))+INDIRECT(ADDRESS(1351,29))-INDIRECT(ADDRESS(1352,29)))</f>
        <v>0</v>
      </c>
      <c r="AD1353">
        <f>IF(DAY(NOW())&lt;M3,INDIRECT(ADDRESS(1353,29))-INDIRECT(ADDRESS(1348,30))+INDIRECT(ADDRESS(1349,30))-INDIRECT(ADDRESS(1352,30)),INDIRECT(ADDRESS(1353,29))-INDIRECT(ADDRESS(1348,30))+INDIRECT(ADDRESS(1351,30))-INDIRECT(ADDRESS(1352,30)))</f>
        <v>0</v>
      </c>
      <c r="AE1353">
        <f>IF(DAY(NOW())&lt;M3,INDIRECT(ADDRESS(1353,30))-INDIRECT(ADDRESS(1348,31))+INDIRECT(ADDRESS(1349,31))-INDIRECT(ADDRESS(1352,31)),INDIRECT(ADDRESS(1353,30))-INDIRECT(ADDRESS(1348,31))+INDIRECT(ADDRESS(1351,31))-INDIRECT(ADDRESS(1352,31)))</f>
        <v>0</v>
      </c>
      <c r="AF1353">
        <f>IF(DAY(NOW())&lt;M3,INDIRECT(ADDRESS(1353,31))-INDIRECT(ADDRESS(1348,32))+INDIRECT(ADDRESS(1349,32))-INDIRECT(ADDRESS(1352,32)),INDIRECT(ADDRESS(1353,31))-INDIRECT(ADDRESS(1348,32))+INDIRECT(ADDRESS(1351,32))-INDIRECT(ADDRESS(1352,32)))</f>
        <v>0</v>
      </c>
      <c r="AG1353">
        <f>IF(DAY(NOW())&lt;M3,INDIRECT(ADDRESS(1353,32))-INDIRECT(ADDRESS(1348,33))+INDIRECT(ADDRESS(1349,33))-INDIRECT(ADDRESS(1352,33)),INDIRECT(ADDRESS(1353,32))-INDIRECT(ADDRESS(1348,33))+INDIRECT(ADDRESS(1351,33))-INDIRECT(ADDRESS(1352,33)))</f>
        <v>0</v>
      </c>
      <c r="AH1353">
        <f>IF(DAY(NOW())&lt;M3,INDIRECT(ADDRESS(1353,33))-INDIRECT(ADDRESS(1348,34))+INDIRECT(ADDRESS(1349,34))-INDIRECT(ADDRESS(1352,34)),INDIRECT(ADDRESS(1353,33))-INDIRECT(ADDRESS(1348,34))+INDIRECT(ADDRESS(1351,34))-INDIRECT(ADDRESS(1352,34)))</f>
        <v>0</v>
      </c>
      <c r="AI1353">
        <f>IF(DAY(NOW())&lt;M3,INDIRECT(ADDRESS(1353,34))-INDIRECT(ADDRESS(1348,35))+INDIRECT(ADDRESS(1349,35))-INDIRECT(ADDRESS(1352,35)),INDIRECT(ADDRESS(1353,34))-INDIRECT(ADDRESS(1348,35))+INDIRECT(ADDRESS(1351,35))-INDIRECT(ADDRESS(1352,35)))</f>
        <v>0</v>
      </c>
      <c r="AJ1353">
        <f>IF(DAY(NOW())&lt;M3,INDIRECT(ADDRESS(1353,35))-INDIRECT(ADDRESS(1348,36))+INDIRECT(ADDRESS(1349,36))-INDIRECT(ADDRESS(1352,36)),INDIRECT(ADDRESS(1353,35))-INDIRECT(ADDRESS(1348,36))+INDIRECT(ADDRESS(1351,36))-INDIRECT(ADDRESS(1352,36)))</f>
        <v>0</v>
      </c>
      <c r="AK1353">
        <f>IF(DAY(NOW())&lt;M3,INDIRECT(ADDRESS(1353,36))-INDIRECT(ADDRESS(1348,37))+INDIRECT(ADDRESS(1349,37))-INDIRECT(ADDRESS(1352,37)),INDIRECT(ADDRESS(1353,36))-INDIRECT(ADDRESS(1348,37))+INDIRECT(ADDRESS(1351,37))-INDIRECT(ADDRESS(1352,37)))</f>
        <v>0</v>
      </c>
      <c r="AL1353">
        <f>IF(DAY(NOW())&lt;M3,INDIRECT(ADDRESS(1353,37))-INDIRECT(ADDRESS(1348,38))+INDIRECT(ADDRESS(1349,38))-INDIRECT(ADDRESS(1352,38)),INDIRECT(ADDRESS(1353,37))-INDIRECT(ADDRESS(1348,38))+INDIRECT(ADDRESS(1351,38))-INDIRECT(ADDRESS(1352,38)))</f>
        <v>0</v>
      </c>
      <c r="AM1353">
        <f>IF(DAY(NOW())&lt;M3,INDIRECT(ADDRESS(1353,38))-INDIRECT(ADDRESS(1348,39))+INDIRECT(ADDRESS(1349,39))-INDIRECT(ADDRESS(1352,39)),INDIRECT(ADDRESS(1353,38))-INDIRECT(ADDRESS(1348,39))+INDIRECT(ADDRESS(1351,39))-INDIRECT(ADDRESS(1352,39)))</f>
        <v>0</v>
      </c>
      <c r="AN1353">
        <f>IF(DAY(NOW())&lt;M3,INDIRECT(ADDRESS(1353,39))-INDIRECT(ADDRESS(1348,40))+INDIRECT(ADDRESS(1349,40))-INDIRECT(ADDRESS(1352,40)),INDIRECT(ADDRESS(1353,39))-INDIRECT(ADDRESS(1348,40))+INDIRECT(ADDRESS(1351,40))-INDIRECT(ADDRESS(1352,40)))</f>
        <v>0</v>
      </c>
      <c r="AO1353">
        <f>IF(DAY(NOW())&lt;M3,INDIRECT(ADDRESS(1353,40))-INDIRECT(ADDRESS(1348,41))+INDIRECT(ADDRESS(1349,41))-INDIRECT(ADDRESS(1352,41)),INDIRECT(ADDRESS(1353,40))-INDIRECT(ADDRESS(1348,41))+INDIRECT(ADDRESS(1351,41))-INDIRECT(ADDRESS(1352,41)))</f>
        <v>0</v>
      </c>
      <c r="AP1353">
        <f>IF(DAY(NOW())&lt;M3,INDIRECT(ADDRESS(1353,41))-INDIRECT(ADDRESS(1348,42))+INDIRECT(ADDRESS(1349,42))-INDIRECT(ADDRESS(1352,42)),INDIRECT(ADDRESS(1353,41))-INDIRECT(ADDRESS(1348,42))+INDIRECT(ADDRESS(1351,42))-INDIRECT(ADDRESS(1352,42)))</f>
        <v>0</v>
      </c>
      <c r="AQ1353">
        <f>IF(DAY(NOW())&lt;M3,INDIRECT(ADDRESS(1353,42))-INDIRECT(ADDRESS(1348,43))+INDIRECT(ADDRESS(1349,43))-INDIRECT(ADDRESS(1352,43)),INDIRECT(ADDRESS(1353,42))-INDIRECT(ADDRESS(1348,43))+INDIRECT(ADDRESS(1351,43))-INDIRECT(ADDRESS(1352,43)))</f>
        <v>0</v>
      </c>
      <c r="AR1353">
        <f>IF(DAY(NOW())&lt;M3,INDIRECT(ADDRESS(1353,43))-INDIRECT(ADDRESS(1348,44))+INDIRECT(ADDRESS(1349,44))-INDIRECT(ADDRESS(1352,44)),INDIRECT(ADDRESS(1353,43))-INDIRECT(ADDRESS(1348,44))+INDIRECT(ADDRESS(1351,44))-INDIRECT(ADDRESS(1352,44)))</f>
        <v>0</v>
      </c>
    </row>
    <row r="1354" spans="1:76">
      <c r="A1354" t="s">
        <v>31</v>
      </c>
      <c r="B1354" t="s">
        <v>545</v>
      </c>
      <c r="C1354" t="s">
        <v>546</v>
      </c>
      <c r="D1354" t="s">
        <v>547</v>
      </c>
      <c r="E1354" t="s">
        <v>444</v>
      </c>
      <c r="F1354" t="s">
        <v>548</v>
      </c>
      <c r="K1354" t="s">
        <v>516</v>
      </c>
      <c r="L1354" t="s">
        <v>21</v>
      </c>
      <c r="M1354">
        <f>sumifs(BOM!m:m,BOM!A:A,".1",BOM!B:B,"852-189000-100")</f>
        <v>0</v>
      </c>
      <c r="N1354">
        <f>sumifs(BOM!n:n,BOM!A:A,".1",BOM!B:B,"852-189000-100")</f>
        <v>0</v>
      </c>
      <c r="O1354">
        <f>sumifs(BOM!o:o,BOM!A:A,".1",BOM!B:B,"852-189000-100")</f>
        <v>0</v>
      </c>
      <c r="P1354">
        <f>sumifs(BOM!p:p,BOM!A:A,".1",BOM!B:B,"852-189000-100")</f>
        <v>0</v>
      </c>
      <c r="Q1354">
        <f>sumifs(BOM!q:q,BOM!A:A,".1",BOM!B:B,"852-189000-100")</f>
        <v>0</v>
      </c>
      <c r="R1354">
        <f>sumifs(BOM!r:r,BOM!A:A,".1",BOM!B:B,"852-189000-100")</f>
        <v>0</v>
      </c>
      <c r="S1354">
        <f>sumifs(BOM!s:s,BOM!A:A,".1",BOM!B:B,"852-189000-100")</f>
        <v>0</v>
      </c>
      <c r="T1354">
        <f>sumifs(BOM!t:t,BOM!A:A,".1",BOM!B:B,"852-189000-100")</f>
        <v>0</v>
      </c>
      <c r="U1354">
        <f>sumifs(BOM!u:u,BOM!A:A,".1",BOM!B:B,"852-189000-100")</f>
        <v>0</v>
      </c>
      <c r="V1354">
        <f>sumifs(BOM!v:v,BOM!A:A,".1",BOM!B:B,"852-189000-100")</f>
        <v>0</v>
      </c>
      <c r="W1354">
        <f>sumifs(BOM!w:w,BOM!A:A,".1",BOM!B:B,"852-189000-100")</f>
        <v>0</v>
      </c>
      <c r="X1354">
        <f>sumifs(BOM!x:x,BOM!A:A,".1",BOM!B:B,"852-189000-100")</f>
        <v>0</v>
      </c>
      <c r="Y1354">
        <f>sumifs(BOM!y:y,BOM!A:A,".1",BOM!B:B,"852-189000-100")</f>
        <v>0</v>
      </c>
      <c r="Z1354">
        <f>sumifs(BOM!z:z,BOM!A:A,".1",BOM!B:B,"852-189000-100")</f>
        <v>0</v>
      </c>
      <c r="AA1354">
        <f>sumifs(BOM!aa:aa,BOM!A:A,".1",BOM!B:B,"852-189000-100")</f>
        <v>0</v>
      </c>
      <c r="AB1354">
        <f>sumifs(BOM!ab:ab,BOM!A:A,".1",BOM!B:B,"852-189000-100")</f>
        <v>0</v>
      </c>
      <c r="AC1354">
        <f>sumifs(BOM!ac:ac,BOM!A:A,".1",BOM!B:B,"852-189000-100")</f>
        <v>0</v>
      </c>
      <c r="AD1354">
        <f>sumifs(BOM!ad:ad,BOM!A:A,".1",BOM!B:B,"852-189000-100")</f>
        <v>0</v>
      </c>
      <c r="AE1354">
        <f>sumifs(BOM!ae:ae,BOM!A:A,".1",BOM!B:B,"852-189000-100")</f>
        <v>0</v>
      </c>
      <c r="AF1354">
        <f>sumifs(BOM!af:af,BOM!A:A,".1",BOM!B:B,"852-189000-100")</f>
        <v>0</v>
      </c>
      <c r="AG1354">
        <f>sumifs(BOM!ag:ag,BOM!A:A,".1",BOM!B:B,"852-189000-100")</f>
        <v>0</v>
      </c>
      <c r="AH1354">
        <f>sumifs(BOM!ah:ah,BOM!A:A,".1",BOM!B:B,"852-189000-100")</f>
        <v>0</v>
      </c>
      <c r="AI1354">
        <f>sumifs(BOM!ai:ai,BOM!A:A,".1",BOM!B:B,"852-189000-100")</f>
        <v>0</v>
      </c>
      <c r="AJ1354">
        <f>sumifs(BOM!aj:aj,BOM!A:A,".1",BOM!B:B,"852-189000-100")</f>
        <v>0</v>
      </c>
      <c r="AK1354">
        <f>sumifs(BOM!ak:ak,BOM!A:A,".1",BOM!B:B,"852-189000-100")</f>
        <v>0</v>
      </c>
      <c r="AL1354">
        <f>sumifs(BOM!al:al,BOM!A:A,".1",BOM!B:B,"852-189000-100")</f>
        <v>0</v>
      </c>
      <c r="AM1354">
        <f>sumifs(BOM!am:am,BOM!A:A,".1",BOM!B:B,"852-189000-100")</f>
        <v>0</v>
      </c>
      <c r="AN1354">
        <f>sumifs(BOM!an:an,BOM!A:A,".1",BOM!B:B,"852-189000-100")</f>
        <v>0</v>
      </c>
      <c r="AO1354">
        <f>sumifs(BOM!ao:ao,BOM!A:A,".1",BOM!B:B,"852-189000-100")</f>
        <v>0</v>
      </c>
      <c r="AP1354">
        <f>sumifs(BOM!ap:ap,BOM!A:A,".1",BOM!B:B,"852-189000-100")</f>
        <v>0</v>
      </c>
      <c r="AQ1354">
        <f>sumifs(BOM!aq:aq,BOM!A:A,".1",BOM!B:B,"852-189000-100")</f>
        <v>0</v>
      </c>
      <c r="AR1354">
        <f>sumifs(BOM!ar:ar,BOM!A:A,".1",BOM!B:B,"852-189000-100")</f>
        <v>0</v>
      </c>
      <c r="BX1354">
        <f>sum(j1354:an1354)</f>
        <v>0</v>
      </c>
    </row>
    <row r="1355" spans="1:76">
      <c r="A1355" t="s">
        <v>31</v>
      </c>
      <c r="B1355" t="s">
        <v>545</v>
      </c>
      <c r="C1355" t="s">
        <v>546</v>
      </c>
      <c r="D1355" t="s">
        <v>547</v>
      </c>
      <c r="E1355" t="s">
        <v>444</v>
      </c>
      <c r="F1355" t="s">
        <v>548</v>
      </c>
      <c r="K1355" t="s">
        <v>516</v>
      </c>
      <c r="L1355" t="s">
        <v>37</v>
      </c>
    </row>
    <row r="1356" spans="1:76">
      <c r="L1356" t="s">
        <v>662</v>
      </c>
    </row>
    <row r="1357" spans="1:76">
      <c r="L1357" t="s">
        <v>663</v>
      </c>
    </row>
    <row r="1358" spans="1:76">
      <c r="L1358" t="s">
        <v>664</v>
      </c>
    </row>
    <row r="1359" spans="1:76">
      <c r="L1359" t="s">
        <v>665</v>
      </c>
      <c r="M1359">
        <f>IF(DAY(NOW())&lt;M3,INDIRECT(ADDRESS(1359,7))-INDIRECT(ADDRESS(1354,13))+INDIRECT(ADDRESS(1355,13))-INDIRECT(ADDRESS(1358,13)),INDIRECT(ADDRESS(1359,7))-INDIRECT(ADDRESS(1354,13))+INDIRECT(ADDRESS(1357,13))-INDIRECT(ADDRESS(1358,13)))</f>
        <v>0</v>
      </c>
      <c r="N1359">
        <f>IF(DAY(NOW())&lt;M3,INDIRECT(ADDRESS(1359,13))-INDIRECT(ADDRESS(1354,14))+INDIRECT(ADDRESS(1355,14))-INDIRECT(ADDRESS(1358,14)),INDIRECT(ADDRESS(1359,13))-INDIRECT(ADDRESS(1354,14))+INDIRECT(ADDRESS(1357,14))-INDIRECT(ADDRESS(1358,14)))</f>
        <v>0</v>
      </c>
      <c r="O1359">
        <f>IF(DAY(NOW())&lt;M3,INDIRECT(ADDRESS(1359,14))-INDIRECT(ADDRESS(1354,15))+INDIRECT(ADDRESS(1355,15))-INDIRECT(ADDRESS(1358,15)),INDIRECT(ADDRESS(1359,14))-INDIRECT(ADDRESS(1354,15))+INDIRECT(ADDRESS(1357,15))-INDIRECT(ADDRESS(1358,15)))</f>
        <v>0</v>
      </c>
      <c r="P1359">
        <f>IF(DAY(NOW())&lt;M3,INDIRECT(ADDRESS(1359,15))-INDIRECT(ADDRESS(1354,16))+INDIRECT(ADDRESS(1355,16))-INDIRECT(ADDRESS(1358,16)),INDIRECT(ADDRESS(1359,15))-INDIRECT(ADDRESS(1354,16))+INDIRECT(ADDRESS(1357,16))-INDIRECT(ADDRESS(1358,16)))</f>
        <v>0</v>
      </c>
      <c r="Q1359">
        <f>IF(DAY(NOW())&lt;M3,INDIRECT(ADDRESS(1359,16))-INDIRECT(ADDRESS(1354,17))+INDIRECT(ADDRESS(1355,17))-INDIRECT(ADDRESS(1358,17)),INDIRECT(ADDRESS(1359,16))-INDIRECT(ADDRESS(1354,17))+INDIRECT(ADDRESS(1357,17))-INDIRECT(ADDRESS(1358,17)))</f>
        <v>0</v>
      </c>
      <c r="R1359">
        <f>IF(DAY(NOW())&lt;M3,INDIRECT(ADDRESS(1359,17))-INDIRECT(ADDRESS(1354,18))+INDIRECT(ADDRESS(1355,18))-INDIRECT(ADDRESS(1358,18)),INDIRECT(ADDRESS(1359,17))-INDIRECT(ADDRESS(1354,18))+INDIRECT(ADDRESS(1357,18))-INDIRECT(ADDRESS(1358,18)))</f>
        <v>0</v>
      </c>
      <c r="S1359">
        <f>IF(DAY(NOW())&lt;M3,INDIRECT(ADDRESS(1359,18))-INDIRECT(ADDRESS(1354,19))+INDIRECT(ADDRESS(1355,19))-INDIRECT(ADDRESS(1358,19)),INDIRECT(ADDRESS(1359,18))-INDIRECT(ADDRESS(1354,19))+INDIRECT(ADDRESS(1357,19))-INDIRECT(ADDRESS(1358,19)))</f>
        <v>0</v>
      </c>
      <c r="T1359">
        <f>IF(DAY(NOW())&lt;M3,INDIRECT(ADDRESS(1359,19))-INDIRECT(ADDRESS(1354,20))+INDIRECT(ADDRESS(1355,20))-INDIRECT(ADDRESS(1358,20)),INDIRECT(ADDRESS(1359,19))-INDIRECT(ADDRESS(1354,20))+INDIRECT(ADDRESS(1357,20))-INDIRECT(ADDRESS(1358,20)))</f>
        <v>0</v>
      </c>
      <c r="U1359">
        <f>IF(DAY(NOW())&lt;M3,INDIRECT(ADDRESS(1359,20))-INDIRECT(ADDRESS(1354,21))+INDIRECT(ADDRESS(1355,21))-INDIRECT(ADDRESS(1358,21)),INDIRECT(ADDRESS(1359,20))-INDIRECT(ADDRESS(1354,21))+INDIRECT(ADDRESS(1357,21))-INDIRECT(ADDRESS(1358,21)))</f>
        <v>0</v>
      </c>
      <c r="V1359">
        <f>IF(DAY(NOW())&lt;M3,INDIRECT(ADDRESS(1359,21))-INDIRECT(ADDRESS(1354,22))+INDIRECT(ADDRESS(1355,22))-INDIRECT(ADDRESS(1358,22)),INDIRECT(ADDRESS(1359,21))-INDIRECT(ADDRESS(1354,22))+INDIRECT(ADDRESS(1357,22))-INDIRECT(ADDRESS(1358,22)))</f>
        <v>0</v>
      </c>
      <c r="W1359">
        <f>IF(DAY(NOW())&lt;M3,INDIRECT(ADDRESS(1359,22))-INDIRECT(ADDRESS(1354,23))+INDIRECT(ADDRESS(1355,23))-INDIRECT(ADDRESS(1358,23)),INDIRECT(ADDRESS(1359,22))-INDIRECT(ADDRESS(1354,23))+INDIRECT(ADDRESS(1357,23))-INDIRECT(ADDRESS(1358,23)))</f>
        <v>0</v>
      </c>
      <c r="X1359">
        <f>IF(DAY(NOW())&lt;M3,INDIRECT(ADDRESS(1359,23))-INDIRECT(ADDRESS(1354,24))+INDIRECT(ADDRESS(1355,24))-INDIRECT(ADDRESS(1358,24)),INDIRECT(ADDRESS(1359,23))-INDIRECT(ADDRESS(1354,24))+INDIRECT(ADDRESS(1357,24))-INDIRECT(ADDRESS(1358,24)))</f>
        <v>0</v>
      </c>
      <c r="Y1359">
        <f>IF(DAY(NOW())&lt;M3,INDIRECT(ADDRESS(1359,24))-INDIRECT(ADDRESS(1354,25))+INDIRECT(ADDRESS(1355,25))-INDIRECT(ADDRESS(1358,25)),INDIRECT(ADDRESS(1359,24))-INDIRECT(ADDRESS(1354,25))+INDIRECT(ADDRESS(1357,25))-INDIRECT(ADDRESS(1358,25)))</f>
        <v>0</v>
      </c>
      <c r="Z1359">
        <f>IF(DAY(NOW())&lt;M3,INDIRECT(ADDRESS(1359,25))-INDIRECT(ADDRESS(1354,26))+INDIRECT(ADDRESS(1355,26))-INDIRECT(ADDRESS(1358,26)),INDIRECT(ADDRESS(1359,25))-INDIRECT(ADDRESS(1354,26))+INDIRECT(ADDRESS(1357,26))-INDIRECT(ADDRESS(1358,26)))</f>
        <v>0</v>
      </c>
      <c r="AA1359">
        <f>IF(DAY(NOW())&lt;M3,INDIRECT(ADDRESS(1359,26))-INDIRECT(ADDRESS(1354,27))+INDIRECT(ADDRESS(1355,27))-INDIRECT(ADDRESS(1358,27)),INDIRECT(ADDRESS(1359,26))-INDIRECT(ADDRESS(1354,27))+INDIRECT(ADDRESS(1357,27))-INDIRECT(ADDRESS(1358,27)))</f>
        <v>0</v>
      </c>
      <c r="AB1359">
        <f>IF(DAY(NOW())&lt;M3,INDIRECT(ADDRESS(1359,27))-INDIRECT(ADDRESS(1354,28))+INDIRECT(ADDRESS(1355,28))-INDIRECT(ADDRESS(1358,28)),INDIRECT(ADDRESS(1359,27))-INDIRECT(ADDRESS(1354,28))+INDIRECT(ADDRESS(1357,28))-INDIRECT(ADDRESS(1358,28)))</f>
        <v>0</v>
      </c>
      <c r="AC1359">
        <f>IF(DAY(NOW())&lt;M3,INDIRECT(ADDRESS(1359,28))-INDIRECT(ADDRESS(1354,29))+INDIRECT(ADDRESS(1355,29))-INDIRECT(ADDRESS(1358,29)),INDIRECT(ADDRESS(1359,28))-INDIRECT(ADDRESS(1354,29))+INDIRECT(ADDRESS(1357,29))-INDIRECT(ADDRESS(1358,29)))</f>
        <v>0</v>
      </c>
      <c r="AD1359">
        <f>IF(DAY(NOW())&lt;M3,INDIRECT(ADDRESS(1359,29))-INDIRECT(ADDRESS(1354,30))+INDIRECT(ADDRESS(1355,30))-INDIRECT(ADDRESS(1358,30)),INDIRECT(ADDRESS(1359,29))-INDIRECT(ADDRESS(1354,30))+INDIRECT(ADDRESS(1357,30))-INDIRECT(ADDRESS(1358,30)))</f>
        <v>0</v>
      </c>
      <c r="AE1359">
        <f>IF(DAY(NOW())&lt;M3,INDIRECT(ADDRESS(1359,30))-INDIRECT(ADDRESS(1354,31))+INDIRECT(ADDRESS(1355,31))-INDIRECT(ADDRESS(1358,31)),INDIRECT(ADDRESS(1359,30))-INDIRECT(ADDRESS(1354,31))+INDIRECT(ADDRESS(1357,31))-INDIRECT(ADDRESS(1358,31)))</f>
        <v>0</v>
      </c>
      <c r="AF1359">
        <f>IF(DAY(NOW())&lt;M3,INDIRECT(ADDRESS(1359,31))-INDIRECT(ADDRESS(1354,32))+INDIRECT(ADDRESS(1355,32))-INDIRECT(ADDRESS(1358,32)),INDIRECT(ADDRESS(1359,31))-INDIRECT(ADDRESS(1354,32))+INDIRECT(ADDRESS(1357,32))-INDIRECT(ADDRESS(1358,32)))</f>
        <v>0</v>
      </c>
      <c r="AG1359">
        <f>IF(DAY(NOW())&lt;M3,INDIRECT(ADDRESS(1359,32))-INDIRECT(ADDRESS(1354,33))+INDIRECT(ADDRESS(1355,33))-INDIRECT(ADDRESS(1358,33)),INDIRECT(ADDRESS(1359,32))-INDIRECT(ADDRESS(1354,33))+INDIRECT(ADDRESS(1357,33))-INDIRECT(ADDRESS(1358,33)))</f>
        <v>0</v>
      </c>
      <c r="AH1359">
        <f>IF(DAY(NOW())&lt;M3,INDIRECT(ADDRESS(1359,33))-INDIRECT(ADDRESS(1354,34))+INDIRECT(ADDRESS(1355,34))-INDIRECT(ADDRESS(1358,34)),INDIRECT(ADDRESS(1359,33))-INDIRECT(ADDRESS(1354,34))+INDIRECT(ADDRESS(1357,34))-INDIRECT(ADDRESS(1358,34)))</f>
        <v>0</v>
      </c>
      <c r="AI1359">
        <f>IF(DAY(NOW())&lt;M3,INDIRECT(ADDRESS(1359,34))-INDIRECT(ADDRESS(1354,35))+INDIRECT(ADDRESS(1355,35))-INDIRECT(ADDRESS(1358,35)),INDIRECT(ADDRESS(1359,34))-INDIRECT(ADDRESS(1354,35))+INDIRECT(ADDRESS(1357,35))-INDIRECT(ADDRESS(1358,35)))</f>
        <v>0</v>
      </c>
      <c r="AJ1359">
        <f>IF(DAY(NOW())&lt;M3,INDIRECT(ADDRESS(1359,35))-INDIRECT(ADDRESS(1354,36))+INDIRECT(ADDRESS(1355,36))-INDIRECT(ADDRESS(1358,36)),INDIRECT(ADDRESS(1359,35))-INDIRECT(ADDRESS(1354,36))+INDIRECT(ADDRESS(1357,36))-INDIRECT(ADDRESS(1358,36)))</f>
        <v>0</v>
      </c>
      <c r="AK1359">
        <f>IF(DAY(NOW())&lt;M3,INDIRECT(ADDRESS(1359,36))-INDIRECT(ADDRESS(1354,37))+INDIRECT(ADDRESS(1355,37))-INDIRECT(ADDRESS(1358,37)),INDIRECT(ADDRESS(1359,36))-INDIRECT(ADDRESS(1354,37))+INDIRECT(ADDRESS(1357,37))-INDIRECT(ADDRESS(1358,37)))</f>
        <v>0</v>
      </c>
      <c r="AL1359">
        <f>IF(DAY(NOW())&lt;M3,INDIRECT(ADDRESS(1359,37))-INDIRECT(ADDRESS(1354,38))+INDIRECT(ADDRESS(1355,38))-INDIRECT(ADDRESS(1358,38)),INDIRECT(ADDRESS(1359,37))-INDIRECT(ADDRESS(1354,38))+INDIRECT(ADDRESS(1357,38))-INDIRECT(ADDRESS(1358,38)))</f>
        <v>0</v>
      </c>
      <c r="AM1359">
        <f>IF(DAY(NOW())&lt;M3,INDIRECT(ADDRESS(1359,38))-INDIRECT(ADDRESS(1354,39))+INDIRECT(ADDRESS(1355,39))-INDIRECT(ADDRESS(1358,39)),INDIRECT(ADDRESS(1359,38))-INDIRECT(ADDRESS(1354,39))+INDIRECT(ADDRESS(1357,39))-INDIRECT(ADDRESS(1358,39)))</f>
        <v>0</v>
      </c>
      <c r="AN1359">
        <f>IF(DAY(NOW())&lt;M3,INDIRECT(ADDRESS(1359,39))-INDIRECT(ADDRESS(1354,40))+INDIRECT(ADDRESS(1355,40))-INDIRECT(ADDRESS(1358,40)),INDIRECT(ADDRESS(1359,39))-INDIRECT(ADDRESS(1354,40))+INDIRECT(ADDRESS(1357,40))-INDIRECT(ADDRESS(1358,40)))</f>
        <v>0</v>
      </c>
      <c r="AO1359">
        <f>IF(DAY(NOW())&lt;M3,INDIRECT(ADDRESS(1359,40))-INDIRECT(ADDRESS(1354,41))+INDIRECT(ADDRESS(1355,41))-INDIRECT(ADDRESS(1358,41)),INDIRECT(ADDRESS(1359,40))-INDIRECT(ADDRESS(1354,41))+INDIRECT(ADDRESS(1357,41))-INDIRECT(ADDRESS(1358,41)))</f>
        <v>0</v>
      </c>
      <c r="AP1359">
        <f>IF(DAY(NOW())&lt;M3,INDIRECT(ADDRESS(1359,41))-INDIRECT(ADDRESS(1354,42))+INDIRECT(ADDRESS(1355,42))-INDIRECT(ADDRESS(1358,42)),INDIRECT(ADDRESS(1359,41))-INDIRECT(ADDRESS(1354,42))+INDIRECT(ADDRESS(1357,42))-INDIRECT(ADDRESS(1358,42)))</f>
        <v>0</v>
      </c>
      <c r="AQ1359">
        <f>IF(DAY(NOW())&lt;M3,INDIRECT(ADDRESS(1359,42))-INDIRECT(ADDRESS(1354,43))+INDIRECT(ADDRESS(1355,43))-INDIRECT(ADDRESS(1358,43)),INDIRECT(ADDRESS(1359,42))-INDIRECT(ADDRESS(1354,43))+INDIRECT(ADDRESS(1357,43))-INDIRECT(ADDRESS(1358,43)))</f>
        <v>0</v>
      </c>
      <c r="AR1359">
        <f>IF(DAY(NOW())&lt;M3,INDIRECT(ADDRESS(1359,43))-INDIRECT(ADDRESS(1354,44))+INDIRECT(ADDRESS(1355,44))-INDIRECT(ADDRESS(1358,44)),INDIRECT(ADDRESS(1359,43))-INDIRECT(ADDRESS(1354,44))+INDIRECT(ADDRESS(1357,44))-INDIRECT(ADDRESS(1358,44)))</f>
        <v>0</v>
      </c>
    </row>
    <row r="1360" spans="1:76">
      <c r="A1360" t="s">
        <v>31</v>
      </c>
      <c r="B1360" t="s">
        <v>549</v>
      </c>
      <c r="C1360" t="s">
        <v>550</v>
      </c>
      <c r="E1360" t="s">
        <v>444</v>
      </c>
      <c r="F1360" t="s">
        <v>551</v>
      </c>
      <c r="K1360" t="s">
        <v>516</v>
      </c>
      <c r="L1360" t="s">
        <v>21</v>
      </c>
      <c r="M1360">
        <f>sumifs(BOM!m:m,BOM!A:A,".1",BOM!B:B,"852-191000-110")</f>
        <v>0</v>
      </c>
      <c r="N1360">
        <f>sumifs(BOM!n:n,BOM!A:A,".1",BOM!B:B,"852-191000-110")</f>
        <v>0</v>
      </c>
      <c r="O1360">
        <f>sumifs(BOM!o:o,BOM!A:A,".1",BOM!B:B,"852-191000-110")</f>
        <v>0</v>
      </c>
      <c r="P1360">
        <f>sumifs(BOM!p:p,BOM!A:A,".1",BOM!B:B,"852-191000-110")</f>
        <v>0</v>
      </c>
      <c r="Q1360">
        <f>sumifs(BOM!q:q,BOM!A:A,".1",BOM!B:B,"852-191000-110")</f>
        <v>0</v>
      </c>
      <c r="R1360">
        <f>sumifs(BOM!r:r,BOM!A:A,".1",BOM!B:B,"852-191000-110")</f>
        <v>0</v>
      </c>
      <c r="S1360">
        <f>sumifs(BOM!s:s,BOM!A:A,".1",BOM!B:B,"852-191000-110")</f>
        <v>0</v>
      </c>
      <c r="T1360">
        <f>sumifs(BOM!t:t,BOM!A:A,".1",BOM!B:B,"852-191000-110")</f>
        <v>0</v>
      </c>
      <c r="U1360">
        <f>sumifs(BOM!u:u,BOM!A:A,".1",BOM!B:B,"852-191000-110")</f>
        <v>0</v>
      </c>
      <c r="V1360">
        <f>sumifs(BOM!v:v,BOM!A:A,".1",BOM!B:B,"852-191000-110")</f>
        <v>0</v>
      </c>
      <c r="W1360">
        <f>sumifs(BOM!w:w,BOM!A:A,".1",BOM!B:B,"852-191000-110")</f>
        <v>0</v>
      </c>
      <c r="X1360">
        <f>sumifs(BOM!x:x,BOM!A:A,".1",BOM!B:B,"852-191000-110")</f>
        <v>0</v>
      </c>
      <c r="Y1360">
        <f>sumifs(BOM!y:y,BOM!A:A,".1",BOM!B:B,"852-191000-110")</f>
        <v>0</v>
      </c>
      <c r="Z1360">
        <f>sumifs(BOM!z:z,BOM!A:A,".1",BOM!B:B,"852-191000-110")</f>
        <v>0</v>
      </c>
      <c r="AA1360">
        <f>sumifs(BOM!aa:aa,BOM!A:A,".1",BOM!B:B,"852-191000-110")</f>
        <v>0</v>
      </c>
      <c r="AB1360">
        <f>sumifs(BOM!ab:ab,BOM!A:A,".1",BOM!B:B,"852-191000-110")</f>
        <v>0</v>
      </c>
      <c r="AC1360">
        <f>sumifs(BOM!ac:ac,BOM!A:A,".1",BOM!B:B,"852-191000-110")</f>
        <v>0</v>
      </c>
      <c r="AD1360">
        <f>sumifs(BOM!ad:ad,BOM!A:A,".1",BOM!B:B,"852-191000-110")</f>
        <v>0</v>
      </c>
      <c r="AE1360">
        <f>sumifs(BOM!ae:ae,BOM!A:A,".1",BOM!B:B,"852-191000-110")</f>
        <v>0</v>
      </c>
      <c r="AF1360">
        <f>sumifs(BOM!af:af,BOM!A:A,".1",BOM!B:B,"852-191000-110")</f>
        <v>0</v>
      </c>
      <c r="AG1360">
        <f>sumifs(BOM!ag:ag,BOM!A:A,".1",BOM!B:B,"852-191000-110")</f>
        <v>0</v>
      </c>
      <c r="AH1360">
        <f>sumifs(BOM!ah:ah,BOM!A:A,".1",BOM!B:B,"852-191000-110")</f>
        <v>0</v>
      </c>
      <c r="AI1360">
        <f>sumifs(BOM!ai:ai,BOM!A:A,".1",BOM!B:B,"852-191000-110")</f>
        <v>0</v>
      </c>
      <c r="AJ1360">
        <f>sumifs(BOM!aj:aj,BOM!A:A,".1",BOM!B:B,"852-191000-110")</f>
        <v>0</v>
      </c>
      <c r="AK1360">
        <f>sumifs(BOM!ak:ak,BOM!A:A,".1",BOM!B:B,"852-191000-110")</f>
        <v>0</v>
      </c>
      <c r="AL1360">
        <f>sumifs(BOM!al:al,BOM!A:A,".1",BOM!B:B,"852-191000-110")</f>
        <v>0</v>
      </c>
      <c r="AM1360">
        <f>sumifs(BOM!am:am,BOM!A:A,".1",BOM!B:B,"852-191000-110")</f>
        <v>0</v>
      </c>
      <c r="AN1360">
        <f>sumifs(BOM!an:an,BOM!A:A,".1",BOM!B:B,"852-191000-110")</f>
        <v>0</v>
      </c>
      <c r="AO1360">
        <f>sumifs(BOM!ao:ao,BOM!A:A,".1",BOM!B:B,"852-191000-110")</f>
        <v>0</v>
      </c>
      <c r="AP1360">
        <f>sumifs(BOM!ap:ap,BOM!A:A,".1",BOM!B:B,"852-191000-110")</f>
        <v>0</v>
      </c>
      <c r="AQ1360">
        <f>sumifs(BOM!aq:aq,BOM!A:A,".1",BOM!B:B,"852-191000-110")</f>
        <v>0</v>
      </c>
      <c r="AR1360">
        <f>sumifs(BOM!ar:ar,BOM!A:A,".1",BOM!B:B,"852-191000-110")</f>
        <v>0</v>
      </c>
      <c r="BX1360">
        <f>sum(j1360:an1360)</f>
        <v>0</v>
      </c>
    </row>
    <row r="1361" spans="1:76">
      <c r="A1361" t="s">
        <v>31</v>
      </c>
      <c r="B1361" t="s">
        <v>549</v>
      </c>
      <c r="C1361" t="s">
        <v>550</v>
      </c>
      <c r="E1361" t="s">
        <v>444</v>
      </c>
      <c r="F1361" t="s">
        <v>551</v>
      </c>
      <c r="K1361" t="s">
        <v>516</v>
      </c>
      <c r="L1361" t="s">
        <v>37</v>
      </c>
    </row>
    <row r="1362" spans="1:76">
      <c r="L1362" t="s">
        <v>662</v>
      </c>
    </row>
    <row r="1363" spans="1:76">
      <c r="L1363" t="s">
        <v>663</v>
      </c>
    </row>
    <row r="1364" spans="1:76">
      <c r="L1364" t="s">
        <v>664</v>
      </c>
    </row>
    <row r="1365" spans="1:76">
      <c r="L1365" t="s">
        <v>665</v>
      </c>
      <c r="M1365">
        <f>IF(DAY(NOW())&lt;M3,INDIRECT(ADDRESS(1365,7))-INDIRECT(ADDRESS(1360,13))+INDIRECT(ADDRESS(1361,13))-INDIRECT(ADDRESS(1364,13)),INDIRECT(ADDRESS(1365,7))-INDIRECT(ADDRESS(1360,13))+INDIRECT(ADDRESS(1363,13))-INDIRECT(ADDRESS(1364,13)))</f>
        <v>0</v>
      </c>
      <c r="N1365">
        <f>IF(DAY(NOW())&lt;M3,INDIRECT(ADDRESS(1365,13))-INDIRECT(ADDRESS(1360,14))+INDIRECT(ADDRESS(1361,14))-INDIRECT(ADDRESS(1364,14)),INDIRECT(ADDRESS(1365,13))-INDIRECT(ADDRESS(1360,14))+INDIRECT(ADDRESS(1363,14))-INDIRECT(ADDRESS(1364,14)))</f>
        <v>0</v>
      </c>
      <c r="O1365">
        <f>IF(DAY(NOW())&lt;M3,INDIRECT(ADDRESS(1365,14))-INDIRECT(ADDRESS(1360,15))+INDIRECT(ADDRESS(1361,15))-INDIRECT(ADDRESS(1364,15)),INDIRECT(ADDRESS(1365,14))-INDIRECT(ADDRESS(1360,15))+INDIRECT(ADDRESS(1363,15))-INDIRECT(ADDRESS(1364,15)))</f>
        <v>0</v>
      </c>
      <c r="P1365">
        <f>IF(DAY(NOW())&lt;M3,INDIRECT(ADDRESS(1365,15))-INDIRECT(ADDRESS(1360,16))+INDIRECT(ADDRESS(1361,16))-INDIRECT(ADDRESS(1364,16)),INDIRECT(ADDRESS(1365,15))-INDIRECT(ADDRESS(1360,16))+INDIRECT(ADDRESS(1363,16))-INDIRECT(ADDRESS(1364,16)))</f>
        <v>0</v>
      </c>
      <c r="Q1365">
        <f>IF(DAY(NOW())&lt;M3,INDIRECT(ADDRESS(1365,16))-INDIRECT(ADDRESS(1360,17))+INDIRECT(ADDRESS(1361,17))-INDIRECT(ADDRESS(1364,17)),INDIRECT(ADDRESS(1365,16))-INDIRECT(ADDRESS(1360,17))+INDIRECT(ADDRESS(1363,17))-INDIRECT(ADDRESS(1364,17)))</f>
        <v>0</v>
      </c>
      <c r="R1365">
        <f>IF(DAY(NOW())&lt;M3,INDIRECT(ADDRESS(1365,17))-INDIRECT(ADDRESS(1360,18))+INDIRECT(ADDRESS(1361,18))-INDIRECT(ADDRESS(1364,18)),INDIRECT(ADDRESS(1365,17))-INDIRECT(ADDRESS(1360,18))+INDIRECT(ADDRESS(1363,18))-INDIRECT(ADDRESS(1364,18)))</f>
        <v>0</v>
      </c>
      <c r="S1365">
        <f>IF(DAY(NOW())&lt;M3,INDIRECT(ADDRESS(1365,18))-INDIRECT(ADDRESS(1360,19))+INDIRECT(ADDRESS(1361,19))-INDIRECT(ADDRESS(1364,19)),INDIRECT(ADDRESS(1365,18))-INDIRECT(ADDRESS(1360,19))+INDIRECT(ADDRESS(1363,19))-INDIRECT(ADDRESS(1364,19)))</f>
        <v>0</v>
      </c>
      <c r="T1365">
        <f>IF(DAY(NOW())&lt;M3,INDIRECT(ADDRESS(1365,19))-INDIRECT(ADDRESS(1360,20))+INDIRECT(ADDRESS(1361,20))-INDIRECT(ADDRESS(1364,20)),INDIRECT(ADDRESS(1365,19))-INDIRECT(ADDRESS(1360,20))+INDIRECT(ADDRESS(1363,20))-INDIRECT(ADDRESS(1364,20)))</f>
        <v>0</v>
      </c>
      <c r="U1365">
        <f>IF(DAY(NOW())&lt;M3,INDIRECT(ADDRESS(1365,20))-INDIRECT(ADDRESS(1360,21))+INDIRECT(ADDRESS(1361,21))-INDIRECT(ADDRESS(1364,21)),INDIRECT(ADDRESS(1365,20))-INDIRECT(ADDRESS(1360,21))+INDIRECT(ADDRESS(1363,21))-INDIRECT(ADDRESS(1364,21)))</f>
        <v>0</v>
      </c>
      <c r="V1365">
        <f>IF(DAY(NOW())&lt;M3,INDIRECT(ADDRESS(1365,21))-INDIRECT(ADDRESS(1360,22))+INDIRECT(ADDRESS(1361,22))-INDIRECT(ADDRESS(1364,22)),INDIRECT(ADDRESS(1365,21))-INDIRECT(ADDRESS(1360,22))+INDIRECT(ADDRESS(1363,22))-INDIRECT(ADDRESS(1364,22)))</f>
        <v>0</v>
      </c>
      <c r="W1365">
        <f>IF(DAY(NOW())&lt;M3,INDIRECT(ADDRESS(1365,22))-INDIRECT(ADDRESS(1360,23))+INDIRECT(ADDRESS(1361,23))-INDIRECT(ADDRESS(1364,23)),INDIRECT(ADDRESS(1365,22))-INDIRECT(ADDRESS(1360,23))+INDIRECT(ADDRESS(1363,23))-INDIRECT(ADDRESS(1364,23)))</f>
        <v>0</v>
      </c>
      <c r="X1365">
        <f>IF(DAY(NOW())&lt;M3,INDIRECT(ADDRESS(1365,23))-INDIRECT(ADDRESS(1360,24))+INDIRECT(ADDRESS(1361,24))-INDIRECT(ADDRESS(1364,24)),INDIRECT(ADDRESS(1365,23))-INDIRECT(ADDRESS(1360,24))+INDIRECT(ADDRESS(1363,24))-INDIRECT(ADDRESS(1364,24)))</f>
        <v>0</v>
      </c>
      <c r="Y1365">
        <f>IF(DAY(NOW())&lt;M3,INDIRECT(ADDRESS(1365,24))-INDIRECT(ADDRESS(1360,25))+INDIRECT(ADDRESS(1361,25))-INDIRECT(ADDRESS(1364,25)),INDIRECT(ADDRESS(1365,24))-INDIRECT(ADDRESS(1360,25))+INDIRECT(ADDRESS(1363,25))-INDIRECT(ADDRESS(1364,25)))</f>
        <v>0</v>
      </c>
      <c r="Z1365">
        <f>IF(DAY(NOW())&lt;M3,INDIRECT(ADDRESS(1365,25))-INDIRECT(ADDRESS(1360,26))+INDIRECT(ADDRESS(1361,26))-INDIRECT(ADDRESS(1364,26)),INDIRECT(ADDRESS(1365,25))-INDIRECT(ADDRESS(1360,26))+INDIRECT(ADDRESS(1363,26))-INDIRECT(ADDRESS(1364,26)))</f>
        <v>0</v>
      </c>
      <c r="AA1365">
        <f>IF(DAY(NOW())&lt;M3,INDIRECT(ADDRESS(1365,26))-INDIRECT(ADDRESS(1360,27))+INDIRECT(ADDRESS(1361,27))-INDIRECT(ADDRESS(1364,27)),INDIRECT(ADDRESS(1365,26))-INDIRECT(ADDRESS(1360,27))+INDIRECT(ADDRESS(1363,27))-INDIRECT(ADDRESS(1364,27)))</f>
        <v>0</v>
      </c>
      <c r="AB1365">
        <f>IF(DAY(NOW())&lt;M3,INDIRECT(ADDRESS(1365,27))-INDIRECT(ADDRESS(1360,28))+INDIRECT(ADDRESS(1361,28))-INDIRECT(ADDRESS(1364,28)),INDIRECT(ADDRESS(1365,27))-INDIRECT(ADDRESS(1360,28))+INDIRECT(ADDRESS(1363,28))-INDIRECT(ADDRESS(1364,28)))</f>
        <v>0</v>
      </c>
      <c r="AC1365">
        <f>IF(DAY(NOW())&lt;M3,INDIRECT(ADDRESS(1365,28))-INDIRECT(ADDRESS(1360,29))+INDIRECT(ADDRESS(1361,29))-INDIRECT(ADDRESS(1364,29)),INDIRECT(ADDRESS(1365,28))-INDIRECT(ADDRESS(1360,29))+INDIRECT(ADDRESS(1363,29))-INDIRECT(ADDRESS(1364,29)))</f>
        <v>0</v>
      </c>
      <c r="AD1365">
        <f>IF(DAY(NOW())&lt;M3,INDIRECT(ADDRESS(1365,29))-INDIRECT(ADDRESS(1360,30))+INDIRECT(ADDRESS(1361,30))-INDIRECT(ADDRESS(1364,30)),INDIRECT(ADDRESS(1365,29))-INDIRECT(ADDRESS(1360,30))+INDIRECT(ADDRESS(1363,30))-INDIRECT(ADDRESS(1364,30)))</f>
        <v>0</v>
      </c>
      <c r="AE1365">
        <f>IF(DAY(NOW())&lt;M3,INDIRECT(ADDRESS(1365,30))-INDIRECT(ADDRESS(1360,31))+INDIRECT(ADDRESS(1361,31))-INDIRECT(ADDRESS(1364,31)),INDIRECT(ADDRESS(1365,30))-INDIRECT(ADDRESS(1360,31))+INDIRECT(ADDRESS(1363,31))-INDIRECT(ADDRESS(1364,31)))</f>
        <v>0</v>
      </c>
      <c r="AF1365">
        <f>IF(DAY(NOW())&lt;M3,INDIRECT(ADDRESS(1365,31))-INDIRECT(ADDRESS(1360,32))+INDIRECT(ADDRESS(1361,32))-INDIRECT(ADDRESS(1364,32)),INDIRECT(ADDRESS(1365,31))-INDIRECT(ADDRESS(1360,32))+INDIRECT(ADDRESS(1363,32))-INDIRECT(ADDRESS(1364,32)))</f>
        <v>0</v>
      </c>
      <c r="AG1365">
        <f>IF(DAY(NOW())&lt;M3,INDIRECT(ADDRESS(1365,32))-INDIRECT(ADDRESS(1360,33))+INDIRECT(ADDRESS(1361,33))-INDIRECT(ADDRESS(1364,33)),INDIRECT(ADDRESS(1365,32))-INDIRECT(ADDRESS(1360,33))+INDIRECT(ADDRESS(1363,33))-INDIRECT(ADDRESS(1364,33)))</f>
        <v>0</v>
      </c>
      <c r="AH1365">
        <f>IF(DAY(NOW())&lt;M3,INDIRECT(ADDRESS(1365,33))-INDIRECT(ADDRESS(1360,34))+INDIRECT(ADDRESS(1361,34))-INDIRECT(ADDRESS(1364,34)),INDIRECT(ADDRESS(1365,33))-INDIRECT(ADDRESS(1360,34))+INDIRECT(ADDRESS(1363,34))-INDIRECT(ADDRESS(1364,34)))</f>
        <v>0</v>
      </c>
      <c r="AI1365">
        <f>IF(DAY(NOW())&lt;M3,INDIRECT(ADDRESS(1365,34))-INDIRECT(ADDRESS(1360,35))+INDIRECT(ADDRESS(1361,35))-INDIRECT(ADDRESS(1364,35)),INDIRECT(ADDRESS(1365,34))-INDIRECT(ADDRESS(1360,35))+INDIRECT(ADDRESS(1363,35))-INDIRECT(ADDRESS(1364,35)))</f>
        <v>0</v>
      </c>
      <c r="AJ1365">
        <f>IF(DAY(NOW())&lt;M3,INDIRECT(ADDRESS(1365,35))-INDIRECT(ADDRESS(1360,36))+INDIRECT(ADDRESS(1361,36))-INDIRECT(ADDRESS(1364,36)),INDIRECT(ADDRESS(1365,35))-INDIRECT(ADDRESS(1360,36))+INDIRECT(ADDRESS(1363,36))-INDIRECT(ADDRESS(1364,36)))</f>
        <v>0</v>
      </c>
      <c r="AK1365">
        <f>IF(DAY(NOW())&lt;M3,INDIRECT(ADDRESS(1365,36))-INDIRECT(ADDRESS(1360,37))+INDIRECT(ADDRESS(1361,37))-INDIRECT(ADDRESS(1364,37)),INDIRECT(ADDRESS(1365,36))-INDIRECT(ADDRESS(1360,37))+INDIRECT(ADDRESS(1363,37))-INDIRECT(ADDRESS(1364,37)))</f>
        <v>0</v>
      </c>
      <c r="AL1365">
        <f>IF(DAY(NOW())&lt;M3,INDIRECT(ADDRESS(1365,37))-INDIRECT(ADDRESS(1360,38))+INDIRECT(ADDRESS(1361,38))-INDIRECT(ADDRESS(1364,38)),INDIRECT(ADDRESS(1365,37))-INDIRECT(ADDRESS(1360,38))+INDIRECT(ADDRESS(1363,38))-INDIRECT(ADDRESS(1364,38)))</f>
        <v>0</v>
      </c>
      <c r="AM1365">
        <f>IF(DAY(NOW())&lt;M3,INDIRECT(ADDRESS(1365,38))-INDIRECT(ADDRESS(1360,39))+INDIRECT(ADDRESS(1361,39))-INDIRECT(ADDRESS(1364,39)),INDIRECT(ADDRESS(1365,38))-INDIRECT(ADDRESS(1360,39))+INDIRECT(ADDRESS(1363,39))-INDIRECT(ADDRESS(1364,39)))</f>
        <v>0</v>
      </c>
      <c r="AN1365">
        <f>IF(DAY(NOW())&lt;M3,INDIRECT(ADDRESS(1365,39))-INDIRECT(ADDRESS(1360,40))+INDIRECT(ADDRESS(1361,40))-INDIRECT(ADDRESS(1364,40)),INDIRECT(ADDRESS(1365,39))-INDIRECT(ADDRESS(1360,40))+INDIRECT(ADDRESS(1363,40))-INDIRECT(ADDRESS(1364,40)))</f>
        <v>0</v>
      </c>
      <c r="AO1365">
        <f>IF(DAY(NOW())&lt;M3,INDIRECT(ADDRESS(1365,40))-INDIRECT(ADDRESS(1360,41))+INDIRECT(ADDRESS(1361,41))-INDIRECT(ADDRESS(1364,41)),INDIRECT(ADDRESS(1365,40))-INDIRECT(ADDRESS(1360,41))+INDIRECT(ADDRESS(1363,41))-INDIRECT(ADDRESS(1364,41)))</f>
        <v>0</v>
      </c>
      <c r="AP1365">
        <f>IF(DAY(NOW())&lt;M3,INDIRECT(ADDRESS(1365,41))-INDIRECT(ADDRESS(1360,42))+INDIRECT(ADDRESS(1361,42))-INDIRECT(ADDRESS(1364,42)),INDIRECT(ADDRESS(1365,41))-INDIRECT(ADDRESS(1360,42))+INDIRECT(ADDRESS(1363,42))-INDIRECT(ADDRESS(1364,42)))</f>
        <v>0</v>
      </c>
      <c r="AQ1365">
        <f>IF(DAY(NOW())&lt;M3,INDIRECT(ADDRESS(1365,42))-INDIRECT(ADDRESS(1360,43))+INDIRECT(ADDRESS(1361,43))-INDIRECT(ADDRESS(1364,43)),INDIRECT(ADDRESS(1365,42))-INDIRECT(ADDRESS(1360,43))+INDIRECT(ADDRESS(1363,43))-INDIRECT(ADDRESS(1364,43)))</f>
        <v>0</v>
      </c>
      <c r="AR1365">
        <f>IF(DAY(NOW())&lt;M3,INDIRECT(ADDRESS(1365,43))-INDIRECT(ADDRESS(1360,44))+INDIRECT(ADDRESS(1361,44))-INDIRECT(ADDRESS(1364,44)),INDIRECT(ADDRESS(1365,43))-INDIRECT(ADDRESS(1360,44))+INDIRECT(ADDRESS(1363,44))-INDIRECT(ADDRESS(1364,44)))</f>
        <v>0</v>
      </c>
    </row>
    <row r="1366" spans="1:76">
      <c r="A1366" t="s">
        <v>31</v>
      </c>
      <c r="B1366" t="s">
        <v>552</v>
      </c>
      <c r="C1366" t="s">
        <v>553</v>
      </c>
      <c r="D1366" t="s">
        <v>554</v>
      </c>
      <c r="E1366" t="s">
        <v>444</v>
      </c>
      <c r="F1366" t="s">
        <v>555</v>
      </c>
      <c r="K1366" t="s">
        <v>516</v>
      </c>
      <c r="L1366" t="s">
        <v>21</v>
      </c>
      <c r="M1366">
        <f>sumifs(BOM!m:m,BOM!A:A,".1",BOM!B:B,"852-191000-100")</f>
        <v>0</v>
      </c>
      <c r="N1366">
        <f>sumifs(BOM!n:n,BOM!A:A,".1",BOM!B:B,"852-191000-100")</f>
        <v>0</v>
      </c>
      <c r="O1366">
        <f>sumifs(BOM!o:o,BOM!A:A,".1",BOM!B:B,"852-191000-100")</f>
        <v>0</v>
      </c>
      <c r="P1366">
        <f>sumifs(BOM!p:p,BOM!A:A,".1",BOM!B:B,"852-191000-100")</f>
        <v>0</v>
      </c>
      <c r="Q1366">
        <f>sumifs(BOM!q:q,BOM!A:A,".1",BOM!B:B,"852-191000-100")</f>
        <v>0</v>
      </c>
      <c r="R1366">
        <f>sumifs(BOM!r:r,BOM!A:A,".1",BOM!B:B,"852-191000-100")</f>
        <v>0</v>
      </c>
      <c r="S1366">
        <f>sumifs(BOM!s:s,BOM!A:A,".1",BOM!B:B,"852-191000-100")</f>
        <v>0</v>
      </c>
      <c r="T1366">
        <f>sumifs(BOM!t:t,BOM!A:A,".1",BOM!B:B,"852-191000-100")</f>
        <v>0</v>
      </c>
      <c r="U1366">
        <f>sumifs(BOM!u:u,BOM!A:A,".1",BOM!B:B,"852-191000-100")</f>
        <v>0</v>
      </c>
      <c r="V1366">
        <f>sumifs(BOM!v:v,BOM!A:A,".1",BOM!B:B,"852-191000-100")</f>
        <v>0</v>
      </c>
      <c r="W1366">
        <f>sumifs(BOM!w:w,BOM!A:A,".1",BOM!B:B,"852-191000-100")</f>
        <v>0</v>
      </c>
      <c r="X1366">
        <f>sumifs(BOM!x:x,BOM!A:A,".1",BOM!B:B,"852-191000-100")</f>
        <v>0</v>
      </c>
      <c r="Y1366">
        <f>sumifs(BOM!y:y,BOM!A:A,".1",BOM!B:B,"852-191000-100")</f>
        <v>0</v>
      </c>
      <c r="Z1366">
        <f>sumifs(BOM!z:z,BOM!A:A,".1",BOM!B:B,"852-191000-100")</f>
        <v>0</v>
      </c>
      <c r="AA1366">
        <f>sumifs(BOM!aa:aa,BOM!A:A,".1",BOM!B:B,"852-191000-100")</f>
        <v>0</v>
      </c>
      <c r="AB1366">
        <f>sumifs(BOM!ab:ab,BOM!A:A,".1",BOM!B:B,"852-191000-100")</f>
        <v>0</v>
      </c>
      <c r="AC1366">
        <f>sumifs(BOM!ac:ac,BOM!A:A,".1",BOM!B:B,"852-191000-100")</f>
        <v>0</v>
      </c>
      <c r="AD1366">
        <f>sumifs(BOM!ad:ad,BOM!A:A,".1",BOM!B:B,"852-191000-100")</f>
        <v>0</v>
      </c>
      <c r="AE1366">
        <f>sumifs(BOM!ae:ae,BOM!A:A,".1",BOM!B:B,"852-191000-100")</f>
        <v>0</v>
      </c>
      <c r="AF1366">
        <f>sumifs(BOM!af:af,BOM!A:A,".1",BOM!B:B,"852-191000-100")</f>
        <v>0</v>
      </c>
      <c r="AG1366">
        <f>sumifs(BOM!ag:ag,BOM!A:A,".1",BOM!B:B,"852-191000-100")</f>
        <v>0</v>
      </c>
      <c r="AH1366">
        <f>sumifs(BOM!ah:ah,BOM!A:A,".1",BOM!B:B,"852-191000-100")</f>
        <v>0</v>
      </c>
      <c r="AI1366">
        <f>sumifs(BOM!ai:ai,BOM!A:A,".1",BOM!B:B,"852-191000-100")</f>
        <v>0</v>
      </c>
      <c r="AJ1366">
        <f>sumifs(BOM!aj:aj,BOM!A:A,".1",BOM!B:B,"852-191000-100")</f>
        <v>0</v>
      </c>
      <c r="AK1366">
        <f>sumifs(BOM!ak:ak,BOM!A:A,".1",BOM!B:B,"852-191000-100")</f>
        <v>0</v>
      </c>
      <c r="AL1366">
        <f>sumifs(BOM!al:al,BOM!A:A,".1",BOM!B:B,"852-191000-100")</f>
        <v>0</v>
      </c>
      <c r="AM1366">
        <f>sumifs(BOM!am:am,BOM!A:A,".1",BOM!B:B,"852-191000-100")</f>
        <v>0</v>
      </c>
      <c r="AN1366">
        <f>sumifs(BOM!an:an,BOM!A:A,".1",BOM!B:B,"852-191000-100")</f>
        <v>0</v>
      </c>
      <c r="AO1366">
        <f>sumifs(BOM!ao:ao,BOM!A:A,".1",BOM!B:B,"852-191000-100")</f>
        <v>0</v>
      </c>
      <c r="AP1366">
        <f>sumifs(BOM!ap:ap,BOM!A:A,".1",BOM!B:B,"852-191000-100")</f>
        <v>0</v>
      </c>
      <c r="AQ1366">
        <f>sumifs(BOM!aq:aq,BOM!A:A,".1",BOM!B:B,"852-191000-100")</f>
        <v>0</v>
      </c>
      <c r="AR1366">
        <f>sumifs(BOM!ar:ar,BOM!A:A,".1",BOM!B:B,"852-191000-100")</f>
        <v>0</v>
      </c>
      <c r="BX1366">
        <f>sum(j1366:an1366)</f>
        <v>0</v>
      </c>
    </row>
    <row r="1367" spans="1:76">
      <c r="A1367" t="s">
        <v>31</v>
      </c>
      <c r="B1367" t="s">
        <v>552</v>
      </c>
      <c r="C1367" t="s">
        <v>553</v>
      </c>
      <c r="D1367" t="s">
        <v>554</v>
      </c>
      <c r="E1367" t="s">
        <v>444</v>
      </c>
      <c r="F1367" t="s">
        <v>555</v>
      </c>
      <c r="K1367" t="s">
        <v>516</v>
      </c>
      <c r="L1367" t="s">
        <v>37</v>
      </c>
    </row>
    <row r="1368" spans="1:76">
      <c r="L1368" t="s">
        <v>662</v>
      </c>
    </row>
    <row r="1369" spans="1:76">
      <c r="L1369" t="s">
        <v>663</v>
      </c>
    </row>
    <row r="1370" spans="1:76">
      <c r="L1370" t="s">
        <v>664</v>
      </c>
    </row>
    <row r="1371" spans="1:76">
      <c r="L1371" t="s">
        <v>665</v>
      </c>
      <c r="M1371">
        <f>IF(DAY(NOW())&lt;M3,INDIRECT(ADDRESS(1371,7))-INDIRECT(ADDRESS(1366,13))+INDIRECT(ADDRESS(1367,13))-INDIRECT(ADDRESS(1370,13)),INDIRECT(ADDRESS(1371,7))-INDIRECT(ADDRESS(1366,13))+INDIRECT(ADDRESS(1369,13))-INDIRECT(ADDRESS(1370,13)))</f>
        <v>0</v>
      </c>
      <c r="N1371">
        <f>IF(DAY(NOW())&lt;M3,INDIRECT(ADDRESS(1371,13))-INDIRECT(ADDRESS(1366,14))+INDIRECT(ADDRESS(1367,14))-INDIRECT(ADDRESS(1370,14)),INDIRECT(ADDRESS(1371,13))-INDIRECT(ADDRESS(1366,14))+INDIRECT(ADDRESS(1369,14))-INDIRECT(ADDRESS(1370,14)))</f>
        <v>0</v>
      </c>
      <c r="O1371">
        <f>IF(DAY(NOW())&lt;M3,INDIRECT(ADDRESS(1371,14))-INDIRECT(ADDRESS(1366,15))+INDIRECT(ADDRESS(1367,15))-INDIRECT(ADDRESS(1370,15)),INDIRECT(ADDRESS(1371,14))-INDIRECT(ADDRESS(1366,15))+INDIRECT(ADDRESS(1369,15))-INDIRECT(ADDRESS(1370,15)))</f>
        <v>0</v>
      </c>
      <c r="P1371">
        <f>IF(DAY(NOW())&lt;M3,INDIRECT(ADDRESS(1371,15))-INDIRECT(ADDRESS(1366,16))+INDIRECT(ADDRESS(1367,16))-INDIRECT(ADDRESS(1370,16)),INDIRECT(ADDRESS(1371,15))-INDIRECT(ADDRESS(1366,16))+INDIRECT(ADDRESS(1369,16))-INDIRECT(ADDRESS(1370,16)))</f>
        <v>0</v>
      </c>
      <c r="Q1371">
        <f>IF(DAY(NOW())&lt;M3,INDIRECT(ADDRESS(1371,16))-INDIRECT(ADDRESS(1366,17))+INDIRECT(ADDRESS(1367,17))-INDIRECT(ADDRESS(1370,17)),INDIRECT(ADDRESS(1371,16))-INDIRECT(ADDRESS(1366,17))+INDIRECT(ADDRESS(1369,17))-INDIRECT(ADDRESS(1370,17)))</f>
        <v>0</v>
      </c>
      <c r="R1371">
        <f>IF(DAY(NOW())&lt;M3,INDIRECT(ADDRESS(1371,17))-INDIRECT(ADDRESS(1366,18))+INDIRECT(ADDRESS(1367,18))-INDIRECT(ADDRESS(1370,18)),INDIRECT(ADDRESS(1371,17))-INDIRECT(ADDRESS(1366,18))+INDIRECT(ADDRESS(1369,18))-INDIRECT(ADDRESS(1370,18)))</f>
        <v>0</v>
      </c>
      <c r="S1371">
        <f>IF(DAY(NOW())&lt;M3,INDIRECT(ADDRESS(1371,18))-INDIRECT(ADDRESS(1366,19))+INDIRECT(ADDRESS(1367,19))-INDIRECT(ADDRESS(1370,19)),INDIRECT(ADDRESS(1371,18))-INDIRECT(ADDRESS(1366,19))+INDIRECT(ADDRESS(1369,19))-INDIRECT(ADDRESS(1370,19)))</f>
        <v>0</v>
      </c>
      <c r="T1371">
        <f>IF(DAY(NOW())&lt;M3,INDIRECT(ADDRESS(1371,19))-INDIRECT(ADDRESS(1366,20))+INDIRECT(ADDRESS(1367,20))-INDIRECT(ADDRESS(1370,20)),INDIRECT(ADDRESS(1371,19))-INDIRECT(ADDRESS(1366,20))+INDIRECT(ADDRESS(1369,20))-INDIRECT(ADDRESS(1370,20)))</f>
        <v>0</v>
      </c>
      <c r="U1371">
        <f>IF(DAY(NOW())&lt;M3,INDIRECT(ADDRESS(1371,20))-INDIRECT(ADDRESS(1366,21))+INDIRECT(ADDRESS(1367,21))-INDIRECT(ADDRESS(1370,21)),INDIRECT(ADDRESS(1371,20))-INDIRECT(ADDRESS(1366,21))+INDIRECT(ADDRESS(1369,21))-INDIRECT(ADDRESS(1370,21)))</f>
        <v>0</v>
      </c>
      <c r="V1371">
        <f>IF(DAY(NOW())&lt;M3,INDIRECT(ADDRESS(1371,21))-INDIRECT(ADDRESS(1366,22))+INDIRECT(ADDRESS(1367,22))-INDIRECT(ADDRESS(1370,22)),INDIRECT(ADDRESS(1371,21))-INDIRECT(ADDRESS(1366,22))+INDIRECT(ADDRESS(1369,22))-INDIRECT(ADDRESS(1370,22)))</f>
        <v>0</v>
      </c>
      <c r="W1371">
        <f>IF(DAY(NOW())&lt;M3,INDIRECT(ADDRESS(1371,22))-INDIRECT(ADDRESS(1366,23))+INDIRECT(ADDRESS(1367,23))-INDIRECT(ADDRESS(1370,23)),INDIRECT(ADDRESS(1371,22))-INDIRECT(ADDRESS(1366,23))+INDIRECT(ADDRESS(1369,23))-INDIRECT(ADDRESS(1370,23)))</f>
        <v>0</v>
      </c>
      <c r="X1371">
        <f>IF(DAY(NOW())&lt;M3,INDIRECT(ADDRESS(1371,23))-INDIRECT(ADDRESS(1366,24))+INDIRECT(ADDRESS(1367,24))-INDIRECT(ADDRESS(1370,24)),INDIRECT(ADDRESS(1371,23))-INDIRECT(ADDRESS(1366,24))+INDIRECT(ADDRESS(1369,24))-INDIRECT(ADDRESS(1370,24)))</f>
        <v>0</v>
      </c>
      <c r="Y1371">
        <f>IF(DAY(NOW())&lt;M3,INDIRECT(ADDRESS(1371,24))-INDIRECT(ADDRESS(1366,25))+INDIRECT(ADDRESS(1367,25))-INDIRECT(ADDRESS(1370,25)),INDIRECT(ADDRESS(1371,24))-INDIRECT(ADDRESS(1366,25))+INDIRECT(ADDRESS(1369,25))-INDIRECT(ADDRESS(1370,25)))</f>
        <v>0</v>
      </c>
      <c r="Z1371">
        <f>IF(DAY(NOW())&lt;M3,INDIRECT(ADDRESS(1371,25))-INDIRECT(ADDRESS(1366,26))+INDIRECT(ADDRESS(1367,26))-INDIRECT(ADDRESS(1370,26)),INDIRECT(ADDRESS(1371,25))-INDIRECT(ADDRESS(1366,26))+INDIRECT(ADDRESS(1369,26))-INDIRECT(ADDRESS(1370,26)))</f>
        <v>0</v>
      </c>
      <c r="AA1371">
        <f>IF(DAY(NOW())&lt;M3,INDIRECT(ADDRESS(1371,26))-INDIRECT(ADDRESS(1366,27))+INDIRECT(ADDRESS(1367,27))-INDIRECT(ADDRESS(1370,27)),INDIRECT(ADDRESS(1371,26))-INDIRECT(ADDRESS(1366,27))+INDIRECT(ADDRESS(1369,27))-INDIRECT(ADDRESS(1370,27)))</f>
        <v>0</v>
      </c>
      <c r="AB1371">
        <f>IF(DAY(NOW())&lt;M3,INDIRECT(ADDRESS(1371,27))-INDIRECT(ADDRESS(1366,28))+INDIRECT(ADDRESS(1367,28))-INDIRECT(ADDRESS(1370,28)),INDIRECT(ADDRESS(1371,27))-INDIRECT(ADDRESS(1366,28))+INDIRECT(ADDRESS(1369,28))-INDIRECT(ADDRESS(1370,28)))</f>
        <v>0</v>
      </c>
      <c r="AC1371">
        <f>IF(DAY(NOW())&lt;M3,INDIRECT(ADDRESS(1371,28))-INDIRECT(ADDRESS(1366,29))+INDIRECT(ADDRESS(1367,29))-INDIRECT(ADDRESS(1370,29)),INDIRECT(ADDRESS(1371,28))-INDIRECT(ADDRESS(1366,29))+INDIRECT(ADDRESS(1369,29))-INDIRECT(ADDRESS(1370,29)))</f>
        <v>0</v>
      </c>
      <c r="AD1371">
        <f>IF(DAY(NOW())&lt;M3,INDIRECT(ADDRESS(1371,29))-INDIRECT(ADDRESS(1366,30))+INDIRECT(ADDRESS(1367,30))-INDIRECT(ADDRESS(1370,30)),INDIRECT(ADDRESS(1371,29))-INDIRECT(ADDRESS(1366,30))+INDIRECT(ADDRESS(1369,30))-INDIRECT(ADDRESS(1370,30)))</f>
        <v>0</v>
      </c>
      <c r="AE1371">
        <f>IF(DAY(NOW())&lt;M3,INDIRECT(ADDRESS(1371,30))-INDIRECT(ADDRESS(1366,31))+INDIRECT(ADDRESS(1367,31))-INDIRECT(ADDRESS(1370,31)),INDIRECT(ADDRESS(1371,30))-INDIRECT(ADDRESS(1366,31))+INDIRECT(ADDRESS(1369,31))-INDIRECT(ADDRESS(1370,31)))</f>
        <v>0</v>
      </c>
      <c r="AF1371">
        <f>IF(DAY(NOW())&lt;M3,INDIRECT(ADDRESS(1371,31))-INDIRECT(ADDRESS(1366,32))+INDIRECT(ADDRESS(1367,32))-INDIRECT(ADDRESS(1370,32)),INDIRECT(ADDRESS(1371,31))-INDIRECT(ADDRESS(1366,32))+INDIRECT(ADDRESS(1369,32))-INDIRECT(ADDRESS(1370,32)))</f>
        <v>0</v>
      </c>
      <c r="AG1371">
        <f>IF(DAY(NOW())&lt;M3,INDIRECT(ADDRESS(1371,32))-INDIRECT(ADDRESS(1366,33))+INDIRECT(ADDRESS(1367,33))-INDIRECT(ADDRESS(1370,33)),INDIRECT(ADDRESS(1371,32))-INDIRECT(ADDRESS(1366,33))+INDIRECT(ADDRESS(1369,33))-INDIRECT(ADDRESS(1370,33)))</f>
        <v>0</v>
      </c>
      <c r="AH1371">
        <f>IF(DAY(NOW())&lt;M3,INDIRECT(ADDRESS(1371,33))-INDIRECT(ADDRESS(1366,34))+INDIRECT(ADDRESS(1367,34))-INDIRECT(ADDRESS(1370,34)),INDIRECT(ADDRESS(1371,33))-INDIRECT(ADDRESS(1366,34))+INDIRECT(ADDRESS(1369,34))-INDIRECT(ADDRESS(1370,34)))</f>
        <v>0</v>
      </c>
      <c r="AI1371">
        <f>IF(DAY(NOW())&lt;M3,INDIRECT(ADDRESS(1371,34))-INDIRECT(ADDRESS(1366,35))+INDIRECT(ADDRESS(1367,35))-INDIRECT(ADDRESS(1370,35)),INDIRECT(ADDRESS(1371,34))-INDIRECT(ADDRESS(1366,35))+INDIRECT(ADDRESS(1369,35))-INDIRECT(ADDRESS(1370,35)))</f>
        <v>0</v>
      </c>
      <c r="AJ1371">
        <f>IF(DAY(NOW())&lt;M3,INDIRECT(ADDRESS(1371,35))-INDIRECT(ADDRESS(1366,36))+INDIRECT(ADDRESS(1367,36))-INDIRECT(ADDRESS(1370,36)),INDIRECT(ADDRESS(1371,35))-INDIRECT(ADDRESS(1366,36))+INDIRECT(ADDRESS(1369,36))-INDIRECT(ADDRESS(1370,36)))</f>
        <v>0</v>
      </c>
      <c r="AK1371">
        <f>IF(DAY(NOW())&lt;M3,INDIRECT(ADDRESS(1371,36))-INDIRECT(ADDRESS(1366,37))+INDIRECT(ADDRESS(1367,37))-INDIRECT(ADDRESS(1370,37)),INDIRECT(ADDRESS(1371,36))-INDIRECT(ADDRESS(1366,37))+INDIRECT(ADDRESS(1369,37))-INDIRECT(ADDRESS(1370,37)))</f>
        <v>0</v>
      </c>
      <c r="AL1371">
        <f>IF(DAY(NOW())&lt;M3,INDIRECT(ADDRESS(1371,37))-INDIRECT(ADDRESS(1366,38))+INDIRECT(ADDRESS(1367,38))-INDIRECT(ADDRESS(1370,38)),INDIRECT(ADDRESS(1371,37))-INDIRECT(ADDRESS(1366,38))+INDIRECT(ADDRESS(1369,38))-INDIRECT(ADDRESS(1370,38)))</f>
        <v>0</v>
      </c>
      <c r="AM1371">
        <f>IF(DAY(NOW())&lt;M3,INDIRECT(ADDRESS(1371,38))-INDIRECT(ADDRESS(1366,39))+INDIRECT(ADDRESS(1367,39))-INDIRECT(ADDRESS(1370,39)),INDIRECT(ADDRESS(1371,38))-INDIRECT(ADDRESS(1366,39))+INDIRECT(ADDRESS(1369,39))-INDIRECT(ADDRESS(1370,39)))</f>
        <v>0</v>
      </c>
      <c r="AN1371">
        <f>IF(DAY(NOW())&lt;M3,INDIRECT(ADDRESS(1371,39))-INDIRECT(ADDRESS(1366,40))+INDIRECT(ADDRESS(1367,40))-INDIRECT(ADDRESS(1370,40)),INDIRECT(ADDRESS(1371,39))-INDIRECT(ADDRESS(1366,40))+INDIRECT(ADDRESS(1369,40))-INDIRECT(ADDRESS(1370,40)))</f>
        <v>0</v>
      </c>
      <c r="AO1371">
        <f>IF(DAY(NOW())&lt;M3,INDIRECT(ADDRESS(1371,40))-INDIRECT(ADDRESS(1366,41))+INDIRECT(ADDRESS(1367,41))-INDIRECT(ADDRESS(1370,41)),INDIRECT(ADDRESS(1371,40))-INDIRECT(ADDRESS(1366,41))+INDIRECT(ADDRESS(1369,41))-INDIRECT(ADDRESS(1370,41)))</f>
        <v>0</v>
      </c>
      <c r="AP1371">
        <f>IF(DAY(NOW())&lt;M3,INDIRECT(ADDRESS(1371,41))-INDIRECT(ADDRESS(1366,42))+INDIRECT(ADDRESS(1367,42))-INDIRECT(ADDRESS(1370,42)),INDIRECT(ADDRESS(1371,41))-INDIRECT(ADDRESS(1366,42))+INDIRECT(ADDRESS(1369,42))-INDIRECT(ADDRESS(1370,42)))</f>
        <v>0</v>
      </c>
      <c r="AQ1371">
        <f>IF(DAY(NOW())&lt;M3,INDIRECT(ADDRESS(1371,42))-INDIRECT(ADDRESS(1366,43))+INDIRECT(ADDRESS(1367,43))-INDIRECT(ADDRESS(1370,43)),INDIRECT(ADDRESS(1371,42))-INDIRECT(ADDRESS(1366,43))+INDIRECT(ADDRESS(1369,43))-INDIRECT(ADDRESS(1370,43)))</f>
        <v>0</v>
      </c>
      <c r="AR1371">
        <f>IF(DAY(NOW())&lt;M3,INDIRECT(ADDRESS(1371,43))-INDIRECT(ADDRESS(1366,44))+INDIRECT(ADDRESS(1367,44))-INDIRECT(ADDRESS(1370,44)),INDIRECT(ADDRESS(1371,43))-INDIRECT(ADDRESS(1366,44))+INDIRECT(ADDRESS(1369,44))-INDIRECT(ADDRESS(1370,44)))</f>
        <v>0</v>
      </c>
    </row>
    <row r="1372" spans="1:76">
      <c r="A1372" t="s">
        <v>31</v>
      </c>
      <c r="B1372" t="s">
        <v>556</v>
      </c>
      <c r="C1372" t="s">
        <v>557</v>
      </c>
      <c r="D1372" t="s">
        <v>554</v>
      </c>
      <c r="E1372" t="s">
        <v>444</v>
      </c>
      <c r="F1372" t="s">
        <v>558</v>
      </c>
      <c r="K1372" t="s">
        <v>516</v>
      </c>
      <c r="L1372" t="s">
        <v>21</v>
      </c>
      <c r="M1372">
        <f>sumifs(BOM!m:m,BOM!A:A,".1",BOM!B:B,"852-193000-100")</f>
        <v>0</v>
      </c>
      <c r="N1372">
        <f>sumifs(BOM!n:n,BOM!A:A,".1",BOM!B:B,"852-193000-100")</f>
        <v>0</v>
      </c>
      <c r="O1372">
        <f>sumifs(BOM!o:o,BOM!A:A,".1",BOM!B:B,"852-193000-100")</f>
        <v>0</v>
      </c>
      <c r="P1372">
        <f>sumifs(BOM!p:p,BOM!A:A,".1",BOM!B:B,"852-193000-100")</f>
        <v>0</v>
      </c>
      <c r="Q1372">
        <f>sumifs(BOM!q:q,BOM!A:A,".1",BOM!B:B,"852-193000-100")</f>
        <v>0</v>
      </c>
      <c r="R1372">
        <f>sumifs(BOM!r:r,BOM!A:A,".1",BOM!B:B,"852-193000-100")</f>
        <v>0</v>
      </c>
      <c r="S1372">
        <f>sumifs(BOM!s:s,BOM!A:A,".1",BOM!B:B,"852-193000-100")</f>
        <v>0</v>
      </c>
      <c r="T1372">
        <f>sumifs(BOM!t:t,BOM!A:A,".1",BOM!B:B,"852-193000-100")</f>
        <v>0</v>
      </c>
      <c r="U1372">
        <f>sumifs(BOM!u:u,BOM!A:A,".1",BOM!B:B,"852-193000-100")</f>
        <v>0</v>
      </c>
      <c r="V1372">
        <f>sumifs(BOM!v:v,BOM!A:A,".1",BOM!B:B,"852-193000-100")</f>
        <v>0</v>
      </c>
      <c r="W1372">
        <f>sumifs(BOM!w:w,BOM!A:A,".1",BOM!B:B,"852-193000-100")</f>
        <v>0</v>
      </c>
      <c r="X1372">
        <f>sumifs(BOM!x:x,BOM!A:A,".1",BOM!B:B,"852-193000-100")</f>
        <v>0</v>
      </c>
      <c r="Y1372">
        <f>sumifs(BOM!y:y,BOM!A:A,".1",BOM!B:B,"852-193000-100")</f>
        <v>0</v>
      </c>
      <c r="Z1372">
        <f>sumifs(BOM!z:z,BOM!A:A,".1",BOM!B:B,"852-193000-100")</f>
        <v>0</v>
      </c>
      <c r="AA1372">
        <f>sumifs(BOM!aa:aa,BOM!A:A,".1",BOM!B:B,"852-193000-100")</f>
        <v>0</v>
      </c>
      <c r="AB1372">
        <f>sumifs(BOM!ab:ab,BOM!A:A,".1",BOM!B:B,"852-193000-100")</f>
        <v>0</v>
      </c>
      <c r="AC1372">
        <f>sumifs(BOM!ac:ac,BOM!A:A,".1",BOM!B:B,"852-193000-100")</f>
        <v>0</v>
      </c>
      <c r="AD1372">
        <f>sumifs(BOM!ad:ad,BOM!A:A,".1",BOM!B:B,"852-193000-100")</f>
        <v>0</v>
      </c>
      <c r="AE1372">
        <f>sumifs(BOM!ae:ae,BOM!A:A,".1",BOM!B:B,"852-193000-100")</f>
        <v>0</v>
      </c>
      <c r="AF1372">
        <f>sumifs(BOM!af:af,BOM!A:A,".1",BOM!B:B,"852-193000-100")</f>
        <v>0</v>
      </c>
      <c r="AG1372">
        <f>sumifs(BOM!ag:ag,BOM!A:A,".1",BOM!B:B,"852-193000-100")</f>
        <v>0</v>
      </c>
      <c r="AH1372">
        <f>sumifs(BOM!ah:ah,BOM!A:A,".1",BOM!B:B,"852-193000-100")</f>
        <v>0</v>
      </c>
      <c r="AI1372">
        <f>sumifs(BOM!ai:ai,BOM!A:A,".1",BOM!B:B,"852-193000-100")</f>
        <v>0</v>
      </c>
      <c r="AJ1372">
        <f>sumifs(BOM!aj:aj,BOM!A:A,".1",BOM!B:B,"852-193000-100")</f>
        <v>0</v>
      </c>
      <c r="AK1372">
        <f>sumifs(BOM!ak:ak,BOM!A:A,".1",BOM!B:B,"852-193000-100")</f>
        <v>0</v>
      </c>
      <c r="AL1372">
        <f>sumifs(BOM!al:al,BOM!A:A,".1",BOM!B:B,"852-193000-100")</f>
        <v>0</v>
      </c>
      <c r="AM1372">
        <f>sumifs(BOM!am:am,BOM!A:A,".1",BOM!B:B,"852-193000-100")</f>
        <v>0</v>
      </c>
      <c r="AN1372">
        <f>sumifs(BOM!an:an,BOM!A:A,".1",BOM!B:B,"852-193000-100")</f>
        <v>0</v>
      </c>
      <c r="AO1372">
        <f>sumifs(BOM!ao:ao,BOM!A:A,".1",BOM!B:B,"852-193000-100")</f>
        <v>0</v>
      </c>
      <c r="AP1372">
        <f>sumifs(BOM!ap:ap,BOM!A:A,".1",BOM!B:B,"852-193000-100")</f>
        <v>0</v>
      </c>
      <c r="AQ1372">
        <f>sumifs(BOM!aq:aq,BOM!A:A,".1",BOM!B:B,"852-193000-100")</f>
        <v>0</v>
      </c>
      <c r="AR1372">
        <f>sumifs(BOM!ar:ar,BOM!A:A,".1",BOM!B:B,"852-193000-100")</f>
        <v>0</v>
      </c>
      <c r="BX1372">
        <f>sum(j1372:an1372)</f>
        <v>0</v>
      </c>
    </row>
    <row r="1373" spans="1:76">
      <c r="A1373" t="s">
        <v>31</v>
      </c>
      <c r="B1373" t="s">
        <v>556</v>
      </c>
      <c r="C1373" t="s">
        <v>557</v>
      </c>
      <c r="D1373" t="s">
        <v>554</v>
      </c>
      <c r="E1373" t="s">
        <v>444</v>
      </c>
      <c r="F1373" t="s">
        <v>558</v>
      </c>
      <c r="K1373" t="s">
        <v>516</v>
      </c>
      <c r="L1373" t="s">
        <v>37</v>
      </c>
    </row>
    <row r="1374" spans="1:76">
      <c r="L1374" t="s">
        <v>662</v>
      </c>
    </row>
    <row r="1375" spans="1:76">
      <c r="L1375" t="s">
        <v>663</v>
      </c>
    </row>
    <row r="1376" spans="1:76">
      <c r="L1376" t="s">
        <v>664</v>
      </c>
    </row>
    <row r="1377" spans="1:76">
      <c r="L1377" t="s">
        <v>665</v>
      </c>
      <c r="M1377">
        <f>IF(DAY(NOW())&lt;M3,INDIRECT(ADDRESS(1377,7))-INDIRECT(ADDRESS(1372,13))+INDIRECT(ADDRESS(1373,13))-INDIRECT(ADDRESS(1376,13)),INDIRECT(ADDRESS(1377,7))-INDIRECT(ADDRESS(1372,13))+INDIRECT(ADDRESS(1375,13))-INDIRECT(ADDRESS(1376,13)))</f>
        <v>0</v>
      </c>
      <c r="N1377">
        <f>IF(DAY(NOW())&lt;M3,INDIRECT(ADDRESS(1377,13))-INDIRECT(ADDRESS(1372,14))+INDIRECT(ADDRESS(1373,14))-INDIRECT(ADDRESS(1376,14)),INDIRECT(ADDRESS(1377,13))-INDIRECT(ADDRESS(1372,14))+INDIRECT(ADDRESS(1375,14))-INDIRECT(ADDRESS(1376,14)))</f>
        <v>0</v>
      </c>
      <c r="O1377">
        <f>IF(DAY(NOW())&lt;M3,INDIRECT(ADDRESS(1377,14))-INDIRECT(ADDRESS(1372,15))+INDIRECT(ADDRESS(1373,15))-INDIRECT(ADDRESS(1376,15)),INDIRECT(ADDRESS(1377,14))-INDIRECT(ADDRESS(1372,15))+INDIRECT(ADDRESS(1375,15))-INDIRECT(ADDRESS(1376,15)))</f>
        <v>0</v>
      </c>
      <c r="P1377">
        <f>IF(DAY(NOW())&lt;M3,INDIRECT(ADDRESS(1377,15))-INDIRECT(ADDRESS(1372,16))+INDIRECT(ADDRESS(1373,16))-INDIRECT(ADDRESS(1376,16)),INDIRECT(ADDRESS(1377,15))-INDIRECT(ADDRESS(1372,16))+INDIRECT(ADDRESS(1375,16))-INDIRECT(ADDRESS(1376,16)))</f>
        <v>0</v>
      </c>
      <c r="Q1377">
        <f>IF(DAY(NOW())&lt;M3,INDIRECT(ADDRESS(1377,16))-INDIRECT(ADDRESS(1372,17))+INDIRECT(ADDRESS(1373,17))-INDIRECT(ADDRESS(1376,17)),INDIRECT(ADDRESS(1377,16))-INDIRECT(ADDRESS(1372,17))+INDIRECT(ADDRESS(1375,17))-INDIRECT(ADDRESS(1376,17)))</f>
        <v>0</v>
      </c>
      <c r="R1377">
        <f>IF(DAY(NOW())&lt;M3,INDIRECT(ADDRESS(1377,17))-INDIRECT(ADDRESS(1372,18))+INDIRECT(ADDRESS(1373,18))-INDIRECT(ADDRESS(1376,18)),INDIRECT(ADDRESS(1377,17))-INDIRECT(ADDRESS(1372,18))+INDIRECT(ADDRESS(1375,18))-INDIRECT(ADDRESS(1376,18)))</f>
        <v>0</v>
      </c>
      <c r="S1377">
        <f>IF(DAY(NOW())&lt;M3,INDIRECT(ADDRESS(1377,18))-INDIRECT(ADDRESS(1372,19))+INDIRECT(ADDRESS(1373,19))-INDIRECT(ADDRESS(1376,19)),INDIRECT(ADDRESS(1377,18))-INDIRECT(ADDRESS(1372,19))+INDIRECT(ADDRESS(1375,19))-INDIRECT(ADDRESS(1376,19)))</f>
        <v>0</v>
      </c>
      <c r="T1377">
        <f>IF(DAY(NOW())&lt;M3,INDIRECT(ADDRESS(1377,19))-INDIRECT(ADDRESS(1372,20))+INDIRECT(ADDRESS(1373,20))-INDIRECT(ADDRESS(1376,20)),INDIRECT(ADDRESS(1377,19))-INDIRECT(ADDRESS(1372,20))+INDIRECT(ADDRESS(1375,20))-INDIRECT(ADDRESS(1376,20)))</f>
        <v>0</v>
      </c>
      <c r="U1377">
        <f>IF(DAY(NOW())&lt;M3,INDIRECT(ADDRESS(1377,20))-INDIRECT(ADDRESS(1372,21))+INDIRECT(ADDRESS(1373,21))-INDIRECT(ADDRESS(1376,21)),INDIRECT(ADDRESS(1377,20))-INDIRECT(ADDRESS(1372,21))+INDIRECT(ADDRESS(1375,21))-INDIRECT(ADDRESS(1376,21)))</f>
        <v>0</v>
      </c>
      <c r="V1377">
        <f>IF(DAY(NOW())&lt;M3,INDIRECT(ADDRESS(1377,21))-INDIRECT(ADDRESS(1372,22))+INDIRECT(ADDRESS(1373,22))-INDIRECT(ADDRESS(1376,22)),INDIRECT(ADDRESS(1377,21))-INDIRECT(ADDRESS(1372,22))+INDIRECT(ADDRESS(1375,22))-INDIRECT(ADDRESS(1376,22)))</f>
        <v>0</v>
      </c>
      <c r="W1377">
        <f>IF(DAY(NOW())&lt;M3,INDIRECT(ADDRESS(1377,22))-INDIRECT(ADDRESS(1372,23))+INDIRECT(ADDRESS(1373,23))-INDIRECT(ADDRESS(1376,23)),INDIRECT(ADDRESS(1377,22))-INDIRECT(ADDRESS(1372,23))+INDIRECT(ADDRESS(1375,23))-INDIRECT(ADDRESS(1376,23)))</f>
        <v>0</v>
      </c>
      <c r="X1377">
        <f>IF(DAY(NOW())&lt;M3,INDIRECT(ADDRESS(1377,23))-INDIRECT(ADDRESS(1372,24))+INDIRECT(ADDRESS(1373,24))-INDIRECT(ADDRESS(1376,24)),INDIRECT(ADDRESS(1377,23))-INDIRECT(ADDRESS(1372,24))+INDIRECT(ADDRESS(1375,24))-INDIRECT(ADDRESS(1376,24)))</f>
        <v>0</v>
      </c>
      <c r="Y1377">
        <f>IF(DAY(NOW())&lt;M3,INDIRECT(ADDRESS(1377,24))-INDIRECT(ADDRESS(1372,25))+INDIRECT(ADDRESS(1373,25))-INDIRECT(ADDRESS(1376,25)),INDIRECT(ADDRESS(1377,24))-INDIRECT(ADDRESS(1372,25))+INDIRECT(ADDRESS(1375,25))-INDIRECT(ADDRESS(1376,25)))</f>
        <v>0</v>
      </c>
      <c r="Z1377">
        <f>IF(DAY(NOW())&lt;M3,INDIRECT(ADDRESS(1377,25))-INDIRECT(ADDRESS(1372,26))+INDIRECT(ADDRESS(1373,26))-INDIRECT(ADDRESS(1376,26)),INDIRECT(ADDRESS(1377,25))-INDIRECT(ADDRESS(1372,26))+INDIRECT(ADDRESS(1375,26))-INDIRECT(ADDRESS(1376,26)))</f>
        <v>0</v>
      </c>
      <c r="AA1377">
        <f>IF(DAY(NOW())&lt;M3,INDIRECT(ADDRESS(1377,26))-INDIRECT(ADDRESS(1372,27))+INDIRECT(ADDRESS(1373,27))-INDIRECT(ADDRESS(1376,27)),INDIRECT(ADDRESS(1377,26))-INDIRECT(ADDRESS(1372,27))+INDIRECT(ADDRESS(1375,27))-INDIRECT(ADDRESS(1376,27)))</f>
        <v>0</v>
      </c>
      <c r="AB1377">
        <f>IF(DAY(NOW())&lt;M3,INDIRECT(ADDRESS(1377,27))-INDIRECT(ADDRESS(1372,28))+INDIRECT(ADDRESS(1373,28))-INDIRECT(ADDRESS(1376,28)),INDIRECT(ADDRESS(1377,27))-INDIRECT(ADDRESS(1372,28))+INDIRECT(ADDRESS(1375,28))-INDIRECT(ADDRESS(1376,28)))</f>
        <v>0</v>
      </c>
      <c r="AC1377">
        <f>IF(DAY(NOW())&lt;M3,INDIRECT(ADDRESS(1377,28))-INDIRECT(ADDRESS(1372,29))+INDIRECT(ADDRESS(1373,29))-INDIRECT(ADDRESS(1376,29)),INDIRECT(ADDRESS(1377,28))-INDIRECT(ADDRESS(1372,29))+INDIRECT(ADDRESS(1375,29))-INDIRECT(ADDRESS(1376,29)))</f>
        <v>0</v>
      </c>
      <c r="AD1377">
        <f>IF(DAY(NOW())&lt;M3,INDIRECT(ADDRESS(1377,29))-INDIRECT(ADDRESS(1372,30))+INDIRECT(ADDRESS(1373,30))-INDIRECT(ADDRESS(1376,30)),INDIRECT(ADDRESS(1377,29))-INDIRECT(ADDRESS(1372,30))+INDIRECT(ADDRESS(1375,30))-INDIRECT(ADDRESS(1376,30)))</f>
        <v>0</v>
      </c>
      <c r="AE1377">
        <f>IF(DAY(NOW())&lt;M3,INDIRECT(ADDRESS(1377,30))-INDIRECT(ADDRESS(1372,31))+INDIRECT(ADDRESS(1373,31))-INDIRECT(ADDRESS(1376,31)),INDIRECT(ADDRESS(1377,30))-INDIRECT(ADDRESS(1372,31))+INDIRECT(ADDRESS(1375,31))-INDIRECT(ADDRESS(1376,31)))</f>
        <v>0</v>
      </c>
      <c r="AF1377">
        <f>IF(DAY(NOW())&lt;M3,INDIRECT(ADDRESS(1377,31))-INDIRECT(ADDRESS(1372,32))+INDIRECT(ADDRESS(1373,32))-INDIRECT(ADDRESS(1376,32)),INDIRECT(ADDRESS(1377,31))-INDIRECT(ADDRESS(1372,32))+INDIRECT(ADDRESS(1375,32))-INDIRECT(ADDRESS(1376,32)))</f>
        <v>0</v>
      </c>
      <c r="AG1377">
        <f>IF(DAY(NOW())&lt;M3,INDIRECT(ADDRESS(1377,32))-INDIRECT(ADDRESS(1372,33))+INDIRECT(ADDRESS(1373,33))-INDIRECT(ADDRESS(1376,33)),INDIRECT(ADDRESS(1377,32))-INDIRECT(ADDRESS(1372,33))+INDIRECT(ADDRESS(1375,33))-INDIRECT(ADDRESS(1376,33)))</f>
        <v>0</v>
      </c>
      <c r="AH1377">
        <f>IF(DAY(NOW())&lt;M3,INDIRECT(ADDRESS(1377,33))-INDIRECT(ADDRESS(1372,34))+INDIRECT(ADDRESS(1373,34))-INDIRECT(ADDRESS(1376,34)),INDIRECT(ADDRESS(1377,33))-INDIRECT(ADDRESS(1372,34))+INDIRECT(ADDRESS(1375,34))-INDIRECT(ADDRESS(1376,34)))</f>
        <v>0</v>
      </c>
      <c r="AI1377">
        <f>IF(DAY(NOW())&lt;M3,INDIRECT(ADDRESS(1377,34))-INDIRECT(ADDRESS(1372,35))+INDIRECT(ADDRESS(1373,35))-INDIRECT(ADDRESS(1376,35)),INDIRECT(ADDRESS(1377,34))-INDIRECT(ADDRESS(1372,35))+INDIRECT(ADDRESS(1375,35))-INDIRECT(ADDRESS(1376,35)))</f>
        <v>0</v>
      </c>
      <c r="AJ1377">
        <f>IF(DAY(NOW())&lt;M3,INDIRECT(ADDRESS(1377,35))-INDIRECT(ADDRESS(1372,36))+INDIRECT(ADDRESS(1373,36))-INDIRECT(ADDRESS(1376,36)),INDIRECT(ADDRESS(1377,35))-INDIRECT(ADDRESS(1372,36))+INDIRECT(ADDRESS(1375,36))-INDIRECT(ADDRESS(1376,36)))</f>
        <v>0</v>
      </c>
      <c r="AK1377">
        <f>IF(DAY(NOW())&lt;M3,INDIRECT(ADDRESS(1377,36))-INDIRECT(ADDRESS(1372,37))+INDIRECT(ADDRESS(1373,37))-INDIRECT(ADDRESS(1376,37)),INDIRECT(ADDRESS(1377,36))-INDIRECT(ADDRESS(1372,37))+INDIRECT(ADDRESS(1375,37))-INDIRECT(ADDRESS(1376,37)))</f>
        <v>0</v>
      </c>
      <c r="AL1377">
        <f>IF(DAY(NOW())&lt;M3,INDIRECT(ADDRESS(1377,37))-INDIRECT(ADDRESS(1372,38))+INDIRECT(ADDRESS(1373,38))-INDIRECT(ADDRESS(1376,38)),INDIRECT(ADDRESS(1377,37))-INDIRECT(ADDRESS(1372,38))+INDIRECT(ADDRESS(1375,38))-INDIRECT(ADDRESS(1376,38)))</f>
        <v>0</v>
      </c>
      <c r="AM1377">
        <f>IF(DAY(NOW())&lt;M3,INDIRECT(ADDRESS(1377,38))-INDIRECT(ADDRESS(1372,39))+INDIRECT(ADDRESS(1373,39))-INDIRECT(ADDRESS(1376,39)),INDIRECT(ADDRESS(1377,38))-INDIRECT(ADDRESS(1372,39))+INDIRECT(ADDRESS(1375,39))-INDIRECT(ADDRESS(1376,39)))</f>
        <v>0</v>
      </c>
      <c r="AN1377">
        <f>IF(DAY(NOW())&lt;M3,INDIRECT(ADDRESS(1377,39))-INDIRECT(ADDRESS(1372,40))+INDIRECT(ADDRESS(1373,40))-INDIRECT(ADDRESS(1376,40)),INDIRECT(ADDRESS(1377,39))-INDIRECT(ADDRESS(1372,40))+INDIRECT(ADDRESS(1375,40))-INDIRECT(ADDRESS(1376,40)))</f>
        <v>0</v>
      </c>
      <c r="AO1377">
        <f>IF(DAY(NOW())&lt;M3,INDIRECT(ADDRESS(1377,40))-INDIRECT(ADDRESS(1372,41))+INDIRECT(ADDRESS(1373,41))-INDIRECT(ADDRESS(1376,41)),INDIRECT(ADDRESS(1377,40))-INDIRECT(ADDRESS(1372,41))+INDIRECT(ADDRESS(1375,41))-INDIRECT(ADDRESS(1376,41)))</f>
        <v>0</v>
      </c>
      <c r="AP1377">
        <f>IF(DAY(NOW())&lt;M3,INDIRECT(ADDRESS(1377,41))-INDIRECT(ADDRESS(1372,42))+INDIRECT(ADDRESS(1373,42))-INDIRECT(ADDRESS(1376,42)),INDIRECT(ADDRESS(1377,41))-INDIRECT(ADDRESS(1372,42))+INDIRECT(ADDRESS(1375,42))-INDIRECT(ADDRESS(1376,42)))</f>
        <v>0</v>
      </c>
      <c r="AQ1377">
        <f>IF(DAY(NOW())&lt;M3,INDIRECT(ADDRESS(1377,42))-INDIRECT(ADDRESS(1372,43))+INDIRECT(ADDRESS(1373,43))-INDIRECT(ADDRESS(1376,43)),INDIRECT(ADDRESS(1377,42))-INDIRECT(ADDRESS(1372,43))+INDIRECT(ADDRESS(1375,43))-INDIRECT(ADDRESS(1376,43)))</f>
        <v>0</v>
      </c>
      <c r="AR1377">
        <f>IF(DAY(NOW())&lt;M3,INDIRECT(ADDRESS(1377,43))-INDIRECT(ADDRESS(1372,44))+INDIRECT(ADDRESS(1373,44))-INDIRECT(ADDRESS(1376,44)),INDIRECT(ADDRESS(1377,43))-INDIRECT(ADDRESS(1372,44))+INDIRECT(ADDRESS(1375,44))-INDIRECT(ADDRESS(1376,44)))</f>
        <v>0</v>
      </c>
    </row>
    <row r="1378" spans="1:76">
      <c r="A1378" t="s">
        <v>31</v>
      </c>
      <c r="B1378" t="s">
        <v>559</v>
      </c>
      <c r="C1378" t="s">
        <v>560</v>
      </c>
      <c r="D1378" t="s">
        <v>547</v>
      </c>
      <c r="E1378">
        <v>1</v>
      </c>
      <c r="F1378" t="s">
        <v>561</v>
      </c>
      <c r="K1378" t="s">
        <v>516</v>
      </c>
      <c r="L1378" t="s">
        <v>21</v>
      </c>
      <c r="M1378">
        <f>sumifs(BOM!m:m,BOM!A:A,".1",BOM!B:B,"852-195000-100")</f>
        <v>0</v>
      </c>
      <c r="N1378">
        <f>sumifs(BOM!n:n,BOM!A:A,".1",BOM!B:B,"852-195000-100")</f>
        <v>0</v>
      </c>
      <c r="O1378">
        <f>sumifs(BOM!o:o,BOM!A:A,".1",BOM!B:B,"852-195000-100")</f>
        <v>0</v>
      </c>
      <c r="P1378">
        <f>sumifs(BOM!p:p,BOM!A:A,".1",BOM!B:B,"852-195000-100")</f>
        <v>0</v>
      </c>
      <c r="Q1378">
        <f>sumifs(BOM!q:q,BOM!A:A,".1",BOM!B:B,"852-195000-100")</f>
        <v>0</v>
      </c>
      <c r="R1378">
        <f>sumifs(BOM!r:r,BOM!A:A,".1",BOM!B:B,"852-195000-100")</f>
        <v>0</v>
      </c>
      <c r="S1378">
        <f>sumifs(BOM!s:s,BOM!A:A,".1",BOM!B:B,"852-195000-100")</f>
        <v>0</v>
      </c>
      <c r="T1378">
        <f>sumifs(BOM!t:t,BOM!A:A,".1",BOM!B:B,"852-195000-100")</f>
        <v>0</v>
      </c>
      <c r="U1378">
        <f>sumifs(BOM!u:u,BOM!A:A,".1",BOM!B:B,"852-195000-100")</f>
        <v>0</v>
      </c>
      <c r="V1378">
        <f>sumifs(BOM!v:v,BOM!A:A,".1",BOM!B:B,"852-195000-100")</f>
        <v>0</v>
      </c>
      <c r="W1378">
        <f>sumifs(BOM!w:w,BOM!A:A,".1",BOM!B:B,"852-195000-100")</f>
        <v>0</v>
      </c>
      <c r="X1378">
        <f>sumifs(BOM!x:x,BOM!A:A,".1",BOM!B:B,"852-195000-100")</f>
        <v>0</v>
      </c>
      <c r="Y1378">
        <f>sumifs(BOM!y:y,BOM!A:A,".1",BOM!B:B,"852-195000-100")</f>
        <v>0</v>
      </c>
      <c r="Z1378">
        <f>sumifs(BOM!z:z,BOM!A:A,".1",BOM!B:B,"852-195000-100")</f>
        <v>0</v>
      </c>
      <c r="AA1378">
        <f>sumifs(BOM!aa:aa,BOM!A:A,".1",BOM!B:B,"852-195000-100")</f>
        <v>0</v>
      </c>
      <c r="AB1378">
        <f>sumifs(BOM!ab:ab,BOM!A:A,".1",BOM!B:B,"852-195000-100")</f>
        <v>0</v>
      </c>
      <c r="AC1378">
        <f>sumifs(BOM!ac:ac,BOM!A:A,".1",BOM!B:B,"852-195000-100")</f>
        <v>0</v>
      </c>
      <c r="AD1378">
        <f>sumifs(BOM!ad:ad,BOM!A:A,".1",BOM!B:B,"852-195000-100")</f>
        <v>0</v>
      </c>
      <c r="AE1378">
        <f>sumifs(BOM!ae:ae,BOM!A:A,".1",BOM!B:B,"852-195000-100")</f>
        <v>0</v>
      </c>
      <c r="AF1378">
        <f>sumifs(BOM!af:af,BOM!A:A,".1",BOM!B:B,"852-195000-100")</f>
        <v>0</v>
      </c>
      <c r="AG1378">
        <f>sumifs(BOM!ag:ag,BOM!A:A,".1",BOM!B:B,"852-195000-100")</f>
        <v>0</v>
      </c>
      <c r="AH1378">
        <f>sumifs(BOM!ah:ah,BOM!A:A,".1",BOM!B:B,"852-195000-100")</f>
        <v>0</v>
      </c>
      <c r="AI1378">
        <f>sumifs(BOM!ai:ai,BOM!A:A,".1",BOM!B:B,"852-195000-100")</f>
        <v>0</v>
      </c>
      <c r="AJ1378">
        <f>sumifs(BOM!aj:aj,BOM!A:A,".1",BOM!B:B,"852-195000-100")</f>
        <v>0</v>
      </c>
      <c r="AK1378">
        <f>sumifs(BOM!ak:ak,BOM!A:A,".1",BOM!B:B,"852-195000-100")</f>
        <v>0</v>
      </c>
      <c r="AL1378">
        <f>sumifs(BOM!al:al,BOM!A:A,".1",BOM!B:B,"852-195000-100")</f>
        <v>0</v>
      </c>
      <c r="AM1378">
        <f>sumifs(BOM!am:am,BOM!A:A,".1",BOM!B:B,"852-195000-100")</f>
        <v>0</v>
      </c>
      <c r="AN1378">
        <f>sumifs(BOM!an:an,BOM!A:A,".1",BOM!B:B,"852-195000-100")</f>
        <v>0</v>
      </c>
      <c r="AO1378">
        <f>sumifs(BOM!ao:ao,BOM!A:A,".1",BOM!B:B,"852-195000-100")</f>
        <v>0</v>
      </c>
      <c r="AP1378">
        <f>sumifs(BOM!ap:ap,BOM!A:A,".1",BOM!B:B,"852-195000-100")</f>
        <v>0</v>
      </c>
      <c r="AQ1378">
        <f>sumifs(BOM!aq:aq,BOM!A:A,".1",BOM!B:B,"852-195000-100")</f>
        <v>0</v>
      </c>
      <c r="AR1378">
        <f>sumifs(BOM!ar:ar,BOM!A:A,".1",BOM!B:B,"852-195000-100")</f>
        <v>0</v>
      </c>
      <c r="BX1378">
        <f>sum(j1378:an1378)</f>
        <v>0</v>
      </c>
    </row>
    <row r="1379" spans="1:76">
      <c r="A1379" t="s">
        <v>31</v>
      </c>
      <c r="B1379" t="s">
        <v>559</v>
      </c>
      <c r="C1379" t="s">
        <v>560</v>
      </c>
      <c r="D1379" t="s">
        <v>547</v>
      </c>
      <c r="E1379">
        <v>1</v>
      </c>
      <c r="F1379" t="s">
        <v>561</v>
      </c>
      <c r="K1379" t="s">
        <v>516</v>
      </c>
      <c r="L1379" t="s">
        <v>37</v>
      </c>
    </row>
    <row r="1380" spans="1:76">
      <c r="L1380" t="s">
        <v>662</v>
      </c>
    </row>
    <row r="1381" spans="1:76">
      <c r="L1381" t="s">
        <v>663</v>
      </c>
    </row>
    <row r="1382" spans="1:76">
      <c r="L1382" t="s">
        <v>664</v>
      </c>
    </row>
    <row r="1383" spans="1:76">
      <c r="L1383" t="s">
        <v>665</v>
      </c>
      <c r="M1383">
        <f>IF(DAY(NOW())&lt;M3,INDIRECT(ADDRESS(1383,7))-INDIRECT(ADDRESS(1378,13))+INDIRECT(ADDRESS(1379,13))-INDIRECT(ADDRESS(1382,13)),INDIRECT(ADDRESS(1383,7))-INDIRECT(ADDRESS(1378,13))+INDIRECT(ADDRESS(1381,13))-INDIRECT(ADDRESS(1382,13)))</f>
        <v>0</v>
      </c>
      <c r="N1383">
        <f>IF(DAY(NOW())&lt;M3,INDIRECT(ADDRESS(1383,13))-INDIRECT(ADDRESS(1378,14))+INDIRECT(ADDRESS(1379,14))-INDIRECT(ADDRESS(1382,14)),INDIRECT(ADDRESS(1383,13))-INDIRECT(ADDRESS(1378,14))+INDIRECT(ADDRESS(1381,14))-INDIRECT(ADDRESS(1382,14)))</f>
        <v>0</v>
      </c>
      <c r="O1383">
        <f>IF(DAY(NOW())&lt;M3,INDIRECT(ADDRESS(1383,14))-INDIRECT(ADDRESS(1378,15))+INDIRECT(ADDRESS(1379,15))-INDIRECT(ADDRESS(1382,15)),INDIRECT(ADDRESS(1383,14))-INDIRECT(ADDRESS(1378,15))+INDIRECT(ADDRESS(1381,15))-INDIRECT(ADDRESS(1382,15)))</f>
        <v>0</v>
      </c>
      <c r="P1383">
        <f>IF(DAY(NOW())&lt;M3,INDIRECT(ADDRESS(1383,15))-INDIRECT(ADDRESS(1378,16))+INDIRECT(ADDRESS(1379,16))-INDIRECT(ADDRESS(1382,16)),INDIRECT(ADDRESS(1383,15))-INDIRECT(ADDRESS(1378,16))+INDIRECT(ADDRESS(1381,16))-INDIRECT(ADDRESS(1382,16)))</f>
        <v>0</v>
      </c>
      <c r="Q1383">
        <f>IF(DAY(NOW())&lt;M3,INDIRECT(ADDRESS(1383,16))-INDIRECT(ADDRESS(1378,17))+INDIRECT(ADDRESS(1379,17))-INDIRECT(ADDRESS(1382,17)),INDIRECT(ADDRESS(1383,16))-INDIRECT(ADDRESS(1378,17))+INDIRECT(ADDRESS(1381,17))-INDIRECT(ADDRESS(1382,17)))</f>
        <v>0</v>
      </c>
      <c r="R1383">
        <f>IF(DAY(NOW())&lt;M3,INDIRECT(ADDRESS(1383,17))-INDIRECT(ADDRESS(1378,18))+INDIRECT(ADDRESS(1379,18))-INDIRECT(ADDRESS(1382,18)),INDIRECT(ADDRESS(1383,17))-INDIRECT(ADDRESS(1378,18))+INDIRECT(ADDRESS(1381,18))-INDIRECT(ADDRESS(1382,18)))</f>
        <v>0</v>
      </c>
      <c r="S1383">
        <f>IF(DAY(NOW())&lt;M3,INDIRECT(ADDRESS(1383,18))-INDIRECT(ADDRESS(1378,19))+INDIRECT(ADDRESS(1379,19))-INDIRECT(ADDRESS(1382,19)),INDIRECT(ADDRESS(1383,18))-INDIRECT(ADDRESS(1378,19))+INDIRECT(ADDRESS(1381,19))-INDIRECT(ADDRESS(1382,19)))</f>
        <v>0</v>
      </c>
      <c r="T1383">
        <f>IF(DAY(NOW())&lt;M3,INDIRECT(ADDRESS(1383,19))-INDIRECT(ADDRESS(1378,20))+INDIRECT(ADDRESS(1379,20))-INDIRECT(ADDRESS(1382,20)),INDIRECT(ADDRESS(1383,19))-INDIRECT(ADDRESS(1378,20))+INDIRECT(ADDRESS(1381,20))-INDIRECT(ADDRESS(1382,20)))</f>
        <v>0</v>
      </c>
      <c r="U1383">
        <f>IF(DAY(NOW())&lt;M3,INDIRECT(ADDRESS(1383,20))-INDIRECT(ADDRESS(1378,21))+INDIRECT(ADDRESS(1379,21))-INDIRECT(ADDRESS(1382,21)),INDIRECT(ADDRESS(1383,20))-INDIRECT(ADDRESS(1378,21))+INDIRECT(ADDRESS(1381,21))-INDIRECT(ADDRESS(1382,21)))</f>
        <v>0</v>
      </c>
      <c r="V1383">
        <f>IF(DAY(NOW())&lt;M3,INDIRECT(ADDRESS(1383,21))-INDIRECT(ADDRESS(1378,22))+INDIRECT(ADDRESS(1379,22))-INDIRECT(ADDRESS(1382,22)),INDIRECT(ADDRESS(1383,21))-INDIRECT(ADDRESS(1378,22))+INDIRECT(ADDRESS(1381,22))-INDIRECT(ADDRESS(1382,22)))</f>
        <v>0</v>
      </c>
      <c r="W1383">
        <f>IF(DAY(NOW())&lt;M3,INDIRECT(ADDRESS(1383,22))-INDIRECT(ADDRESS(1378,23))+INDIRECT(ADDRESS(1379,23))-INDIRECT(ADDRESS(1382,23)),INDIRECT(ADDRESS(1383,22))-INDIRECT(ADDRESS(1378,23))+INDIRECT(ADDRESS(1381,23))-INDIRECT(ADDRESS(1382,23)))</f>
        <v>0</v>
      </c>
      <c r="X1383">
        <f>IF(DAY(NOW())&lt;M3,INDIRECT(ADDRESS(1383,23))-INDIRECT(ADDRESS(1378,24))+INDIRECT(ADDRESS(1379,24))-INDIRECT(ADDRESS(1382,24)),INDIRECT(ADDRESS(1383,23))-INDIRECT(ADDRESS(1378,24))+INDIRECT(ADDRESS(1381,24))-INDIRECT(ADDRESS(1382,24)))</f>
        <v>0</v>
      </c>
      <c r="Y1383">
        <f>IF(DAY(NOW())&lt;M3,INDIRECT(ADDRESS(1383,24))-INDIRECT(ADDRESS(1378,25))+INDIRECT(ADDRESS(1379,25))-INDIRECT(ADDRESS(1382,25)),INDIRECT(ADDRESS(1383,24))-INDIRECT(ADDRESS(1378,25))+INDIRECT(ADDRESS(1381,25))-INDIRECT(ADDRESS(1382,25)))</f>
        <v>0</v>
      </c>
      <c r="Z1383">
        <f>IF(DAY(NOW())&lt;M3,INDIRECT(ADDRESS(1383,25))-INDIRECT(ADDRESS(1378,26))+INDIRECT(ADDRESS(1379,26))-INDIRECT(ADDRESS(1382,26)),INDIRECT(ADDRESS(1383,25))-INDIRECT(ADDRESS(1378,26))+INDIRECT(ADDRESS(1381,26))-INDIRECT(ADDRESS(1382,26)))</f>
        <v>0</v>
      </c>
      <c r="AA1383">
        <f>IF(DAY(NOW())&lt;M3,INDIRECT(ADDRESS(1383,26))-INDIRECT(ADDRESS(1378,27))+INDIRECT(ADDRESS(1379,27))-INDIRECT(ADDRESS(1382,27)),INDIRECT(ADDRESS(1383,26))-INDIRECT(ADDRESS(1378,27))+INDIRECT(ADDRESS(1381,27))-INDIRECT(ADDRESS(1382,27)))</f>
        <v>0</v>
      </c>
      <c r="AB1383">
        <f>IF(DAY(NOW())&lt;M3,INDIRECT(ADDRESS(1383,27))-INDIRECT(ADDRESS(1378,28))+INDIRECT(ADDRESS(1379,28))-INDIRECT(ADDRESS(1382,28)),INDIRECT(ADDRESS(1383,27))-INDIRECT(ADDRESS(1378,28))+INDIRECT(ADDRESS(1381,28))-INDIRECT(ADDRESS(1382,28)))</f>
        <v>0</v>
      </c>
      <c r="AC1383">
        <f>IF(DAY(NOW())&lt;M3,INDIRECT(ADDRESS(1383,28))-INDIRECT(ADDRESS(1378,29))+INDIRECT(ADDRESS(1379,29))-INDIRECT(ADDRESS(1382,29)),INDIRECT(ADDRESS(1383,28))-INDIRECT(ADDRESS(1378,29))+INDIRECT(ADDRESS(1381,29))-INDIRECT(ADDRESS(1382,29)))</f>
        <v>0</v>
      </c>
      <c r="AD1383">
        <f>IF(DAY(NOW())&lt;M3,INDIRECT(ADDRESS(1383,29))-INDIRECT(ADDRESS(1378,30))+INDIRECT(ADDRESS(1379,30))-INDIRECT(ADDRESS(1382,30)),INDIRECT(ADDRESS(1383,29))-INDIRECT(ADDRESS(1378,30))+INDIRECT(ADDRESS(1381,30))-INDIRECT(ADDRESS(1382,30)))</f>
        <v>0</v>
      </c>
      <c r="AE1383">
        <f>IF(DAY(NOW())&lt;M3,INDIRECT(ADDRESS(1383,30))-INDIRECT(ADDRESS(1378,31))+INDIRECT(ADDRESS(1379,31))-INDIRECT(ADDRESS(1382,31)),INDIRECT(ADDRESS(1383,30))-INDIRECT(ADDRESS(1378,31))+INDIRECT(ADDRESS(1381,31))-INDIRECT(ADDRESS(1382,31)))</f>
        <v>0</v>
      </c>
      <c r="AF1383">
        <f>IF(DAY(NOW())&lt;M3,INDIRECT(ADDRESS(1383,31))-INDIRECT(ADDRESS(1378,32))+INDIRECT(ADDRESS(1379,32))-INDIRECT(ADDRESS(1382,32)),INDIRECT(ADDRESS(1383,31))-INDIRECT(ADDRESS(1378,32))+INDIRECT(ADDRESS(1381,32))-INDIRECT(ADDRESS(1382,32)))</f>
        <v>0</v>
      </c>
      <c r="AG1383">
        <f>IF(DAY(NOW())&lt;M3,INDIRECT(ADDRESS(1383,32))-INDIRECT(ADDRESS(1378,33))+INDIRECT(ADDRESS(1379,33))-INDIRECT(ADDRESS(1382,33)),INDIRECT(ADDRESS(1383,32))-INDIRECT(ADDRESS(1378,33))+INDIRECT(ADDRESS(1381,33))-INDIRECT(ADDRESS(1382,33)))</f>
        <v>0</v>
      </c>
      <c r="AH1383">
        <f>IF(DAY(NOW())&lt;M3,INDIRECT(ADDRESS(1383,33))-INDIRECT(ADDRESS(1378,34))+INDIRECT(ADDRESS(1379,34))-INDIRECT(ADDRESS(1382,34)),INDIRECT(ADDRESS(1383,33))-INDIRECT(ADDRESS(1378,34))+INDIRECT(ADDRESS(1381,34))-INDIRECT(ADDRESS(1382,34)))</f>
        <v>0</v>
      </c>
      <c r="AI1383">
        <f>IF(DAY(NOW())&lt;M3,INDIRECT(ADDRESS(1383,34))-INDIRECT(ADDRESS(1378,35))+INDIRECT(ADDRESS(1379,35))-INDIRECT(ADDRESS(1382,35)),INDIRECT(ADDRESS(1383,34))-INDIRECT(ADDRESS(1378,35))+INDIRECT(ADDRESS(1381,35))-INDIRECT(ADDRESS(1382,35)))</f>
        <v>0</v>
      </c>
      <c r="AJ1383">
        <f>IF(DAY(NOW())&lt;M3,INDIRECT(ADDRESS(1383,35))-INDIRECT(ADDRESS(1378,36))+INDIRECT(ADDRESS(1379,36))-INDIRECT(ADDRESS(1382,36)),INDIRECT(ADDRESS(1383,35))-INDIRECT(ADDRESS(1378,36))+INDIRECT(ADDRESS(1381,36))-INDIRECT(ADDRESS(1382,36)))</f>
        <v>0</v>
      </c>
      <c r="AK1383">
        <f>IF(DAY(NOW())&lt;M3,INDIRECT(ADDRESS(1383,36))-INDIRECT(ADDRESS(1378,37))+INDIRECT(ADDRESS(1379,37))-INDIRECT(ADDRESS(1382,37)),INDIRECT(ADDRESS(1383,36))-INDIRECT(ADDRESS(1378,37))+INDIRECT(ADDRESS(1381,37))-INDIRECT(ADDRESS(1382,37)))</f>
        <v>0</v>
      </c>
      <c r="AL1383">
        <f>IF(DAY(NOW())&lt;M3,INDIRECT(ADDRESS(1383,37))-INDIRECT(ADDRESS(1378,38))+INDIRECT(ADDRESS(1379,38))-INDIRECT(ADDRESS(1382,38)),INDIRECT(ADDRESS(1383,37))-INDIRECT(ADDRESS(1378,38))+INDIRECT(ADDRESS(1381,38))-INDIRECT(ADDRESS(1382,38)))</f>
        <v>0</v>
      </c>
      <c r="AM1383">
        <f>IF(DAY(NOW())&lt;M3,INDIRECT(ADDRESS(1383,38))-INDIRECT(ADDRESS(1378,39))+INDIRECT(ADDRESS(1379,39))-INDIRECT(ADDRESS(1382,39)),INDIRECT(ADDRESS(1383,38))-INDIRECT(ADDRESS(1378,39))+INDIRECT(ADDRESS(1381,39))-INDIRECT(ADDRESS(1382,39)))</f>
        <v>0</v>
      </c>
      <c r="AN1383">
        <f>IF(DAY(NOW())&lt;M3,INDIRECT(ADDRESS(1383,39))-INDIRECT(ADDRESS(1378,40))+INDIRECT(ADDRESS(1379,40))-INDIRECT(ADDRESS(1382,40)),INDIRECT(ADDRESS(1383,39))-INDIRECT(ADDRESS(1378,40))+INDIRECT(ADDRESS(1381,40))-INDIRECT(ADDRESS(1382,40)))</f>
        <v>0</v>
      </c>
      <c r="AO1383">
        <f>IF(DAY(NOW())&lt;M3,INDIRECT(ADDRESS(1383,40))-INDIRECT(ADDRESS(1378,41))+INDIRECT(ADDRESS(1379,41))-INDIRECT(ADDRESS(1382,41)),INDIRECT(ADDRESS(1383,40))-INDIRECT(ADDRESS(1378,41))+INDIRECT(ADDRESS(1381,41))-INDIRECT(ADDRESS(1382,41)))</f>
        <v>0</v>
      </c>
      <c r="AP1383">
        <f>IF(DAY(NOW())&lt;M3,INDIRECT(ADDRESS(1383,41))-INDIRECT(ADDRESS(1378,42))+INDIRECT(ADDRESS(1379,42))-INDIRECT(ADDRESS(1382,42)),INDIRECT(ADDRESS(1383,41))-INDIRECT(ADDRESS(1378,42))+INDIRECT(ADDRESS(1381,42))-INDIRECT(ADDRESS(1382,42)))</f>
        <v>0</v>
      </c>
      <c r="AQ1383">
        <f>IF(DAY(NOW())&lt;M3,INDIRECT(ADDRESS(1383,42))-INDIRECT(ADDRESS(1378,43))+INDIRECT(ADDRESS(1379,43))-INDIRECT(ADDRESS(1382,43)),INDIRECT(ADDRESS(1383,42))-INDIRECT(ADDRESS(1378,43))+INDIRECT(ADDRESS(1381,43))-INDIRECT(ADDRESS(1382,43)))</f>
        <v>0</v>
      </c>
      <c r="AR1383">
        <f>IF(DAY(NOW())&lt;M3,INDIRECT(ADDRESS(1383,43))-INDIRECT(ADDRESS(1378,44))+INDIRECT(ADDRESS(1379,44))-INDIRECT(ADDRESS(1382,44)),INDIRECT(ADDRESS(1383,43))-INDIRECT(ADDRESS(1378,44))+INDIRECT(ADDRESS(1381,44))-INDIRECT(ADDRESS(1382,44)))</f>
        <v>0</v>
      </c>
    </row>
    <row r="1384" spans="1:76">
      <c r="A1384" t="s">
        <v>31</v>
      </c>
      <c r="B1384" t="s">
        <v>562</v>
      </c>
      <c r="C1384" t="s">
        <v>563</v>
      </c>
      <c r="D1384" t="s">
        <v>564</v>
      </c>
      <c r="E1384">
        <v>1</v>
      </c>
      <c r="F1384" t="s">
        <v>565</v>
      </c>
      <c r="K1384" t="s">
        <v>516</v>
      </c>
      <c r="L1384" t="s">
        <v>21</v>
      </c>
      <c r="M1384">
        <f>sumifs(BOM!m:m,BOM!A:A,".1",BOM!B:B,"852-201000-100")</f>
        <v>0</v>
      </c>
      <c r="N1384">
        <f>sumifs(BOM!n:n,BOM!A:A,".1",BOM!B:B,"852-201000-100")</f>
        <v>0</v>
      </c>
      <c r="O1384">
        <f>sumifs(BOM!o:o,BOM!A:A,".1",BOM!B:B,"852-201000-100")</f>
        <v>0</v>
      </c>
      <c r="P1384">
        <f>sumifs(BOM!p:p,BOM!A:A,".1",BOM!B:B,"852-201000-100")</f>
        <v>0</v>
      </c>
      <c r="Q1384">
        <f>sumifs(BOM!q:q,BOM!A:A,".1",BOM!B:B,"852-201000-100")</f>
        <v>0</v>
      </c>
      <c r="R1384">
        <f>sumifs(BOM!r:r,BOM!A:A,".1",BOM!B:B,"852-201000-100")</f>
        <v>0</v>
      </c>
      <c r="S1384">
        <f>sumifs(BOM!s:s,BOM!A:A,".1",BOM!B:B,"852-201000-100")</f>
        <v>0</v>
      </c>
      <c r="T1384">
        <f>sumifs(BOM!t:t,BOM!A:A,".1",BOM!B:B,"852-201000-100")</f>
        <v>0</v>
      </c>
      <c r="U1384">
        <f>sumifs(BOM!u:u,BOM!A:A,".1",BOM!B:B,"852-201000-100")</f>
        <v>0</v>
      </c>
      <c r="V1384">
        <f>sumifs(BOM!v:v,BOM!A:A,".1",BOM!B:B,"852-201000-100")</f>
        <v>0</v>
      </c>
      <c r="W1384">
        <f>sumifs(BOM!w:w,BOM!A:A,".1",BOM!B:B,"852-201000-100")</f>
        <v>0</v>
      </c>
      <c r="X1384">
        <f>sumifs(BOM!x:x,BOM!A:A,".1",BOM!B:B,"852-201000-100")</f>
        <v>0</v>
      </c>
      <c r="Y1384">
        <f>sumifs(BOM!y:y,BOM!A:A,".1",BOM!B:B,"852-201000-100")</f>
        <v>0</v>
      </c>
      <c r="Z1384">
        <f>sumifs(BOM!z:z,BOM!A:A,".1",BOM!B:B,"852-201000-100")</f>
        <v>0</v>
      </c>
      <c r="AA1384">
        <f>sumifs(BOM!aa:aa,BOM!A:A,".1",BOM!B:B,"852-201000-100")</f>
        <v>0</v>
      </c>
      <c r="AB1384">
        <f>sumifs(BOM!ab:ab,BOM!A:A,".1",BOM!B:B,"852-201000-100")</f>
        <v>0</v>
      </c>
      <c r="AC1384">
        <f>sumifs(BOM!ac:ac,BOM!A:A,".1",BOM!B:B,"852-201000-100")</f>
        <v>0</v>
      </c>
      <c r="AD1384">
        <f>sumifs(BOM!ad:ad,BOM!A:A,".1",BOM!B:B,"852-201000-100")</f>
        <v>0</v>
      </c>
      <c r="AE1384">
        <f>sumifs(BOM!ae:ae,BOM!A:A,".1",BOM!B:B,"852-201000-100")</f>
        <v>0</v>
      </c>
      <c r="AF1384">
        <f>sumifs(BOM!af:af,BOM!A:A,".1",BOM!B:B,"852-201000-100")</f>
        <v>0</v>
      </c>
      <c r="AG1384">
        <f>sumifs(BOM!ag:ag,BOM!A:A,".1",BOM!B:B,"852-201000-100")</f>
        <v>0</v>
      </c>
      <c r="AH1384">
        <f>sumifs(BOM!ah:ah,BOM!A:A,".1",BOM!B:B,"852-201000-100")</f>
        <v>0</v>
      </c>
      <c r="AI1384">
        <f>sumifs(BOM!ai:ai,BOM!A:A,".1",BOM!B:B,"852-201000-100")</f>
        <v>0</v>
      </c>
      <c r="AJ1384">
        <f>sumifs(BOM!aj:aj,BOM!A:A,".1",BOM!B:B,"852-201000-100")</f>
        <v>0</v>
      </c>
      <c r="AK1384">
        <f>sumifs(BOM!ak:ak,BOM!A:A,".1",BOM!B:B,"852-201000-100")</f>
        <v>0</v>
      </c>
      <c r="AL1384">
        <f>sumifs(BOM!al:al,BOM!A:A,".1",BOM!B:B,"852-201000-100")</f>
        <v>0</v>
      </c>
      <c r="AM1384">
        <f>sumifs(BOM!am:am,BOM!A:A,".1",BOM!B:B,"852-201000-100")</f>
        <v>0</v>
      </c>
      <c r="AN1384">
        <f>sumifs(BOM!an:an,BOM!A:A,".1",BOM!B:B,"852-201000-100")</f>
        <v>0</v>
      </c>
      <c r="AO1384">
        <f>sumifs(BOM!ao:ao,BOM!A:A,".1",BOM!B:B,"852-201000-100")</f>
        <v>0</v>
      </c>
      <c r="AP1384">
        <f>sumifs(BOM!ap:ap,BOM!A:A,".1",BOM!B:B,"852-201000-100")</f>
        <v>0</v>
      </c>
      <c r="AQ1384">
        <f>sumifs(BOM!aq:aq,BOM!A:A,".1",BOM!B:B,"852-201000-100")</f>
        <v>0</v>
      </c>
      <c r="AR1384">
        <f>sumifs(BOM!ar:ar,BOM!A:A,".1",BOM!B:B,"852-201000-100")</f>
        <v>0</v>
      </c>
      <c r="BX1384">
        <f>sum(j1384:an1384)</f>
        <v>0</v>
      </c>
    </row>
    <row r="1385" spans="1:76">
      <c r="A1385" t="s">
        <v>31</v>
      </c>
      <c r="B1385" t="s">
        <v>562</v>
      </c>
      <c r="C1385" t="s">
        <v>563</v>
      </c>
      <c r="D1385" t="s">
        <v>564</v>
      </c>
      <c r="E1385">
        <v>1</v>
      </c>
      <c r="F1385" t="s">
        <v>565</v>
      </c>
      <c r="K1385" t="s">
        <v>516</v>
      </c>
      <c r="L1385" t="s">
        <v>37</v>
      </c>
    </row>
    <row r="1386" spans="1:76">
      <c r="L1386" t="s">
        <v>662</v>
      </c>
    </row>
    <row r="1387" spans="1:76">
      <c r="L1387" t="s">
        <v>663</v>
      </c>
    </row>
    <row r="1388" spans="1:76">
      <c r="L1388" t="s">
        <v>664</v>
      </c>
    </row>
    <row r="1389" spans="1:76">
      <c r="L1389" t="s">
        <v>665</v>
      </c>
      <c r="M1389">
        <f>IF(DAY(NOW())&lt;M3,INDIRECT(ADDRESS(1389,7))-INDIRECT(ADDRESS(1384,13))+INDIRECT(ADDRESS(1385,13))-INDIRECT(ADDRESS(1388,13)),INDIRECT(ADDRESS(1389,7))-INDIRECT(ADDRESS(1384,13))+INDIRECT(ADDRESS(1387,13))-INDIRECT(ADDRESS(1388,13)))</f>
        <v>0</v>
      </c>
      <c r="N1389">
        <f>IF(DAY(NOW())&lt;M3,INDIRECT(ADDRESS(1389,13))-INDIRECT(ADDRESS(1384,14))+INDIRECT(ADDRESS(1385,14))-INDIRECT(ADDRESS(1388,14)),INDIRECT(ADDRESS(1389,13))-INDIRECT(ADDRESS(1384,14))+INDIRECT(ADDRESS(1387,14))-INDIRECT(ADDRESS(1388,14)))</f>
        <v>0</v>
      </c>
      <c r="O1389">
        <f>IF(DAY(NOW())&lt;M3,INDIRECT(ADDRESS(1389,14))-INDIRECT(ADDRESS(1384,15))+INDIRECT(ADDRESS(1385,15))-INDIRECT(ADDRESS(1388,15)),INDIRECT(ADDRESS(1389,14))-INDIRECT(ADDRESS(1384,15))+INDIRECT(ADDRESS(1387,15))-INDIRECT(ADDRESS(1388,15)))</f>
        <v>0</v>
      </c>
      <c r="P1389">
        <f>IF(DAY(NOW())&lt;M3,INDIRECT(ADDRESS(1389,15))-INDIRECT(ADDRESS(1384,16))+INDIRECT(ADDRESS(1385,16))-INDIRECT(ADDRESS(1388,16)),INDIRECT(ADDRESS(1389,15))-INDIRECT(ADDRESS(1384,16))+INDIRECT(ADDRESS(1387,16))-INDIRECT(ADDRESS(1388,16)))</f>
        <v>0</v>
      </c>
      <c r="Q1389">
        <f>IF(DAY(NOW())&lt;M3,INDIRECT(ADDRESS(1389,16))-INDIRECT(ADDRESS(1384,17))+INDIRECT(ADDRESS(1385,17))-INDIRECT(ADDRESS(1388,17)),INDIRECT(ADDRESS(1389,16))-INDIRECT(ADDRESS(1384,17))+INDIRECT(ADDRESS(1387,17))-INDIRECT(ADDRESS(1388,17)))</f>
        <v>0</v>
      </c>
      <c r="R1389">
        <f>IF(DAY(NOW())&lt;M3,INDIRECT(ADDRESS(1389,17))-INDIRECT(ADDRESS(1384,18))+INDIRECT(ADDRESS(1385,18))-INDIRECT(ADDRESS(1388,18)),INDIRECT(ADDRESS(1389,17))-INDIRECT(ADDRESS(1384,18))+INDIRECT(ADDRESS(1387,18))-INDIRECT(ADDRESS(1388,18)))</f>
        <v>0</v>
      </c>
      <c r="S1389">
        <f>IF(DAY(NOW())&lt;M3,INDIRECT(ADDRESS(1389,18))-INDIRECT(ADDRESS(1384,19))+INDIRECT(ADDRESS(1385,19))-INDIRECT(ADDRESS(1388,19)),INDIRECT(ADDRESS(1389,18))-INDIRECT(ADDRESS(1384,19))+INDIRECT(ADDRESS(1387,19))-INDIRECT(ADDRESS(1388,19)))</f>
        <v>0</v>
      </c>
      <c r="T1389">
        <f>IF(DAY(NOW())&lt;M3,INDIRECT(ADDRESS(1389,19))-INDIRECT(ADDRESS(1384,20))+INDIRECT(ADDRESS(1385,20))-INDIRECT(ADDRESS(1388,20)),INDIRECT(ADDRESS(1389,19))-INDIRECT(ADDRESS(1384,20))+INDIRECT(ADDRESS(1387,20))-INDIRECT(ADDRESS(1388,20)))</f>
        <v>0</v>
      </c>
      <c r="U1389">
        <f>IF(DAY(NOW())&lt;M3,INDIRECT(ADDRESS(1389,20))-INDIRECT(ADDRESS(1384,21))+INDIRECT(ADDRESS(1385,21))-INDIRECT(ADDRESS(1388,21)),INDIRECT(ADDRESS(1389,20))-INDIRECT(ADDRESS(1384,21))+INDIRECT(ADDRESS(1387,21))-INDIRECT(ADDRESS(1388,21)))</f>
        <v>0</v>
      </c>
      <c r="V1389">
        <f>IF(DAY(NOW())&lt;M3,INDIRECT(ADDRESS(1389,21))-INDIRECT(ADDRESS(1384,22))+INDIRECT(ADDRESS(1385,22))-INDIRECT(ADDRESS(1388,22)),INDIRECT(ADDRESS(1389,21))-INDIRECT(ADDRESS(1384,22))+INDIRECT(ADDRESS(1387,22))-INDIRECT(ADDRESS(1388,22)))</f>
        <v>0</v>
      </c>
      <c r="W1389">
        <f>IF(DAY(NOW())&lt;M3,INDIRECT(ADDRESS(1389,22))-INDIRECT(ADDRESS(1384,23))+INDIRECT(ADDRESS(1385,23))-INDIRECT(ADDRESS(1388,23)),INDIRECT(ADDRESS(1389,22))-INDIRECT(ADDRESS(1384,23))+INDIRECT(ADDRESS(1387,23))-INDIRECT(ADDRESS(1388,23)))</f>
        <v>0</v>
      </c>
      <c r="X1389">
        <f>IF(DAY(NOW())&lt;M3,INDIRECT(ADDRESS(1389,23))-INDIRECT(ADDRESS(1384,24))+INDIRECT(ADDRESS(1385,24))-INDIRECT(ADDRESS(1388,24)),INDIRECT(ADDRESS(1389,23))-INDIRECT(ADDRESS(1384,24))+INDIRECT(ADDRESS(1387,24))-INDIRECT(ADDRESS(1388,24)))</f>
        <v>0</v>
      </c>
      <c r="Y1389">
        <f>IF(DAY(NOW())&lt;M3,INDIRECT(ADDRESS(1389,24))-INDIRECT(ADDRESS(1384,25))+INDIRECT(ADDRESS(1385,25))-INDIRECT(ADDRESS(1388,25)),INDIRECT(ADDRESS(1389,24))-INDIRECT(ADDRESS(1384,25))+INDIRECT(ADDRESS(1387,25))-INDIRECT(ADDRESS(1388,25)))</f>
        <v>0</v>
      </c>
      <c r="Z1389">
        <f>IF(DAY(NOW())&lt;M3,INDIRECT(ADDRESS(1389,25))-INDIRECT(ADDRESS(1384,26))+INDIRECT(ADDRESS(1385,26))-INDIRECT(ADDRESS(1388,26)),INDIRECT(ADDRESS(1389,25))-INDIRECT(ADDRESS(1384,26))+INDIRECT(ADDRESS(1387,26))-INDIRECT(ADDRESS(1388,26)))</f>
        <v>0</v>
      </c>
      <c r="AA1389">
        <f>IF(DAY(NOW())&lt;M3,INDIRECT(ADDRESS(1389,26))-INDIRECT(ADDRESS(1384,27))+INDIRECT(ADDRESS(1385,27))-INDIRECT(ADDRESS(1388,27)),INDIRECT(ADDRESS(1389,26))-INDIRECT(ADDRESS(1384,27))+INDIRECT(ADDRESS(1387,27))-INDIRECT(ADDRESS(1388,27)))</f>
        <v>0</v>
      </c>
      <c r="AB1389">
        <f>IF(DAY(NOW())&lt;M3,INDIRECT(ADDRESS(1389,27))-INDIRECT(ADDRESS(1384,28))+INDIRECT(ADDRESS(1385,28))-INDIRECT(ADDRESS(1388,28)),INDIRECT(ADDRESS(1389,27))-INDIRECT(ADDRESS(1384,28))+INDIRECT(ADDRESS(1387,28))-INDIRECT(ADDRESS(1388,28)))</f>
        <v>0</v>
      </c>
      <c r="AC1389">
        <f>IF(DAY(NOW())&lt;M3,INDIRECT(ADDRESS(1389,28))-INDIRECT(ADDRESS(1384,29))+INDIRECT(ADDRESS(1385,29))-INDIRECT(ADDRESS(1388,29)),INDIRECT(ADDRESS(1389,28))-INDIRECT(ADDRESS(1384,29))+INDIRECT(ADDRESS(1387,29))-INDIRECT(ADDRESS(1388,29)))</f>
        <v>0</v>
      </c>
      <c r="AD1389">
        <f>IF(DAY(NOW())&lt;M3,INDIRECT(ADDRESS(1389,29))-INDIRECT(ADDRESS(1384,30))+INDIRECT(ADDRESS(1385,30))-INDIRECT(ADDRESS(1388,30)),INDIRECT(ADDRESS(1389,29))-INDIRECT(ADDRESS(1384,30))+INDIRECT(ADDRESS(1387,30))-INDIRECT(ADDRESS(1388,30)))</f>
        <v>0</v>
      </c>
      <c r="AE1389">
        <f>IF(DAY(NOW())&lt;M3,INDIRECT(ADDRESS(1389,30))-INDIRECT(ADDRESS(1384,31))+INDIRECT(ADDRESS(1385,31))-INDIRECT(ADDRESS(1388,31)),INDIRECT(ADDRESS(1389,30))-INDIRECT(ADDRESS(1384,31))+INDIRECT(ADDRESS(1387,31))-INDIRECT(ADDRESS(1388,31)))</f>
        <v>0</v>
      </c>
      <c r="AF1389">
        <f>IF(DAY(NOW())&lt;M3,INDIRECT(ADDRESS(1389,31))-INDIRECT(ADDRESS(1384,32))+INDIRECT(ADDRESS(1385,32))-INDIRECT(ADDRESS(1388,32)),INDIRECT(ADDRESS(1389,31))-INDIRECT(ADDRESS(1384,32))+INDIRECT(ADDRESS(1387,32))-INDIRECT(ADDRESS(1388,32)))</f>
        <v>0</v>
      </c>
      <c r="AG1389">
        <f>IF(DAY(NOW())&lt;M3,INDIRECT(ADDRESS(1389,32))-INDIRECT(ADDRESS(1384,33))+INDIRECT(ADDRESS(1385,33))-INDIRECT(ADDRESS(1388,33)),INDIRECT(ADDRESS(1389,32))-INDIRECT(ADDRESS(1384,33))+INDIRECT(ADDRESS(1387,33))-INDIRECT(ADDRESS(1388,33)))</f>
        <v>0</v>
      </c>
      <c r="AH1389">
        <f>IF(DAY(NOW())&lt;M3,INDIRECT(ADDRESS(1389,33))-INDIRECT(ADDRESS(1384,34))+INDIRECT(ADDRESS(1385,34))-INDIRECT(ADDRESS(1388,34)),INDIRECT(ADDRESS(1389,33))-INDIRECT(ADDRESS(1384,34))+INDIRECT(ADDRESS(1387,34))-INDIRECT(ADDRESS(1388,34)))</f>
        <v>0</v>
      </c>
      <c r="AI1389">
        <f>IF(DAY(NOW())&lt;M3,INDIRECT(ADDRESS(1389,34))-INDIRECT(ADDRESS(1384,35))+INDIRECT(ADDRESS(1385,35))-INDIRECT(ADDRESS(1388,35)),INDIRECT(ADDRESS(1389,34))-INDIRECT(ADDRESS(1384,35))+INDIRECT(ADDRESS(1387,35))-INDIRECT(ADDRESS(1388,35)))</f>
        <v>0</v>
      </c>
      <c r="AJ1389">
        <f>IF(DAY(NOW())&lt;M3,INDIRECT(ADDRESS(1389,35))-INDIRECT(ADDRESS(1384,36))+INDIRECT(ADDRESS(1385,36))-INDIRECT(ADDRESS(1388,36)),INDIRECT(ADDRESS(1389,35))-INDIRECT(ADDRESS(1384,36))+INDIRECT(ADDRESS(1387,36))-INDIRECT(ADDRESS(1388,36)))</f>
        <v>0</v>
      </c>
      <c r="AK1389">
        <f>IF(DAY(NOW())&lt;M3,INDIRECT(ADDRESS(1389,36))-INDIRECT(ADDRESS(1384,37))+INDIRECT(ADDRESS(1385,37))-INDIRECT(ADDRESS(1388,37)),INDIRECT(ADDRESS(1389,36))-INDIRECT(ADDRESS(1384,37))+INDIRECT(ADDRESS(1387,37))-INDIRECT(ADDRESS(1388,37)))</f>
        <v>0</v>
      </c>
      <c r="AL1389">
        <f>IF(DAY(NOW())&lt;M3,INDIRECT(ADDRESS(1389,37))-INDIRECT(ADDRESS(1384,38))+INDIRECT(ADDRESS(1385,38))-INDIRECT(ADDRESS(1388,38)),INDIRECT(ADDRESS(1389,37))-INDIRECT(ADDRESS(1384,38))+INDIRECT(ADDRESS(1387,38))-INDIRECT(ADDRESS(1388,38)))</f>
        <v>0</v>
      </c>
      <c r="AM1389">
        <f>IF(DAY(NOW())&lt;M3,INDIRECT(ADDRESS(1389,38))-INDIRECT(ADDRESS(1384,39))+INDIRECT(ADDRESS(1385,39))-INDIRECT(ADDRESS(1388,39)),INDIRECT(ADDRESS(1389,38))-INDIRECT(ADDRESS(1384,39))+INDIRECT(ADDRESS(1387,39))-INDIRECT(ADDRESS(1388,39)))</f>
        <v>0</v>
      </c>
      <c r="AN1389">
        <f>IF(DAY(NOW())&lt;M3,INDIRECT(ADDRESS(1389,39))-INDIRECT(ADDRESS(1384,40))+INDIRECT(ADDRESS(1385,40))-INDIRECT(ADDRESS(1388,40)),INDIRECT(ADDRESS(1389,39))-INDIRECT(ADDRESS(1384,40))+INDIRECT(ADDRESS(1387,40))-INDIRECT(ADDRESS(1388,40)))</f>
        <v>0</v>
      </c>
      <c r="AO1389">
        <f>IF(DAY(NOW())&lt;M3,INDIRECT(ADDRESS(1389,40))-INDIRECT(ADDRESS(1384,41))+INDIRECT(ADDRESS(1385,41))-INDIRECT(ADDRESS(1388,41)),INDIRECT(ADDRESS(1389,40))-INDIRECT(ADDRESS(1384,41))+INDIRECT(ADDRESS(1387,41))-INDIRECT(ADDRESS(1388,41)))</f>
        <v>0</v>
      </c>
      <c r="AP1389">
        <f>IF(DAY(NOW())&lt;M3,INDIRECT(ADDRESS(1389,41))-INDIRECT(ADDRESS(1384,42))+INDIRECT(ADDRESS(1385,42))-INDIRECT(ADDRESS(1388,42)),INDIRECT(ADDRESS(1389,41))-INDIRECT(ADDRESS(1384,42))+INDIRECT(ADDRESS(1387,42))-INDIRECT(ADDRESS(1388,42)))</f>
        <v>0</v>
      </c>
      <c r="AQ1389">
        <f>IF(DAY(NOW())&lt;M3,INDIRECT(ADDRESS(1389,42))-INDIRECT(ADDRESS(1384,43))+INDIRECT(ADDRESS(1385,43))-INDIRECT(ADDRESS(1388,43)),INDIRECT(ADDRESS(1389,42))-INDIRECT(ADDRESS(1384,43))+INDIRECT(ADDRESS(1387,43))-INDIRECT(ADDRESS(1388,43)))</f>
        <v>0</v>
      </c>
      <c r="AR1389">
        <f>IF(DAY(NOW())&lt;M3,INDIRECT(ADDRESS(1389,43))-INDIRECT(ADDRESS(1384,44))+INDIRECT(ADDRESS(1385,44))-INDIRECT(ADDRESS(1388,44)),INDIRECT(ADDRESS(1389,43))-INDIRECT(ADDRESS(1384,44))+INDIRECT(ADDRESS(1387,44))-INDIRECT(ADDRESS(1388,44)))</f>
        <v>0</v>
      </c>
    </row>
    <row r="1390" spans="1:76">
      <c r="A1390" t="s">
        <v>31</v>
      </c>
      <c r="B1390" t="s">
        <v>566</v>
      </c>
      <c r="C1390" t="s">
        <v>567</v>
      </c>
      <c r="E1390" t="s">
        <v>444</v>
      </c>
      <c r="F1390" t="s">
        <v>568</v>
      </c>
      <c r="K1390" t="s">
        <v>516</v>
      </c>
      <c r="L1390" t="s">
        <v>21</v>
      </c>
      <c r="M1390">
        <f>sumifs(BOM!m:m,BOM!A:A,".1",BOM!B:B,"852-207000-110")</f>
        <v>0</v>
      </c>
      <c r="N1390">
        <f>sumifs(BOM!n:n,BOM!A:A,".1",BOM!B:B,"852-207000-110")</f>
        <v>0</v>
      </c>
      <c r="O1390">
        <f>sumifs(BOM!o:o,BOM!A:A,".1",BOM!B:B,"852-207000-110")</f>
        <v>0</v>
      </c>
      <c r="P1390">
        <f>sumifs(BOM!p:p,BOM!A:A,".1",BOM!B:B,"852-207000-110")</f>
        <v>0</v>
      </c>
      <c r="Q1390">
        <f>sumifs(BOM!q:q,BOM!A:A,".1",BOM!B:B,"852-207000-110")</f>
        <v>0</v>
      </c>
      <c r="R1390">
        <f>sumifs(BOM!r:r,BOM!A:A,".1",BOM!B:B,"852-207000-110")</f>
        <v>0</v>
      </c>
      <c r="S1390">
        <f>sumifs(BOM!s:s,BOM!A:A,".1",BOM!B:B,"852-207000-110")</f>
        <v>0</v>
      </c>
      <c r="T1390">
        <f>sumifs(BOM!t:t,BOM!A:A,".1",BOM!B:B,"852-207000-110")</f>
        <v>0</v>
      </c>
      <c r="U1390">
        <f>sumifs(BOM!u:u,BOM!A:A,".1",BOM!B:B,"852-207000-110")</f>
        <v>0</v>
      </c>
      <c r="V1390">
        <f>sumifs(BOM!v:v,BOM!A:A,".1",BOM!B:B,"852-207000-110")</f>
        <v>0</v>
      </c>
      <c r="W1390">
        <f>sumifs(BOM!w:w,BOM!A:A,".1",BOM!B:B,"852-207000-110")</f>
        <v>0</v>
      </c>
      <c r="X1390">
        <f>sumifs(BOM!x:x,BOM!A:A,".1",BOM!B:B,"852-207000-110")</f>
        <v>0</v>
      </c>
      <c r="Y1390">
        <f>sumifs(BOM!y:y,BOM!A:A,".1",BOM!B:B,"852-207000-110")</f>
        <v>0</v>
      </c>
      <c r="Z1390">
        <f>sumifs(BOM!z:z,BOM!A:A,".1",BOM!B:B,"852-207000-110")</f>
        <v>0</v>
      </c>
      <c r="AA1390">
        <f>sumifs(BOM!aa:aa,BOM!A:A,".1",BOM!B:B,"852-207000-110")</f>
        <v>0</v>
      </c>
      <c r="AB1390">
        <f>sumifs(BOM!ab:ab,BOM!A:A,".1",BOM!B:B,"852-207000-110")</f>
        <v>0</v>
      </c>
      <c r="AC1390">
        <f>sumifs(BOM!ac:ac,BOM!A:A,".1",BOM!B:B,"852-207000-110")</f>
        <v>0</v>
      </c>
      <c r="AD1390">
        <f>sumifs(BOM!ad:ad,BOM!A:A,".1",BOM!B:B,"852-207000-110")</f>
        <v>0</v>
      </c>
      <c r="AE1390">
        <f>sumifs(BOM!ae:ae,BOM!A:A,".1",BOM!B:B,"852-207000-110")</f>
        <v>0</v>
      </c>
      <c r="AF1390">
        <f>sumifs(BOM!af:af,BOM!A:A,".1",BOM!B:B,"852-207000-110")</f>
        <v>0</v>
      </c>
      <c r="AG1390">
        <f>sumifs(BOM!ag:ag,BOM!A:A,".1",BOM!B:B,"852-207000-110")</f>
        <v>0</v>
      </c>
      <c r="AH1390">
        <f>sumifs(BOM!ah:ah,BOM!A:A,".1",BOM!B:B,"852-207000-110")</f>
        <v>0</v>
      </c>
      <c r="AI1390">
        <f>sumifs(BOM!ai:ai,BOM!A:A,".1",BOM!B:B,"852-207000-110")</f>
        <v>0</v>
      </c>
      <c r="AJ1390">
        <f>sumifs(BOM!aj:aj,BOM!A:A,".1",BOM!B:B,"852-207000-110")</f>
        <v>0</v>
      </c>
      <c r="AK1390">
        <f>sumifs(BOM!ak:ak,BOM!A:A,".1",BOM!B:B,"852-207000-110")</f>
        <v>0</v>
      </c>
      <c r="AL1390">
        <f>sumifs(BOM!al:al,BOM!A:A,".1",BOM!B:B,"852-207000-110")</f>
        <v>0</v>
      </c>
      <c r="AM1390">
        <f>sumifs(BOM!am:am,BOM!A:A,".1",BOM!B:B,"852-207000-110")</f>
        <v>0</v>
      </c>
      <c r="AN1390">
        <f>sumifs(BOM!an:an,BOM!A:A,".1",BOM!B:B,"852-207000-110")</f>
        <v>0</v>
      </c>
      <c r="AO1390">
        <f>sumifs(BOM!ao:ao,BOM!A:A,".1",BOM!B:B,"852-207000-110")</f>
        <v>0</v>
      </c>
      <c r="AP1390">
        <f>sumifs(BOM!ap:ap,BOM!A:A,".1",BOM!B:B,"852-207000-110")</f>
        <v>0</v>
      </c>
      <c r="AQ1390">
        <f>sumifs(BOM!aq:aq,BOM!A:A,".1",BOM!B:B,"852-207000-110")</f>
        <v>0</v>
      </c>
      <c r="AR1390">
        <f>sumifs(BOM!ar:ar,BOM!A:A,".1",BOM!B:B,"852-207000-110")</f>
        <v>0</v>
      </c>
      <c r="BX1390">
        <f>sum(j1390:an1390)</f>
        <v>0</v>
      </c>
    </row>
    <row r="1391" spans="1:76">
      <c r="A1391" t="s">
        <v>31</v>
      </c>
      <c r="B1391" t="s">
        <v>566</v>
      </c>
      <c r="C1391" t="s">
        <v>567</v>
      </c>
      <c r="E1391" t="s">
        <v>444</v>
      </c>
      <c r="F1391" t="s">
        <v>568</v>
      </c>
      <c r="K1391" t="s">
        <v>516</v>
      </c>
      <c r="L1391" t="s">
        <v>37</v>
      </c>
    </row>
    <row r="1392" spans="1:76">
      <c r="L1392" t="s">
        <v>662</v>
      </c>
    </row>
    <row r="1393" spans="1:76">
      <c r="L1393" t="s">
        <v>663</v>
      </c>
    </row>
    <row r="1394" spans="1:76">
      <c r="L1394" t="s">
        <v>664</v>
      </c>
    </row>
    <row r="1395" spans="1:76">
      <c r="L1395" t="s">
        <v>665</v>
      </c>
      <c r="M1395">
        <f>IF(DAY(NOW())&lt;M3,INDIRECT(ADDRESS(1395,7))-INDIRECT(ADDRESS(1390,13))+INDIRECT(ADDRESS(1391,13))-INDIRECT(ADDRESS(1394,13)),INDIRECT(ADDRESS(1395,7))-INDIRECT(ADDRESS(1390,13))+INDIRECT(ADDRESS(1393,13))-INDIRECT(ADDRESS(1394,13)))</f>
        <v>0</v>
      </c>
      <c r="N1395">
        <f>IF(DAY(NOW())&lt;M3,INDIRECT(ADDRESS(1395,13))-INDIRECT(ADDRESS(1390,14))+INDIRECT(ADDRESS(1391,14))-INDIRECT(ADDRESS(1394,14)),INDIRECT(ADDRESS(1395,13))-INDIRECT(ADDRESS(1390,14))+INDIRECT(ADDRESS(1393,14))-INDIRECT(ADDRESS(1394,14)))</f>
        <v>0</v>
      </c>
      <c r="O1395">
        <f>IF(DAY(NOW())&lt;M3,INDIRECT(ADDRESS(1395,14))-INDIRECT(ADDRESS(1390,15))+INDIRECT(ADDRESS(1391,15))-INDIRECT(ADDRESS(1394,15)),INDIRECT(ADDRESS(1395,14))-INDIRECT(ADDRESS(1390,15))+INDIRECT(ADDRESS(1393,15))-INDIRECT(ADDRESS(1394,15)))</f>
        <v>0</v>
      </c>
      <c r="P1395">
        <f>IF(DAY(NOW())&lt;M3,INDIRECT(ADDRESS(1395,15))-INDIRECT(ADDRESS(1390,16))+INDIRECT(ADDRESS(1391,16))-INDIRECT(ADDRESS(1394,16)),INDIRECT(ADDRESS(1395,15))-INDIRECT(ADDRESS(1390,16))+INDIRECT(ADDRESS(1393,16))-INDIRECT(ADDRESS(1394,16)))</f>
        <v>0</v>
      </c>
      <c r="Q1395">
        <f>IF(DAY(NOW())&lt;M3,INDIRECT(ADDRESS(1395,16))-INDIRECT(ADDRESS(1390,17))+INDIRECT(ADDRESS(1391,17))-INDIRECT(ADDRESS(1394,17)),INDIRECT(ADDRESS(1395,16))-INDIRECT(ADDRESS(1390,17))+INDIRECT(ADDRESS(1393,17))-INDIRECT(ADDRESS(1394,17)))</f>
        <v>0</v>
      </c>
      <c r="R1395">
        <f>IF(DAY(NOW())&lt;M3,INDIRECT(ADDRESS(1395,17))-INDIRECT(ADDRESS(1390,18))+INDIRECT(ADDRESS(1391,18))-INDIRECT(ADDRESS(1394,18)),INDIRECT(ADDRESS(1395,17))-INDIRECT(ADDRESS(1390,18))+INDIRECT(ADDRESS(1393,18))-INDIRECT(ADDRESS(1394,18)))</f>
        <v>0</v>
      </c>
      <c r="S1395">
        <f>IF(DAY(NOW())&lt;M3,INDIRECT(ADDRESS(1395,18))-INDIRECT(ADDRESS(1390,19))+INDIRECT(ADDRESS(1391,19))-INDIRECT(ADDRESS(1394,19)),INDIRECT(ADDRESS(1395,18))-INDIRECT(ADDRESS(1390,19))+INDIRECT(ADDRESS(1393,19))-INDIRECT(ADDRESS(1394,19)))</f>
        <v>0</v>
      </c>
      <c r="T1395">
        <f>IF(DAY(NOW())&lt;M3,INDIRECT(ADDRESS(1395,19))-INDIRECT(ADDRESS(1390,20))+INDIRECT(ADDRESS(1391,20))-INDIRECT(ADDRESS(1394,20)),INDIRECT(ADDRESS(1395,19))-INDIRECT(ADDRESS(1390,20))+INDIRECT(ADDRESS(1393,20))-INDIRECT(ADDRESS(1394,20)))</f>
        <v>0</v>
      </c>
      <c r="U1395">
        <f>IF(DAY(NOW())&lt;M3,INDIRECT(ADDRESS(1395,20))-INDIRECT(ADDRESS(1390,21))+INDIRECT(ADDRESS(1391,21))-INDIRECT(ADDRESS(1394,21)),INDIRECT(ADDRESS(1395,20))-INDIRECT(ADDRESS(1390,21))+INDIRECT(ADDRESS(1393,21))-INDIRECT(ADDRESS(1394,21)))</f>
        <v>0</v>
      </c>
      <c r="V1395">
        <f>IF(DAY(NOW())&lt;M3,INDIRECT(ADDRESS(1395,21))-INDIRECT(ADDRESS(1390,22))+INDIRECT(ADDRESS(1391,22))-INDIRECT(ADDRESS(1394,22)),INDIRECT(ADDRESS(1395,21))-INDIRECT(ADDRESS(1390,22))+INDIRECT(ADDRESS(1393,22))-INDIRECT(ADDRESS(1394,22)))</f>
        <v>0</v>
      </c>
      <c r="W1395">
        <f>IF(DAY(NOW())&lt;M3,INDIRECT(ADDRESS(1395,22))-INDIRECT(ADDRESS(1390,23))+INDIRECT(ADDRESS(1391,23))-INDIRECT(ADDRESS(1394,23)),INDIRECT(ADDRESS(1395,22))-INDIRECT(ADDRESS(1390,23))+INDIRECT(ADDRESS(1393,23))-INDIRECT(ADDRESS(1394,23)))</f>
        <v>0</v>
      </c>
      <c r="X1395">
        <f>IF(DAY(NOW())&lt;M3,INDIRECT(ADDRESS(1395,23))-INDIRECT(ADDRESS(1390,24))+INDIRECT(ADDRESS(1391,24))-INDIRECT(ADDRESS(1394,24)),INDIRECT(ADDRESS(1395,23))-INDIRECT(ADDRESS(1390,24))+INDIRECT(ADDRESS(1393,24))-INDIRECT(ADDRESS(1394,24)))</f>
        <v>0</v>
      </c>
      <c r="Y1395">
        <f>IF(DAY(NOW())&lt;M3,INDIRECT(ADDRESS(1395,24))-INDIRECT(ADDRESS(1390,25))+INDIRECT(ADDRESS(1391,25))-INDIRECT(ADDRESS(1394,25)),INDIRECT(ADDRESS(1395,24))-INDIRECT(ADDRESS(1390,25))+INDIRECT(ADDRESS(1393,25))-INDIRECT(ADDRESS(1394,25)))</f>
        <v>0</v>
      </c>
      <c r="Z1395">
        <f>IF(DAY(NOW())&lt;M3,INDIRECT(ADDRESS(1395,25))-INDIRECT(ADDRESS(1390,26))+INDIRECT(ADDRESS(1391,26))-INDIRECT(ADDRESS(1394,26)),INDIRECT(ADDRESS(1395,25))-INDIRECT(ADDRESS(1390,26))+INDIRECT(ADDRESS(1393,26))-INDIRECT(ADDRESS(1394,26)))</f>
        <v>0</v>
      </c>
      <c r="AA1395">
        <f>IF(DAY(NOW())&lt;M3,INDIRECT(ADDRESS(1395,26))-INDIRECT(ADDRESS(1390,27))+INDIRECT(ADDRESS(1391,27))-INDIRECT(ADDRESS(1394,27)),INDIRECT(ADDRESS(1395,26))-INDIRECT(ADDRESS(1390,27))+INDIRECT(ADDRESS(1393,27))-INDIRECT(ADDRESS(1394,27)))</f>
        <v>0</v>
      </c>
      <c r="AB1395">
        <f>IF(DAY(NOW())&lt;M3,INDIRECT(ADDRESS(1395,27))-INDIRECT(ADDRESS(1390,28))+INDIRECT(ADDRESS(1391,28))-INDIRECT(ADDRESS(1394,28)),INDIRECT(ADDRESS(1395,27))-INDIRECT(ADDRESS(1390,28))+INDIRECT(ADDRESS(1393,28))-INDIRECT(ADDRESS(1394,28)))</f>
        <v>0</v>
      </c>
      <c r="AC1395">
        <f>IF(DAY(NOW())&lt;M3,INDIRECT(ADDRESS(1395,28))-INDIRECT(ADDRESS(1390,29))+INDIRECT(ADDRESS(1391,29))-INDIRECT(ADDRESS(1394,29)),INDIRECT(ADDRESS(1395,28))-INDIRECT(ADDRESS(1390,29))+INDIRECT(ADDRESS(1393,29))-INDIRECT(ADDRESS(1394,29)))</f>
        <v>0</v>
      </c>
      <c r="AD1395">
        <f>IF(DAY(NOW())&lt;M3,INDIRECT(ADDRESS(1395,29))-INDIRECT(ADDRESS(1390,30))+INDIRECT(ADDRESS(1391,30))-INDIRECT(ADDRESS(1394,30)),INDIRECT(ADDRESS(1395,29))-INDIRECT(ADDRESS(1390,30))+INDIRECT(ADDRESS(1393,30))-INDIRECT(ADDRESS(1394,30)))</f>
        <v>0</v>
      </c>
      <c r="AE1395">
        <f>IF(DAY(NOW())&lt;M3,INDIRECT(ADDRESS(1395,30))-INDIRECT(ADDRESS(1390,31))+INDIRECT(ADDRESS(1391,31))-INDIRECT(ADDRESS(1394,31)),INDIRECT(ADDRESS(1395,30))-INDIRECT(ADDRESS(1390,31))+INDIRECT(ADDRESS(1393,31))-INDIRECT(ADDRESS(1394,31)))</f>
        <v>0</v>
      </c>
      <c r="AF1395">
        <f>IF(DAY(NOW())&lt;M3,INDIRECT(ADDRESS(1395,31))-INDIRECT(ADDRESS(1390,32))+INDIRECT(ADDRESS(1391,32))-INDIRECT(ADDRESS(1394,32)),INDIRECT(ADDRESS(1395,31))-INDIRECT(ADDRESS(1390,32))+INDIRECT(ADDRESS(1393,32))-INDIRECT(ADDRESS(1394,32)))</f>
        <v>0</v>
      </c>
      <c r="AG1395">
        <f>IF(DAY(NOW())&lt;M3,INDIRECT(ADDRESS(1395,32))-INDIRECT(ADDRESS(1390,33))+INDIRECT(ADDRESS(1391,33))-INDIRECT(ADDRESS(1394,33)),INDIRECT(ADDRESS(1395,32))-INDIRECT(ADDRESS(1390,33))+INDIRECT(ADDRESS(1393,33))-INDIRECT(ADDRESS(1394,33)))</f>
        <v>0</v>
      </c>
      <c r="AH1395">
        <f>IF(DAY(NOW())&lt;M3,INDIRECT(ADDRESS(1395,33))-INDIRECT(ADDRESS(1390,34))+INDIRECT(ADDRESS(1391,34))-INDIRECT(ADDRESS(1394,34)),INDIRECT(ADDRESS(1395,33))-INDIRECT(ADDRESS(1390,34))+INDIRECT(ADDRESS(1393,34))-INDIRECT(ADDRESS(1394,34)))</f>
        <v>0</v>
      </c>
      <c r="AI1395">
        <f>IF(DAY(NOW())&lt;M3,INDIRECT(ADDRESS(1395,34))-INDIRECT(ADDRESS(1390,35))+INDIRECT(ADDRESS(1391,35))-INDIRECT(ADDRESS(1394,35)),INDIRECT(ADDRESS(1395,34))-INDIRECT(ADDRESS(1390,35))+INDIRECT(ADDRESS(1393,35))-INDIRECT(ADDRESS(1394,35)))</f>
        <v>0</v>
      </c>
      <c r="AJ1395">
        <f>IF(DAY(NOW())&lt;M3,INDIRECT(ADDRESS(1395,35))-INDIRECT(ADDRESS(1390,36))+INDIRECT(ADDRESS(1391,36))-INDIRECT(ADDRESS(1394,36)),INDIRECT(ADDRESS(1395,35))-INDIRECT(ADDRESS(1390,36))+INDIRECT(ADDRESS(1393,36))-INDIRECT(ADDRESS(1394,36)))</f>
        <v>0</v>
      </c>
      <c r="AK1395">
        <f>IF(DAY(NOW())&lt;M3,INDIRECT(ADDRESS(1395,36))-INDIRECT(ADDRESS(1390,37))+INDIRECT(ADDRESS(1391,37))-INDIRECT(ADDRESS(1394,37)),INDIRECT(ADDRESS(1395,36))-INDIRECT(ADDRESS(1390,37))+INDIRECT(ADDRESS(1393,37))-INDIRECT(ADDRESS(1394,37)))</f>
        <v>0</v>
      </c>
      <c r="AL1395">
        <f>IF(DAY(NOW())&lt;M3,INDIRECT(ADDRESS(1395,37))-INDIRECT(ADDRESS(1390,38))+INDIRECT(ADDRESS(1391,38))-INDIRECT(ADDRESS(1394,38)),INDIRECT(ADDRESS(1395,37))-INDIRECT(ADDRESS(1390,38))+INDIRECT(ADDRESS(1393,38))-INDIRECT(ADDRESS(1394,38)))</f>
        <v>0</v>
      </c>
      <c r="AM1395">
        <f>IF(DAY(NOW())&lt;M3,INDIRECT(ADDRESS(1395,38))-INDIRECT(ADDRESS(1390,39))+INDIRECT(ADDRESS(1391,39))-INDIRECT(ADDRESS(1394,39)),INDIRECT(ADDRESS(1395,38))-INDIRECT(ADDRESS(1390,39))+INDIRECT(ADDRESS(1393,39))-INDIRECT(ADDRESS(1394,39)))</f>
        <v>0</v>
      </c>
      <c r="AN1395">
        <f>IF(DAY(NOW())&lt;M3,INDIRECT(ADDRESS(1395,39))-INDIRECT(ADDRESS(1390,40))+INDIRECT(ADDRESS(1391,40))-INDIRECT(ADDRESS(1394,40)),INDIRECT(ADDRESS(1395,39))-INDIRECT(ADDRESS(1390,40))+INDIRECT(ADDRESS(1393,40))-INDIRECT(ADDRESS(1394,40)))</f>
        <v>0</v>
      </c>
      <c r="AO1395">
        <f>IF(DAY(NOW())&lt;M3,INDIRECT(ADDRESS(1395,40))-INDIRECT(ADDRESS(1390,41))+INDIRECT(ADDRESS(1391,41))-INDIRECT(ADDRESS(1394,41)),INDIRECT(ADDRESS(1395,40))-INDIRECT(ADDRESS(1390,41))+INDIRECT(ADDRESS(1393,41))-INDIRECT(ADDRESS(1394,41)))</f>
        <v>0</v>
      </c>
      <c r="AP1395">
        <f>IF(DAY(NOW())&lt;M3,INDIRECT(ADDRESS(1395,41))-INDIRECT(ADDRESS(1390,42))+INDIRECT(ADDRESS(1391,42))-INDIRECT(ADDRESS(1394,42)),INDIRECT(ADDRESS(1395,41))-INDIRECT(ADDRESS(1390,42))+INDIRECT(ADDRESS(1393,42))-INDIRECT(ADDRESS(1394,42)))</f>
        <v>0</v>
      </c>
      <c r="AQ1395">
        <f>IF(DAY(NOW())&lt;M3,INDIRECT(ADDRESS(1395,42))-INDIRECT(ADDRESS(1390,43))+INDIRECT(ADDRESS(1391,43))-INDIRECT(ADDRESS(1394,43)),INDIRECT(ADDRESS(1395,42))-INDIRECT(ADDRESS(1390,43))+INDIRECT(ADDRESS(1393,43))-INDIRECT(ADDRESS(1394,43)))</f>
        <v>0</v>
      </c>
      <c r="AR1395">
        <f>IF(DAY(NOW())&lt;M3,INDIRECT(ADDRESS(1395,43))-INDIRECT(ADDRESS(1390,44))+INDIRECT(ADDRESS(1391,44))-INDIRECT(ADDRESS(1394,44)),INDIRECT(ADDRESS(1395,43))-INDIRECT(ADDRESS(1390,44))+INDIRECT(ADDRESS(1393,44))-INDIRECT(ADDRESS(1394,44)))</f>
        <v>0</v>
      </c>
    </row>
    <row r="1396" spans="1:76">
      <c r="A1396" t="s">
        <v>31</v>
      </c>
      <c r="B1396" t="s">
        <v>569</v>
      </c>
      <c r="C1396" t="s">
        <v>570</v>
      </c>
      <c r="D1396" t="s">
        <v>480</v>
      </c>
      <c r="E1396" t="s">
        <v>444</v>
      </c>
      <c r="F1396" t="s">
        <v>571</v>
      </c>
      <c r="K1396" t="s">
        <v>516</v>
      </c>
      <c r="L1396" t="s">
        <v>21</v>
      </c>
      <c r="M1396">
        <f>sumifs(BOM!m:m,BOM!A:A,".1",BOM!B:B,"852-207000-100")</f>
        <v>0</v>
      </c>
      <c r="N1396">
        <f>sumifs(BOM!n:n,BOM!A:A,".1",BOM!B:B,"852-207000-100")</f>
        <v>0</v>
      </c>
      <c r="O1396">
        <f>sumifs(BOM!o:o,BOM!A:A,".1",BOM!B:B,"852-207000-100")</f>
        <v>0</v>
      </c>
      <c r="P1396">
        <f>sumifs(BOM!p:p,BOM!A:A,".1",BOM!B:B,"852-207000-100")</f>
        <v>0</v>
      </c>
      <c r="Q1396">
        <f>sumifs(BOM!q:q,BOM!A:A,".1",BOM!B:B,"852-207000-100")</f>
        <v>0</v>
      </c>
      <c r="R1396">
        <f>sumifs(BOM!r:r,BOM!A:A,".1",BOM!B:B,"852-207000-100")</f>
        <v>0</v>
      </c>
      <c r="S1396">
        <f>sumifs(BOM!s:s,BOM!A:A,".1",BOM!B:B,"852-207000-100")</f>
        <v>0</v>
      </c>
      <c r="T1396">
        <f>sumifs(BOM!t:t,BOM!A:A,".1",BOM!B:B,"852-207000-100")</f>
        <v>0</v>
      </c>
      <c r="U1396">
        <f>sumifs(BOM!u:u,BOM!A:A,".1",BOM!B:B,"852-207000-100")</f>
        <v>0</v>
      </c>
      <c r="V1396">
        <f>sumifs(BOM!v:v,BOM!A:A,".1",BOM!B:B,"852-207000-100")</f>
        <v>0</v>
      </c>
      <c r="W1396">
        <f>sumifs(BOM!w:w,BOM!A:A,".1",BOM!B:B,"852-207000-100")</f>
        <v>0</v>
      </c>
      <c r="X1396">
        <f>sumifs(BOM!x:x,BOM!A:A,".1",BOM!B:B,"852-207000-100")</f>
        <v>0</v>
      </c>
      <c r="Y1396">
        <f>sumifs(BOM!y:y,BOM!A:A,".1",BOM!B:B,"852-207000-100")</f>
        <v>0</v>
      </c>
      <c r="Z1396">
        <f>sumifs(BOM!z:z,BOM!A:A,".1",BOM!B:B,"852-207000-100")</f>
        <v>0</v>
      </c>
      <c r="AA1396">
        <f>sumifs(BOM!aa:aa,BOM!A:A,".1",BOM!B:B,"852-207000-100")</f>
        <v>0</v>
      </c>
      <c r="AB1396">
        <f>sumifs(BOM!ab:ab,BOM!A:A,".1",BOM!B:B,"852-207000-100")</f>
        <v>0</v>
      </c>
      <c r="AC1396">
        <f>sumifs(BOM!ac:ac,BOM!A:A,".1",BOM!B:B,"852-207000-100")</f>
        <v>0</v>
      </c>
      <c r="AD1396">
        <f>sumifs(BOM!ad:ad,BOM!A:A,".1",BOM!B:B,"852-207000-100")</f>
        <v>0</v>
      </c>
      <c r="AE1396">
        <f>sumifs(BOM!ae:ae,BOM!A:A,".1",BOM!B:B,"852-207000-100")</f>
        <v>0</v>
      </c>
      <c r="AF1396">
        <f>sumifs(BOM!af:af,BOM!A:A,".1",BOM!B:B,"852-207000-100")</f>
        <v>0</v>
      </c>
      <c r="AG1396">
        <f>sumifs(BOM!ag:ag,BOM!A:A,".1",BOM!B:B,"852-207000-100")</f>
        <v>0</v>
      </c>
      <c r="AH1396">
        <f>sumifs(BOM!ah:ah,BOM!A:A,".1",BOM!B:B,"852-207000-100")</f>
        <v>0</v>
      </c>
      <c r="AI1396">
        <f>sumifs(BOM!ai:ai,BOM!A:A,".1",BOM!B:B,"852-207000-100")</f>
        <v>0</v>
      </c>
      <c r="AJ1396">
        <f>sumifs(BOM!aj:aj,BOM!A:A,".1",BOM!B:B,"852-207000-100")</f>
        <v>0</v>
      </c>
      <c r="AK1396">
        <f>sumifs(BOM!ak:ak,BOM!A:A,".1",BOM!B:B,"852-207000-100")</f>
        <v>0</v>
      </c>
      <c r="AL1396">
        <f>sumifs(BOM!al:al,BOM!A:A,".1",BOM!B:B,"852-207000-100")</f>
        <v>0</v>
      </c>
      <c r="AM1396">
        <f>sumifs(BOM!am:am,BOM!A:A,".1",BOM!B:B,"852-207000-100")</f>
        <v>0</v>
      </c>
      <c r="AN1396">
        <f>sumifs(BOM!an:an,BOM!A:A,".1",BOM!B:B,"852-207000-100")</f>
        <v>0</v>
      </c>
      <c r="AO1396">
        <f>sumifs(BOM!ao:ao,BOM!A:A,".1",BOM!B:B,"852-207000-100")</f>
        <v>0</v>
      </c>
      <c r="AP1396">
        <f>sumifs(BOM!ap:ap,BOM!A:A,".1",BOM!B:B,"852-207000-100")</f>
        <v>0</v>
      </c>
      <c r="AQ1396">
        <f>sumifs(BOM!aq:aq,BOM!A:A,".1",BOM!B:B,"852-207000-100")</f>
        <v>0</v>
      </c>
      <c r="AR1396">
        <f>sumifs(BOM!ar:ar,BOM!A:A,".1",BOM!B:B,"852-207000-100")</f>
        <v>0</v>
      </c>
      <c r="BX1396">
        <f>sum(j1396:an1396)</f>
        <v>0</v>
      </c>
    </row>
    <row r="1397" spans="1:76">
      <c r="A1397" t="s">
        <v>31</v>
      </c>
      <c r="B1397" t="s">
        <v>569</v>
      </c>
      <c r="C1397" t="s">
        <v>570</v>
      </c>
      <c r="D1397" t="s">
        <v>480</v>
      </c>
      <c r="E1397" t="s">
        <v>444</v>
      </c>
      <c r="F1397" t="s">
        <v>571</v>
      </c>
      <c r="K1397" t="s">
        <v>516</v>
      </c>
      <c r="L1397" t="s">
        <v>37</v>
      </c>
    </row>
    <row r="1398" spans="1:76">
      <c r="L1398" t="s">
        <v>662</v>
      </c>
    </row>
    <row r="1399" spans="1:76">
      <c r="L1399" t="s">
        <v>663</v>
      </c>
    </row>
    <row r="1400" spans="1:76">
      <c r="L1400" t="s">
        <v>664</v>
      </c>
    </row>
    <row r="1401" spans="1:76">
      <c r="L1401" t="s">
        <v>665</v>
      </c>
      <c r="M1401">
        <f>IF(DAY(NOW())&lt;M3,INDIRECT(ADDRESS(1401,7))-INDIRECT(ADDRESS(1396,13))+INDIRECT(ADDRESS(1397,13))-INDIRECT(ADDRESS(1400,13)),INDIRECT(ADDRESS(1401,7))-INDIRECT(ADDRESS(1396,13))+INDIRECT(ADDRESS(1399,13))-INDIRECT(ADDRESS(1400,13)))</f>
        <v>0</v>
      </c>
      <c r="N1401">
        <f>IF(DAY(NOW())&lt;M3,INDIRECT(ADDRESS(1401,13))-INDIRECT(ADDRESS(1396,14))+INDIRECT(ADDRESS(1397,14))-INDIRECT(ADDRESS(1400,14)),INDIRECT(ADDRESS(1401,13))-INDIRECT(ADDRESS(1396,14))+INDIRECT(ADDRESS(1399,14))-INDIRECT(ADDRESS(1400,14)))</f>
        <v>0</v>
      </c>
      <c r="O1401">
        <f>IF(DAY(NOW())&lt;M3,INDIRECT(ADDRESS(1401,14))-INDIRECT(ADDRESS(1396,15))+INDIRECT(ADDRESS(1397,15))-INDIRECT(ADDRESS(1400,15)),INDIRECT(ADDRESS(1401,14))-INDIRECT(ADDRESS(1396,15))+INDIRECT(ADDRESS(1399,15))-INDIRECT(ADDRESS(1400,15)))</f>
        <v>0</v>
      </c>
      <c r="P1401">
        <f>IF(DAY(NOW())&lt;M3,INDIRECT(ADDRESS(1401,15))-INDIRECT(ADDRESS(1396,16))+INDIRECT(ADDRESS(1397,16))-INDIRECT(ADDRESS(1400,16)),INDIRECT(ADDRESS(1401,15))-INDIRECT(ADDRESS(1396,16))+INDIRECT(ADDRESS(1399,16))-INDIRECT(ADDRESS(1400,16)))</f>
        <v>0</v>
      </c>
      <c r="Q1401">
        <f>IF(DAY(NOW())&lt;M3,INDIRECT(ADDRESS(1401,16))-INDIRECT(ADDRESS(1396,17))+INDIRECT(ADDRESS(1397,17))-INDIRECT(ADDRESS(1400,17)),INDIRECT(ADDRESS(1401,16))-INDIRECT(ADDRESS(1396,17))+INDIRECT(ADDRESS(1399,17))-INDIRECT(ADDRESS(1400,17)))</f>
        <v>0</v>
      </c>
      <c r="R1401">
        <f>IF(DAY(NOW())&lt;M3,INDIRECT(ADDRESS(1401,17))-INDIRECT(ADDRESS(1396,18))+INDIRECT(ADDRESS(1397,18))-INDIRECT(ADDRESS(1400,18)),INDIRECT(ADDRESS(1401,17))-INDIRECT(ADDRESS(1396,18))+INDIRECT(ADDRESS(1399,18))-INDIRECT(ADDRESS(1400,18)))</f>
        <v>0</v>
      </c>
      <c r="S1401">
        <f>IF(DAY(NOW())&lt;M3,INDIRECT(ADDRESS(1401,18))-INDIRECT(ADDRESS(1396,19))+INDIRECT(ADDRESS(1397,19))-INDIRECT(ADDRESS(1400,19)),INDIRECT(ADDRESS(1401,18))-INDIRECT(ADDRESS(1396,19))+INDIRECT(ADDRESS(1399,19))-INDIRECT(ADDRESS(1400,19)))</f>
        <v>0</v>
      </c>
      <c r="T1401">
        <f>IF(DAY(NOW())&lt;M3,INDIRECT(ADDRESS(1401,19))-INDIRECT(ADDRESS(1396,20))+INDIRECT(ADDRESS(1397,20))-INDIRECT(ADDRESS(1400,20)),INDIRECT(ADDRESS(1401,19))-INDIRECT(ADDRESS(1396,20))+INDIRECT(ADDRESS(1399,20))-INDIRECT(ADDRESS(1400,20)))</f>
        <v>0</v>
      </c>
      <c r="U1401">
        <f>IF(DAY(NOW())&lt;M3,INDIRECT(ADDRESS(1401,20))-INDIRECT(ADDRESS(1396,21))+INDIRECT(ADDRESS(1397,21))-INDIRECT(ADDRESS(1400,21)),INDIRECT(ADDRESS(1401,20))-INDIRECT(ADDRESS(1396,21))+INDIRECT(ADDRESS(1399,21))-INDIRECT(ADDRESS(1400,21)))</f>
        <v>0</v>
      </c>
      <c r="V1401">
        <f>IF(DAY(NOW())&lt;M3,INDIRECT(ADDRESS(1401,21))-INDIRECT(ADDRESS(1396,22))+INDIRECT(ADDRESS(1397,22))-INDIRECT(ADDRESS(1400,22)),INDIRECT(ADDRESS(1401,21))-INDIRECT(ADDRESS(1396,22))+INDIRECT(ADDRESS(1399,22))-INDIRECT(ADDRESS(1400,22)))</f>
        <v>0</v>
      </c>
      <c r="W1401">
        <f>IF(DAY(NOW())&lt;M3,INDIRECT(ADDRESS(1401,22))-INDIRECT(ADDRESS(1396,23))+INDIRECT(ADDRESS(1397,23))-INDIRECT(ADDRESS(1400,23)),INDIRECT(ADDRESS(1401,22))-INDIRECT(ADDRESS(1396,23))+INDIRECT(ADDRESS(1399,23))-INDIRECT(ADDRESS(1400,23)))</f>
        <v>0</v>
      </c>
      <c r="X1401">
        <f>IF(DAY(NOW())&lt;M3,INDIRECT(ADDRESS(1401,23))-INDIRECT(ADDRESS(1396,24))+INDIRECT(ADDRESS(1397,24))-INDIRECT(ADDRESS(1400,24)),INDIRECT(ADDRESS(1401,23))-INDIRECT(ADDRESS(1396,24))+INDIRECT(ADDRESS(1399,24))-INDIRECT(ADDRESS(1400,24)))</f>
        <v>0</v>
      </c>
      <c r="Y1401">
        <f>IF(DAY(NOW())&lt;M3,INDIRECT(ADDRESS(1401,24))-INDIRECT(ADDRESS(1396,25))+INDIRECT(ADDRESS(1397,25))-INDIRECT(ADDRESS(1400,25)),INDIRECT(ADDRESS(1401,24))-INDIRECT(ADDRESS(1396,25))+INDIRECT(ADDRESS(1399,25))-INDIRECT(ADDRESS(1400,25)))</f>
        <v>0</v>
      </c>
      <c r="Z1401">
        <f>IF(DAY(NOW())&lt;M3,INDIRECT(ADDRESS(1401,25))-INDIRECT(ADDRESS(1396,26))+INDIRECT(ADDRESS(1397,26))-INDIRECT(ADDRESS(1400,26)),INDIRECT(ADDRESS(1401,25))-INDIRECT(ADDRESS(1396,26))+INDIRECT(ADDRESS(1399,26))-INDIRECT(ADDRESS(1400,26)))</f>
        <v>0</v>
      </c>
      <c r="AA1401">
        <f>IF(DAY(NOW())&lt;M3,INDIRECT(ADDRESS(1401,26))-INDIRECT(ADDRESS(1396,27))+INDIRECT(ADDRESS(1397,27))-INDIRECT(ADDRESS(1400,27)),INDIRECT(ADDRESS(1401,26))-INDIRECT(ADDRESS(1396,27))+INDIRECT(ADDRESS(1399,27))-INDIRECT(ADDRESS(1400,27)))</f>
        <v>0</v>
      </c>
      <c r="AB1401">
        <f>IF(DAY(NOW())&lt;M3,INDIRECT(ADDRESS(1401,27))-INDIRECT(ADDRESS(1396,28))+INDIRECT(ADDRESS(1397,28))-INDIRECT(ADDRESS(1400,28)),INDIRECT(ADDRESS(1401,27))-INDIRECT(ADDRESS(1396,28))+INDIRECT(ADDRESS(1399,28))-INDIRECT(ADDRESS(1400,28)))</f>
        <v>0</v>
      </c>
      <c r="AC1401">
        <f>IF(DAY(NOW())&lt;M3,INDIRECT(ADDRESS(1401,28))-INDIRECT(ADDRESS(1396,29))+INDIRECT(ADDRESS(1397,29))-INDIRECT(ADDRESS(1400,29)),INDIRECT(ADDRESS(1401,28))-INDIRECT(ADDRESS(1396,29))+INDIRECT(ADDRESS(1399,29))-INDIRECT(ADDRESS(1400,29)))</f>
        <v>0</v>
      </c>
      <c r="AD1401">
        <f>IF(DAY(NOW())&lt;M3,INDIRECT(ADDRESS(1401,29))-INDIRECT(ADDRESS(1396,30))+INDIRECT(ADDRESS(1397,30))-INDIRECT(ADDRESS(1400,30)),INDIRECT(ADDRESS(1401,29))-INDIRECT(ADDRESS(1396,30))+INDIRECT(ADDRESS(1399,30))-INDIRECT(ADDRESS(1400,30)))</f>
        <v>0</v>
      </c>
      <c r="AE1401">
        <f>IF(DAY(NOW())&lt;M3,INDIRECT(ADDRESS(1401,30))-INDIRECT(ADDRESS(1396,31))+INDIRECT(ADDRESS(1397,31))-INDIRECT(ADDRESS(1400,31)),INDIRECT(ADDRESS(1401,30))-INDIRECT(ADDRESS(1396,31))+INDIRECT(ADDRESS(1399,31))-INDIRECT(ADDRESS(1400,31)))</f>
        <v>0</v>
      </c>
      <c r="AF1401">
        <f>IF(DAY(NOW())&lt;M3,INDIRECT(ADDRESS(1401,31))-INDIRECT(ADDRESS(1396,32))+INDIRECT(ADDRESS(1397,32))-INDIRECT(ADDRESS(1400,32)),INDIRECT(ADDRESS(1401,31))-INDIRECT(ADDRESS(1396,32))+INDIRECT(ADDRESS(1399,32))-INDIRECT(ADDRESS(1400,32)))</f>
        <v>0</v>
      </c>
      <c r="AG1401">
        <f>IF(DAY(NOW())&lt;M3,INDIRECT(ADDRESS(1401,32))-INDIRECT(ADDRESS(1396,33))+INDIRECT(ADDRESS(1397,33))-INDIRECT(ADDRESS(1400,33)),INDIRECT(ADDRESS(1401,32))-INDIRECT(ADDRESS(1396,33))+INDIRECT(ADDRESS(1399,33))-INDIRECT(ADDRESS(1400,33)))</f>
        <v>0</v>
      </c>
      <c r="AH1401">
        <f>IF(DAY(NOW())&lt;M3,INDIRECT(ADDRESS(1401,33))-INDIRECT(ADDRESS(1396,34))+INDIRECT(ADDRESS(1397,34))-INDIRECT(ADDRESS(1400,34)),INDIRECT(ADDRESS(1401,33))-INDIRECT(ADDRESS(1396,34))+INDIRECT(ADDRESS(1399,34))-INDIRECT(ADDRESS(1400,34)))</f>
        <v>0</v>
      </c>
      <c r="AI1401">
        <f>IF(DAY(NOW())&lt;M3,INDIRECT(ADDRESS(1401,34))-INDIRECT(ADDRESS(1396,35))+INDIRECT(ADDRESS(1397,35))-INDIRECT(ADDRESS(1400,35)),INDIRECT(ADDRESS(1401,34))-INDIRECT(ADDRESS(1396,35))+INDIRECT(ADDRESS(1399,35))-INDIRECT(ADDRESS(1400,35)))</f>
        <v>0</v>
      </c>
      <c r="AJ1401">
        <f>IF(DAY(NOW())&lt;M3,INDIRECT(ADDRESS(1401,35))-INDIRECT(ADDRESS(1396,36))+INDIRECT(ADDRESS(1397,36))-INDIRECT(ADDRESS(1400,36)),INDIRECT(ADDRESS(1401,35))-INDIRECT(ADDRESS(1396,36))+INDIRECT(ADDRESS(1399,36))-INDIRECT(ADDRESS(1400,36)))</f>
        <v>0</v>
      </c>
      <c r="AK1401">
        <f>IF(DAY(NOW())&lt;M3,INDIRECT(ADDRESS(1401,36))-INDIRECT(ADDRESS(1396,37))+INDIRECT(ADDRESS(1397,37))-INDIRECT(ADDRESS(1400,37)),INDIRECT(ADDRESS(1401,36))-INDIRECT(ADDRESS(1396,37))+INDIRECT(ADDRESS(1399,37))-INDIRECT(ADDRESS(1400,37)))</f>
        <v>0</v>
      </c>
      <c r="AL1401">
        <f>IF(DAY(NOW())&lt;M3,INDIRECT(ADDRESS(1401,37))-INDIRECT(ADDRESS(1396,38))+INDIRECT(ADDRESS(1397,38))-INDIRECT(ADDRESS(1400,38)),INDIRECT(ADDRESS(1401,37))-INDIRECT(ADDRESS(1396,38))+INDIRECT(ADDRESS(1399,38))-INDIRECT(ADDRESS(1400,38)))</f>
        <v>0</v>
      </c>
      <c r="AM1401">
        <f>IF(DAY(NOW())&lt;M3,INDIRECT(ADDRESS(1401,38))-INDIRECT(ADDRESS(1396,39))+INDIRECT(ADDRESS(1397,39))-INDIRECT(ADDRESS(1400,39)),INDIRECT(ADDRESS(1401,38))-INDIRECT(ADDRESS(1396,39))+INDIRECT(ADDRESS(1399,39))-INDIRECT(ADDRESS(1400,39)))</f>
        <v>0</v>
      </c>
      <c r="AN1401">
        <f>IF(DAY(NOW())&lt;M3,INDIRECT(ADDRESS(1401,39))-INDIRECT(ADDRESS(1396,40))+INDIRECT(ADDRESS(1397,40))-INDIRECT(ADDRESS(1400,40)),INDIRECT(ADDRESS(1401,39))-INDIRECT(ADDRESS(1396,40))+INDIRECT(ADDRESS(1399,40))-INDIRECT(ADDRESS(1400,40)))</f>
        <v>0</v>
      </c>
      <c r="AO1401">
        <f>IF(DAY(NOW())&lt;M3,INDIRECT(ADDRESS(1401,40))-INDIRECT(ADDRESS(1396,41))+INDIRECT(ADDRESS(1397,41))-INDIRECT(ADDRESS(1400,41)),INDIRECT(ADDRESS(1401,40))-INDIRECT(ADDRESS(1396,41))+INDIRECT(ADDRESS(1399,41))-INDIRECT(ADDRESS(1400,41)))</f>
        <v>0</v>
      </c>
      <c r="AP1401">
        <f>IF(DAY(NOW())&lt;M3,INDIRECT(ADDRESS(1401,41))-INDIRECT(ADDRESS(1396,42))+INDIRECT(ADDRESS(1397,42))-INDIRECT(ADDRESS(1400,42)),INDIRECT(ADDRESS(1401,41))-INDIRECT(ADDRESS(1396,42))+INDIRECT(ADDRESS(1399,42))-INDIRECT(ADDRESS(1400,42)))</f>
        <v>0</v>
      </c>
      <c r="AQ1401">
        <f>IF(DAY(NOW())&lt;M3,INDIRECT(ADDRESS(1401,42))-INDIRECT(ADDRESS(1396,43))+INDIRECT(ADDRESS(1397,43))-INDIRECT(ADDRESS(1400,43)),INDIRECT(ADDRESS(1401,42))-INDIRECT(ADDRESS(1396,43))+INDIRECT(ADDRESS(1399,43))-INDIRECT(ADDRESS(1400,43)))</f>
        <v>0</v>
      </c>
      <c r="AR1401">
        <f>IF(DAY(NOW())&lt;M3,INDIRECT(ADDRESS(1401,43))-INDIRECT(ADDRESS(1396,44))+INDIRECT(ADDRESS(1397,44))-INDIRECT(ADDRESS(1400,44)),INDIRECT(ADDRESS(1401,43))-INDIRECT(ADDRESS(1396,44))+INDIRECT(ADDRESS(1399,44))-INDIRECT(ADDRESS(1400,44)))</f>
        <v>0</v>
      </c>
    </row>
    <row r="1402" spans="1:76">
      <c r="A1402" t="s">
        <v>31</v>
      </c>
      <c r="B1402" t="s">
        <v>572</v>
      </c>
      <c r="C1402" t="s">
        <v>573</v>
      </c>
      <c r="D1402" t="s">
        <v>480</v>
      </c>
      <c r="E1402" t="s">
        <v>444</v>
      </c>
      <c r="F1402" t="s">
        <v>574</v>
      </c>
      <c r="K1402" t="s">
        <v>516</v>
      </c>
      <c r="L1402" t="s">
        <v>21</v>
      </c>
      <c r="M1402">
        <f>sumifs(BOM!m:m,BOM!A:A,".1",BOM!B:B,"852-209000-100")</f>
        <v>0</v>
      </c>
      <c r="N1402">
        <f>sumifs(BOM!n:n,BOM!A:A,".1",BOM!B:B,"852-209000-100")</f>
        <v>0</v>
      </c>
      <c r="O1402">
        <f>sumifs(BOM!o:o,BOM!A:A,".1",BOM!B:B,"852-209000-100")</f>
        <v>0</v>
      </c>
      <c r="P1402">
        <f>sumifs(BOM!p:p,BOM!A:A,".1",BOM!B:B,"852-209000-100")</f>
        <v>0</v>
      </c>
      <c r="Q1402">
        <f>sumifs(BOM!q:q,BOM!A:A,".1",BOM!B:B,"852-209000-100")</f>
        <v>0</v>
      </c>
      <c r="R1402">
        <f>sumifs(BOM!r:r,BOM!A:A,".1",BOM!B:B,"852-209000-100")</f>
        <v>0</v>
      </c>
      <c r="S1402">
        <f>sumifs(BOM!s:s,BOM!A:A,".1",BOM!B:B,"852-209000-100")</f>
        <v>0</v>
      </c>
      <c r="T1402">
        <f>sumifs(BOM!t:t,BOM!A:A,".1",BOM!B:B,"852-209000-100")</f>
        <v>0</v>
      </c>
      <c r="U1402">
        <f>sumifs(BOM!u:u,BOM!A:A,".1",BOM!B:B,"852-209000-100")</f>
        <v>0</v>
      </c>
      <c r="V1402">
        <f>sumifs(BOM!v:v,BOM!A:A,".1",BOM!B:B,"852-209000-100")</f>
        <v>0</v>
      </c>
      <c r="W1402">
        <f>sumifs(BOM!w:w,BOM!A:A,".1",BOM!B:B,"852-209000-100")</f>
        <v>0</v>
      </c>
      <c r="X1402">
        <f>sumifs(BOM!x:x,BOM!A:A,".1",BOM!B:B,"852-209000-100")</f>
        <v>0</v>
      </c>
      <c r="Y1402">
        <f>sumifs(BOM!y:y,BOM!A:A,".1",BOM!B:B,"852-209000-100")</f>
        <v>0</v>
      </c>
      <c r="Z1402">
        <f>sumifs(BOM!z:z,BOM!A:A,".1",BOM!B:B,"852-209000-100")</f>
        <v>0</v>
      </c>
      <c r="AA1402">
        <f>sumifs(BOM!aa:aa,BOM!A:A,".1",BOM!B:B,"852-209000-100")</f>
        <v>0</v>
      </c>
      <c r="AB1402">
        <f>sumifs(BOM!ab:ab,BOM!A:A,".1",BOM!B:B,"852-209000-100")</f>
        <v>0</v>
      </c>
      <c r="AC1402">
        <f>sumifs(BOM!ac:ac,BOM!A:A,".1",BOM!B:B,"852-209000-100")</f>
        <v>0</v>
      </c>
      <c r="AD1402">
        <f>sumifs(BOM!ad:ad,BOM!A:A,".1",BOM!B:B,"852-209000-100")</f>
        <v>0</v>
      </c>
      <c r="AE1402">
        <f>sumifs(BOM!ae:ae,BOM!A:A,".1",BOM!B:B,"852-209000-100")</f>
        <v>0</v>
      </c>
      <c r="AF1402">
        <f>sumifs(BOM!af:af,BOM!A:A,".1",BOM!B:B,"852-209000-100")</f>
        <v>0</v>
      </c>
      <c r="AG1402">
        <f>sumifs(BOM!ag:ag,BOM!A:A,".1",BOM!B:B,"852-209000-100")</f>
        <v>0</v>
      </c>
      <c r="AH1402">
        <f>sumifs(BOM!ah:ah,BOM!A:A,".1",BOM!B:B,"852-209000-100")</f>
        <v>0</v>
      </c>
      <c r="AI1402">
        <f>sumifs(BOM!ai:ai,BOM!A:A,".1",BOM!B:B,"852-209000-100")</f>
        <v>0</v>
      </c>
      <c r="AJ1402">
        <f>sumifs(BOM!aj:aj,BOM!A:A,".1",BOM!B:B,"852-209000-100")</f>
        <v>0</v>
      </c>
      <c r="AK1402">
        <f>sumifs(BOM!ak:ak,BOM!A:A,".1",BOM!B:B,"852-209000-100")</f>
        <v>0</v>
      </c>
      <c r="AL1402">
        <f>sumifs(BOM!al:al,BOM!A:A,".1",BOM!B:B,"852-209000-100")</f>
        <v>0</v>
      </c>
      <c r="AM1402">
        <f>sumifs(BOM!am:am,BOM!A:A,".1",BOM!B:B,"852-209000-100")</f>
        <v>0</v>
      </c>
      <c r="AN1402">
        <f>sumifs(BOM!an:an,BOM!A:A,".1",BOM!B:B,"852-209000-100")</f>
        <v>0</v>
      </c>
      <c r="AO1402">
        <f>sumifs(BOM!ao:ao,BOM!A:A,".1",BOM!B:B,"852-209000-100")</f>
        <v>0</v>
      </c>
      <c r="AP1402">
        <f>sumifs(BOM!ap:ap,BOM!A:A,".1",BOM!B:B,"852-209000-100")</f>
        <v>0</v>
      </c>
      <c r="AQ1402">
        <f>sumifs(BOM!aq:aq,BOM!A:A,".1",BOM!B:B,"852-209000-100")</f>
        <v>0</v>
      </c>
      <c r="AR1402">
        <f>sumifs(BOM!ar:ar,BOM!A:A,".1",BOM!B:B,"852-209000-100")</f>
        <v>0</v>
      </c>
      <c r="BX1402">
        <f>sum(j1402:an1402)</f>
        <v>0</v>
      </c>
    </row>
    <row r="1403" spans="1:76">
      <c r="A1403" t="s">
        <v>31</v>
      </c>
      <c r="B1403" t="s">
        <v>572</v>
      </c>
      <c r="C1403" t="s">
        <v>573</v>
      </c>
      <c r="D1403" t="s">
        <v>480</v>
      </c>
      <c r="E1403" t="s">
        <v>444</v>
      </c>
      <c r="F1403" t="s">
        <v>574</v>
      </c>
      <c r="K1403" t="s">
        <v>516</v>
      </c>
      <c r="L1403" t="s">
        <v>37</v>
      </c>
    </row>
    <row r="1404" spans="1:76">
      <c r="L1404" t="s">
        <v>662</v>
      </c>
    </row>
    <row r="1405" spans="1:76">
      <c r="L1405" t="s">
        <v>663</v>
      </c>
    </row>
    <row r="1406" spans="1:76">
      <c r="L1406" t="s">
        <v>664</v>
      </c>
    </row>
    <row r="1407" spans="1:76">
      <c r="L1407" t="s">
        <v>665</v>
      </c>
      <c r="M1407">
        <f>IF(DAY(NOW())&lt;M3,INDIRECT(ADDRESS(1407,7))-INDIRECT(ADDRESS(1402,13))+INDIRECT(ADDRESS(1403,13))-INDIRECT(ADDRESS(1406,13)),INDIRECT(ADDRESS(1407,7))-INDIRECT(ADDRESS(1402,13))+INDIRECT(ADDRESS(1405,13))-INDIRECT(ADDRESS(1406,13)))</f>
        <v>0</v>
      </c>
      <c r="N1407">
        <f>IF(DAY(NOW())&lt;M3,INDIRECT(ADDRESS(1407,13))-INDIRECT(ADDRESS(1402,14))+INDIRECT(ADDRESS(1403,14))-INDIRECT(ADDRESS(1406,14)),INDIRECT(ADDRESS(1407,13))-INDIRECT(ADDRESS(1402,14))+INDIRECT(ADDRESS(1405,14))-INDIRECT(ADDRESS(1406,14)))</f>
        <v>0</v>
      </c>
      <c r="O1407">
        <f>IF(DAY(NOW())&lt;M3,INDIRECT(ADDRESS(1407,14))-INDIRECT(ADDRESS(1402,15))+INDIRECT(ADDRESS(1403,15))-INDIRECT(ADDRESS(1406,15)),INDIRECT(ADDRESS(1407,14))-INDIRECT(ADDRESS(1402,15))+INDIRECT(ADDRESS(1405,15))-INDIRECT(ADDRESS(1406,15)))</f>
        <v>0</v>
      </c>
      <c r="P1407">
        <f>IF(DAY(NOW())&lt;M3,INDIRECT(ADDRESS(1407,15))-INDIRECT(ADDRESS(1402,16))+INDIRECT(ADDRESS(1403,16))-INDIRECT(ADDRESS(1406,16)),INDIRECT(ADDRESS(1407,15))-INDIRECT(ADDRESS(1402,16))+INDIRECT(ADDRESS(1405,16))-INDIRECT(ADDRESS(1406,16)))</f>
        <v>0</v>
      </c>
      <c r="Q1407">
        <f>IF(DAY(NOW())&lt;M3,INDIRECT(ADDRESS(1407,16))-INDIRECT(ADDRESS(1402,17))+INDIRECT(ADDRESS(1403,17))-INDIRECT(ADDRESS(1406,17)),INDIRECT(ADDRESS(1407,16))-INDIRECT(ADDRESS(1402,17))+INDIRECT(ADDRESS(1405,17))-INDIRECT(ADDRESS(1406,17)))</f>
        <v>0</v>
      </c>
      <c r="R1407">
        <f>IF(DAY(NOW())&lt;M3,INDIRECT(ADDRESS(1407,17))-INDIRECT(ADDRESS(1402,18))+INDIRECT(ADDRESS(1403,18))-INDIRECT(ADDRESS(1406,18)),INDIRECT(ADDRESS(1407,17))-INDIRECT(ADDRESS(1402,18))+INDIRECT(ADDRESS(1405,18))-INDIRECT(ADDRESS(1406,18)))</f>
        <v>0</v>
      </c>
      <c r="S1407">
        <f>IF(DAY(NOW())&lt;M3,INDIRECT(ADDRESS(1407,18))-INDIRECT(ADDRESS(1402,19))+INDIRECT(ADDRESS(1403,19))-INDIRECT(ADDRESS(1406,19)),INDIRECT(ADDRESS(1407,18))-INDIRECT(ADDRESS(1402,19))+INDIRECT(ADDRESS(1405,19))-INDIRECT(ADDRESS(1406,19)))</f>
        <v>0</v>
      </c>
      <c r="T1407">
        <f>IF(DAY(NOW())&lt;M3,INDIRECT(ADDRESS(1407,19))-INDIRECT(ADDRESS(1402,20))+INDIRECT(ADDRESS(1403,20))-INDIRECT(ADDRESS(1406,20)),INDIRECT(ADDRESS(1407,19))-INDIRECT(ADDRESS(1402,20))+INDIRECT(ADDRESS(1405,20))-INDIRECT(ADDRESS(1406,20)))</f>
        <v>0</v>
      </c>
      <c r="U1407">
        <f>IF(DAY(NOW())&lt;M3,INDIRECT(ADDRESS(1407,20))-INDIRECT(ADDRESS(1402,21))+INDIRECT(ADDRESS(1403,21))-INDIRECT(ADDRESS(1406,21)),INDIRECT(ADDRESS(1407,20))-INDIRECT(ADDRESS(1402,21))+INDIRECT(ADDRESS(1405,21))-INDIRECT(ADDRESS(1406,21)))</f>
        <v>0</v>
      </c>
      <c r="V1407">
        <f>IF(DAY(NOW())&lt;M3,INDIRECT(ADDRESS(1407,21))-INDIRECT(ADDRESS(1402,22))+INDIRECT(ADDRESS(1403,22))-INDIRECT(ADDRESS(1406,22)),INDIRECT(ADDRESS(1407,21))-INDIRECT(ADDRESS(1402,22))+INDIRECT(ADDRESS(1405,22))-INDIRECT(ADDRESS(1406,22)))</f>
        <v>0</v>
      </c>
      <c r="W1407">
        <f>IF(DAY(NOW())&lt;M3,INDIRECT(ADDRESS(1407,22))-INDIRECT(ADDRESS(1402,23))+INDIRECT(ADDRESS(1403,23))-INDIRECT(ADDRESS(1406,23)),INDIRECT(ADDRESS(1407,22))-INDIRECT(ADDRESS(1402,23))+INDIRECT(ADDRESS(1405,23))-INDIRECT(ADDRESS(1406,23)))</f>
        <v>0</v>
      </c>
      <c r="X1407">
        <f>IF(DAY(NOW())&lt;M3,INDIRECT(ADDRESS(1407,23))-INDIRECT(ADDRESS(1402,24))+INDIRECT(ADDRESS(1403,24))-INDIRECT(ADDRESS(1406,24)),INDIRECT(ADDRESS(1407,23))-INDIRECT(ADDRESS(1402,24))+INDIRECT(ADDRESS(1405,24))-INDIRECT(ADDRESS(1406,24)))</f>
        <v>0</v>
      </c>
      <c r="Y1407">
        <f>IF(DAY(NOW())&lt;M3,INDIRECT(ADDRESS(1407,24))-INDIRECT(ADDRESS(1402,25))+INDIRECT(ADDRESS(1403,25))-INDIRECT(ADDRESS(1406,25)),INDIRECT(ADDRESS(1407,24))-INDIRECT(ADDRESS(1402,25))+INDIRECT(ADDRESS(1405,25))-INDIRECT(ADDRESS(1406,25)))</f>
        <v>0</v>
      </c>
      <c r="Z1407">
        <f>IF(DAY(NOW())&lt;M3,INDIRECT(ADDRESS(1407,25))-INDIRECT(ADDRESS(1402,26))+INDIRECT(ADDRESS(1403,26))-INDIRECT(ADDRESS(1406,26)),INDIRECT(ADDRESS(1407,25))-INDIRECT(ADDRESS(1402,26))+INDIRECT(ADDRESS(1405,26))-INDIRECT(ADDRESS(1406,26)))</f>
        <v>0</v>
      </c>
      <c r="AA1407">
        <f>IF(DAY(NOW())&lt;M3,INDIRECT(ADDRESS(1407,26))-INDIRECT(ADDRESS(1402,27))+INDIRECT(ADDRESS(1403,27))-INDIRECT(ADDRESS(1406,27)),INDIRECT(ADDRESS(1407,26))-INDIRECT(ADDRESS(1402,27))+INDIRECT(ADDRESS(1405,27))-INDIRECT(ADDRESS(1406,27)))</f>
        <v>0</v>
      </c>
      <c r="AB1407">
        <f>IF(DAY(NOW())&lt;M3,INDIRECT(ADDRESS(1407,27))-INDIRECT(ADDRESS(1402,28))+INDIRECT(ADDRESS(1403,28))-INDIRECT(ADDRESS(1406,28)),INDIRECT(ADDRESS(1407,27))-INDIRECT(ADDRESS(1402,28))+INDIRECT(ADDRESS(1405,28))-INDIRECT(ADDRESS(1406,28)))</f>
        <v>0</v>
      </c>
      <c r="AC1407">
        <f>IF(DAY(NOW())&lt;M3,INDIRECT(ADDRESS(1407,28))-INDIRECT(ADDRESS(1402,29))+INDIRECT(ADDRESS(1403,29))-INDIRECT(ADDRESS(1406,29)),INDIRECT(ADDRESS(1407,28))-INDIRECT(ADDRESS(1402,29))+INDIRECT(ADDRESS(1405,29))-INDIRECT(ADDRESS(1406,29)))</f>
        <v>0</v>
      </c>
      <c r="AD1407">
        <f>IF(DAY(NOW())&lt;M3,INDIRECT(ADDRESS(1407,29))-INDIRECT(ADDRESS(1402,30))+INDIRECT(ADDRESS(1403,30))-INDIRECT(ADDRESS(1406,30)),INDIRECT(ADDRESS(1407,29))-INDIRECT(ADDRESS(1402,30))+INDIRECT(ADDRESS(1405,30))-INDIRECT(ADDRESS(1406,30)))</f>
        <v>0</v>
      </c>
      <c r="AE1407">
        <f>IF(DAY(NOW())&lt;M3,INDIRECT(ADDRESS(1407,30))-INDIRECT(ADDRESS(1402,31))+INDIRECT(ADDRESS(1403,31))-INDIRECT(ADDRESS(1406,31)),INDIRECT(ADDRESS(1407,30))-INDIRECT(ADDRESS(1402,31))+INDIRECT(ADDRESS(1405,31))-INDIRECT(ADDRESS(1406,31)))</f>
        <v>0</v>
      </c>
      <c r="AF1407">
        <f>IF(DAY(NOW())&lt;M3,INDIRECT(ADDRESS(1407,31))-INDIRECT(ADDRESS(1402,32))+INDIRECT(ADDRESS(1403,32))-INDIRECT(ADDRESS(1406,32)),INDIRECT(ADDRESS(1407,31))-INDIRECT(ADDRESS(1402,32))+INDIRECT(ADDRESS(1405,32))-INDIRECT(ADDRESS(1406,32)))</f>
        <v>0</v>
      </c>
      <c r="AG1407">
        <f>IF(DAY(NOW())&lt;M3,INDIRECT(ADDRESS(1407,32))-INDIRECT(ADDRESS(1402,33))+INDIRECT(ADDRESS(1403,33))-INDIRECT(ADDRESS(1406,33)),INDIRECT(ADDRESS(1407,32))-INDIRECT(ADDRESS(1402,33))+INDIRECT(ADDRESS(1405,33))-INDIRECT(ADDRESS(1406,33)))</f>
        <v>0</v>
      </c>
      <c r="AH1407">
        <f>IF(DAY(NOW())&lt;M3,INDIRECT(ADDRESS(1407,33))-INDIRECT(ADDRESS(1402,34))+INDIRECT(ADDRESS(1403,34))-INDIRECT(ADDRESS(1406,34)),INDIRECT(ADDRESS(1407,33))-INDIRECT(ADDRESS(1402,34))+INDIRECT(ADDRESS(1405,34))-INDIRECT(ADDRESS(1406,34)))</f>
        <v>0</v>
      </c>
      <c r="AI1407">
        <f>IF(DAY(NOW())&lt;M3,INDIRECT(ADDRESS(1407,34))-INDIRECT(ADDRESS(1402,35))+INDIRECT(ADDRESS(1403,35))-INDIRECT(ADDRESS(1406,35)),INDIRECT(ADDRESS(1407,34))-INDIRECT(ADDRESS(1402,35))+INDIRECT(ADDRESS(1405,35))-INDIRECT(ADDRESS(1406,35)))</f>
        <v>0</v>
      </c>
      <c r="AJ1407">
        <f>IF(DAY(NOW())&lt;M3,INDIRECT(ADDRESS(1407,35))-INDIRECT(ADDRESS(1402,36))+INDIRECT(ADDRESS(1403,36))-INDIRECT(ADDRESS(1406,36)),INDIRECT(ADDRESS(1407,35))-INDIRECT(ADDRESS(1402,36))+INDIRECT(ADDRESS(1405,36))-INDIRECT(ADDRESS(1406,36)))</f>
        <v>0</v>
      </c>
      <c r="AK1407">
        <f>IF(DAY(NOW())&lt;M3,INDIRECT(ADDRESS(1407,36))-INDIRECT(ADDRESS(1402,37))+INDIRECT(ADDRESS(1403,37))-INDIRECT(ADDRESS(1406,37)),INDIRECT(ADDRESS(1407,36))-INDIRECT(ADDRESS(1402,37))+INDIRECT(ADDRESS(1405,37))-INDIRECT(ADDRESS(1406,37)))</f>
        <v>0</v>
      </c>
      <c r="AL1407">
        <f>IF(DAY(NOW())&lt;M3,INDIRECT(ADDRESS(1407,37))-INDIRECT(ADDRESS(1402,38))+INDIRECT(ADDRESS(1403,38))-INDIRECT(ADDRESS(1406,38)),INDIRECT(ADDRESS(1407,37))-INDIRECT(ADDRESS(1402,38))+INDIRECT(ADDRESS(1405,38))-INDIRECT(ADDRESS(1406,38)))</f>
        <v>0</v>
      </c>
      <c r="AM1407">
        <f>IF(DAY(NOW())&lt;M3,INDIRECT(ADDRESS(1407,38))-INDIRECT(ADDRESS(1402,39))+INDIRECT(ADDRESS(1403,39))-INDIRECT(ADDRESS(1406,39)),INDIRECT(ADDRESS(1407,38))-INDIRECT(ADDRESS(1402,39))+INDIRECT(ADDRESS(1405,39))-INDIRECT(ADDRESS(1406,39)))</f>
        <v>0</v>
      </c>
      <c r="AN1407">
        <f>IF(DAY(NOW())&lt;M3,INDIRECT(ADDRESS(1407,39))-INDIRECT(ADDRESS(1402,40))+INDIRECT(ADDRESS(1403,40))-INDIRECT(ADDRESS(1406,40)),INDIRECT(ADDRESS(1407,39))-INDIRECT(ADDRESS(1402,40))+INDIRECT(ADDRESS(1405,40))-INDIRECT(ADDRESS(1406,40)))</f>
        <v>0</v>
      </c>
      <c r="AO1407">
        <f>IF(DAY(NOW())&lt;M3,INDIRECT(ADDRESS(1407,40))-INDIRECT(ADDRESS(1402,41))+INDIRECT(ADDRESS(1403,41))-INDIRECT(ADDRESS(1406,41)),INDIRECT(ADDRESS(1407,40))-INDIRECT(ADDRESS(1402,41))+INDIRECT(ADDRESS(1405,41))-INDIRECT(ADDRESS(1406,41)))</f>
        <v>0</v>
      </c>
      <c r="AP1407">
        <f>IF(DAY(NOW())&lt;M3,INDIRECT(ADDRESS(1407,41))-INDIRECT(ADDRESS(1402,42))+INDIRECT(ADDRESS(1403,42))-INDIRECT(ADDRESS(1406,42)),INDIRECT(ADDRESS(1407,41))-INDIRECT(ADDRESS(1402,42))+INDIRECT(ADDRESS(1405,42))-INDIRECT(ADDRESS(1406,42)))</f>
        <v>0</v>
      </c>
      <c r="AQ1407">
        <f>IF(DAY(NOW())&lt;M3,INDIRECT(ADDRESS(1407,42))-INDIRECT(ADDRESS(1402,43))+INDIRECT(ADDRESS(1403,43))-INDIRECT(ADDRESS(1406,43)),INDIRECT(ADDRESS(1407,42))-INDIRECT(ADDRESS(1402,43))+INDIRECT(ADDRESS(1405,43))-INDIRECT(ADDRESS(1406,43)))</f>
        <v>0</v>
      </c>
      <c r="AR1407">
        <f>IF(DAY(NOW())&lt;M3,INDIRECT(ADDRESS(1407,43))-INDIRECT(ADDRESS(1402,44))+INDIRECT(ADDRESS(1403,44))-INDIRECT(ADDRESS(1406,44)),INDIRECT(ADDRESS(1407,43))-INDIRECT(ADDRESS(1402,44))+INDIRECT(ADDRESS(1405,44))-INDIRECT(ADDRESS(1406,44)))</f>
        <v>0</v>
      </c>
    </row>
    <row r="1408" spans="1:76">
      <c r="A1408" t="s">
        <v>14</v>
      </c>
      <c r="B1408" t="s">
        <v>575</v>
      </c>
      <c r="C1408" t="s">
        <v>576</v>
      </c>
      <c r="E1408" t="s">
        <v>444</v>
      </c>
      <c r="F1408" t="s">
        <v>577</v>
      </c>
      <c r="K1408" t="s">
        <v>516</v>
      </c>
      <c r="L1408" t="s">
        <v>21</v>
      </c>
      <c r="BX1408">
        <f>sum(j1408:an1408)</f>
        <v>0</v>
      </c>
    </row>
    <row r="1409" spans="1:76">
      <c r="A1409" t="s">
        <v>14</v>
      </c>
      <c r="B1409" t="s">
        <v>575</v>
      </c>
      <c r="C1409" t="s">
        <v>576</v>
      </c>
      <c r="E1409" t="s">
        <v>444</v>
      </c>
      <c r="F1409" t="s">
        <v>577</v>
      </c>
      <c r="K1409" t="s">
        <v>516</v>
      </c>
      <c r="L1409" t="s">
        <v>37</v>
      </c>
    </row>
    <row r="1410" spans="1:76">
      <c r="L1410" t="s">
        <v>662</v>
      </c>
    </row>
    <row r="1411" spans="1:76">
      <c r="L1411" t="s">
        <v>663</v>
      </c>
    </row>
    <row r="1412" spans="1:76">
      <c r="L1412" t="s">
        <v>664</v>
      </c>
    </row>
    <row r="1413" spans="1:76">
      <c r="L1413" t="s">
        <v>665</v>
      </c>
      <c r="M1413">
        <f>IF(DAY(NOW())&lt;M3,INDIRECT(ADDRESS(1413,7))-INDIRECT(ADDRESS(1408,13))+INDIRECT(ADDRESS(1409,13))-INDIRECT(ADDRESS(1412,13)),INDIRECT(ADDRESS(1413,7))-INDIRECT(ADDRESS(1408,13))+INDIRECT(ADDRESS(1411,13))-INDIRECT(ADDRESS(1412,13)))</f>
        <v>0</v>
      </c>
      <c r="N1413">
        <f>IF(DAY(NOW())&lt;M3,INDIRECT(ADDRESS(1413,13))-INDIRECT(ADDRESS(1408,14))+INDIRECT(ADDRESS(1409,14))-INDIRECT(ADDRESS(1412,14)),INDIRECT(ADDRESS(1413,13))-INDIRECT(ADDRESS(1408,14))+INDIRECT(ADDRESS(1411,14))-INDIRECT(ADDRESS(1412,14)))</f>
        <v>0</v>
      </c>
      <c r="O1413">
        <f>IF(DAY(NOW())&lt;M3,INDIRECT(ADDRESS(1413,14))-INDIRECT(ADDRESS(1408,15))+INDIRECT(ADDRESS(1409,15))-INDIRECT(ADDRESS(1412,15)),INDIRECT(ADDRESS(1413,14))-INDIRECT(ADDRESS(1408,15))+INDIRECT(ADDRESS(1411,15))-INDIRECT(ADDRESS(1412,15)))</f>
        <v>0</v>
      </c>
      <c r="P1413">
        <f>IF(DAY(NOW())&lt;M3,INDIRECT(ADDRESS(1413,15))-INDIRECT(ADDRESS(1408,16))+INDIRECT(ADDRESS(1409,16))-INDIRECT(ADDRESS(1412,16)),INDIRECT(ADDRESS(1413,15))-INDIRECT(ADDRESS(1408,16))+INDIRECT(ADDRESS(1411,16))-INDIRECT(ADDRESS(1412,16)))</f>
        <v>0</v>
      </c>
      <c r="Q1413">
        <f>IF(DAY(NOW())&lt;M3,INDIRECT(ADDRESS(1413,16))-INDIRECT(ADDRESS(1408,17))+INDIRECT(ADDRESS(1409,17))-INDIRECT(ADDRESS(1412,17)),INDIRECT(ADDRESS(1413,16))-INDIRECT(ADDRESS(1408,17))+INDIRECT(ADDRESS(1411,17))-INDIRECT(ADDRESS(1412,17)))</f>
        <v>0</v>
      </c>
      <c r="R1413">
        <f>IF(DAY(NOW())&lt;M3,INDIRECT(ADDRESS(1413,17))-INDIRECT(ADDRESS(1408,18))+INDIRECT(ADDRESS(1409,18))-INDIRECT(ADDRESS(1412,18)),INDIRECT(ADDRESS(1413,17))-INDIRECT(ADDRESS(1408,18))+INDIRECT(ADDRESS(1411,18))-INDIRECT(ADDRESS(1412,18)))</f>
        <v>0</v>
      </c>
      <c r="S1413">
        <f>IF(DAY(NOW())&lt;M3,INDIRECT(ADDRESS(1413,18))-INDIRECT(ADDRESS(1408,19))+INDIRECT(ADDRESS(1409,19))-INDIRECT(ADDRESS(1412,19)),INDIRECT(ADDRESS(1413,18))-INDIRECT(ADDRESS(1408,19))+INDIRECT(ADDRESS(1411,19))-INDIRECT(ADDRESS(1412,19)))</f>
        <v>0</v>
      </c>
      <c r="T1413">
        <f>IF(DAY(NOW())&lt;M3,INDIRECT(ADDRESS(1413,19))-INDIRECT(ADDRESS(1408,20))+INDIRECT(ADDRESS(1409,20))-INDIRECT(ADDRESS(1412,20)),INDIRECT(ADDRESS(1413,19))-INDIRECT(ADDRESS(1408,20))+INDIRECT(ADDRESS(1411,20))-INDIRECT(ADDRESS(1412,20)))</f>
        <v>0</v>
      </c>
      <c r="U1413">
        <f>IF(DAY(NOW())&lt;M3,INDIRECT(ADDRESS(1413,20))-INDIRECT(ADDRESS(1408,21))+INDIRECT(ADDRESS(1409,21))-INDIRECT(ADDRESS(1412,21)),INDIRECT(ADDRESS(1413,20))-INDIRECT(ADDRESS(1408,21))+INDIRECT(ADDRESS(1411,21))-INDIRECT(ADDRESS(1412,21)))</f>
        <v>0</v>
      </c>
      <c r="V1413">
        <f>IF(DAY(NOW())&lt;M3,INDIRECT(ADDRESS(1413,21))-INDIRECT(ADDRESS(1408,22))+INDIRECT(ADDRESS(1409,22))-INDIRECT(ADDRESS(1412,22)),INDIRECT(ADDRESS(1413,21))-INDIRECT(ADDRESS(1408,22))+INDIRECT(ADDRESS(1411,22))-INDIRECT(ADDRESS(1412,22)))</f>
        <v>0</v>
      </c>
      <c r="W1413">
        <f>IF(DAY(NOW())&lt;M3,INDIRECT(ADDRESS(1413,22))-INDIRECT(ADDRESS(1408,23))+INDIRECT(ADDRESS(1409,23))-INDIRECT(ADDRESS(1412,23)),INDIRECT(ADDRESS(1413,22))-INDIRECT(ADDRESS(1408,23))+INDIRECT(ADDRESS(1411,23))-INDIRECT(ADDRESS(1412,23)))</f>
        <v>0</v>
      </c>
      <c r="X1413">
        <f>IF(DAY(NOW())&lt;M3,INDIRECT(ADDRESS(1413,23))-INDIRECT(ADDRESS(1408,24))+INDIRECT(ADDRESS(1409,24))-INDIRECT(ADDRESS(1412,24)),INDIRECT(ADDRESS(1413,23))-INDIRECT(ADDRESS(1408,24))+INDIRECT(ADDRESS(1411,24))-INDIRECT(ADDRESS(1412,24)))</f>
        <v>0</v>
      </c>
      <c r="Y1413">
        <f>IF(DAY(NOW())&lt;M3,INDIRECT(ADDRESS(1413,24))-INDIRECT(ADDRESS(1408,25))+INDIRECT(ADDRESS(1409,25))-INDIRECT(ADDRESS(1412,25)),INDIRECT(ADDRESS(1413,24))-INDIRECT(ADDRESS(1408,25))+INDIRECT(ADDRESS(1411,25))-INDIRECT(ADDRESS(1412,25)))</f>
        <v>0</v>
      </c>
      <c r="Z1413">
        <f>IF(DAY(NOW())&lt;M3,INDIRECT(ADDRESS(1413,25))-INDIRECT(ADDRESS(1408,26))+INDIRECT(ADDRESS(1409,26))-INDIRECT(ADDRESS(1412,26)),INDIRECT(ADDRESS(1413,25))-INDIRECT(ADDRESS(1408,26))+INDIRECT(ADDRESS(1411,26))-INDIRECT(ADDRESS(1412,26)))</f>
        <v>0</v>
      </c>
      <c r="AA1413">
        <f>IF(DAY(NOW())&lt;M3,INDIRECT(ADDRESS(1413,26))-INDIRECT(ADDRESS(1408,27))+INDIRECT(ADDRESS(1409,27))-INDIRECT(ADDRESS(1412,27)),INDIRECT(ADDRESS(1413,26))-INDIRECT(ADDRESS(1408,27))+INDIRECT(ADDRESS(1411,27))-INDIRECT(ADDRESS(1412,27)))</f>
        <v>0</v>
      </c>
      <c r="AB1413">
        <f>IF(DAY(NOW())&lt;M3,INDIRECT(ADDRESS(1413,27))-INDIRECT(ADDRESS(1408,28))+INDIRECT(ADDRESS(1409,28))-INDIRECT(ADDRESS(1412,28)),INDIRECT(ADDRESS(1413,27))-INDIRECT(ADDRESS(1408,28))+INDIRECT(ADDRESS(1411,28))-INDIRECT(ADDRESS(1412,28)))</f>
        <v>0</v>
      </c>
      <c r="AC1413">
        <f>IF(DAY(NOW())&lt;M3,INDIRECT(ADDRESS(1413,28))-INDIRECT(ADDRESS(1408,29))+INDIRECT(ADDRESS(1409,29))-INDIRECT(ADDRESS(1412,29)),INDIRECT(ADDRESS(1413,28))-INDIRECT(ADDRESS(1408,29))+INDIRECT(ADDRESS(1411,29))-INDIRECT(ADDRESS(1412,29)))</f>
        <v>0</v>
      </c>
      <c r="AD1413">
        <f>IF(DAY(NOW())&lt;M3,INDIRECT(ADDRESS(1413,29))-INDIRECT(ADDRESS(1408,30))+INDIRECT(ADDRESS(1409,30))-INDIRECT(ADDRESS(1412,30)),INDIRECT(ADDRESS(1413,29))-INDIRECT(ADDRESS(1408,30))+INDIRECT(ADDRESS(1411,30))-INDIRECT(ADDRESS(1412,30)))</f>
        <v>0</v>
      </c>
      <c r="AE1413">
        <f>IF(DAY(NOW())&lt;M3,INDIRECT(ADDRESS(1413,30))-INDIRECT(ADDRESS(1408,31))+INDIRECT(ADDRESS(1409,31))-INDIRECT(ADDRESS(1412,31)),INDIRECT(ADDRESS(1413,30))-INDIRECT(ADDRESS(1408,31))+INDIRECT(ADDRESS(1411,31))-INDIRECT(ADDRESS(1412,31)))</f>
        <v>0</v>
      </c>
      <c r="AF1413">
        <f>IF(DAY(NOW())&lt;M3,INDIRECT(ADDRESS(1413,31))-INDIRECT(ADDRESS(1408,32))+INDIRECT(ADDRESS(1409,32))-INDIRECT(ADDRESS(1412,32)),INDIRECT(ADDRESS(1413,31))-INDIRECT(ADDRESS(1408,32))+INDIRECT(ADDRESS(1411,32))-INDIRECT(ADDRESS(1412,32)))</f>
        <v>0</v>
      </c>
      <c r="AG1413">
        <f>IF(DAY(NOW())&lt;M3,INDIRECT(ADDRESS(1413,32))-INDIRECT(ADDRESS(1408,33))+INDIRECT(ADDRESS(1409,33))-INDIRECT(ADDRESS(1412,33)),INDIRECT(ADDRESS(1413,32))-INDIRECT(ADDRESS(1408,33))+INDIRECT(ADDRESS(1411,33))-INDIRECT(ADDRESS(1412,33)))</f>
        <v>0</v>
      </c>
      <c r="AH1413">
        <f>IF(DAY(NOW())&lt;M3,INDIRECT(ADDRESS(1413,33))-INDIRECT(ADDRESS(1408,34))+INDIRECT(ADDRESS(1409,34))-INDIRECT(ADDRESS(1412,34)),INDIRECT(ADDRESS(1413,33))-INDIRECT(ADDRESS(1408,34))+INDIRECT(ADDRESS(1411,34))-INDIRECT(ADDRESS(1412,34)))</f>
        <v>0</v>
      </c>
      <c r="AI1413">
        <f>IF(DAY(NOW())&lt;M3,INDIRECT(ADDRESS(1413,34))-INDIRECT(ADDRESS(1408,35))+INDIRECT(ADDRESS(1409,35))-INDIRECT(ADDRESS(1412,35)),INDIRECT(ADDRESS(1413,34))-INDIRECT(ADDRESS(1408,35))+INDIRECT(ADDRESS(1411,35))-INDIRECT(ADDRESS(1412,35)))</f>
        <v>0</v>
      </c>
      <c r="AJ1413">
        <f>IF(DAY(NOW())&lt;M3,INDIRECT(ADDRESS(1413,35))-INDIRECT(ADDRESS(1408,36))+INDIRECT(ADDRESS(1409,36))-INDIRECT(ADDRESS(1412,36)),INDIRECT(ADDRESS(1413,35))-INDIRECT(ADDRESS(1408,36))+INDIRECT(ADDRESS(1411,36))-INDIRECT(ADDRESS(1412,36)))</f>
        <v>0</v>
      </c>
      <c r="AK1413">
        <f>IF(DAY(NOW())&lt;M3,INDIRECT(ADDRESS(1413,36))-INDIRECT(ADDRESS(1408,37))+INDIRECT(ADDRESS(1409,37))-INDIRECT(ADDRESS(1412,37)),INDIRECT(ADDRESS(1413,36))-INDIRECT(ADDRESS(1408,37))+INDIRECT(ADDRESS(1411,37))-INDIRECT(ADDRESS(1412,37)))</f>
        <v>0</v>
      </c>
      <c r="AL1413">
        <f>IF(DAY(NOW())&lt;M3,INDIRECT(ADDRESS(1413,37))-INDIRECT(ADDRESS(1408,38))+INDIRECT(ADDRESS(1409,38))-INDIRECT(ADDRESS(1412,38)),INDIRECT(ADDRESS(1413,37))-INDIRECT(ADDRESS(1408,38))+INDIRECT(ADDRESS(1411,38))-INDIRECT(ADDRESS(1412,38)))</f>
        <v>0</v>
      </c>
      <c r="AM1413">
        <f>IF(DAY(NOW())&lt;M3,INDIRECT(ADDRESS(1413,38))-INDIRECT(ADDRESS(1408,39))+INDIRECT(ADDRESS(1409,39))-INDIRECT(ADDRESS(1412,39)),INDIRECT(ADDRESS(1413,38))-INDIRECT(ADDRESS(1408,39))+INDIRECT(ADDRESS(1411,39))-INDIRECT(ADDRESS(1412,39)))</f>
        <v>0</v>
      </c>
      <c r="AN1413">
        <f>IF(DAY(NOW())&lt;M3,INDIRECT(ADDRESS(1413,39))-INDIRECT(ADDRESS(1408,40))+INDIRECT(ADDRESS(1409,40))-INDIRECT(ADDRESS(1412,40)),INDIRECT(ADDRESS(1413,39))-INDIRECT(ADDRESS(1408,40))+INDIRECT(ADDRESS(1411,40))-INDIRECT(ADDRESS(1412,40)))</f>
        <v>0</v>
      </c>
      <c r="AO1413">
        <f>IF(DAY(NOW())&lt;M3,INDIRECT(ADDRESS(1413,40))-INDIRECT(ADDRESS(1408,41))+INDIRECT(ADDRESS(1409,41))-INDIRECT(ADDRESS(1412,41)),INDIRECT(ADDRESS(1413,40))-INDIRECT(ADDRESS(1408,41))+INDIRECT(ADDRESS(1411,41))-INDIRECT(ADDRESS(1412,41)))</f>
        <v>0</v>
      </c>
      <c r="AP1413">
        <f>IF(DAY(NOW())&lt;M3,INDIRECT(ADDRESS(1413,41))-INDIRECT(ADDRESS(1408,42))+INDIRECT(ADDRESS(1409,42))-INDIRECT(ADDRESS(1412,42)),INDIRECT(ADDRESS(1413,41))-INDIRECT(ADDRESS(1408,42))+INDIRECT(ADDRESS(1411,42))-INDIRECT(ADDRESS(1412,42)))</f>
        <v>0</v>
      </c>
      <c r="AQ1413">
        <f>IF(DAY(NOW())&lt;M3,INDIRECT(ADDRESS(1413,42))-INDIRECT(ADDRESS(1408,43))+INDIRECT(ADDRESS(1409,43))-INDIRECT(ADDRESS(1412,43)),INDIRECT(ADDRESS(1413,42))-INDIRECT(ADDRESS(1408,43))+INDIRECT(ADDRESS(1411,43))-INDIRECT(ADDRESS(1412,43)))</f>
        <v>0</v>
      </c>
      <c r="AR1413">
        <f>IF(DAY(NOW())&lt;M3,INDIRECT(ADDRESS(1413,43))-INDIRECT(ADDRESS(1408,44))+INDIRECT(ADDRESS(1409,44))-INDIRECT(ADDRESS(1412,44)),INDIRECT(ADDRESS(1413,43))-INDIRECT(ADDRESS(1408,44))+INDIRECT(ADDRESS(1411,44))-INDIRECT(ADDRESS(1412,44)))</f>
        <v>0</v>
      </c>
    </row>
    <row r="1414" spans="1:76">
      <c r="A1414" t="s">
        <v>14</v>
      </c>
      <c r="B1414" t="s">
        <v>578</v>
      </c>
      <c r="C1414" t="s">
        <v>579</v>
      </c>
      <c r="D1414" t="s">
        <v>452</v>
      </c>
      <c r="E1414" t="s">
        <v>444</v>
      </c>
      <c r="F1414" t="s">
        <v>580</v>
      </c>
      <c r="K1414" t="s">
        <v>516</v>
      </c>
      <c r="L1414" t="s">
        <v>21</v>
      </c>
      <c r="BX1414">
        <f>sum(j1414:an1414)</f>
        <v>0</v>
      </c>
    </row>
    <row r="1415" spans="1:76">
      <c r="A1415" t="s">
        <v>14</v>
      </c>
      <c r="B1415" t="s">
        <v>578</v>
      </c>
      <c r="C1415" t="s">
        <v>579</v>
      </c>
      <c r="D1415" t="s">
        <v>452</v>
      </c>
      <c r="E1415" t="s">
        <v>444</v>
      </c>
      <c r="F1415" t="s">
        <v>580</v>
      </c>
      <c r="K1415" t="s">
        <v>516</v>
      </c>
      <c r="L1415" t="s">
        <v>37</v>
      </c>
    </row>
    <row r="1416" spans="1:76">
      <c r="L1416" t="s">
        <v>662</v>
      </c>
    </row>
    <row r="1417" spans="1:76">
      <c r="L1417" t="s">
        <v>663</v>
      </c>
    </row>
    <row r="1418" spans="1:76">
      <c r="L1418" t="s">
        <v>664</v>
      </c>
    </row>
    <row r="1419" spans="1:76">
      <c r="L1419" t="s">
        <v>665</v>
      </c>
      <c r="M1419">
        <f>IF(DAY(NOW())&lt;M3,INDIRECT(ADDRESS(1419,7))-INDIRECT(ADDRESS(1414,13))+INDIRECT(ADDRESS(1415,13))-INDIRECT(ADDRESS(1418,13)),INDIRECT(ADDRESS(1419,7))-INDIRECT(ADDRESS(1414,13))+INDIRECT(ADDRESS(1417,13))-INDIRECT(ADDRESS(1418,13)))</f>
        <v>0</v>
      </c>
      <c r="N1419">
        <f>IF(DAY(NOW())&lt;M3,INDIRECT(ADDRESS(1419,13))-INDIRECT(ADDRESS(1414,14))+INDIRECT(ADDRESS(1415,14))-INDIRECT(ADDRESS(1418,14)),INDIRECT(ADDRESS(1419,13))-INDIRECT(ADDRESS(1414,14))+INDIRECT(ADDRESS(1417,14))-INDIRECT(ADDRESS(1418,14)))</f>
        <v>0</v>
      </c>
      <c r="O1419">
        <f>IF(DAY(NOW())&lt;M3,INDIRECT(ADDRESS(1419,14))-INDIRECT(ADDRESS(1414,15))+INDIRECT(ADDRESS(1415,15))-INDIRECT(ADDRESS(1418,15)),INDIRECT(ADDRESS(1419,14))-INDIRECT(ADDRESS(1414,15))+INDIRECT(ADDRESS(1417,15))-INDIRECT(ADDRESS(1418,15)))</f>
        <v>0</v>
      </c>
      <c r="P1419">
        <f>IF(DAY(NOW())&lt;M3,INDIRECT(ADDRESS(1419,15))-INDIRECT(ADDRESS(1414,16))+INDIRECT(ADDRESS(1415,16))-INDIRECT(ADDRESS(1418,16)),INDIRECT(ADDRESS(1419,15))-INDIRECT(ADDRESS(1414,16))+INDIRECT(ADDRESS(1417,16))-INDIRECT(ADDRESS(1418,16)))</f>
        <v>0</v>
      </c>
      <c r="Q1419">
        <f>IF(DAY(NOW())&lt;M3,INDIRECT(ADDRESS(1419,16))-INDIRECT(ADDRESS(1414,17))+INDIRECT(ADDRESS(1415,17))-INDIRECT(ADDRESS(1418,17)),INDIRECT(ADDRESS(1419,16))-INDIRECT(ADDRESS(1414,17))+INDIRECT(ADDRESS(1417,17))-INDIRECT(ADDRESS(1418,17)))</f>
        <v>0</v>
      </c>
      <c r="R1419">
        <f>IF(DAY(NOW())&lt;M3,INDIRECT(ADDRESS(1419,17))-INDIRECT(ADDRESS(1414,18))+INDIRECT(ADDRESS(1415,18))-INDIRECT(ADDRESS(1418,18)),INDIRECT(ADDRESS(1419,17))-INDIRECT(ADDRESS(1414,18))+INDIRECT(ADDRESS(1417,18))-INDIRECT(ADDRESS(1418,18)))</f>
        <v>0</v>
      </c>
      <c r="S1419">
        <f>IF(DAY(NOW())&lt;M3,INDIRECT(ADDRESS(1419,18))-INDIRECT(ADDRESS(1414,19))+INDIRECT(ADDRESS(1415,19))-INDIRECT(ADDRESS(1418,19)),INDIRECT(ADDRESS(1419,18))-INDIRECT(ADDRESS(1414,19))+INDIRECT(ADDRESS(1417,19))-INDIRECT(ADDRESS(1418,19)))</f>
        <v>0</v>
      </c>
      <c r="T1419">
        <f>IF(DAY(NOW())&lt;M3,INDIRECT(ADDRESS(1419,19))-INDIRECT(ADDRESS(1414,20))+INDIRECT(ADDRESS(1415,20))-INDIRECT(ADDRESS(1418,20)),INDIRECT(ADDRESS(1419,19))-INDIRECT(ADDRESS(1414,20))+INDIRECT(ADDRESS(1417,20))-INDIRECT(ADDRESS(1418,20)))</f>
        <v>0</v>
      </c>
      <c r="U1419">
        <f>IF(DAY(NOW())&lt;M3,INDIRECT(ADDRESS(1419,20))-INDIRECT(ADDRESS(1414,21))+INDIRECT(ADDRESS(1415,21))-INDIRECT(ADDRESS(1418,21)),INDIRECT(ADDRESS(1419,20))-INDIRECT(ADDRESS(1414,21))+INDIRECT(ADDRESS(1417,21))-INDIRECT(ADDRESS(1418,21)))</f>
        <v>0</v>
      </c>
      <c r="V1419">
        <f>IF(DAY(NOW())&lt;M3,INDIRECT(ADDRESS(1419,21))-INDIRECT(ADDRESS(1414,22))+INDIRECT(ADDRESS(1415,22))-INDIRECT(ADDRESS(1418,22)),INDIRECT(ADDRESS(1419,21))-INDIRECT(ADDRESS(1414,22))+INDIRECT(ADDRESS(1417,22))-INDIRECT(ADDRESS(1418,22)))</f>
        <v>0</v>
      </c>
      <c r="W1419">
        <f>IF(DAY(NOW())&lt;M3,INDIRECT(ADDRESS(1419,22))-INDIRECT(ADDRESS(1414,23))+INDIRECT(ADDRESS(1415,23))-INDIRECT(ADDRESS(1418,23)),INDIRECT(ADDRESS(1419,22))-INDIRECT(ADDRESS(1414,23))+INDIRECT(ADDRESS(1417,23))-INDIRECT(ADDRESS(1418,23)))</f>
        <v>0</v>
      </c>
      <c r="X1419">
        <f>IF(DAY(NOW())&lt;M3,INDIRECT(ADDRESS(1419,23))-INDIRECT(ADDRESS(1414,24))+INDIRECT(ADDRESS(1415,24))-INDIRECT(ADDRESS(1418,24)),INDIRECT(ADDRESS(1419,23))-INDIRECT(ADDRESS(1414,24))+INDIRECT(ADDRESS(1417,24))-INDIRECT(ADDRESS(1418,24)))</f>
        <v>0</v>
      </c>
      <c r="Y1419">
        <f>IF(DAY(NOW())&lt;M3,INDIRECT(ADDRESS(1419,24))-INDIRECT(ADDRESS(1414,25))+INDIRECT(ADDRESS(1415,25))-INDIRECT(ADDRESS(1418,25)),INDIRECT(ADDRESS(1419,24))-INDIRECT(ADDRESS(1414,25))+INDIRECT(ADDRESS(1417,25))-INDIRECT(ADDRESS(1418,25)))</f>
        <v>0</v>
      </c>
      <c r="Z1419">
        <f>IF(DAY(NOW())&lt;M3,INDIRECT(ADDRESS(1419,25))-INDIRECT(ADDRESS(1414,26))+INDIRECT(ADDRESS(1415,26))-INDIRECT(ADDRESS(1418,26)),INDIRECT(ADDRESS(1419,25))-INDIRECT(ADDRESS(1414,26))+INDIRECT(ADDRESS(1417,26))-INDIRECT(ADDRESS(1418,26)))</f>
        <v>0</v>
      </c>
      <c r="AA1419">
        <f>IF(DAY(NOW())&lt;M3,INDIRECT(ADDRESS(1419,26))-INDIRECT(ADDRESS(1414,27))+INDIRECT(ADDRESS(1415,27))-INDIRECT(ADDRESS(1418,27)),INDIRECT(ADDRESS(1419,26))-INDIRECT(ADDRESS(1414,27))+INDIRECT(ADDRESS(1417,27))-INDIRECT(ADDRESS(1418,27)))</f>
        <v>0</v>
      </c>
      <c r="AB1419">
        <f>IF(DAY(NOW())&lt;M3,INDIRECT(ADDRESS(1419,27))-INDIRECT(ADDRESS(1414,28))+INDIRECT(ADDRESS(1415,28))-INDIRECT(ADDRESS(1418,28)),INDIRECT(ADDRESS(1419,27))-INDIRECT(ADDRESS(1414,28))+INDIRECT(ADDRESS(1417,28))-INDIRECT(ADDRESS(1418,28)))</f>
        <v>0</v>
      </c>
      <c r="AC1419">
        <f>IF(DAY(NOW())&lt;M3,INDIRECT(ADDRESS(1419,28))-INDIRECT(ADDRESS(1414,29))+INDIRECT(ADDRESS(1415,29))-INDIRECT(ADDRESS(1418,29)),INDIRECT(ADDRESS(1419,28))-INDIRECT(ADDRESS(1414,29))+INDIRECT(ADDRESS(1417,29))-INDIRECT(ADDRESS(1418,29)))</f>
        <v>0</v>
      </c>
      <c r="AD1419">
        <f>IF(DAY(NOW())&lt;M3,INDIRECT(ADDRESS(1419,29))-INDIRECT(ADDRESS(1414,30))+INDIRECT(ADDRESS(1415,30))-INDIRECT(ADDRESS(1418,30)),INDIRECT(ADDRESS(1419,29))-INDIRECT(ADDRESS(1414,30))+INDIRECT(ADDRESS(1417,30))-INDIRECT(ADDRESS(1418,30)))</f>
        <v>0</v>
      </c>
      <c r="AE1419">
        <f>IF(DAY(NOW())&lt;M3,INDIRECT(ADDRESS(1419,30))-INDIRECT(ADDRESS(1414,31))+INDIRECT(ADDRESS(1415,31))-INDIRECT(ADDRESS(1418,31)),INDIRECT(ADDRESS(1419,30))-INDIRECT(ADDRESS(1414,31))+INDIRECT(ADDRESS(1417,31))-INDIRECT(ADDRESS(1418,31)))</f>
        <v>0</v>
      </c>
      <c r="AF1419">
        <f>IF(DAY(NOW())&lt;M3,INDIRECT(ADDRESS(1419,31))-INDIRECT(ADDRESS(1414,32))+INDIRECT(ADDRESS(1415,32))-INDIRECT(ADDRESS(1418,32)),INDIRECT(ADDRESS(1419,31))-INDIRECT(ADDRESS(1414,32))+INDIRECT(ADDRESS(1417,32))-INDIRECT(ADDRESS(1418,32)))</f>
        <v>0</v>
      </c>
      <c r="AG1419">
        <f>IF(DAY(NOW())&lt;M3,INDIRECT(ADDRESS(1419,32))-INDIRECT(ADDRESS(1414,33))+INDIRECT(ADDRESS(1415,33))-INDIRECT(ADDRESS(1418,33)),INDIRECT(ADDRESS(1419,32))-INDIRECT(ADDRESS(1414,33))+INDIRECT(ADDRESS(1417,33))-INDIRECT(ADDRESS(1418,33)))</f>
        <v>0</v>
      </c>
      <c r="AH1419">
        <f>IF(DAY(NOW())&lt;M3,INDIRECT(ADDRESS(1419,33))-INDIRECT(ADDRESS(1414,34))+INDIRECT(ADDRESS(1415,34))-INDIRECT(ADDRESS(1418,34)),INDIRECT(ADDRESS(1419,33))-INDIRECT(ADDRESS(1414,34))+INDIRECT(ADDRESS(1417,34))-INDIRECT(ADDRESS(1418,34)))</f>
        <v>0</v>
      </c>
      <c r="AI1419">
        <f>IF(DAY(NOW())&lt;M3,INDIRECT(ADDRESS(1419,34))-INDIRECT(ADDRESS(1414,35))+INDIRECT(ADDRESS(1415,35))-INDIRECT(ADDRESS(1418,35)),INDIRECT(ADDRESS(1419,34))-INDIRECT(ADDRESS(1414,35))+INDIRECT(ADDRESS(1417,35))-INDIRECT(ADDRESS(1418,35)))</f>
        <v>0</v>
      </c>
      <c r="AJ1419">
        <f>IF(DAY(NOW())&lt;M3,INDIRECT(ADDRESS(1419,35))-INDIRECT(ADDRESS(1414,36))+INDIRECT(ADDRESS(1415,36))-INDIRECT(ADDRESS(1418,36)),INDIRECT(ADDRESS(1419,35))-INDIRECT(ADDRESS(1414,36))+INDIRECT(ADDRESS(1417,36))-INDIRECT(ADDRESS(1418,36)))</f>
        <v>0</v>
      </c>
      <c r="AK1419">
        <f>IF(DAY(NOW())&lt;M3,INDIRECT(ADDRESS(1419,36))-INDIRECT(ADDRESS(1414,37))+INDIRECT(ADDRESS(1415,37))-INDIRECT(ADDRESS(1418,37)),INDIRECT(ADDRESS(1419,36))-INDIRECT(ADDRESS(1414,37))+INDIRECT(ADDRESS(1417,37))-INDIRECT(ADDRESS(1418,37)))</f>
        <v>0</v>
      </c>
      <c r="AL1419">
        <f>IF(DAY(NOW())&lt;M3,INDIRECT(ADDRESS(1419,37))-INDIRECT(ADDRESS(1414,38))+INDIRECT(ADDRESS(1415,38))-INDIRECT(ADDRESS(1418,38)),INDIRECT(ADDRESS(1419,37))-INDIRECT(ADDRESS(1414,38))+INDIRECT(ADDRESS(1417,38))-INDIRECT(ADDRESS(1418,38)))</f>
        <v>0</v>
      </c>
      <c r="AM1419">
        <f>IF(DAY(NOW())&lt;M3,INDIRECT(ADDRESS(1419,38))-INDIRECT(ADDRESS(1414,39))+INDIRECT(ADDRESS(1415,39))-INDIRECT(ADDRESS(1418,39)),INDIRECT(ADDRESS(1419,38))-INDIRECT(ADDRESS(1414,39))+INDIRECT(ADDRESS(1417,39))-INDIRECT(ADDRESS(1418,39)))</f>
        <v>0</v>
      </c>
      <c r="AN1419">
        <f>IF(DAY(NOW())&lt;M3,INDIRECT(ADDRESS(1419,39))-INDIRECT(ADDRESS(1414,40))+INDIRECT(ADDRESS(1415,40))-INDIRECT(ADDRESS(1418,40)),INDIRECT(ADDRESS(1419,39))-INDIRECT(ADDRESS(1414,40))+INDIRECT(ADDRESS(1417,40))-INDIRECT(ADDRESS(1418,40)))</f>
        <v>0</v>
      </c>
      <c r="AO1419">
        <f>IF(DAY(NOW())&lt;M3,INDIRECT(ADDRESS(1419,40))-INDIRECT(ADDRESS(1414,41))+INDIRECT(ADDRESS(1415,41))-INDIRECT(ADDRESS(1418,41)),INDIRECT(ADDRESS(1419,40))-INDIRECT(ADDRESS(1414,41))+INDIRECT(ADDRESS(1417,41))-INDIRECT(ADDRESS(1418,41)))</f>
        <v>0</v>
      </c>
      <c r="AP1419">
        <f>IF(DAY(NOW())&lt;M3,INDIRECT(ADDRESS(1419,41))-INDIRECT(ADDRESS(1414,42))+INDIRECT(ADDRESS(1415,42))-INDIRECT(ADDRESS(1418,42)),INDIRECT(ADDRESS(1419,41))-INDIRECT(ADDRESS(1414,42))+INDIRECT(ADDRESS(1417,42))-INDIRECT(ADDRESS(1418,42)))</f>
        <v>0</v>
      </c>
      <c r="AQ1419">
        <f>IF(DAY(NOW())&lt;M3,INDIRECT(ADDRESS(1419,42))-INDIRECT(ADDRESS(1414,43))+INDIRECT(ADDRESS(1415,43))-INDIRECT(ADDRESS(1418,43)),INDIRECT(ADDRESS(1419,42))-INDIRECT(ADDRESS(1414,43))+INDIRECT(ADDRESS(1417,43))-INDIRECT(ADDRESS(1418,43)))</f>
        <v>0</v>
      </c>
      <c r="AR1419">
        <f>IF(DAY(NOW())&lt;M3,INDIRECT(ADDRESS(1419,43))-INDIRECT(ADDRESS(1414,44))+INDIRECT(ADDRESS(1415,44))-INDIRECT(ADDRESS(1418,44)),INDIRECT(ADDRESS(1419,43))-INDIRECT(ADDRESS(1414,44))+INDIRECT(ADDRESS(1417,44))-INDIRECT(ADDRESS(1418,44)))</f>
        <v>0</v>
      </c>
    </row>
    <row r="1420" spans="1:76">
      <c r="A1420" t="s">
        <v>14</v>
      </c>
      <c r="B1420" t="s">
        <v>581</v>
      </c>
      <c r="C1420" t="s">
        <v>582</v>
      </c>
      <c r="D1420" t="s">
        <v>452</v>
      </c>
      <c r="E1420" t="s">
        <v>444</v>
      </c>
      <c r="F1420" t="s">
        <v>583</v>
      </c>
      <c r="K1420" t="s">
        <v>516</v>
      </c>
      <c r="L1420" t="s">
        <v>21</v>
      </c>
      <c r="BX1420">
        <f>sum(j1420:an1420)</f>
        <v>0</v>
      </c>
    </row>
    <row r="1421" spans="1:76">
      <c r="A1421" t="s">
        <v>14</v>
      </c>
      <c r="B1421" t="s">
        <v>581</v>
      </c>
      <c r="C1421" t="s">
        <v>582</v>
      </c>
      <c r="D1421" t="s">
        <v>452</v>
      </c>
      <c r="E1421" t="s">
        <v>444</v>
      </c>
      <c r="F1421" t="s">
        <v>583</v>
      </c>
      <c r="K1421" t="s">
        <v>516</v>
      </c>
      <c r="L1421" t="s">
        <v>37</v>
      </c>
    </row>
    <row r="1422" spans="1:76">
      <c r="L1422" t="s">
        <v>662</v>
      </c>
    </row>
    <row r="1423" spans="1:76">
      <c r="L1423" t="s">
        <v>663</v>
      </c>
    </row>
    <row r="1424" spans="1:76">
      <c r="L1424" t="s">
        <v>664</v>
      </c>
    </row>
    <row r="1425" spans="1:76">
      <c r="L1425" t="s">
        <v>665</v>
      </c>
      <c r="M1425">
        <f>IF(DAY(NOW())&lt;M3,INDIRECT(ADDRESS(1425,7))-INDIRECT(ADDRESS(1420,13))+INDIRECT(ADDRESS(1421,13))-INDIRECT(ADDRESS(1424,13)),INDIRECT(ADDRESS(1425,7))-INDIRECT(ADDRESS(1420,13))+INDIRECT(ADDRESS(1423,13))-INDIRECT(ADDRESS(1424,13)))</f>
        <v>0</v>
      </c>
      <c r="N1425">
        <f>IF(DAY(NOW())&lt;M3,INDIRECT(ADDRESS(1425,13))-INDIRECT(ADDRESS(1420,14))+INDIRECT(ADDRESS(1421,14))-INDIRECT(ADDRESS(1424,14)),INDIRECT(ADDRESS(1425,13))-INDIRECT(ADDRESS(1420,14))+INDIRECT(ADDRESS(1423,14))-INDIRECT(ADDRESS(1424,14)))</f>
        <v>0</v>
      </c>
      <c r="O1425">
        <f>IF(DAY(NOW())&lt;M3,INDIRECT(ADDRESS(1425,14))-INDIRECT(ADDRESS(1420,15))+INDIRECT(ADDRESS(1421,15))-INDIRECT(ADDRESS(1424,15)),INDIRECT(ADDRESS(1425,14))-INDIRECT(ADDRESS(1420,15))+INDIRECT(ADDRESS(1423,15))-INDIRECT(ADDRESS(1424,15)))</f>
        <v>0</v>
      </c>
      <c r="P1425">
        <f>IF(DAY(NOW())&lt;M3,INDIRECT(ADDRESS(1425,15))-INDIRECT(ADDRESS(1420,16))+INDIRECT(ADDRESS(1421,16))-INDIRECT(ADDRESS(1424,16)),INDIRECT(ADDRESS(1425,15))-INDIRECT(ADDRESS(1420,16))+INDIRECT(ADDRESS(1423,16))-INDIRECT(ADDRESS(1424,16)))</f>
        <v>0</v>
      </c>
      <c r="Q1425">
        <f>IF(DAY(NOW())&lt;M3,INDIRECT(ADDRESS(1425,16))-INDIRECT(ADDRESS(1420,17))+INDIRECT(ADDRESS(1421,17))-INDIRECT(ADDRESS(1424,17)),INDIRECT(ADDRESS(1425,16))-INDIRECT(ADDRESS(1420,17))+INDIRECT(ADDRESS(1423,17))-INDIRECT(ADDRESS(1424,17)))</f>
        <v>0</v>
      </c>
      <c r="R1425">
        <f>IF(DAY(NOW())&lt;M3,INDIRECT(ADDRESS(1425,17))-INDIRECT(ADDRESS(1420,18))+INDIRECT(ADDRESS(1421,18))-INDIRECT(ADDRESS(1424,18)),INDIRECT(ADDRESS(1425,17))-INDIRECT(ADDRESS(1420,18))+INDIRECT(ADDRESS(1423,18))-INDIRECT(ADDRESS(1424,18)))</f>
        <v>0</v>
      </c>
      <c r="S1425">
        <f>IF(DAY(NOW())&lt;M3,INDIRECT(ADDRESS(1425,18))-INDIRECT(ADDRESS(1420,19))+INDIRECT(ADDRESS(1421,19))-INDIRECT(ADDRESS(1424,19)),INDIRECT(ADDRESS(1425,18))-INDIRECT(ADDRESS(1420,19))+INDIRECT(ADDRESS(1423,19))-INDIRECT(ADDRESS(1424,19)))</f>
        <v>0</v>
      </c>
      <c r="T1425">
        <f>IF(DAY(NOW())&lt;M3,INDIRECT(ADDRESS(1425,19))-INDIRECT(ADDRESS(1420,20))+INDIRECT(ADDRESS(1421,20))-INDIRECT(ADDRESS(1424,20)),INDIRECT(ADDRESS(1425,19))-INDIRECT(ADDRESS(1420,20))+INDIRECT(ADDRESS(1423,20))-INDIRECT(ADDRESS(1424,20)))</f>
        <v>0</v>
      </c>
      <c r="U1425">
        <f>IF(DAY(NOW())&lt;M3,INDIRECT(ADDRESS(1425,20))-INDIRECT(ADDRESS(1420,21))+INDIRECT(ADDRESS(1421,21))-INDIRECT(ADDRESS(1424,21)),INDIRECT(ADDRESS(1425,20))-INDIRECT(ADDRESS(1420,21))+INDIRECT(ADDRESS(1423,21))-INDIRECT(ADDRESS(1424,21)))</f>
        <v>0</v>
      </c>
      <c r="V1425">
        <f>IF(DAY(NOW())&lt;M3,INDIRECT(ADDRESS(1425,21))-INDIRECT(ADDRESS(1420,22))+INDIRECT(ADDRESS(1421,22))-INDIRECT(ADDRESS(1424,22)),INDIRECT(ADDRESS(1425,21))-INDIRECT(ADDRESS(1420,22))+INDIRECT(ADDRESS(1423,22))-INDIRECT(ADDRESS(1424,22)))</f>
        <v>0</v>
      </c>
      <c r="W1425">
        <f>IF(DAY(NOW())&lt;M3,INDIRECT(ADDRESS(1425,22))-INDIRECT(ADDRESS(1420,23))+INDIRECT(ADDRESS(1421,23))-INDIRECT(ADDRESS(1424,23)),INDIRECT(ADDRESS(1425,22))-INDIRECT(ADDRESS(1420,23))+INDIRECT(ADDRESS(1423,23))-INDIRECT(ADDRESS(1424,23)))</f>
        <v>0</v>
      </c>
      <c r="X1425">
        <f>IF(DAY(NOW())&lt;M3,INDIRECT(ADDRESS(1425,23))-INDIRECT(ADDRESS(1420,24))+INDIRECT(ADDRESS(1421,24))-INDIRECT(ADDRESS(1424,24)),INDIRECT(ADDRESS(1425,23))-INDIRECT(ADDRESS(1420,24))+INDIRECT(ADDRESS(1423,24))-INDIRECT(ADDRESS(1424,24)))</f>
        <v>0</v>
      </c>
      <c r="Y1425">
        <f>IF(DAY(NOW())&lt;M3,INDIRECT(ADDRESS(1425,24))-INDIRECT(ADDRESS(1420,25))+INDIRECT(ADDRESS(1421,25))-INDIRECT(ADDRESS(1424,25)),INDIRECT(ADDRESS(1425,24))-INDIRECT(ADDRESS(1420,25))+INDIRECT(ADDRESS(1423,25))-INDIRECT(ADDRESS(1424,25)))</f>
        <v>0</v>
      </c>
      <c r="Z1425">
        <f>IF(DAY(NOW())&lt;M3,INDIRECT(ADDRESS(1425,25))-INDIRECT(ADDRESS(1420,26))+INDIRECT(ADDRESS(1421,26))-INDIRECT(ADDRESS(1424,26)),INDIRECT(ADDRESS(1425,25))-INDIRECT(ADDRESS(1420,26))+INDIRECT(ADDRESS(1423,26))-INDIRECT(ADDRESS(1424,26)))</f>
        <v>0</v>
      </c>
      <c r="AA1425">
        <f>IF(DAY(NOW())&lt;M3,INDIRECT(ADDRESS(1425,26))-INDIRECT(ADDRESS(1420,27))+INDIRECT(ADDRESS(1421,27))-INDIRECT(ADDRESS(1424,27)),INDIRECT(ADDRESS(1425,26))-INDIRECT(ADDRESS(1420,27))+INDIRECT(ADDRESS(1423,27))-INDIRECT(ADDRESS(1424,27)))</f>
        <v>0</v>
      </c>
      <c r="AB1425">
        <f>IF(DAY(NOW())&lt;M3,INDIRECT(ADDRESS(1425,27))-INDIRECT(ADDRESS(1420,28))+INDIRECT(ADDRESS(1421,28))-INDIRECT(ADDRESS(1424,28)),INDIRECT(ADDRESS(1425,27))-INDIRECT(ADDRESS(1420,28))+INDIRECT(ADDRESS(1423,28))-INDIRECT(ADDRESS(1424,28)))</f>
        <v>0</v>
      </c>
      <c r="AC1425">
        <f>IF(DAY(NOW())&lt;M3,INDIRECT(ADDRESS(1425,28))-INDIRECT(ADDRESS(1420,29))+INDIRECT(ADDRESS(1421,29))-INDIRECT(ADDRESS(1424,29)),INDIRECT(ADDRESS(1425,28))-INDIRECT(ADDRESS(1420,29))+INDIRECT(ADDRESS(1423,29))-INDIRECT(ADDRESS(1424,29)))</f>
        <v>0</v>
      </c>
      <c r="AD1425">
        <f>IF(DAY(NOW())&lt;M3,INDIRECT(ADDRESS(1425,29))-INDIRECT(ADDRESS(1420,30))+INDIRECT(ADDRESS(1421,30))-INDIRECT(ADDRESS(1424,30)),INDIRECT(ADDRESS(1425,29))-INDIRECT(ADDRESS(1420,30))+INDIRECT(ADDRESS(1423,30))-INDIRECT(ADDRESS(1424,30)))</f>
        <v>0</v>
      </c>
      <c r="AE1425">
        <f>IF(DAY(NOW())&lt;M3,INDIRECT(ADDRESS(1425,30))-INDIRECT(ADDRESS(1420,31))+INDIRECT(ADDRESS(1421,31))-INDIRECT(ADDRESS(1424,31)),INDIRECT(ADDRESS(1425,30))-INDIRECT(ADDRESS(1420,31))+INDIRECT(ADDRESS(1423,31))-INDIRECT(ADDRESS(1424,31)))</f>
        <v>0</v>
      </c>
      <c r="AF1425">
        <f>IF(DAY(NOW())&lt;M3,INDIRECT(ADDRESS(1425,31))-INDIRECT(ADDRESS(1420,32))+INDIRECT(ADDRESS(1421,32))-INDIRECT(ADDRESS(1424,32)),INDIRECT(ADDRESS(1425,31))-INDIRECT(ADDRESS(1420,32))+INDIRECT(ADDRESS(1423,32))-INDIRECT(ADDRESS(1424,32)))</f>
        <v>0</v>
      </c>
      <c r="AG1425">
        <f>IF(DAY(NOW())&lt;M3,INDIRECT(ADDRESS(1425,32))-INDIRECT(ADDRESS(1420,33))+INDIRECT(ADDRESS(1421,33))-INDIRECT(ADDRESS(1424,33)),INDIRECT(ADDRESS(1425,32))-INDIRECT(ADDRESS(1420,33))+INDIRECT(ADDRESS(1423,33))-INDIRECT(ADDRESS(1424,33)))</f>
        <v>0</v>
      </c>
      <c r="AH1425">
        <f>IF(DAY(NOW())&lt;M3,INDIRECT(ADDRESS(1425,33))-INDIRECT(ADDRESS(1420,34))+INDIRECT(ADDRESS(1421,34))-INDIRECT(ADDRESS(1424,34)),INDIRECT(ADDRESS(1425,33))-INDIRECT(ADDRESS(1420,34))+INDIRECT(ADDRESS(1423,34))-INDIRECT(ADDRESS(1424,34)))</f>
        <v>0</v>
      </c>
      <c r="AI1425">
        <f>IF(DAY(NOW())&lt;M3,INDIRECT(ADDRESS(1425,34))-INDIRECT(ADDRESS(1420,35))+INDIRECT(ADDRESS(1421,35))-INDIRECT(ADDRESS(1424,35)),INDIRECT(ADDRESS(1425,34))-INDIRECT(ADDRESS(1420,35))+INDIRECT(ADDRESS(1423,35))-INDIRECT(ADDRESS(1424,35)))</f>
        <v>0</v>
      </c>
      <c r="AJ1425">
        <f>IF(DAY(NOW())&lt;M3,INDIRECT(ADDRESS(1425,35))-INDIRECT(ADDRESS(1420,36))+INDIRECT(ADDRESS(1421,36))-INDIRECT(ADDRESS(1424,36)),INDIRECT(ADDRESS(1425,35))-INDIRECT(ADDRESS(1420,36))+INDIRECT(ADDRESS(1423,36))-INDIRECT(ADDRESS(1424,36)))</f>
        <v>0</v>
      </c>
      <c r="AK1425">
        <f>IF(DAY(NOW())&lt;M3,INDIRECT(ADDRESS(1425,36))-INDIRECT(ADDRESS(1420,37))+INDIRECT(ADDRESS(1421,37))-INDIRECT(ADDRESS(1424,37)),INDIRECT(ADDRESS(1425,36))-INDIRECT(ADDRESS(1420,37))+INDIRECT(ADDRESS(1423,37))-INDIRECT(ADDRESS(1424,37)))</f>
        <v>0</v>
      </c>
      <c r="AL1425">
        <f>IF(DAY(NOW())&lt;M3,INDIRECT(ADDRESS(1425,37))-INDIRECT(ADDRESS(1420,38))+INDIRECT(ADDRESS(1421,38))-INDIRECT(ADDRESS(1424,38)),INDIRECT(ADDRESS(1425,37))-INDIRECT(ADDRESS(1420,38))+INDIRECT(ADDRESS(1423,38))-INDIRECT(ADDRESS(1424,38)))</f>
        <v>0</v>
      </c>
      <c r="AM1425">
        <f>IF(DAY(NOW())&lt;M3,INDIRECT(ADDRESS(1425,38))-INDIRECT(ADDRESS(1420,39))+INDIRECT(ADDRESS(1421,39))-INDIRECT(ADDRESS(1424,39)),INDIRECT(ADDRESS(1425,38))-INDIRECT(ADDRESS(1420,39))+INDIRECT(ADDRESS(1423,39))-INDIRECT(ADDRESS(1424,39)))</f>
        <v>0</v>
      </c>
      <c r="AN1425">
        <f>IF(DAY(NOW())&lt;M3,INDIRECT(ADDRESS(1425,39))-INDIRECT(ADDRESS(1420,40))+INDIRECT(ADDRESS(1421,40))-INDIRECT(ADDRESS(1424,40)),INDIRECT(ADDRESS(1425,39))-INDIRECT(ADDRESS(1420,40))+INDIRECT(ADDRESS(1423,40))-INDIRECT(ADDRESS(1424,40)))</f>
        <v>0</v>
      </c>
      <c r="AO1425">
        <f>IF(DAY(NOW())&lt;M3,INDIRECT(ADDRESS(1425,40))-INDIRECT(ADDRESS(1420,41))+INDIRECT(ADDRESS(1421,41))-INDIRECT(ADDRESS(1424,41)),INDIRECT(ADDRESS(1425,40))-INDIRECT(ADDRESS(1420,41))+INDIRECT(ADDRESS(1423,41))-INDIRECT(ADDRESS(1424,41)))</f>
        <v>0</v>
      </c>
      <c r="AP1425">
        <f>IF(DAY(NOW())&lt;M3,INDIRECT(ADDRESS(1425,41))-INDIRECT(ADDRESS(1420,42))+INDIRECT(ADDRESS(1421,42))-INDIRECT(ADDRESS(1424,42)),INDIRECT(ADDRESS(1425,41))-INDIRECT(ADDRESS(1420,42))+INDIRECT(ADDRESS(1423,42))-INDIRECT(ADDRESS(1424,42)))</f>
        <v>0</v>
      </c>
      <c r="AQ1425">
        <f>IF(DAY(NOW())&lt;M3,INDIRECT(ADDRESS(1425,42))-INDIRECT(ADDRESS(1420,43))+INDIRECT(ADDRESS(1421,43))-INDIRECT(ADDRESS(1424,43)),INDIRECT(ADDRESS(1425,42))-INDIRECT(ADDRESS(1420,43))+INDIRECT(ADDRESS(1423,43))-INDIRECT(ADDRESS(1424,43)))</f>
        <v>0</v>
      </c>
      <c r="AR1425">
        <f>IF(DAY(NOW())&lt;M3,INDIRECT(ADDRESS(1425,43))-INDIRECT(ADDRESS(1420,44))+INDIRECT(ADDRESS(1421,44))-INDIRECT(ADDRESS(1424,44)),INDIRECT(ADDRESS(1425,43))-INDIRECT(ADDRESS(1420,44))+INDIRECT(ADDRESS(1423,44))-INDIRECT(ADDRESS(1424,44)))</f>
        <v>0</v>
      </c>
    </row>
    <row r="1426" spans="1:76">
      <c r="A1426" t="s">
        <v>14</v>
      </c>
      <c r="B1426" t="s">
        <v>584</v>
      </c>
      <c r="C1426" t="s">
        <v>585</v>
      </c>
      <c r="E1426" t="s">
        <v>444</v>
      </c>
      <c r="F1426" t="s">
        <v>586</v>
      </c>
      <c r="K1426" t="s">
        <v>516</v>
      </c>
      <c r="L1426" t="s">
        <v>21</v>
      </c>
      <c r="BX1426">
        <f>sum(j1426:an1426)</f>
        <v>0</v>
      </c>
    </row>
    <row r="1427" spans="1:76">
      <c r="A1427" t="s">
        <v>14</v>
      </c>
      <c r="B1427" t="s">
        <v>584</v>
      </c>
      <c r="C1427" t="s">
        <v>585</v>
      </c>
      <c r="E1427" t="s">
        <v>444</v>
      </c>
      <c r="F1427" t="s">
        <v>586</v>
      </c>
      <c r="K1427" t="s">
        <v>516</v>
      </c>
      <c r="L1427" t="s">
        <v>37</v>
      </c>
    </row>
    <row r="1428" spans="1:76">
      <c r="L1428" t="s">
        <v>662</v>
      </c>
    </row>
    <row r="1429" spans="1:76">
      <c r="L1429" t="s">
        <v>663</v>
      </c>
    </row>
    <row r="1430" spans="1:76">
      <c r="L1430" t="s">
        <v>664</v>
      </c>
    </row>
    <row r="1431" spans="1:76">
      <c r="L1431" t="s">
        <v>665</v>
      </c>
      <c r="M1431">
        <f>IF(DAY(NOW())&lt;M3,INDIRECT(ADDRESS(1431,7))-INDIRECT(ADDRESS(1426,13))+INDIRECT(ADDRESS(1427,13))-INDIRECT(ADDRESS(1430,13)),INDIRECT(ADDRESS(1431,7))-INDIRECT(ADDRESS(1426,13))+INDIRECT(ADDRESS(1429,13))-INDIRECT(ADDRESS(1430,13)))</f>
        <v>0</v>
      </c>
      <c r="N1431">
        <f>IF(DAY(NOW())&lt;M3,INDIRECT(ADDRESS(1431,13))-INDIRECT(ADDRESS(1426,14))+INDIRECT(ADDRESS(1427,14))-INDIRECT(ADDRESS(1430,14)),INDIRECT(ADDRESS(1431,13))-INDIRECT(ADDRESS(1426,14))+INDIRECT(ADDRESS(1429,14))-INDIRECT(ADDRESS(1430,14)))</f>
        <v>0</v>
      </c>
      <c r="O1431">
        <f>IF(DAY(NOW())&lt;M3,INDIRECT(ADDRESS(1431,14))-INDIRECT(ADDRESS(1426,15))+INDIRECT(ADDRESS(1427,15))-INDIRECT(ADDRESS(1430,15)),INDIRECT(ADDRESS(1431,14))-INDIRECT(ADDRESS(1426,15))+INDIRECT(ADDRESS(1429,15))-INDIRECT(ADDRESS(1430,15)))</f>
        <v>0</v>
      </c>
      <c r="P1431">
        <f>IF(DAY(NOW())&lt;M3,INDIRECT(ADDRESS(1431,15))-INDIRECT(ADDRESS(1426,16))+INDIRECT(ADDRESS(1427,16))-INDIRECT(ADDRESS(1430,16)),INDIRECT(ADDRESS(1431,15))-INDIRECT(ADDRESS(1426,16))+INDIRECT(ADDRESS(1429,16))-INDIRECT(ADDRESS(1430,16)))</f>
        <v>0</v>
      </c>
      <c r="Q1431">
        <f>IF(DAY(NOW())&lt;M3,INDIRECT(ADDRESS(1431,16))-INDIRECT(ADDRESS(1426,17))+INDIRECT(ADDRESS(1427,17))-INDIRECT(ADDRESS(1430,17)),INDIRECT(ADDRESS(1431,16))-INDIRECT(ADDRESS(1426,17))+INDIRECT(ADDRESS(1429,17))-INDIRECT(ADDRESS(1430,17)))</f>
        <v>0</v>
      </c>
      <c r="R1431">
        <f>IF(DAY(NOW())&lt;M3,INDIRECT(ADDRESS(1431,17))-INDIRECT(ADDRESS(1426,18))+INDIRECT(ADDRESS(1427,18))-INDIRECT(ADDRESS(1430,18)),INDIRECT(ADDRESS(1431,17))-INDIRECT(ADDRESS(1426,18))+INDIRECT(ADDRESS(1429,18))-INDIRECT(ADDRESS(1430,18)))</f>
        <v>0</v>
      </c>
      <c r="S1431">
        <f>IF(DAY(NOW())&lt;M3,INDIRECT(ADDRESS(1431,18))-INDIRECT(ADDRESS(1426,19))+INDIRECT(ADDRESS(1427,19))-INDIRECT(ADDRESS(1430,19)),INDIRECT(ADDRESS(1431,18))-INDIRECT(ADDRESS(1426,19))+INDIRECT(ADDRESS(1429,19))-INDIRECT(ADDRESS(1430,19)))</f>
        <v>0</v>
      </c>
      <c r="T1431">
        <f>IF(DAY(NOW())&lt;M3,INDIRECT(ADDRESS(1431,19))-INDIRECT(ADDRESS(1426,20))+INDIRECT(ADDRESS(1427,20))-INDIRECT(ADDRESS(1430,20)),INDIRECT(ADDRESS(1431,19))-INDIRECT(ADDRESS(1426,20))+INDIRECT(ADDRESS(1429,20))-INDIRECT(ADDRESS(1430,20)))</f>
        <v>0</v>
      </c>
      <c r="U1431">
        <f>IF(DAY(NOW())&lt;M3,INDIRECT(ADDRESS(1431,20))-INDIRECT(ADDRESS(1426,21))+INDIRECT(ADDRESS(1427,21))-INDIRECT(ADDRESS(1430,21)),INDIRECT(ADDRESS(1431,20))-INDIRECT(ADDRESS(1426,21))+INDIRECT(ADDRESS(1429,21))-INDIRECT(ADDRESS(1430,21)))</f>
        <v>0</v>
      </c>
      <c r="V1431">
        <f>IF(DAY(NOW())&lt;M3,INDIRECT(ADDRESS(1431,21))-INDIRECT(ADDRESS(1426,22))+INDIRECT(ADDRESS(1427,22))-INDIRECT(ADDRESS(1430,22)),INDIRECT(ADDRESS(1431,21))-INDIRECT(ADDRESS(1426,22))+INDIRECT(ADDRESS(1429,22))-INDIRECT(ADDRESS(1430,22)))</f>
        <v>0</v>
      </c>
      <c r="W1431">
        <f>IF(DAY(NOW())&lt;M3,INDIRECT(ADDRESS(1431,22))-INDIRECT(ADDRESS(1426,23))+INDIRECT(ADDRESS(1427,23))-INDIRECT(ADDRESS(1430,23)),INDIRECT(ADDRESS(1431,22))-INDIRECT(ADDRESS(1426,23))+INDIRECT(ADDRESS(1429,23))-INDIRECT(ADDRESS(1430,23)))</f>
        <v>0</v>
      </c>
      <c r="X1431">
        <f>IF(DAY(NOW())&lt;M3,INDIRECT(ADDRESS(1431,23))-INDIRECT(ADDRESS(1426,24))+INDIRECT(ADDRESS(1427,24))-INDIRECT(ADDRESS(1430,24)),INDIRECT(ADDRESS(1431,23))-INDIRECT(ADDRESS(1426,24))+INDIRECT(ADDRESS(1429,24))-INDIRECT(ADDRESS(1430,24)))</f>
        <v>0</v>
      </c>
      <c r="Y1431">
        <f>IF(DAY(NOW())&lt;M3,INDIRECT(ADDRESS(1431,24))-INDIRECT(ADDRESS(1426,25))+INDIRECT(ADDRESS(1427,25))-INDIRECT(ADDRESS(1430,25)),INDIRECT(ADDRESS(1431,24))-INDIRECT(ADDRESS(1426,25))+INDIRECT(ADDRESS(1429,25))-INDIRECT(ADDRESS(1430,25)))</f>
        <v>0</v>
      </c>
      <c r="Z1431">
        <f>IF(DAY(NOW())&lt;M3,INDIRECT(ADDRESS(1431,25))-INDIRECT(ADDRESS(1426,26))+INDIRECT(ADDRESS(1427,26))-INDIRECT(ADDRESS(1430,26)),INDIRECT(ADDRESS(1431,25))-INDIRECT(ADDRESS(1426,26))+INDIRECT(ADDRESS(1429,26))-INDIRECT(ADDRESS(1430,26)))</f>
        <v>0</v>
      </c>
      <c r="AA1431">
        <f>IF(DAY(NOW())&lt;M3,INDIRECT(ADDRESS(1431,26))-INDIRECT(ADDRESS(1426,27))+INDIRECT(ADDRESS(1427,27))-INDIRECT(ADDRESS(1430,27)),INDIRECT(ADDRESS(1431,26))-INDIRECT(ADDRESS(1426,27))+INDIRECT(ADDRESS(1429,27))-INDIRECT(ADDRESS(1430,27)))</f>
        <v>0</v>
      </c>
      <c r="AB1431">
        <f>IF(DAY(NOW())&lt;M3,INDIRECT(ADDRESS(1431,27))-INDIRECT(ADDRESS(1426,28))+INDIRECT(ADDRESS(1427,28))-INDIRECT(ADDRESS(1430,28)),INDIRECT(ADDRESS(1431,27))-INDIRECT(ADDRESS(1426,28))+INDIRECT(ADDRESS(1429,28))-INDIRECT(ADDRESS(1430,28)))</f>
        <v>0</v>
      </c>
      <c r="AC1431">
        <f>IF(DAY(NOW())&lt;M3,INDIRECT(ADDRESS(1431,28))-INDIRECT(ADDRESS(1426,29))+INDIRECT(ADDRESS(1427,29))-INDIRECT(ADDRESS(1430,29)),INDIRECT(ADDRESS(1431,28))-INDIRECT(ADDRESS(1426,29))+INDIRECT(ADDRESS(1429,29))-INDIRECT(ADDRESS(1430,29)))</f>
        <v>0</v>
      </c>
      <c r="AD1431">
        <f>IF(DAY(NOW())&lt;M3,INDIRECT(ADDRESS(1431,29))-INDIRECT(ADDRESS(1426,30))+INDIRECT(ADDRESS(1427,30))-INDIRECT(ADDRESS(1430,30)),INDIRECT(ADDRESS(1431,29))-INDIRECT(ADDRESS(1426,30))+INDIRECT(ADDRESS(1429,30))-INDIRECT(ADDRESS(1430,30)))</f>
        <v>0</v>
      </c>
      <c r="AE1431">
        <f>IF(DAY(NOW())&lt;M3,INDIRECT(ADDRESS(1431,30))-INDIRECT(ADDRESS(1426,31))+INDIRECT(ADDRESS(1427,31))-INDIRECT(ADDRESS(1430,31)),INDIRECT(ADDRESS(1431,30))-INDIRECT(ADDRESS(1426,31))+INDIRECT(ADDRESS(1429,31))-INDIRECT(ADDRESS(1430,31)))</f>
        <v>0</v>
      </c>
      <c r="AF1431">
        <f>IF(DAY(NOW())&lt;M3,INDIRECT(ADDRESS(1431,31))-INDIRECT(ADDRESS(1426,32))+INDIRECT(ADDRESS(1427,32))-INDIRECT(ADDRESS(1430,32)),INDIRECT(ADDRESS(1431,31))-INDIRECT(ADDRESS(1426,32))+INDIRECT(ADDRESS(1429,32))-INDIRECT(ADDRESS(1430,32)))</f>
        <v>0</v>
      </c>
      <c r="AG1431">
        <f>IF(DAY(NOW())&lt;M3,INDIRECT(ADDRESS(1431,32))-INDIRECT(ADDRESS(1426,33))+INDIRECT(ADDRESS(1427,33))-INDIRECT(ADDRESS(1430,33)),INDIRECT(ADDRESS(1431,32))-INDIRECT(ADDRESS(1426,33))+INDIRECT(ADDRESS(1429,33))-INDIRECT(ADDRESS(1430,33)))</f>
        <v>0</v>
      </c>
      <c r="AH1431">
        <f>IF(DAY(NOW())&lt;M3,INDIRECT(ADDRESS(1431,33))-INDIRECT(ADDRESS(1426,34))+INDIRECT(ADDRESS(1427,34))-INDIRECT(ADDRESS(1430,34)),INDIRECT(ADDRESS(1431,33))-INDIRECT(ADDRESS(1426,34))+INDIRECT(ADDRESS(1429,34))-INDIRECT(ADDRESS(1430,34)))</f>
        <v>0</v>
      </c>
      <c r="AI1431">
        <f>IF(DAY(NOW())&lt;M3,INDIRECT(ADDRESS(1431,34))-INDIRECT(ADDRESS(1426,35))+INDIRECT(ADDRESS(1427,35))-INDIRECT(ADDRESS(1430,35)),INDIRECT(ADDRESS(1431,34))-INDIRECT(ADDRESS(1426,35))+INDIRECT(ADDRESS(1429,35))-INDIRECT(ADDRESS(1430,35)))</f>
        <v>0</v>
      </c>
      <c r="AJ1431">
        <f>IF(DAY(NOW())&lt;M3,INDIRECT(ADDRESS(1431,35))-INDIRECT(ADDRESS(1426,36))+INDIRECT(ADDRESS(1427,36))-INDIRECT(ADDRESS(1430,36)),INDIRECT(ADDRESS(1431,35))-INDIRECT(ADDRESS(1426,36))+INDIRECT(ADDRESS(1429,36))-INDIRECT(ADDRESS(1430,36)))</f>
        <v>0</v>
      </c>
      <c r="AK1431">
        <f>IF(DAY(NOW())&lt;M3,INDIRECT(ADDRESS(1431,36))-INDIRECT(ADDRESS(1426,37))+INDIRECT(ADDRESS(1427,37))-INDIRECT(ADDRESS(1430,37)),INDIRECT(ADDRESS(1431,36))-INDIRECT(ADDRESS(1426,37))+INDIRECT(ADDRESS(1429,37))-INDIRECT(ADDRESS(1430,37)))</f>
        <v>0</v>
      </c>
      <c r="AL1431">
        <f>IF(DAY(NOW())&lt;M3,INDIRECT(ADDRESS(1431,37))-INDIRECT(ADDRESS(1426,38))+INDIRECT(ADDRESS(1427,38))-INDIRECT(ADDRESS(1430,38)),INDIRECT(ADDRESS(1431,37))-INDIRECT(ADDRESS(1426,38))+INDIRECT(ADDRESS(1429,38))-INDIRECT(ADDRESS(1430,38)))</f>
        <v>0</v>
      </c>
      <c r="AM1431">
        <f>IF(DAY(NOW())&lt;M3,INDIRECT(ADDRESS(1431,38))-INDIRECT(ADDRESS(1426,39))+INDIRECT(ADDRESS(1427,39))-INDIRECT(ADDRESS(1430,39)),INDIRECT(ADDRESS(1431,38))-INDIRECT(ADDRESS(1426,39))+INDIRECT(ADDRESS(1429,39))-INDIRECT(ADDRESS(1430,39)))</f>
        <v>0</v>
      </c>
      <c r="AN1431">
        <f>IF(DAY(NOW())&lt;M3,INDIRECT(ADDRESS(1431,39))-INDIRECT(ADDRESS(1426,40))+INDIRECT(ADDRESS(1427,40))-INDIRECT(ADDRESS(1430,40)),INDIRECT(ADDRESS(1431,39))-INDIRECT(ADDRESS(1426,40))+INDIRECT(ADDRESS(1429,40))-INDIRECT(ADDRESS(1430,40)))</f>
        <v>0</v>
      </c>
      <c r="AO1431">
        <f>IF(DAY(NOW())&lt;M3,INDIRECT(ADDRESS(1431,40))-INDIRECT(ADDRESS(1426,41))+INDIRECT(ADDRESS(1427,41))-INDIRECT(ADDRESS(1430,41)),INDIRECT(ADDRESS(1431,40))-INDIRECT(ADDRESS(1426,41))+INDIRECT(ADDRESS(1429,41))-INDIRECT(ADDRESS(1430,41)))</f>
        <v>0</v>
      </c>
      <c r="AP1431">
        <f>IF(DAY(NOW())&lt;M3,INDIRECT(ADDRESS(1431,41))-INDIRECT(ADDRESS(1426,42))+INDIRECT(ADDRESS(1427,42))-INDIRECT(ADDRESS(1430,42)),INDIRECT(ADDRESS(1431,41))-INDIRECT(ADDRESS(1426,42))+INDIRECT(ADDRESS(1429,42))-INDIRECT(ADDRESS(1430,42)))</f>
        <v>0</v>
      </c>
      <c r="AQ1431">
        <f>IF(DAY(NOW())&lt;M3,INDIRECT(ADDRESS(1431,42))-INDIRECT(ADDRESS(1426,43))+INDIRECT(ADDRESS(1427,43))-INDIRECT(ADDRESS(1430,43)),INDIRECT(ADDRESS(1431,42))-INDIRECT(ADDRESS(1426,43))+INDIRECT(ADDRESS(1429,43))-INDIRECT(ADDRESS(1430,43)))</f>
        <v>0</v>
      </c>
      <c r="AR1431">
        <f>IF(DAY(NOW())&lt;M3,INDIRECT(ADDRESS(1431,43))-INDIRECT(ADDRESS(1426,44))+INDIRECT(ADDRESS(1427,44))-INDIRECT(ADDRESS(1430,44)),INDIRECT(ADDRESS(1431,43))-INDIRECT(ADDRESS(1426,44))+INDIRECT(ADDRESS(1429,44))-INDIRECT(ADDRESS(1430,44)))</f>
        <v>0</v>
      </c>
    </row>
    <row r="1432" spans="1:76">
      <c r="A1432" t="s">
        <v>31</v>
      </c>
      <c r="B1432" t="s">
        <v>587</v>
      </c>
      <c r="C1432" t="s">
        <v>588</v>
      </c>
      <c r="D1432" t="s">
        <v>480</v>
      </c>
      <c r="E1432" t="s">
        <v>444</v>
      </c>
      <c r="F1432" t="s">
        <v>589</v>
      </c>
      <c r="K1432" t="s">
        <v>516</v>
      </c>
      <c r="L1432" t="s">
        <v>21</v>
      </c>
      <c r="M1432">
        <f>sumifs(BOM!m:m,BOM!A:A,".1",BOM!B:B,"852-199000-100")</f>
        <v>0</v>
      </c>
      <c r="N1432">
        <f>sumifs(BOM!n:n,BOM!A:A,".1",BOM!B:B,"852-199000-100")</f>
        <v>0</v>
      </c>
      <c r="O1432">
        <f>sumifs(BOM!o:o,BOM!A:A,".1",BOM!B:B,"852-199000-100")</f>
        <v>0</v>
      </c>
      <c r="P1432">
        <f>sumifs(BOM!p:p,BOM!A:A,".1",BOM!B:B,"852-199000-100")</f>
        <v>0</v>
      </c>
      <c r="Q1432">
        <f>sumifs(BOM!q:q,BOM!A:A,".1",BOM!B:B,"852-199000-100")</f>
        <v>0</v>
      </c>
      <c r="R1432">
        <f>sumifs(BOM!r:r,BOM!A:A,".1",BOM!B:B,"852-199000-100")</f>
        <v>0</v>
      </c>
      <c r="S1432">
        <f>sumifs(BOM!s:s,BOM!A:A,".1",BOM!B:B,"852-199000-100")</f>
        <v>0</v>
      </c>
      <c r="T1432">
        <f>sumifs(BOM!t:t,BOM!A:A,".1",BOM!B:B,"852-199000-100")</f>
        <v>0</v>
      </c>
      <c r="U1432">
        <f>sumifs(BOM!u:u,BOM!A:A,".1",BOM!B:B,"852-199000-100")</f>
        <v>0</v>
      </c>
      <c r="V1432">
        <f>sumifs(BOM!v:v,BOM!A:A,".1",BOM!B:B,"852-199000-100")</f>
        <v>0</v>
      </c>
      <c r="W1432">
        <f>sumifs(BOM!w:w,BOM!A:A,".1",BOM!B:B,"852-199000-100")</f>
        <v>0</v>
      </c>
      <c r="X1432">
        <f>sumifs(BOM!x:x,BOM!A:A,".1",BOM!B:B,"852-199000-100")</f>
        <v>0</v>
      </c>
      <c r="Y1432">
        <f>sumifs(BOM!y:y,BOM!A:A,".1",BOM!B:B,"852-199000-100")</f>
        <v>0</v>
      </c>
      <c r="Z1432">
        <f>sumifs(BOM!z:z,BOM!A:A,".1",BOM!B:B,"852-199000-100")</f>
        <v>0</v>
      </c>
      <c r="AA1432">
        <f>sumifs(BOM!aa:aa,BOM!A:A,".1",BOM!B:B,"852-199000-100")</f>
        <v>0</v>
      </c>
      <c r="AB1432">
        <f>sumifs(BOM!ab:ab,BOM!A:A,".1",BOM!B:B,"852-199000-100")</f>
        <v>0</v>
      </c>
      <c r="AC1432">
        <f>sumifs(BOM!ac:ac,BOM!A:A,".1",BOM!B:B,"852-199000-100")</f>
        <v>0</v>
      </c>
      <c r="AD1432">
        <f>sumifs(BOM!ad:ad,BOM!A:A,".1",BOM!B:B,"852-199000-100")</f>
        <v>0</v>
      </c>
      <c r="AE1432">
        <f>sumifs(BOM!ae:ae,BOM!A:A,".1",BOM!B:B,"852-199000-100")</f>
        <v>0</v>
      </c>
      <c r="AF1432">
        <f>sumifs(BOM!af:af,BOM!A:A,".1",BOM!B:B,"852-199000-100")</f>
        <v>0</v>
      </c>
      <c r="AG1432">
        <f>sumifs(BOM!ag:ag,BOM!A:A,".1",BOM!B:B,"852-199000-100")</f>
        <v>0</v>
      </c>
      <c r="AH1432">
        <f>sumifs(BOM!ah:ah,BOM!A:A,".1",BOM!B:B,"852-199000-100")</f>
        <v>0</v>
      </c>
      <c r="AI1432">
        <f>sumifs(BOM!ai:ai,BOM!A:A,".1",BOM!B:B,"852-199000-100")</f>
        <v>0</v>
      </c>
      <c r="AJ1432">
        <f>sumifs(BOM!aj:aj,BOM!A:A,".1",BOM!B:B,"852-199000-100")</f>
        <v>0</v>
      </c>
      <c r="AK1432">
        <f>sumifs(BOM!ak:ak,BOM!A:A,".1",BOM!B:B,"852-199000-100")</f>
        <v>0</v>
      </c>
      <c r="AL1432">
        <f>sumifs(BOM!al:al,BOM!A:A,".1",BOM!B:B,"852-199000-100")</f>
        <v>0</v>
      </c>
      <c r="AM1432">
        <f>sumifs(BOM!am:am,BOM!A:A,".1",BOM!B:B,"852-199000-100")</f>
        <v>0</v>
      </c>
      <c r="AN1432">
        <f>sumifs(BOM!an:an,BOM!A:A,".1",BOM!B:B,"852-199000-100")</f>
        <v>0</v>
      </c>
      <c r="AO1432">
        <f>sumifs(BOM!ao:ao,BOM!A:A,".1",BOM!B:B,"852-199000-100")</f>
        <v>0</v>
      </c>
      <c r="AP1432">
        <f>sumifs(BOM!ap:ap,BOM!A:A,".1",BOM!B:B,"852-199000-100")</f>
        <v>0</v>
      </c>
      <c r="AQ1432">
        <f>sumifs(BOM!aq:aq,BOM!A:A,".1",BOM!B:B,"852-199000-100")</f>
        <v>0</v>
      </c>
      <c r="AR1432">
        <f>sumifs(BOM!ar:ar,BOM!A:A,".1",BOM!B:B,"852-199000-100")</f>
        <v>0</v>
      </c>
      <c r="BX1432">
        <f>sum(j1432:an1432)</f>
        <v>0</v>
      </c>
    </row>
    <row r="1433" spans="1:76">
      <c r="A1433" t="s">
        <v>31</v>
      </c>
      <c r="B1433" t="s">
        <v>587</v>
      </c>
      <c r="C1433" t="s">
        <v>588</v>
      </c>
      <c r="D1433" t="s">
        <v>480</v>
      </c>
      <c r="E1433" t="s">
        <v>444</v>
      </c>
      <c r="F1433" t="s">
        <v>589</v>
      </c>
      <c r="K1433" t="s">
        <v>516</v>
      </c>
      <c r="L1433" t="s">
        <v>37</v>
      </c>
    </row>
    <row r="1434" spans="1:76">
      <c r="L1434" t="s">
        <v>662</v>
      </c>
    </row>
    <row r="1435" spans="1:76">
      <c r="L1435" t="s">
        <v>663</v>
      </c>
    </row>
    <row r="1436" spans="1:76">
      <c r="L1436" t="s">
        <v>664</v>
      </c>
    </row>
    <row r="1437" spans="1:76">
      <c r="L1437" t="s">
        <v>665</v>
      </c>
      <c r="M1437">
        <f>IF(DAY(NOW())&lt;M3,INDIRECT(ADDRESS(1437,7))-INDIRECT(ADDRESS(1432,13))+INDIRECT(ADDRESS(1433,13))-INDIRECT(ADDRESS(1436,13)),INDIRECT(ADDRESS(1437,7))-INDIRECT(ADDRESS(1432,13))+INDIRECT(ADDRESS(1435,13))-INDIRECT(ADDRESS(1436,13)))</f>
        <v>0</v>
      </c>
      <c r="N1437">
        <f>IF(DAY(NOW())&lt;M3,INDIRECT(ADDRESS(1437,13))-INDIRECT(ADDRESS(1432,14))+INDIRECT(ADDRESS(1433,14))-INDIRECT(ADDRESS(1436,14)),INDIRECT(ADDRESS(1437,13))-INDIRECT(ADDRESS(1432,14))+INDIRECT(ADDRESS(1435,14))-INDIRECT(ADDRESS(1436,14)))</f>
        <v>0</v>
      </c>
      <c r="O1437">
        <f>IF(DAY(NOW())&lt;M3,INDIRECT(ADDRESS(1437,14))-INDIRECT(ADDRESS(1432,15))+INDIRECT(ADDRESS(1433,15))-INDIRECT(ADDRESS(1436,15)),INDIRECT(ADDRESS(1437,14))-INDIRECT(ADDRESS(1432,15))+INDIRECT(ADDRESS(1435,15))-INDIRECT(ADDRESS(1436,15)))</f>
        <v>0</v>
      </c>
      <c r="P1437">
        <f>IF(DAY(NOW())&lt;M3,INDIRECT(ADDRESS(1437,15))-INDIRECT(ADDRESS(1432,16))+INDIRECT(ADDRESS(1433,16))-INDIRECT(ADDRESS(1436,16)),INDIRECT(ADDRESS(1437,15))-INDIRECT(ADDRESS(1432,16))+INDIRECT(ADDRESS(1435,16))-INDIRECT(ADDRESS(1436,16)))</f>
        <v>0</v>
      </c>
      <c r="Q1437">
        <f>IF(DAY(NOW())&lt;M3,INDIRECT(ADDRESS(1437,16))-INDIRECT(ADDRESS(1432,17))+INDIRECT(ADDRESS(1433,17))-INDIRECT(ADDRESS(1436,17)),INDIRECT(ADDRESS(1437,16))-INDIRECT(ADDRESS(1432,17))+INDIRECT(ADDRESS(1435,17))-INDIRECT(ADDRESS(1436,17)))</f>
        <v>0</v>
      </c>
      <c r="R1437">
        <f>IF(DAY(NOW())&lt;M3,INDIRECT(ADDRESS(1437,17))-INDIRECT(ADDRESS(1432,18))+INDIRECT(ADDRESS(1433,18))-INDIRECT(ADDRESS(1436,18)),INDIRECT(ADDRESS(1437,17))-INDIRECT(ADDRESS(1432,18))+INDIRECT(ADDRESS(1435,18))-INDIRECT(ADDRESS(1436,18)))</f>
        <v>0</v>
      </c>
      <c r="S1437">
        <f>IF(DAY(NOW())&lt;M3,INDIRECT(ADDRESS(1437,18))-INDIRECT(ADDRESS(1432,19))+INDIRECT(ADDRESS(1433,19))-INDIRECT(ADDRESS(1436,19)),INDIRECT(ADDRESS(1437,18))-INDIRECT(ADDRESS(1432,19))+INDIRECT(ADDRESS(1435,19))-INDIRECT(ADDRESS(1436,19)))</f>
        <v>0</v>
      </c>
      <c r="T1437">
        <f>IF(DAY(NOW())&lt;M3,INDIRECT(ADDRESS(1437,19))-INDIRECT(ADDRESS(1432,20))+INDIRECT(ADDRESS(1433,20))-INDIRECT(ADDRESS(1436,20)),INDIRECT(ADDRESS(1437,19))-INDIRECT(ADDRESS(1432,20))+INDIRECT(ADDRESS(1435,20))-INDIRECT(ADDRESS(1436,20)))</f>
        <v>0</v>
      </c>
      <c r="U1437">
        <f>IF(DAY(NOW())&lt;M3,INDIRECT(ADDRESS(1437,20))-INDIRECT(ADDRESS(1432,21))+INDIRECT(ADDRESS(1433,21))-INDIRECT(ADDRESS(1436,21)),INDIRECT(ADDRESS(1437,20))-INDIRECT(ADDRESS(1432,21))+INDIRECT(ADDRESS(1435,21))-INDIRECT(ADDRESS(1436,21)))</f>
        <v>0</v>
      </c>
      <c r="V1437">
        <f>IF(DAY(NOW())&lt;M3,INDIRECT(ADDRESS(1437,21))-INDIRECT(ADDRESS(1432,22))+INDIRECT(ADDRESS(1433,22))-INDIRECT(ADDRESS(1436,22)),INDIRECT(ADDRESS(1437,21))-INDIRECT(ADDRESS(1432,22))+INDIRECT(ADDRESS(1435,22))-INDIRECT(ADDRESS(1436,22)))</f>
        <v>0</v>
      </c>
      <c r="W1437">
        <f>IF(DAY(NOW())&lt;M3,INDIRECT(ADDRESS(1437,22))-INDIRECT(ADDRESS(1432,23))+INDIRECT(ADDRESS(1433,23))-INDIRECT(ADDRESS(1436,23)),INDIRECT(ADDRESS(1437,22))-INDIRECT(ADDRESS(1432,23))+INDIRECT(ADDRESS(1435,23))-INDIRECT(ADDRESS(1436,23)))</f>
        <v>0</v>
      </c>
      <c r="X1437">
        <f>IF(DAY(NOW())&lt;M3,INDIRECT(ADDRESS(1437,23))-INDIRECT(ADDRESS(1432,24))+INDIRECT(ADDRESS(1433,24))-INDIRECT(ADDRESS(1436,24)),INDIRECT(ADDRESS(1437,23))-INDIRECT(ADDRESS(1432,24))+INDIRECT(ADDRESS(1435,24))-INDIRECT(ADDRESS(1436,24)))</f>
        <v>0</v>
      </c>
      <c r="Y1437">
        <f>IF(DAY(NOW())&lt;M3,INDIRECT(ADDRESS(1437,24))-INDIRECT(ADDRESS(1432,25))+INDIRECT(ADDRESS(1433,25))-INDIRECT(ADDRESS(1436,25)),INDIRECT(ADDRESS(1437,24))-INDIRECT(ADDRESS(1432,25))+INDIRECT(ADDRESS(1435,25))-INDIRECT(ADDRESS(1436,25)))</f>
        <v>0</v>
      </c>
      <c r="Z1437">
        <f>IF(DAY(NOW())&lt;M3,INDIRECT(ADDRESS(1437,25))-INDIRECT(ADDRESS(1432,26))+INDIRECT(ADDRESS(1433,26))-INDIRECT(ADDRESS(1436,26)),INDIRECT(ADDRESS(1437,25))-INDIRECT(ADDRESS(1432,26))+INDIRECT(ADDRESS(1435,26))-INDIRECT(ADDRESS(1436,26)))</f>
        <v>0</v>
      </c>
      <c r="AA1437">
        <f>IF(DAY(NOW())&lt;M3,INDIRECT(ADDRESS(1437,26))-INDIRECT(ADDRESS(1432,27))+INDIRECT(ADDRESS(1433,27))-INDIRECT(ADDRESS(1436,27)),INDIRECT(ADDRESS(1437,26))-INDIRECT(ADDRESS(1432,27))+INDIRECT(ADDRESS(1435,27))-INDIRECT(ADDRESS(1436,27)))</f>
        <v>0</v>
      </c>
      <c r="AB1437">
        <f>IF(DAY(NOW())&lt;M3,INDIRECT(ADDRESS(1437,27))-INDIRECT(ADDRESS(1432,28))+INDIRECT(ADDRESS(1433,28))-INDIRECT(ADDRESS(1436,28)),INDIRECT(ADDRESS(1437,27))-INDIRECT(ADDRESS(1432,28))+INDIRECT(ADDRESS(1435,28))-INDIRECT(ADDRESS(1436,28)))</f>
        <v>0</v>
      </c>
      <c r="AC1437">
        <f>IF(DAY(NOW())&lt;M3,INDIRECT(ADDRESS(1437,28))-INDIRECT(ADDRESS(1432,29))+INDIRECT(ADDRESS(1433,29))-INDIRECT(ADDRESS(1436,29)),INDIRECT(ADDRESS(1437,28))-INDIRECT(ADDRESS(1432,29))+INDIRECT(ADDRESS(1435,29))-INDIRECT(ADDRESS(1436,29)))</f>
        <v>0</v>
      </c>
      <c r="AD1437">
        <f>IF(DAY(NOW())&lt;M3,INDIRECT(ADDRESS(1437,29))-INDIRECT(ADDRESS(1432,30))+INDIRECT(ADDRESS(1433,30))-INDIRECT(ADDRESS(1436,30)),INDIRECT(ADDRESS(1437,29))-INDIRECT(ADDRESS(1432,30))+INDIRECT(ADDRESS(1435,30))-INDIRECT(ADDRESS(1436,30)))</f>
        <v>0</v>
      </c>
      <c r="AE1437">
        <f>IF(DAY(NOW())&lt;M3,INDIRECT(ADDRESS(1437,30))-INDIRECT(ADDRESS(1432,31))+INDIRECT(ADDRESS(1433,31))-INDIRECT(ADDRESS(1436,31)),INDIRECT(ADDRESS(1437,30))-INDIRECT(ADDRESS(1432,31))+INDIRECT(ADDRESS(1435,31))-INDIRECT(ADDRESS(1436,31)))</f>
        <v>0</v>
      </c>
      <c r="AF1437">
        <f>IF(DAY(NOW())&lt;M3,INDIRECT(ADDRESS(1437,31))-INDIRECT(ADDRESS(1432,32))+INDIRECT(ADDRESS(1433,32))-INDIRECT(ADDRESS(1436,32)),INDIRECT(ADDRESS(1437,31))-INDIRECT(ADDRESS(1432,32))+INDIRECT(ADDRESS(1435,32))-INDIRECT(ADDRESS(1436,32)))</f>
        <v>0</v>
      </c>
      <c r="AG1437">
        <f>IF(DAY(NOW())&lt;M3,INDIRECT(ADDRESS(1437,32))-INDIRECT(ADDRESS(1432,33))+INDIRECT(ADDRESS(1433,33))-INDIRECT(ADDRESS(1436,33)),INDIRECT(ADDRESS(1437,32))-INDIRECT(ADDRESS(1432,33))+INDIRECT(ADDRESS(1435,33))-INDIRECT(ADDRESS(1436,33)))</f>
        <v>0</v>
      </c>
      <c r="AH1437">
        <f>IF(DAY(NOW())&lt;M3,INDIRECT(ADDRESS(1437,33))-INDIRECT(ADDRESS(1432,34))+INDIRECT(ADDRESS(1433,34))-INDIRECT(ADDRESS(1436,34)),INDIRECT(ADDRESS(1437,33))-INDIRECT(ADDRESS(1432,34))+INDIRECT(ADDRESS(1435,34))-INDIRECT(ADDRESS(1436,34)))</f>
        <v>0</v>
      </c>
      <c r="AI1437">
        <f>IF(DAY(NOW())&lt;M3,INDIRECT(ADDRESS(1437,34))-INDIRECT(ADDRESS(1432,35))+INDIRECT(ADDRESS(1433,35))-INDIRECT(ADDRESS(1436,35)),INDIRECT(ADDRESS(1437,34))-INDIRECT(ADDRESS(1432,35))+INDIRECT(ADDRESS(1435,35))-INDIRECT(ADDRESS(1436,35)))</f>
        <v>0</v>
      </c>
      <c r="AJ1437">
        <f>IF(DAY(NOW())&lt;M3,INDIRECT(ADDRESS(1437,35))-INDIRECT(ADDRESS(1432,36))+INDIRECT(ADDRESS(1433,36))-INDIRECT(ADDRESS(1436,36)),INDIRECT(ADDRESS(1437,35))-INDIRECT(ADDRESS(1432,36))+INDIRECT(ADDRESS(1435,36))-INDIRECT(ADDRESS(1436,36)))</f>
        <v>0</v>
      </c>
      <c r="AK1437">
        <f>IF(DAY(NOW())&lt;M3,INDIRECT(ADDRESS(1437,36))-INDIRECT(ADDRESS(1432,37))+INDIRECT(ADDRESS(1433,37))-INDIRECT(ADDRESS(1436,37)),INDIRECT(ADDRESS(1437,36))-INDIRECT(ADDRESS(1432,37))+INDIRECT(ADDRESS(1435,37))-INDIRECT(ADDRESS(1436,37)))</f>
        <v>0</v>
      </c>
      <c r="AL1437">
        <f>IF(DAY(NOW())&lt;M3,INDIRECT(ADDRESS(1437,37))-INDIRECT(ADDRESS(1432,38))+INDIRECT(ADDRESS(1433,38))-INDIRECT(ADDRESS(1436,38)),INDIRECT(ADDRESS(1437,37))-INDIRECT(ADDRESS(1432,38))+INDIRECT(ADDRESS(1435,38))-INDIRECT(ADDRESS(1436,38)))</f>
        <v>0</v>
      </c>
      <c r="AM1437">
        <f>IF(DAY(NOW())&lt;M3,INDIRECT(ADDRESS(1437,38))-INDIRECT(ADDRESS(1432,39))+INDIRECT(ADDRESS(1433,39))-INDIRECT(ADDRESS(1436,39)),INDIRECT(ADDRESS(1437,38))-INDIRECT(ADDRESS(1432,39))+INDIRECT(ADDRESS(1435,39))-INDIRECT(ADDRESS(1436,39)))</f>
        <v>0</v>
      </c>
      <c r="AN1437">
        <f>IF(DAY(NOW())&lt;M3,INDIRECT(ADDRESS(1437,39))-INDIRECT(ADDRESS(1432,40))+INDIRECT(ADDRESS(1433,40))-INDIRECT(ADDRESS(1436,40)),INDIRECT(ADDRESS(1437,39))-INDIRECT(ADDRESS(1432,40))+INDIRECT(ADDRESS(1435,40))-INDIRECT(ADDRESS(1436,40)))</f>
        <v>0</v>
      </c>
      <c r="AO1437">
        <f>IF(DAY(NOW())&lt;M3,INDIRECT(ADDRESS(1437,40))-INDIRECT(ADDRESS(1432,41))+INDIRECT(ADDRESS(1433,41))-INDIRECT(ADDRESS(1436,41)),INDIRECT(ADDRESS(1437,40))-INDIRECT(ADDRESS(1432,41))+INDIRECT(ADDRESS(1435,41))-INDIRECT(ADDRESS(1436,41)))</f>
        <v>0</v>
      </c>
      <c r="AP1437">
        <f>IF(DAY(NOW())&lt;M3,INDIRECT(ADDRESS(1437,41))-INDIRECT(ADDRESS(1432,42))+INDIRECT(ADDRESS(1433,42))-INDIRECT(ADDRESS(1436,42)),INDIRECT(ADDRESS(1437,41))-INDIRECT(ADDRESS(1432,42))+INDIRECT(ADDRESS(1435,42))-INDIRECT(ADDRESS(1436,42)))</f>
        <v>0</v>
      </c>
      <c r="AQ1437">
        <f>IF(DAY(NOW())&lt;M3,INDIRECT(ADDRESS(1437,42))-INDIRECT(ADDRESS(1432,43))+INDIRECT(ADDRESS(1433,43))-INDIRECT(ADDRESS(1436,43)),INDIRECT(ADDRESS(1437,42))-INDIRECT(ADDRESS(1432,43))+INDIRECT(ADDRESS(1435,43))-INDIRECT(ADDRESS(1436,43)))</f>
        <v>0</v>
      </c>
      <c r="AR1437">
        <f>IF(DAY(NOW())&lt;M3,INDIRECT(ADDRESS(1437,43))-INDIRECT(ADDRESS(1432,44))+INDIRECT(ADDRESS(1433,44))-INDIRECT(ADDRESS(1436,44)),INDIRECT(ADDRESS(1437,43))-INDIRECT(ADDRESS(1432,44))+INDIRECT(ADDRESS(1435,44))-INDIRECT(ADDRESS(1436,44)))</f>
        <v>0</v>
      </c>
    </row>
    <row r="1438" spans="1:76">
      <c r="A1438" t="s">
        <v>14</v>
      </c>
      <c r="B1438" t="s">
        <v>517</v>
      </c>
      <c r="C1438" t="s">
        <v>518</v>
      </c>
      <c r="F1438" t="s">
        <v>522</v>
      </c>
      <c r="K1438" t="s">
        <v>590</v>
      </c>
      <c r="L1438" t="s">
        <v>21</v>
      </c>
      <c r="BX1438">
        <f>sum(j1438:an1438)</f>
        <v>0</v>
      </c>
    </row>
    <row r="1439" spans="1:76">
      <c r="A1439" t="s">
        <v>14</v>
      </c>
      <c r="B1439" t="s">
        <v>517</v>
      </c>
      <c r="C1439" t="s">
        <v>518</v>
      </c>
      <c r="F1439" t="s">
        <v>522</v>
      </c>
      <c r="K1439" t="s">
        <v>590</v>
      </c>
      <c r="L1439" t="s">
        <v>37</v>
      </c>
    </row>
    <row r="1440" spans="1:76">
      <c r="L1440" t="s">
        <v>662</v>
      </c>
    </row>
    <row r="1441" spans="1:76">
      <c r="L1441" t="s">
        <v>663</v>
      </c>
    </row>
    <row r="1442" spans="1:76">
      <c r="L1442" t="s">
        <v>664</v>
      </c>
    </row>
    <row r="1443" spans="1:76">
      <c r="L1443" t="s">
        <v>665</v>
      </c>
      <c r="M1443">
        <f>IF(DAY(NOW())&lt;M3,INDIRECT(ADDRESS(1443,7))-INDIRECT(ADDRESS(1438,13))+INDIRECT(ADDRESS(1439,13))-INDIRECT(ADDRESS(1442,13)),INDIRECT(ADDRESS(1443,7))-INDIRECT(ADDRESS(1438,13))+INDIRECT(ADDRESS(1441,13))-INDIRECT(ADDRESS(1442,13)))</f>
        <v>0</v>
      </c>
      <c r="N1443">
        <f>IF(DAY(NOW())&lt;M3,INDIRECT(ADDRESS(1443,13))-INDIRECT(ADDRESS(1438,14))+INDIRECT(ADDRESS(1439,14))-INDIRECT(ADDRESS(1442,14)),INDIRECT(ADDRESS(1443,13))-INDIRECT(ADDRESS(1438,14))+INDIRECT(ADDRESS(1441,14))-INDIRECT(ADDRESS(1442,14)))</f>
        <v>0</v>
      </c>
      <c r="O1443">
        <f>IF(DAY(NOW())&lt;M3,INDIRECT(ADDRESS(1443,14))-INDIRECT(ADDRESS(1438,15))+INDIRECT(ADDRESS(1439,15))-INDIRECT(ADDRESS(1442,15)),INDIRECT(ADDRESS(1443,14))-INDIRECT(ADDRESS(1438,15))+INDIRECT(ADDRESS(1441,15))-INDIRECT(ADDRESS(1442,15)))</f>
        <v>0</v>
      </c>
      <c r="P1443">
        <f>IF(DAY(NOW())&lt;M3,INDIRECT(ADDRESS(1443,15))-INDIRECT(ADDRESS(1438,16))+INDIRECT(ADDRESS(1439,16))-INDIRECT(ADDRESS(1442,16)),INDIRECT(ADDRESS(1443,15))-INDIRECT(ADDRESS(1438,16))+INDIRECT(ADDRESS(1441,16))-INDIRECT(ADDRESS(1442,16)))</f>
        <v>0</v>
      </c>
      <c r="Q1443">
        <f>IF(DAY(NOW())&lt;M3,INDIRECT(ADDRESS(1443,16))-INDIRECT(ADDRESS(1438,17))+INDIRECT(ADDRESS(1439,17))-INDIRECT(ADDRESS(1442,17)),INDIRECT(ADDRESS(1443,16))-INDIRECT(ADDRESS(1438,17))+INDIRECT(ADDRESS(1441,17))-INDIRECT(ADDRESS(1442,17)))</f>
        <v>0</v>
      </c>
      <c r="R1443">
        <f>IF(DAY(NOW())&lt;M3,INDIRECT(ADDRESS(1443,17))-INDIRECT(ADDRESS(1438,18))+INDIRECT(ADDRESS(1439,18))-INDIRECT(ADDRESS(1442,18)),INDIRECT(ADDRESS(1443,17))-INDIRECT(ADDRESS(1438,18))+INDIRECT(ADDRESS(1441,18))-INDIRECT(ADDRESS(1442,18)))</f>
        <v>0</v>
      </c>
      <c r="S1443">
        <f>IF(DAY(NOW())&lt;M3,INDIRECT(ADDRESS(1443,18))-INDIRECT(ADDRESS(1438,19))+INDIRECT(ADDRESS(1439,19))-INDIRECT(ADDRESS(1442,19)),INDIRECT(ADDRESS(1443,18))-INDIRECT(ADDRESS(1438,19))+INDIRECT(ADDRESS(1441,19))-INDIRECT(ADDRESS(1442,19)))</f>
        <v>0</v>
      </c>
      <c r="T1443">
        <f>IF(DAY(NOW())&lt;M3,INDIRECT(ADDRESS(1443,19))-INDIRECT(ADDRESS(1438,20))+INDIRECT(ADDRESS(1439,20))-INDIRECT(ADDRESS(1442,20)),INDIRECT(ADDRESS(1443,19))-INDIRECT(ADDRESS(1438,20))+INDIRECT(ADDRESS(1441,20))-INDIRECT(ADDRESS(1442,20)))</f>
        <v>0</v>
      </c>
      <c r="U1443">
        <f>IF(DAY(NOW())&lt;M3,INDIRECT(ADDRESS(1443,20))-INDIRECT(ADDRESS(1438,21))+INDIRECT(ADDRESS(1439,21))-INDIRECT(ADDRESS(1442,21)),INDIRECT(ADDRESS(1443,20))-INDIRECT(ADDRESS(1438,21))+INDIRECT(ADDRESS(1441,21))-INDIRECT(ADDRESS(1442,21)))</f>
        <v>0</v>
      </c>
      <c r="V1443">
        <f>IF(DAY(NOW())&lt;M3,INDIRECT(ADDRESS(1443,21))-INDIRECT(ADDRESS(1438,22))+INDIRECT(ADDRESS(1439,22))-INDIRECT(ADDRESS(1442,22)),INDIRECT(ADDRESS(1443,21))-INDIRECT(ADDRESS(1438,22))+INDIRECT(ADDRESS(1441,22))-INDIRECT(ADDRESS(1442,22)))</f>
        <v>0</v>
      </c>
      <c r="W1443">
        <f>IF(DAY(NOW())&lt;M3,INDIRECT(ADDRESS(1443,22))-INDIRECT(ADDRESS(1438,23))+INDIRECT(ADDRESS(1439,23))-INDIRECT(ADDRESS(1442,23)),INDIRECT(ADDRESS(1443,22))-INDIRECT(ADDRESS(1438,23))+INDIRECT(ADDRESS(1441,23))-INDIRECT(ADDRESS(1442,23)))</f>
        <v>0</v>
      </c>
      <c r="X1443">
        <f>IF(DAY(NOW())&lt;M3,INDIRECT(ADDRESS(1443,23))-INDIRECT(ADDRESS(1438,24))+INDIRECT(ADDRESS(1439,24))-INDIRECT(ADDRESS(1442,24)),INDIRECT(ADDRESS(1443,23))-INDIRECT(ADDRESS(1438,24))+INDIRECT(ADDRESS(1441,24))-INDIRECT(ADDRESS(1442,24)))</f>
        <v>0</v>
      </c>
      <c r="Y1443">
        <f>IF(DAY(NOW())&lt;M3,INDIRECT(ADDRESS(1443,24))-INDIRECT(ADDRESS(1438,25))+INDIRECT(ADDRESS(1439,25))-INDIRECT(ADDRESS(1442,25)),INDIRECT(ADDRESS(1443,24))-INDIRECT(ADDRESS(1438,25))+INDIRECT(ADDRESS(1441,25))-INDIRECT(ADDRESS(1442,25)))</f>
        <v>0</v>
      </c>
      <c r="Z1443">
        <f>IF(DAY(NOW())&lt;M3,INDIRECT(ADDRESS(1443,25))-INDIRECT(ADDRESS(1438,26))+INDIRECT(ADDRESS(1439,26))-INDIRECT(ADDRESS(1442,26)),INDIRECT(ADDRESS(1443,25))-INDIRECT(ADDRESS(1438,26))+INDIRECT(ADDRESS(1441,26))-INDIRECT(ADDRESS(1442,26)))</f>
        <v>0</v>
      </c>
      <c r="AA1443">
        <f>IF(DAY(NOW())&lt;M3,INDIRECT(ADDRESS(1443,26))-INDIRECT(ADDRESS(1438,27))+INDIRECT(ADDRESS(1439,27))-INDIRECT(ADDRESS(1442,27)),INDIRECT(ADDRESS(1443,26))-INDIRECT(ADDRESS(1438,27))+INDIRECT(ADDRESS(1441,27))-INDIRECT(ADDRESS(1442,27)))</f>
        <v>0</v>
      </c>
      <c r="AB1443">
        <f>IF(DAY(NOW())&lt;M3,INDIRECT(ADDRESS(1443,27))-INDIRECT(ADDRESS(1438,28))+INDIRECT(ADDRESS(1439,28))-INDIRECT(ADDRESS(1442,28)),INDIRECT(ADDRESS(1443,27))-INDIRECT(ADDRESS(1438,28))+INDIRECT(ADDRESS(1441,28))-INDIRECT(ADDRESS(1442,28)))</f>
        <v>0</v>
      </c>
      <c r="AC1443">
        <f>IF(DAY(NOW())&lt;M3,INDIRECT(ADDRESS(1443,28))-INDIRECT(ADDRESS(1438,29))+INDIRECT(ADDRESS(1439,29))-INDIRECT(ADDRESS(1442,29)),INDIRECT(ADDRESS(1443,28))-INDIRECT(ADDRESS(1438,29))+INDIRECT(ADDRESS(1441,29))-INDIRECT(ADDRESS(1442,29)))</f>
        <v>0</v>
      </c>
      <c r="AD1443">
        <f>IF(DAY(NOW())&lt;M3,INDIRECT(ADDRESS(1443,29))-INDIRECT(ADDRESS(1438,30))+INDIRECT(ADDRESS(1439,30))-INDIRECT(ADDRESS(1442,30)),INDIRECT(ADDRESS(1443,29))-INDIRECT(ADDRESS(1438,30))+INDIRECT(ADDRESS(1441,30))-INDIRECT(ADDRESS(1442,30)))</f>
        <v>0</v>
      </c>
      <c r="AE1443">
        <f>IF(DAY(NOW())&lt;M3,INDIRECT(ADDRESS(1443,30))-INDIRECT(ADDRESS(1438,31))+INDIRECT(ADDRESS(1439,31))-INDIRECT(ADDRESS(1442,31)),INDIRECT(ADDRESS(1443,30))-INDIRECT(ADDRESS(1438,31))+INDIRECT(ADDRESS(1441,31))-INDIRECT(ADDRESS(1442,31)))</f>
        <v>0</v>
      </c>
      <c r="AF1443">
        <f>IF(DAY(NOW())&lt;M3,INDIRECT(ADDRESS(1443,31))-INDIRECT(ADDRESS(1438,32))+INDIRECT(ADDRESS(1439,32))-INDIRECT(ADDRESS(1442,32)),INDIRECT(ADDRESS(1443,31))-INDIRECT(ADDRESS(1438,32))+INDIRECT(ADDRESS(1441,32))-INDIRECT(ADDRESS(1442,32)))</f>
        <v>0</v>
      </c>
      <c r="AG1443">
        <f>IF(DAY(NOW())&lt;M3,INDIRECT(ADDRESS(1443,32))-INDIRECT(ADDRESS(1438,33))+INDIRECT(ADDRESS(1439,33))-INDIRECT(ADDRESS(1442,33)),INDIRECT(ADDRESS(1443,32))-INDIRECT(ADDRESS(1438,33))+INDIRECT(ADDRESS(1441,33))-INDIRECT(ADDRESS(1442,33)))</f>
        <v>0</v>
      </c>
      <c r="AH1443">
        <f>IF(DAY(NOW())&lt;M3,INDIRECT(ADDRESS(1443,33))-INDIRECT(ADDRESS(1438,34))+INDIRECT(ADDRESS(1439,34))-INDIRECT(ADDRESS(1442,34)),INDIRECT(ADDRESS(1443,33))-INDIRECT(ADDRESS(1438,34))+INDIRECT(ADDRESS(1441,34))-INDIRECT(ADDRESS(1442,34)))</f>
        <v>0</v>
      </c>
      <c r="AI1443">
        <f>IF(DAY(NOW())&lt;M3,INDIRECT(ADDRESS(1443,34))-INDIRECT(ADDRESS(1438,35))+INDIRECT(ADDRESS(1439,35))-INDIRECT(ADDRESS(1442,35)),INDIRECT(ADDRESS(1443,34))-INDIRECT(ADDRESS(1438,35))+INDIRECT(ADDRESS(1441,35))-INDIRECT(ADDRESS(1442,35)))</f>
        <v>0</v>
      </c>
      <c r="AJ1443">
        <f>IF(DAY(NOW())&lt;M3,INDIRECT(ADDRESS(1443,35))-INDIRECT(ADDRESS(1438,36))+INDIRECT(ADDRESS(1439,36))-INDIRECT(ADDRESS(1442,36)),INDIRECT(ADDRESS(1443,35))-INDIRECT(ADDRESS(1438,36))+INDIRECT(ADDRESS(1441,36))-INDIRECT(ADDRESS(1442,36)))</f>
        <v>0</v>
      </c>
      <c r="AK1443">
        <f>IF(DAY(NOW())&lt;M3,INDIRECT(ADDRESS(1443,36))-INDIRECT(ADDRESS(1438,37))+INDIRECT(ADDRESS(1439,37))-INDIRECT(ADDRESS(1442,37)),INDIRECT(ADDRESS(1443,36))-INDIRECT(ADDRESS(1438,37))+INDIRECT(ADDRESS(1441,37))-INDIRECT(ADDRESS(1442,37)))</f>
        <v>0</v>
      </c>
      <c r="AL1443">
        <f>IF(DAY(NOW())&lt;M3,INDIRECT(ADDRESS(1443,37))-INDIRECT(ADDRESS(1438,38))+INDIRECT(ADDRESS(1439,38))-INDIRECT(ADDRESS(1442,38)),INDIRECT(ADDRESS(1443,37))-INDIRECT(ADDRESS(1438,38))+INDIRECT(ADDRESS(1441,38))-INDIRECT(ADDRESS(1442,38)))</f>
        <v>0</v>
      </c>
      <c r="AM1443">
        <f>IF(DAY(NOW())&lt;M3,INDIRECT(ADDRESS(1443,38))-INDIRECT(ADDRESS(1438,39))+INDIRECT(ADDRESS(1439,39))-INDIRECT(ADDRESS(1442,39)),INDIRECT(ADDRESS(1443,38))-INDIRECT(ADDRESS(1438,39))+INDIRECT(ADDRESS(1441,39))-INDIRECT(ADDRESS(1442,39)))</f>
        <v>0</v>
      </c>
      <c r="AN1443">
        <f>IF(DAY(NOW())&lt;M3,INDIRECT(ADDRESS(1443,39))-INDIRECT(ADDRESS(1438,40))+INDIRECT(ADDRESS(1439,40))-INDIRECT(ADDRESS(1442,40)),INDIRECT(ADDRESS(1443,39))-INDIRECT(ADDRESS(1438,40))+INDIRECT(ADDRESS(1441,40))-INDIRECT(ADDRESS(1442,40)))</f>
        <v>0</v>
      </c>
      <c r="AO1443">
        <f>IF(DAY(NOW())&lt;M3,INDIRECT(ADDRESS(1443,40))-INDIRECT(ADDRESS(1438,41))+INDIRECT(ADDRESS(1439,41))-INDIRECT(ADDRESS(1442,41)),INDIRECT(ADDRESS(1443,40))-INDIRECT(ADDRESS(1438,41))+INDIRECT(ADDRESS(1441,41))-INDIRECT(ADDRESS(1442,41)))</f>
        <v>0</v>
      </c>
      <c r="AP1443">
        <f>IF(DAY(NOW())&lt;M3,INDIRECT(ADDRESS(1443,41))-INDIRECT(ADDRESS(1438,42))+INDIRECT(ADDRESS(1439,42))-INDIRECT(ADDRESS(1442,42)),INDIRECT(ADDRESS(1443,41))-INDIRECT(ADDRESS(1438,42))+INDIRECT(ADDRESS(1441,42))-INDIRECT(ADDRESS(1442,42)))</f>
        <v>0</v>
      </c>
      <c r="AQ1443">
        <f>IF(DAY(NOW())&lt;M3,INDIRECT(ADDRESS(1443,42))-INDIRECT(ADDRESS(1438,43))+INDIRECT(ADDRESS(1439,43))-INDIRECT(ADDRESS(1442,43)),INDIRECT(ADDRESS(1443,42))-INDIRECT(ADDRESS(1438,43))+INDIRECT(ADDRESS(1441,43))-INDIRECT(ADDRESS(1442,43)))</f>
        <v>0</v>
      </c>
      <c r="AR1443">
        <f>IF(DAY(NOW())&lt;M3,INDIRECT(ADDRESS(1443,43))-INDIRECT(ADDRESS(1438,44))+INDIRECT(ADDRESS(1439,44))-INDIRECT(ADDRESS(1442,44)),INDIRECT(ADDRESS(1443,43))-INDIRECT(ADDRESS(1438,44))+INDIRECT(ADDRESS(1441,44))-INDIRECT(ADDRESS(1442,44)))</f>
        <v>0</v>
      </c>
    </row>
    <row r="1444" spans="1:76">
      <c r="A1444" t="s">
        <v>14</v>
      </c>
      <c r="B1444" t="s">
        <v>520</v>
      </c>
      <c r="C1444" t="s">
        <v>521</v>
      </c>
      <c r="E1444">
        <v>1</v>
      </c>
      <c r="F1444" t="s">
        <v>526</v>
      </c>
      <c r="K1444" t="s">
        <v>590</v>
      </c>
      <c r="L1444" t="s">
        <v>21</v>
      </c>
      <c r="BX1444">
        <f>sum(j1444:an1444)</f>
        <v>0</v>
      </c>
    </row>
    <row r="1445" spans="1:76">
      <c r="A1445" t="s">
        <v>14</v>
      </c>
      <c r="B1445" t="s">
        <v>520</v>
      </c>
      <c r="C1445" t="s">
        <v>521</v>
      </c>
      <c r="E1445">
        <v>1</v>
      </c>
      <c r="F1445" t="s">
        <v>526</v>
      </c>
      <c r="K1445" t="s">
        <v>590</v>
      </c>
      <c r="L1445" t="s">
        <v>37</v>
      </c>
    </row>
    <row r="1446" spans="1:76">
      <c r="L1446" t="s">
        <v>662</v>
      </c>
    </row>
    <row r="1447" spans="1:76">
      <c r="L1447" t="s">
        <v>663</v>
      </c>
    </row>
    <row r="1448" spans="1:76">
      <c r="L1448" t="s">
        <v>664</v>
      </c>
    </row>
    <row r="1449" spans="1:76">
      <c r="L1449" t="s">
        <v>665</v>
      </c>
      <c r="M1449">
        <f>IF(DAY(NOW())&lt;M3,INDIRECT(ADDRESS(1449,7))-INDIRECT(ADDRESS(1444,13))+INDIRECT(ADDRESS(1445,13))-INDIRECT(ADDRESS(1448,13)),INDIRECT(ADDRESS(1449,7))-INDIRECT(ADDRESS(1444,13))+INDIRECT(ADDRESS(1447,13))-INDIRECT(ADDRESS(1448,13)))</f>
        <v>0</v>
      </c>
      <c r="N1449">
        <f>IF(DAY(NOW())&lt;M3,INDIRECT(ADDRESS(1449,13))-INDIRECT(ADDRESS(1444,14))+INDIRECT(ADDRESS(1445,14))-INDIRECT(ADDRESS(1448,14)),INDIRECT(ADDRESS(1449,13))-INDIRECT(ADDRESS(1444,14))+INDIRECT(ADDRESS(1447,14))-INDIRECT(ADDRESS(1448,14)))</f>
        <v>0</v>
      </c>
      <c r="O1449">
        <f>IF(DAY(NOW())&lt;M3,INDIRECT(ADDRESS(1449,14))-INDIRECT(ADDRESS(1444,15))+INDIRECT(ADDRESS(1445,15))-INDIRECT(ADDRESS(1448,15)),INDIRECT(ADDRESS(1449,14))-INDIRECT(ADDRESS(1444,15))+INDIRECT(ADDRESS(1447,15))-INDIRECT(ADDRESS(1448,15)))</f>
        <v>0</v>
      </c>
      <c r="P1449">
        <f>IF(DAY(NOW())&lt;M3,INDIRECT(ADDRESS(1449,15))-INDIRECT(ADDRESS(1444,16))+INDIRECT(ADDRESS(1445,16))-INDIRECT(ADDRESS(1448,16)),INDIRECT(ADDRESS(1449,15))-INDIRECT(ADDRESS(1444,16))+INDIRECT(ADDRESS(1447,16))-INDIRECT(ADDRESS(1448,16)))</f>
        <v>0</v>
      </c>
      <c r="Q1449">
        <f>IF(DAY(NOW())&lt;M3,INDIRECT(ADDRESS(1449,16))-INDIRECT(ADDRESS(1444,17))+INDIRECT(ADDRESS(1445,17))-INDIRECT(ADDRESS(1448,17)),INDIRECT(ADDRESS(1449,16))-INDIRECT(ADDRESS(1444,17))+INDIRECT(ADDRESS(1447,17))-INDIRECT(ADDRESS(1448,17)))</f>
        <v>0</v>
      </c>
      <c r="R1449">
        <f>IF(DAY(NOW())&lt;M3,INDIRECT(ADDRESS(1449,17))-INDIRECT(ADDRESS(1444,18))+INDIRECT(ADDRESS(1445,18))-INDIRECT(ADDRESS(1448,18)),INDIRECT(ADDRESS(1449,17))-INDIRECT(ADDRESS(1444,18))+INDIRECT(ADDRESS(1447,18))-INDIRECT(ADDRESS(1448,18)))</f>
        <v>0</v>
      </c>
      <c r="S1449">
        <f>IF(DAY(NOW())&lt;M3,INDIRECT(ADDRESS(1449,18))-INDIRECT(ADDRESS(1444,19))+INDIRECT(ADDRESS(1445,19))-INDIRECT(ADDRESS(1448,19)),INDIRECT(ADDRESS(1449,18))-INDIRECT(ADDRESS(1444,19))+INDIRECT(ADDRESS(1447,19))-INDIRECT(ADDRESS(1448,19)))</f>
        <v>0</v>
      </c>
      <c r="T1449">
        <f>IF(DAY(NOW())&lt;M3,INDIRECT(ADDRESS(1449,19))-INDIRECT(ADDRESS(1444,20))+INDIRECT(ADDRESS(1445,20))-INDIRECT(ADDRESS(1448,20)),INDIRECT(ADDRESS(1449,19))-INDIRECT(ADDRESS(1444,20))+INDIRECT(ADDRESS(1447,20))-INDIRECT(ADDRESS(1448,20)))</f>
        <v>0</v>
      </c>
      <c r="U1449">
        <f>IF(DAY(NOW())&lt;M3,INDIRECT(ADDRESS(1449,20))-INDIRECT(ADDRESS(1444,21))+INDIRECT(ADDRESS(1445,21))-INDIRECT(ADDRESS(1448,21)),INDIRECT(ADDRESS(1449,20))-INDIRECT(ADDRESS(1444,21))+INDIRECT(ADDRESS(1447,21))-INDIRECT(ADDRESS(1448,21)))</f>
        <v>0</v>
      </c>
      <c r="V1449">
        <f>IF(DAY(NOW())&lt;M3,INDIRECT(ADDRESS(1449,21))-INDIRECT(ADDRESS(1444,22))+INDIRECT(ADDRESS(1445,22))-INDIRECT(ADDRESS(1448,22)),INDIRECT(ADDRESS(1449,21))-INDIRECT(ADDRESS(1444,22))+INDIRECT(ADDRESS(1447,22))-INDIRECT(ADDRESS(1448,22)))</f>
        <v>0</v>
      </c>
      <c r="W1449">
        <f>IF(DAY(NOW())&lt;M3,INDIRECT(ADDRESS(1449,22))-INDIRECT(ADDRESS(1444,23))+INDIRECT(ADDRESS(1445,23))-INDIRECT(ADDRESS(1448,23)),INDIRECT(ADDRESS(1449,22))-INDIRECT(ADDRESS(1444,23))+INDIRECT(ADDRESS(1447,23))-INDIRECT(ADDRESS(1448,23)))</f>
        <v>0</v>
      </c>
      <c r="X1449">
        <f>IF(DAY(NOW())&lt;M3,INDIRECT(ADDRESS(1449,23))-INDIRECT(ADDRESS(1444,24))+INDIRECT(ADDRESS(1445,24))-INDIRECT(ADDRESS(1448,24)),INDIRECT(ADDRESS(1449,23))-INDIRECT(ADDRESS(1444,24))+INDIRECT(ADDRESS(1447,24))-INDIRECT(ADDRESS(1448,24)))</f>
        <v>0</v>
      </c>
      <c r="Y1449">
        <f>IF(DAY(NOW())&lt;M3,INDIRECT(ADDRESS(1449,24))-INDIRECT(ADDRESS(1444,25))+INDIRECT(ADDRESS(1445,25))-INDIRECT(ADDRESS(1448,25)),INDIRECT(ADDRESS(1449,24))-INDIRECT(ADDRESS(1444,25))+INDIRECT(ADDRESS(1447,25))-INDIRECT(ADDRESS(1448,25)))</f>
        <v>0</v>
      </c>
      <c r="Z1449">
        <f>IF(DAY(NOW())&lt;M3,INDIRECT(ADDRESS(1449,25))-INDIRECT(ADDRESS(1444,26))+INDIRECT(ADDRESS(1445,26))-INDIRECT(ADDRESS(1448,26)),INDIRECT(ADDRESS(1449,25))-INDIRECT(ADDRESS(1444,26))+INDIRECT(ADDRESS(1447,26))-INDIRECT(ADDRESS(1448,26)))</f>
        <v>0</v>
      </c>
      <c r="AA1449">
        <f>IF(DAY(NOW())&lt;M3,INDIRECT(ADDRESS(1449,26))-INDIRECT(ADDRESS(1444,27))+INDIRECT(ADDRESS(1445,27))-INDIRECT(ADDRESS(1448,27)),INDIRECT(ADDRESS(1449,26))-INDIRECT(ADDRESS(1444,27))+INDIRECT(ADDRESS(1447,27))-INDIRECT(ADDRESS(1448,27)))</f>
        <v>0</v>
      </c>
      <c r="AB1449">
        <f>IF(DAY(NOW())&lt;M3,INDIRECT(ADDRESS(1449,27))-INDIRECT(ADDRESS(1444,28))+INDIRECT(ADDRESS(1445,28))-INDIRECT(ADDRESS(1448,28)),INDIRECT(ADDRESS(1449,27))-INDIRECT(ADDRESS(1444,28))+INDIRECT(ADDRESS(1447,28))-INDIRECT(ADDRESS(1448,28)))</f>
        <v>0</v>
      </c>
      <c r="AC1449">
        <f>IF(DAY(NOW())&lt;M3,INDIRECT(ADDRESS(1449,28))-INDIRECT(ADDRESS(1444,29))+INDIRECT(ADDRESS(1445,29))-INDIRECT(ADDRESS(1448,29)),INDIRECT(ADDRESS(1449,28))-INDIRECT(ADDRESS(1444,29))+INDIRECT(ADDRESS(1447,29))-INDIRECT(ADDRESS(1448,29)))</f>
        <v>0</v>
      </c>
      <c r="AD1449">
        <f>IF(DAY(NOW())&lt;M3,INDIRECT(ADDRESS(1449,29))-INDIRECT(ADDRESS(1444,30))+INDIRECT(ADDRESS(1445,30))-INDIRECT(ADDRESS(1448,30)),INDIRECT(ADDRESS(1449,29))-INDIRECT(ADDRESS(1444,30))+INDIRECT(ADDRESS(1447,30))-INDIRECT(ADDRESS(1448,30)))</f>
        <v>0</v>
      </c>
      <c r="AE1449">
        <f>IF(DAY(NOW())&lt;M3,INDIRECT(ADDRESS(1449,30))-INDIRECT(ADDRESS(1444,31))+INDIRECT(ADDRESS(1445,31))-INDIRECT(ADDRESS(1448,31)),INDIRECT(ADDRESS(1449,30))-INDIRECT(ADDRESS(1444,31))+INDIRECT(ADDRESS(1447,31))-INDIRECT(ADDRESS(1448,31)))</f>
        <v>0</v>
      </c>
      <c r="AF1449">
        <f>IF(DAY(NOW())&lt;M3,INDIRECT(ADDRESS(1449,31))-INDIRECT(ADDRESS(1444,32))+INDIRECT(ADDRESS(1445,32))-INDIRECT(ADDRESS(1448,32)),INDIRECT(ADDRESS(1449,31))-INDIRECT(ADDRESS(1444,32))+INDIRECT(ADDRESS(1447,32))-INDIRECT(ADDRESS(1448,32)))</f>
        <v>0</v>
      </c>
      <c r="AG1449">
        <f>IF(DAY(NOW())&lt;M3,INDIRECT(ADDRESS(1449,32))-INDIRECT(ADDRESS(1444,33))+INDIRECT(ADDRESS(1445,33))-INDIRECT(ADDRESS(1448,33)),INDIRECT(ADDRESS(1449,32))-INDIRECT(ADDRESS(1444,33))+INDIRECT(ADDRESS(1447,33))-INDIRECT(ADDRESS(1448,33)))</f>
        <v>0</v>
      </c>
      <c r="AH1449">
        <f>IF(DAY(NOW())&lt;M3,INDIRECT(ADDRESS(1449,33))-INDIRECT(ADDRESS(1444,34))+INDIRECT(ADDRESS(1445,34))-INDIRECT(ADDRESS(1448,34)),INDIRECT(ADDRESS(1449,33))-INDIRECT(ADDRESS(1444,34))+INDIRECT(ADDRESS(1447,34))-INDIRECT(ADDRESS(1448,34)))</f>
        <v>0</v>
      </c>
      <c r="AI1449">
        <f>IF(DAY(NOW())&lt;M3,INDIRECT(ADDRESS(1449,34))-INDIRECT(ADDRESS(1444,35))+INDIRECT(ADDRESS(1445,35))-INDIRECT(ADDRESS(1448,35)),INDIRECT(ADDRESS(1449,34))-INDIRECT(ADDRESS(1444,35))+INDIRECT(ADDRESS(1447,35))-INDIRECT(ADDRESS(1448,35)))</f>
        <v>0</v>
      </c>
      <c r="AJ1449">
        <f>IF(DAY(NOW())&lt;M3,INDIRECT(ADDRESS(1449,35))-INDIRECT(ADDRESS(1444,36))+INDIRECT(ADDRESS(1445,36))-INDIRECT(ADDRESS(1448,36)),INDIRECT(ADDRESS(1449,35))-INDIRECT(ADDRESS(1444,36))+INDIRECT(ADDRESS(1447,36))-INDIRECT(ADDRESS(1448,36)))</f>
        <v>0</v>
      </c>
      <c r="AK1449">
        <f>IF(DAY(NOW())&lt;M3,INDIRECT(ADDRESS(1449,36))-INDIRECT(ADDRESS(1444,37))+INDIRECT(ADDRESS(1445,37))-INDIRECT(ADDRESS(1448,37)),INDIRECT(ADDRESS(1449,36))-INDIRECT(ADDRESS(1444,37))+INDIRECT(ADDRESS(1447,37))-INDIRECT(ADDRESS(1448,37)))</f>
        <v>0</v>
      </c>
      <c r="AL1449">
        <f>IF(DAY(NOW())&lt;M3,INDIRECT(ADDRESS(1449,37))-INDIRECT(ADDRESS(1444,38))+INDIRECT(ADDRESS(1445,38))-INDIRECT(ADDRESS(1448,38)),INDIRECT(ADDRESS(1449,37))-INDIRECT(ADDRESS(1444,38))+INDIRECT(ADDRESS(1447,38))-INDIRECT(ADDRESS(1448,38)))</f>
        <v>0</v>
      </c>
      <c r="AM1449">
        <f>IF(DAY(NOW())&lt;M3,INDIRECT(ADDRESS(1449,38))-INDIRECT(ADDRESS(1444,39))+INDIRECT(ADDRESS(1445,39))-INDIRECT(ADDRESS(1448,39)),INDIRECT(ADDRESS(1449,38))-INDIRECT(ADDRESS(1444,39))+INDIRECT(ADDRESS(1447,39))-INDIRECT(ADDRESS(1448,39)))</f>
        <v>0</v>
      </c>
      <c r="AN1449">
        <f>IF(DAY(NOW())&lt;M3,INDIRECT(ADDRESS(1449,39))-INDIRECT(ADDRESS(1444,40))+INDIRECT(ADDRESS(1445,40))-INDIRECT(ADDRESS(1448,40)),INDIRECT(ADDRESS(1449,39))-INDIRECT(ADDRESS(1444,40))+INDIRECT(ADDRESS(1447,40))-INDIRECT(ADDRESS(1448,40)))</f>
        <v>0</v>
      </c>
      <c r="AO1449">
        <f>IF(DAY(NOW())&lt;M3,INDIRECT(ADDRESS(1449,40))-INDIRECT(ADDRESS(1444,41))+INDIRECT(ADDRESS(1445,41))-INDIRECT(ADDRESS(1448,41)),INDIRECT(ADDRESS(1449,40))-INDIRECT(ADDRESS(1444,41))+INDIRECT(ADDRESS(1447,41))-INDIRECT(ADDRESS(1448,41)))</f>
        <v>0</v>
      </c>
      <c r="AP1449">
        <f>IF(DAY(NOW())&lt;M3,INDIRECT(ADDRESS(1449,41))-INDIRECT(ADDRESS(1444,42))+INDIRECT(ADDRESS(1445,42))-INDIRECT(ADDRESS(1448,42)),INDIRECT(ADDRESS(1449,41))-INDIRECT(ADDRESS(1444,42))+INDIRECT(ADDRESS(1447,42))-INDIRECT(ADDRESS(1448,42)))</f>
        <v>0</v>
      </c>
      <c r="AQ1449">
        <f>IF(DAY(NOW())&lt;M3,INDIRECT(ADDRESS(1449,42))-INDIRECT(ADDRESS(1444,43))+INDIRECT(ADDRESS(1445,43))-INDIRECT(ADDRESS(1448,43)),INDIRECT(ADDRESS(1449,42))-INDIRECT(ADDRESS(1444,43))+INDIRECT(ADDRESS(1447,43))-INDIRECT(ADDRESS(1448,43)))</f>
        <v>0</v>
      </c>
      <c r="AR1449">
        <f>IF(DAY(NOW())&lt;M3,INDIRECT(ADDRESS(1449,43))-INDIRECT(ADDRESS(1444,44))+INDIRECT(ADDRESS(1445,44))-INDIRECT(ADDRESS(1448,44)),INDIRECT(ADDRESS(1449,43))-INDIRECT(ADDRESS(1444,44))+INDIRECT(ADDRESS(1447,44))-INDIRECT(ADDRESS(1448,44)))</f>
        <v>0</v>
      </c>
    </row>
    <row r="1450" spans="1:76">
      <c r="A1450" t="s">
        <v>14</v>
      </c>
      <c r="B1450" t="s">
        <v>523</v>
      </c>
      <c r="C1450" t="s">
        <v>524</v>
      </c>
      <c r="D1450" t="s">
        <v>525</v>
      </c>
      <c r="E1450" t="s">
        <v>591</v>
      </c>
      <c r="F1450" t="s">
        <v>592</v>
      </c>
      <c r="K1450" t="s">
        <v>590</v>
      </c>
      <c r="L1450" t="s">
        <v>21</v>
      </c>
      <c r="BX1450">
        <f>sum(j1450:an1450)</f>
        <v>0</v>
      </c>
    </row>
    <row r="1451" spans="1:76">
      <c r="A1451" t="s">
        <v>14</v>
      </c>
      <c r="B1451" t="s">
        <v>523</v>
      </c>
      <c r="C1451" t="s">
        <v>524</v>
      </c>
      <c r="D1451" t="s">
        <v>525</v>
      </c>
      <c r="E1451" t="s">
        <v>591</v>
      </c>
      <c r="F1451" t="s">
        <v>592</v>
      </c>
      <c r="K1451" t="s">
        <v>590</v>
      </c>
      <c r="L1451" t="s">
        <v>37</v>
      </c>
    </row>
    <row r="1452" spans="1:76">
      <c r="L1452" t="s">
        <v>662</v>
      </c>
    </row>
    <row r="1453" spans="1:76">
      <c r="L1453" t="s">
        <v>663</v>
      </c>
    </row>
    <row r="1454" spans="1:76">
      <c r="L1454" t="s">
        <v>664</v>
      </c>
    </row>
    <row r="1455" spans="1:76">
      <c r="L1455" t="s">
        <v>665</v>
      </c>
      <c r="M1455">
        <f>IF(DAY(NOW())&lt;M3,INDIRECT(ADDRESS(1455,7))-INDIRECT(ADDRESS(1450,13))+INDIRECT(ADDRESS(1451,13))-INDIRECT(ADDRESS(1454,13)),INDIRECT(ADDRESS(1455,7))-INDIRECT(ADDRESS(1450,13))+INDIRECT(ADDRESS(1453,13))-INDIRECT(ADDRESS(1454,13)))</f>
        <v>0</v>
      </c>
      <c r="N1455">
        <f>IF(DAY(NOW())&lt;M3,INDIRECT(ADDRESS(1455,13))-INDIRECT(ADDRESS(1450,14))+INDIRECT(ADDRESS(1451,14))-INDIRECT(ADDRESS(1454,14)),INDIRECT(ADDRESS(1455,13))-INDIRECT(ADDRESS(1450,14))+INDIRECT(ADDRESS(1453,14))-INDIRECT(ADDRESS(1454,14)))</f>
        <v>0</v>
      </c>
      <c r="O1455">
        <f>IF(DAY(NOW())&lt;M3,INDIRECT(ADDRESS(1455,14))-INDIRECT(ADDRESS(1450,15))+INDIRECT(ADDRESS(1451,15))-INDIRECT(ADDRESS(1454,15)),INDIRECT(ADDRESS(1455,14))-INDIRECT(ADDRESS(1450,15))+INDIRECT(ADDRESS(1453,15))-INDIRECT(ADDRESS(1454,15)))</f>
        <v>0</v>
      </c>
      <c r="P1455">
        <f>IF(DAY(NOW())&lt;M3,INDIRECT(ADDRESS(1455,15))-INDIRECT(ADDRESS(1450,16))+INDIRECT(ADDRESS(1451,16))-INDIRECT(ADDRESS(1454,16)),INDIRECT(ADDRESS(1455,15))-INDIRECT(ADDRESS(1450,16))+INDIRECT(ADDRESS(1453,16))-INDIRECT(ADDRESS(1454,16)))</f>
        <v>0</v>
      </c>
      <c r="Q1455">
        <f>IF(DAY(NOW())&lt;M3,INDIRECT(ADDRESS(1455,16))-INDIRECT(ADDRESS(1450,17))+INDIRECT(ADDRESS(1451,17))-INDIRECT(ADDRESS(1454,17)),INDIRECT(ADDRESS(1455,16))-INDIRECT(ADDRESS(1450,17))+INDIRECT(ADDRESS(1453,17))-INDIRECT(ADDRESS(1454,17)))</f>
        <v>0</v>
      </c>
      <c r="R1455">
        <f>IF(DAY(NOW())&lt;M3,INDIRECT(ADDRESS(1455,17))-INDIRECT(ADDRESS(1450,18))+INDIRECT(ADDRESS(1451,18))-INDIRECT(ADDRESS(1454,18)),INDIRECT(ADDRESS(1455,17))-INDIRECT(ADDRESS(1450,18))+INDIRECT(ADDRESS(1453,18))-INDIRECT(ADDRESS(1454,18)))</f>
        <v>0</v>
      </c>
      <c r="S1455">
        <f>IF(DAY(NOW())&lt;M3,INDIRECT(ADDRESS(1455,18))-INDIRECT(ADDRESS(1450,19))+INDIRECT(ADDRESS(1451,19))-INDIRECT(ADDRESS(1454,19)),INDIRECT(ADDRESS(1455,18))-INDIRECT(ADDRESS(1450,19))+INDIRECT(ADDRESS(1453,19))-INDIRECT(ADDRESS(1454,19)))</f>
        <v>0</v>
      </c>
      <c r="T1455">
        <f>IF(DAY(NOW())&lt;M3,INDIRECT(ADDRESS(1455,19))-INDIRECT(ADDRESS(1450,20))+INDIRECT(ADDRESS(1451,20))-INDIRECT(ADDRESS(1454,20)),INDIRECT(ADDRESS(1455,19))-INDIRECT(ADDRESS(1450,20))+INDIRECT(ADDRESS(1453,20))-INDIRECT(ADDRESS(1454,20)))</f>
        <v>0</v>
      </c>
      <c r="U1455">
        <f>IF(DAY(NOW())&lt;M3,INDIRECT(ADDRESS(1455,20))-INDIRECT(ADDRESS(1450,21))+INDIRECT(ADDRESS(1451,21))-INDIRECT(ADDRESS(1454,21)),INDIRECT(ADDRESS(1455,20))-INDIRECT(ADDRESS(1450,21))+INDIRECT(ADDRESS(1453,21))-INDIRECT(ADDRESS(1454,21)))</f>
        <v>0</v>
      </c>
      <c r="V1455">
        <f>IF(DAY(NOW())&lt;M3,INDIRECT(ADDRESS(1455,21))-INDIRECT(ADDRESS(1450,22))+INDIRECT(ADDRESS(1451,22))-INDIRECT(ADDRESS(1454,22)),INDIRECT(ADDRESS(1455,21))-INDIRECT(ADDRESS(1450,22))+INDIRECT(ADDRESS(1453,22))-INDIRECT(ADDRESS(1454,22)))</f>
        <v>0</v>
      </c>
      <c r="W1455">
        <f>IF(DAY(NOW())&lt;M3,INDIRECT(ADDRESS(1455,22))-INDIRECT(ADDRESS(1450,23))+INDIRECT(ADDRESS(1451,23))-INDIRECT(ADDRESS(1454,23)),INDIRECT(ADDRESS(1455,22))-INDIRECT(ADDRESS(1450,23))+INDIRECT(ADDRESS(1453,23))-INDIRECT(ADDRESS(1454,23)))</f>
        <v>0</v>
      </c>
      <c r="X1455">
        <f>IF(DAY(NOW())&lt;M3,INDIRECT(ADDRESS(1455,23))-INDIRECT(ADDRESS(1450,24))+INDIRECT(ADDRESS(1451,24))-INDIRECT(ADDRESS(1454,24)),INDIRECT(ADDRESS(1455,23))-INDIRECT(ADDRESS(1450,24))+INDIRECT(ADDRESS(1453,24))-INDIRECT(ADDRESS(1454,24)))</f>
        <v>0</v>
      </c>
      <c r="Y1455">
        <f>IF(DAY(NOW())&lt;M3,INDIRECT(ADDRESS(1455,24))-INDIRECT(ADDRESS(1450,25))+INDIRECT(ADDRESS(1451,25))-INDIRECT(ADDRESS(1454,25)),INDIRECT(ADDRESS(1455,24))-INDIRECT(ADDRESS(1450,25))+INDIRECT(ADDRESS(1453,25))-INDIRECT(ADDRESS(1454,25)))</f>
        <v>0</v>
      </c>
      <c r="Z1455">
        <f>IF(DAY(NOW())&lt;M3,INDIRECT(ADDRESS(1455,25))-INDIRECT(ADDRESS(1450,26))+INDIRECT(ADDRESS(1451,26))-INDIRECT(ADDRESS(1454,26)),INDIRECT(ADDRESS(1455,25))-INDIRECT(ADDRESS(1450,26))+INDIRECT(ADDRESS(1453,26))-INDIRECT(ADDRESS(1454,26)))</f>
        <v>0</v>
      </c>
      <c r="AA1455">
        <f>IF(DAY(NOW())&lt;M3,INDIRECT(ADDRESS(1455,26))-INDIRECT(ADDRESS(1450,27))+INDIRECT(ADDRESS(1451,27))-INDIRECT(ADDRESS(1454,27)),INDIRECT(ADDRESS(1455,26))-INDIRECT(ADDRESS(1450,27))+INDIRECT(ADDRESS(1453,27))-INDIRECT(ADDRESS(1454,27)))</f>
        <v>0</v>
      </c>
      <c r="AB1455">
        <f>IF(DAY(NOW())&lt;M3,INDIRECT(ADDRESS(1455,27))-INDIRECT(ADDRESS(1450,28))+INDIRECT(ADDRESS(1451,28))-INDIRECT(ADDRESS(1454,28)),INDIRECT(ADDRESS(1455,27))-INDIRECT(ADDRESS(1450,28))+INDIRECT(ADDRESS(1453,28))-INDIRECT(ADDRESS(1454,28)))</f>
        <v>0</v>
      </c>
      <c r="AC1455">
        <f>IF(DAY(NOW())&lt;M3,INDIRECT(ADDRESS(1455,28))-INDIRECT(ADDRESS(1450,29))+INDIRECT(ADDRESS(1451,29))-INDIRECT(ADDRESS(1454,29)),INDIRECT(ADDRESS(1455,28))-INDIRECT(ADDRESS(1450,29))+INDIRECT(ADDRESS(1453,29))-INDIRECT(ADDRESS(1454,29)))</f>
        <v>0</v>
      </c>
      <c r="AD1455">
        <f>IF(DAY(NOW())&lt;M3,INDIRECT(ADDRESS(1455,29))-INDIRECT(ADDRESS(1450,30))+INDIRECT(ADDRESS(1451,30))-INDIRECT(ADDRESS(1454,30)),INDIRECT(ADDRESS(1455,29))-INDIRECT(ADDRESS(1450,30))+INDIRECT(ADDRESS(1453,30))-INDIRECT(ADDRESS(1454,30)))</f>
        <v>0</v>
      </c>
      <c r="AE1455">
        <f>IF(DAY(NOW())&lt;M3,INDIRECT(ADDRESS(1455,30))-INDIRECT(ADDRESS(1450,31))+INDIRECT(ADDRESS(1451,31))-INDIRECT(ADDRESS(1454,31)),INDIRECT(ADDRESS(1455,30))-INDIRECT(ADDRESS(1450,31))+INDIRECT(ADDRESS(1453,31))-INDIRECT(ADDRESS(1454,31)))</f>
        <v>0</v>
      </c>
      <c r="AF1455">
        <f>IF(DAY(NOW())&lt;M3,INDIRECT(ADDRESS(1455,31))-INDIRECT(ADDRESS(1450,32))+INDIRECT(ADDRESS(1451,32))-INDIRECT(ADDRESS(1454,32)),INDIRECT(ADDRESS(1455,31))-INDIRECT(ADDRESS(1450,32))+INDIRECT(ADDRESS(1453,32))-INDIRECT(ADDRESS(1454,32)))</f>
        <v>0</v>
      </c>
      <c r="AG1455">
        <f>IF(DAY(NOW())&lt;M3,INDIRECT(ADDRESS(1455,32))-INDIRECT(ADDRESS(1450,33))+INDIRECT(ADDRESS(1451,33))-INDIRECT(ADDRESS(1454,33)),INDIRECT(ADDRESS(1455,32))-INDIRECT(ADDRESS(1450,33))+INDIRECT(ADDRESS(1453,33))-INDIRECT(ADDRESS(1454,33)))</f>
        <v>0</v>
      </c>
      <c r="AH1455">
        <f>IF(DAY(NOW())&lt;M3,INDIRECT(ADDRESS(1455,33))-INDIRECT(ADDRESS(1450,34))+INDIRECT(ADDRESS(1451,34))-INDIRECT(ADDRESS(1454,34)),INDIRECT(ADDRESS(1455,33))-INDIRECT(ADDRESS(1450,34))+INDIRECT(ADDRESS(1453,34))-INDIRECT(ADDRESS(1454,34)))</f>
        <v>0</v>
      </c>
      <c r="AI1455">
        <f>IF(DAY(NOW())&lt;M3,INDIRECT(ADDRESS(1455,34))-INDIRECT(ADDRESS(1450,35))+INDIRECT(ADDRESS(1451,35))-INDIRECT(ADDRESS(1454,35)),INDIRECT(ADDRESS(1455,34))-INDIRECT(ADDRESS(1450,35))+INDIRECT(ADDRESS(1453,35))-INDIRECT(ADDRESS(1454,35)))</f>
        <v>0</v>
      </c>
      <c r="AJ1455">
        <f>IF(DAY(NOW())&lt;M3,INDIRECT(ADDRESS(1455,35))-INDIRECT(ADDRESS(1450,36))+INDIRECT(ADDRESS(1451,36))-INDIRECT(ADDRESS(1454,36)),INDIRECT(ADDRESS(1455,35))-INDIRECT(ADDRESS(1450,36))+INDIRECT(ADDRESS(1453,36))-INDIRECT(ADDRESS(1454,36)))</f>
        <v>0</v>
      </c>
      <c r="AK1455">
        <f>IF(DAY(NOW())&lt;M3,INDIRECT(ADDRESS(1455,36))-INDIRECT(ADDRESS(1450,37))+INDIRECT(ADDRESS(1451,37))-INDIRECT(ADDRESS(1454,37)),INDIRECT(ADDRESS(1455,36))-INDIRECT(ADDRESS(1450,37))+INDIRECT(ADDRESS(1453,37))-INDIRECT(ADDRESS(1454,37)))</f>
        <v>0</v>
      </c>
      <c r="AL1455">
        <f>IF(DAY(NOW())&lt;M3,INDIRECT(ADDRESS(1455,37))-INDIRECT(ADDRESS(1450,38))+INDIRECT(ADDRESS(1451,38))-INDIRECT(ADDRESS(1454,38)),INDIRECT(ADDRESS(1455,37))-INDIRECT(ADDRESS(1450,38))+INDIRECT(ADDRESS(1453,38))-INDIRECT(ADDRESS(1454,38)))</f>
        <v>0</v>
      </c>
      <c r="AM1455">
        <f>IF(DAY(NOW())&lt;M3,INDIRECT(ADDRESS(1455,38))-INDIRECT(ADDRESS(1450,39))+INDIRECT(ADDRESS(1451,39))-INDIRECT(ADDRESS(1454,39)),INDIRECT(ADDRESS(1455,38))-INDIRECT(ADDRESS(1450,39))+INDIRECT(ADDRESS(1453,39))-INDIRECT(ADDRESS(1454,39)))</f>
        <v>0</v>
      </c>
      <c r="AN1455">
        <f>IF(DAY(NOW())&lt;M3,INDIRECT(ADDRESS(1455,39))-INDIRECT(ADDRESS(1450,40))+INDIRECT(ADDRESS(1451,40))-INDIRECT(ADDRESS(1454,40)),INDIRECT(ADDRESS(1455,39))-INDIRECT(ADDRESS(1450,40))+INDIRECT(ADDRESS(1453,40))-INDIRECT(ADDRESS(1454,40)))</f>
        <v>0</v>
      </c>
      <c r="AO1455">
        <f>IF(DAY(NOW())&lt;M3,INDIRECT(ADDRESS(1455,40))-INDIRECT(ADDRESS(1450,41))+INDIRECT(ADDRESS(1451,41))-INDIRECT(ADDRESS(1454,41)),INDIRECT(ADDRESS(1455,40))-INDIRECT(ADDRESS(1450,41))+INDIRECT(ADDRESS(1453,41))-INDIRECT(ADDRESS(1454,41)))</f>
        <v>0</v>
      </c>
      <c r="AP1455">
        <f>IF(DAY(NOW())&lt;M3,INDIRECT(ADDRESS(1455,41))-INDIRECT(ADDRESS(1450,42))+INDIRECT(ADDRESS(1451,42))-INDIRECT(ADDRESS(1454,42)),INDIRECT(ADDRESS(1455,41))-INDIRECT(ADDRESS(1450,42))+INDIRECT(ADDRESS(1453,42))-INDIRECT(ADDRESS(1454,42)))</f>
        <v>0</v>
      </c>
      <c r="AQ1455">
        <f>IF(DAY(NOW())&lt;M3,INDIRECT(ADDRESS(1455,42))-INDIRECT(ADDRESS(1450,43))+INDIRECT(ADDRESS(1451,43))-INDIRECT(ADDRESS(1454,43)),INDIRECT(ADDRESS(1455,42))-INDIRECT(ADDRESS(1450,43))+INDIRECT(ADDRESS(1453,43))-INDIRECT(ADDRESS(1454,43)))</f>
        <v>0</v>
      </c>
      <c r="AR1455">
        <f>IF(DAY(NOW())&lt;M3,INDIRECT(ADDRESS(1455,43))-INDIRECT(ADDRESS(1450,44))+INDIRECT(ADDRESS(1451,44))-INDIRECT(ADDRESS(1454,44)),INDIRECT(ADDRESS(1455,43))-INDIRECT(ADDRESS(1450,44))+INDIRECT(ADDRESS(1453,44))-INDIRECT(ADDRESS(1454,44)))</f>
        <v>0</v>
      </c>
    </row>
    <row r="1456" spans="1:76">
      <c r="A1456" t="s">
        <v>31</v>
      </c>
      <c r="B1456" t="s">
        <v>593</v>
      </c>
      <c r="C1456" t="s">
        <v>594</v>
      </c>
      <c r="E1456" t="s">
        <v>595</v>
      </c>
      <c r="F1456" t="s">
        <v>596</v>
      </c>
      <c r="K1456" t="s">
        <v>590</v>
      </c>
      <c r="L1456" t="s">
        <v>21</v>
      </c>
      <c r="M1456">
        <f>sumifs(BOM!m:m,BOM!A:A,".1",BOM!B:B,"272-064300-000")</f>
        <v>0</v>
      </c>
      <c r="N1456">
        <f>sumifs(BOM!n:n,BOM!A:A,".1",BOM!B:B,"272-064300-000")</f>
        <v>0</v>
      </c>
      <c r="O1456">
        <f>sumifs(BOM!o:o,BOM!A:A,".1",BOM!B:B,"272-064300-000")</f>
        <v>0</v>
      </c>
      <c r="P1456">
        <f>sumifs(BOM!p:p,BOM!A:A,".1",BOM!B:B,"272-064300-000")</f>
        <v>0</v>
      </c>
      <c r="Q1456">
        <f>sumifs(BOM!q:q,BOM!A:A,".1",BOM!B:B,"272-064300-000")</f>
        <v>0</v>
      </c>
      <c r="R1456">
        <f>sumifs(BOM!r:r,BOM!A:A,".1",BOM!B:B,"272-064300-000")</f>
        <v>0</v>
      </c>
      <c r="S1456">
        <f>sumifs(BOM!s:s,BOM!A:A,".1",BOM!B:B,"272-064300-000")</f>
        <v>0</v>
      </c>
      <c r="T1456">
        <f>sumifs(BOM!t:t,BOM!A:A,".1",BOM!B:B,"272-064300-000")</f>
        <v>0</v>
      </c>
      <c r="U1456">
        <f>sumifs(BOM!u:u,BOM!A:A,".1",BOM!B:B,"272-064300-000")</f>
        <v>0</v>
      </c>
      <c r="V1456">
        <f>sumifs(BOM!v:v,BOM!A:A,".1",BOM!B:B,"272-064300-000")</f>
        <v>0</v>
      </c>
      <c r="W1456">
        <f>sumifs(BOM!w:w,BOM!A:A,".1",BOM!B:B,"272-064300-000")</f>
        <v>0</v>
      </c>
      <c r="X1456">
        <f>sumifs(BOM!x:x,BOM!A:A,".1",BOM!B:B,"272-064300-000")</f>
        <v>0</v>
      </c>
      <c r="Y1456">
        <f>sumifs(BOM!y:y,BOM!A:A,".1",BOM!B:B,"272-064300-000")</f>
        <v>0</v>
      </c>
      <c r="Z1456">
        <f>sumifs(BOM!z:z,BOM!A:A,".1",BOM!B:B,"272-064300-000")</f>
        <v>0</v>
      </c>
      <c r="AA1456">
        <f>sumifs(BOM!aa:aa,BOM!A:A,".1",BOM!B:B,"272-064300-000")</f>
        <v>0</v>
      </c>
      <c r="AB1456">
        <f>sumifs(BOM!ab:ab,BOM!A:A,".1",BOM!B:B,"272-064300-000")</f>
        <v>0</v>
      </c>
      <c r="AC1456">
        <f>sumifs(BOM!ac:ac,BOM!A:A,".1",BOM!B:B,"272-064300-000")</f>
        <v>0</v>
      </c>
      <c r="AD1456">
        <f>sumifs(BOM!ad:ad,BOM!A:A,".1",BOM!B:B,"272-064300-000")</f>
        <v>0</v>
      </c>
      <c r="AE1456">
        <f>sumifs(BOM!ae:ae,BOM!A:A,".1",BOM!B:B,"272-064300-000")</f>
        <v>0</v>
      </c>
      <c r="AF1456">
        <f>sumifs(BOM!af:af,BOM!A:A,".1",BOM!B:B,"272-064300-000")</f>
        <v>0</v>
      </c>
      <c r="AG1456">
        <f>sumifs(BOM!ag:ag,BOM!A:A,".1",BOM!B:B,"272-064300-000")</f>
        <v>0</v>
      </c>
      <c r="AH1456">
        <f>sumifs(BOM!ah:ah,BOM!A:A,".1",BOM!B:B,"272-064300-000")</f>
        <v>0</v>
      </c>
      <c r="AI1456">
        <f>sumifs(BOM!ai:ai,BOM!A:A,".1",BOM!B:B,"272-064300-000")</f>
        <v>0</v>
      </c>
      <c r="AJ1456">
        <f>sumifs(BOM!aj:aj,BOM!A:A,".1",BOM!B:B,"272-064300-000")</f>
        <v>0</v>
      </c>
      <c r="AK1456">
        <f>sumifs(BOM!ak:ak,BOM!A:A,".1",BOM!B:B,"272-064300-000")</f>
        <v>0</v>
      </c>
      <c r="AL1456">
        <f>sumifs(BOM!al:al,BOM!A:A,".1",BOM!B:B,"272-064300-000")</f>
        <v>0</v>
      </c>
      <c r="AM1456">
        <f>sumifs(BOM!am:am,BOM!A:A,".1",BOM!B:B,"272-064300-000")</f>
        <v>0</v>
      </c>
      <c r="AN1456">
        <f>sumifs(BOM!an:an,BOM!A:A,".1",BOM!B:B,"272-064300-000")</f>
        <v>0</v>
      </c>
      <c r="AO1456">
        <f>sumifs(BOM!ao:ao,BOM!A:A,".1",BOM!B:B,"272-064300-000")</f>
        <v>0</v>
      </c>
      <c r="AP1456">
        <f>sumifs(BOM!ap:ap,BOM!A:A,".1",BOM!B:B,"272-064300-000")</f>
        <v>0</v>
      </c>
      <c r="AQ1456">
        <f>sumifs(BOM!aq:aq,BOM!A:A,".1",BOM!B:B,"272-064300-000")</f>
        <v>0</v>
      </c>
      <c r="AR1456">
        <f>sumifs(BOM!ar:ar,BOM!A:A,".1",BOM!B:B,"272-064300-000")</f>
        <v>0</v>
      </c>
      <c r="BX1456">
        <f>sum(j1456:an1456)</f>
        <v>0</v>
      </c>
    </row>
    <row r="1457" spans="1:76">
      <c r="A1457" t="s">
        <v>31</v>
      </c>
      <c r="B1457" t="s">
        <v>593</v>
      </c>
      <c r="C1457" t="s">
        <v>594</v>
      </c>
      <c r="E1457" t="s">
        <v>595</v>
      </c>
      <c r="F1457" t="s">
        <v>596</v>
      </c>
      <c r="K1457" t="s">
        <v>590</v>
      </c>
      <c r="L1457" t="s">
        <v>37</v>
      </c>
    </row>
    <row r="1458" spans="1:76">
      <c r="L1458" t="s">
        <v>662</v>
      </c>
    </row>
    <row r="1459" spans="1:76">
      <c r="L1459" t="s">
        <v>663</v>
      </c>
    </row>
    <row r="1460" spans="1:76">
      <c r="L1460" t="s">
        <v>664</v>
      </c>
    </row>
    <row r="1461" spans="1:76">
      <c r="L1461" t="s">
        <v>665</v>
      </c>
      <c r="M1461">
        <f>IF(DAY(NOW())&lt;M3,INDIRECT(ADDRESS(1461,7))-INDIRECT(ADDRESS(1456,13))+INDIRECT(ADDRESS(1457,13))-INDIRECT(ADDRESS(1460,13)),INDIRECT(ADDRESS(1461,7))-INDIRECT(ADDRESS(1456,13))+INDIRECT(ADDRESS(1459,13))-INDIRECT(ADDRESS(1460,13)))</f>
        <v>0</v>
      </c>
      <c r="N1461">
        <f>IF(DAY(NOW())&lt;M3,INDIRECT(ADDRESS(1461,13))-INDIRECT(ADDRESS(1456,14))+INDIRECT(ADDRESS(1457,14))-INDIRECT(ADDRESS(1460,14)),INDIRECT(ADDRESS(1461,13))-INDIRECT(ADDRESS(1456,14))+INDIRECT(ADDRESS(1459,14))-INDIRECT(ADDRESS(1460,14)))</f>
        <v>0</v>
      </c>
      <c r="O1461">
        <f>IF(DAY(NOW())&lt;M3,INDIRECT(ADDRESS(1461,14))-INDIRECT(ADDRESS(1456,15))+INDIRECT(ADDRESS(1457,15))-INDIRECT(ADDRESS(1460,15)),INDIRECT(ADDRESS(1461,14))-INDIRECT(ADDRESS(1456,15))+INDIRECT(ADDRESS(1459,15))-INDIRECT(ADDRESS(1460,15)))</f>
        <v>0</v>
      </c>
      <c r="P1461">
        <f>IF(DAY(NOW())&lt;M3,INDIRECT(ADDRESS(1461,15))-INDIRECT(ADDRESS(1456,16))+INDIRECT(ADDRESS(1457,16))-INDIRECT(ADDRESS(1460,16)),INDIRECT(ADDRESS(1461,15))-INDIRECT(ADDRESS(1456,16))+INDIRECT(ADDRESS(1459,16))-INDIRECT(ADDRESS(1460,16)))</f>
        <v>0</v>
      </c>
      <c r="Q1461">
        <f>IF(DAY(NOW())&lt;M3,INDIRECT(ADDRESS(1461,16))-INDIRECT(ADDRESS(1456,17))+INDIRECT(ADDRESS(1457,17))-INDIRECT(ADDRESS(1460,17)),INDIRECT(ADDRESS(1461,16))-INDIRECT(ADDRESS(1456,17))+INDIRECT(ADDRESS(1459,17))-INDIRECT(ADDRESS(1460,17)))</f>
        <v>0</v>
      </c>
      <c r="R1461">
        <f>IF(DAY(NOW())&lt;M3,INDIRECT(ADDRESS(1461,17))-INDIRECT(ADDRESS(1456,18))+INDIRECT(ADDRESS(1457,18))-INDIRECT(ADDRESS(1460,18)),INDIRECT(ADDRESS(1461,17))-INDIRECT(ADDRESS(1456,18))+INDIRECT(ADDRESS(1459,18))-INDIRECT(ADDRESS(1460,18)))</f>
        <v>0</v>
      </c>
      <c r="S1461">
        <f>IF(DAY(NOW())&lt;M3,INDIRECT(ADDRESS(1461,18))-INDIRECT(ADDRESS(1456,19))+INDIRECT(ADDRESS(1457,19))-INDIRECT(ADDRESS(1460,19)),INDIRECT(ADDRESS(1461,18))-INDIRECT(ADDRESS(1456,19))+INDIRECT(ADDRESS(1459,19))-INDIRECT(ADDRESS(1460,19)))</f>
        <v>0</v>
      </c>
      <c r="T1461">
        <f>IF(DAY(NOW())&lt;M3,INDIRECT(ADDRESS(1461,19))-INDIRECT(ADDRESS(1456,20))+INDIRECT(ADDRESS(1457,20))-INDIRECT(ADDRESS(1460,20)),INDIRECT(ADDRESS(1461,19))-INDIRECT(ADDRESS(1456,20))+INDIRECT(ADDRESS(1459,20))-INDIRECT(ADDRESS(1460,20)))</f>
        <v>0</v>
      </c>
      <c r="U1461">
        <f>IF(DAY(NOW())&lt;M3,INDIRECT(ADDRESS(1461,20))-INDIRECT(ADDRESS(1456,21))+INDIRECT(ADDRESS(1457,21))-INDIRECT(ADDRESS(1460,21)),INDIRECT(ADDRESS(1461,20))-INDIRECT(ADDRESS(1456,21))+INDIRECT(ADDRESS(1459,21))-INDIRECT(ADDRESS(1460,21)))</f>
        <v>0</v>
      </c>
      <c r="V1461">
        <f>IF(DAY(NOW())&lt;M3,INDIRECT(ADDRESS(1461,21))-INDIRECT(ADDRESS(1456,22))+INDIRECT(ADDRESS(1457,22))-INDIRECT(ADDRESS(1460,22)),INDIRECT(ADDRESS(1461,21))-INDIRECT(ADDRESS(1456,22))+INDIRECT(ADDRESS(1459,22))-INDIRECT(ADDRESS(1460,22)))</f>
        <v>0</v>
      </c>
      <c r="W1461">
        <f>IF(DAY(NOW())&lt;M3,INDIRECT(ADDRESS(1461,22))-INDIRECT(ADDRESS(1456,23))+INDIRECT(ADDRESS(1457,23))-INDIRECT(ADDRESS(1460,23)),INDIRECT(ADDRESS(1461,22))-INDIRECT(ADDRESS(1456,23))+INDIRECT(ADDRESS(1459,23))-INDIRECT(ADDRESS(1460,23)))</f>
        <v>0</v>
      </c>
      <c r="X1461">
        <f>IF(DAY(NOW())&lt;M3,INDIRECT(ADDRESS(1461,23))-INDIRECT(ADDRESS(1456,24))+INDIRECT(ADDRESS(1457,24))-INDIRECT(ADDRESS(1460,24)),INDIRECT(ADDRESS(1461,23))-INDIRECT(ADDRESS(1456,24))+INDIRECT(ADDRESS(1459,24))-INDIRECT(ADDRESS(1460,24)))</f>
        <v>0</v>
      </c>
      <c r="Y1461">
        <f>IF(DAY(NOW())&lt;M3,INDIRECT(ADDRESS(1461,24))-INDIRECT(ADDRESS(1456,25))+INDIRECT(ADDRESS(1457,25))-INDIRECT(ADDRESS(1460,25)),INDIRECT(ADDRESS(1461,24))-INDIRECT(ADDRESS(1456,25))+INDIRECT(ADDRESS(1459,25))-INDIRECT(ADDRESS(1460,25)))</f>
        <v>0</v>
      </c>
      <c r="Z1461">
        <f>IF(DAY(NOW())&lt;M3,INDIRECT(ADDRESS(1461,25))-INDIRECT(ADDRESS(1456,26))+INDIRECT(ADDRESS(1457,26))-INDIRECT(ADDRESS(1460,26)),INDIRECT(ADDRESS(1461,25))-INDIRECT(ADDRESS(1456,26))+INDIRECT(ADDRESS(1459,26))-INDIRECT(ADDRESS(1460,26)))</f>
        <v>0</v>
      </c>
      <c r="AA1461">
        <f>IF(DAY(NOW())&lt;M3,INDIRECT(ADDRESS(1461,26))-INDIRECT(ADDRESS(1456,27))+INDIRECT(ADDRESS(1457,27))-INDIRECT(ADDRESS(1460,27)),INDIRECT(ADDRESS(1461,26))-INDIRECT(ADDRESS(1456,27))+INDIRECT(ADDRESS(1459,27))-INDIRECT(ADDRESS(1460,27)))</f>
        <v>0</v>
      </c>
      <c r="AB1461">
        <f>IF(DAY(NOW())&lt;M3,INDIRECT(ADDRESS(1461,27))-INDIRECT(ADDRESS(1456,28))+INDIRECT(ADDRESS(1457,28))-INDIRECT(ADDRESS(1460,28)),INDIRECT(ADDRESS(1461,27))-INDIRECT(ADDRESS(1456,28))+INDIRECT(ADDRESS(1459,28))-INDIRECT(ADDRESS(1460,28)))</f>
        <v>0</v>
      </c>
      <c r="AC1461">
        <f>IF(DAY(NOW())&lt;M3,INDIRECT(ADDRESS(1461,28))-INDIRECT(ADDRESS(1456,29))+INDIRECT(ADDRESS(1457,29))-INDIRECT(ADDRESS(1460,29)),INDIRECT(ADDRESS(1461,28))-INDIRECT(ADDRESS(1456,29))+INDIRECT(ADDRESS(1459,29))-INDIRECT(ADDRESS(1460,29)))</f>
        <v>0</v>
      </c>
      <c r="AD1461">
        <f>IF(DAY(NOW())&lt;M3,INDIRECT(ADDRESS(1461,29))-INDIRECT(ADDRESS(1456,30))+INDIRECT(ADDRESS(1457,30))-INDIRECT(ADDRESS(1460,30)),INDIRECT(ADDRESS(1461,29))-INDIRECT(ADDRESS(1456,30))+INDIRECT(ADDRESS(1459,30))-INDIRECT(ADDRESS(1460,30)))</f>
        <v>0</v>
      </c>
      <c r="AE1461">
        <f>IF(DAY(NOW())&lt;M3,INDIRECT(ADDRESS(1461,30))-INDIRECT(ADDRESS(1456,31))+INDIRECT(ADDRESS(1457,31))-INDIRECT(ADDRESS(1460,31)),INDIRECT(ADDRESS(1461,30))-INDIRECT(ADDRESS(1456,31))+INDIRECT(ADDRESS(1459,31))-INDIRECT(ADDRESS(1460,31)))</f>
        <v>0</v>
      </c>
      <c r="AF1461">
        <f>IF(DAY(NOW())&lt;M3,INDIRECT(ADDRESS(1461,31))-INDIRECT(ADDRESS(1456,32))+INDIRECT(ADDRESS(1457,32))-INDIRECT(ADDRESS(1460,32)),INDIRECT(ADDRESS(1461,31))-INDIRECT(ADDRESS(1456,32))+INDIRECT(ADDRESS(1459,32))-INDIRECT(ADDRESS(1460,32)))</f>
        <v>0</v>
      </c>
      <c r="AG1461">
        <f>IF(DAY(NOW())&lt;M3,INDIRECT(ADDRESS(1461,32))-INDIRECT(ADDRESS(1456,33))+INDIRECT(ADDRESS(1457,33))-INDIRECT(ADDRESS(1460,33)),INDIRECT(ADDRESS(1461,32))-INDIRECT(ADDRESS(1456,33))+INDIRECT(ADDRESS(1459,33))-INDIRECT(ADDRESS(1460,33)))</f>
        <v>0</v>
      </c>
      <c r="AH1461">
        <f>IF(DAY(NOW())&lt;M3,INDIRECT(ADDRESS(1461,33))-INDIRECT(ADDRESS(1456,34))+INDIRECT(ADDRESS(1457,34))-INDIRECT(ADDRESS(1460,34)),INDIRECT(ADDRESS(1461,33))-INDIRECT(ADDRESS(1456,34))+INDIRECT(ADDRESS(1459,34))-INDIRECT(ADDRESS(1460,34)))</f>
        <v>0</v>
      </c>
      <c r="AI1461">
        <f>IF(DAY(NOW())&lt;M3,INDIRECT(ADDRESS(1461,34))-INDIRECT(ADDRESS(1456,35))+INDIRECT(ADDRESS(1457,35))-INDIRECT(ADDRESS(1460,35)),INDIRECT(ADDRESS(1461,34))-INDIRECT(ADDRESS(1456,35))+INDIRECT(ADDRESS(1459,35))-INDIRECT(ADDRESS(1460,35)))</f>
        <v>0</v>
      </c>
      <c r="AJ1461">
        <f>IF(DAY(NOW())&lt;M3,INDIRECT(ADDRESS(1461,35))-INDIRECT(ADDRESS(1456,36))+INDIRECT(ADDRESS(1457,36))-INDIRECT(ADDRESS(1460,36)),INDIRECT(ADDRESS(1461,35))-INDIRECT(ADDRESS(1456,36))+INDIRECT(ADDRESS(1459,36))-INDIRECT(ADDRESS(1460,36)))</f>
        <v>0</v>
      </c>
      <c r="AK1461">
        <f>IF(DAY(NOW())&lt;M3,INDIRECT(ADDRESS(1461,36))-INDIRECT(ADDRESS(1456,37))+INDIRECT(ADDRESS(1457,37))-INDIRECT(ADDRESS(1460,37)),INDIRECT(ADDRESS(1461,36))-INDIRECT(ADDRESS(1456,37))+INDIRECT(ADDRESS(1459,37))-INDIRECT(ADDRESS(1460,37)))</f>
        <v>0</v>
      </c>
      <c r="AL1461">
        <f>IF(DAY(NOW())&lt;M3,INDIRECT(ADDRESS(1461,37))-INDIRECT(ADDRESS(1456,38))+INDIRECT(ADDRESS(1457,38))-INDIRECT(ADDRESS(1460,38)),INDIRECT(ADDRESS(1461,37))-INDIRECT(ADDRESS(1456,38))+INDIRECT(ADDRESS(1459,38))-INDIRECT(ADDRESS(1460,38)))</f>
        <v>0</v>
      </c>
      <c r="AM1461">
        <f>IF(DAY(NOW())&lt;M3,INDIRECT(ADDRESS(1461,38))-INDIRECT(ADDRESS(1456,39))+INDIRECT(ADDRESS(1457,39))-INDIRECT(ADDRESS(1460,39)),INDIRECT(ADDRESS(1461,38))-INDIRECT(ADDRESS(1456,39))+INDIRECT(ADDRESS(1459,39))-INDIRECT(ADDRESS(1460,39)))</f>
        <v>0</v>
      </c>
      <c r="AN1461">
        <f>IF(DAY(NOW())&lt;M3,INDIRECT(ADDRESS(1461,39))-INDIRECT(ADDRESS(1456,40))+INDIRECT(ADDRESS(1457,40))-INDIRECT(ADDRESS(1460,40)),INDIRECT(ADDRESS(1461,39))-INDIRECT(ADDRESS(1456,40))+INDIRECT(ADDRESS(1459,40))-INDIRECT(ADDRESS(1460,40)))</f>
        <v>0</v>
      </c>
      <c r="AO1461">
        <f>IF(DAY(NOW())&lt;M3,INDIRECT(ADDRESS(1461,40))-INDIRECT(ADDRESS(1456,41))+INDIRECT(ADDRESS(1457,41))-INDIRECT(ADDRESS(1460,41)),INDIRECT(ADDRESS(1461,40))-INDIRECT(ADDRESS(1456,41))+INDIRECT(ADDRESS(1459,41))-INDIRECT(ADDRESS(1460,41)))</f>
        <v>0</v>
      </c>
      <c r="AP1461">
        <f>IF(DAY(NOW())&lt;M3,INDIRECT(ADDRESS(1461,41))-INDIRECT(ADDRESS(1456,42))+INDIRECT(ADDRESS(1457,42))-INDIRECT(ADDRESS(1460,42)),INDIRECT(ADDRESS(1461,41))-INDIRECT(ADDRESS(1456,42))+INDIRECT(ADDRESS(1459,42))-INDIRECT(ADDRESS(1460,42)))</f>
        <v>0</v>
      </c>
      <c r="AQ1461">
        <f>IF(DAY(NOW())&lt;M3,INDIRECT(ADDRESS(1461,42))-INDIRECT(ADDRESS(1456,43))+INDIRECT(ADDRESS(1457,43))-INDIRECT(ADDRESS(1460,43)),INDIRECT(ADDRESS(1461,42))-INDIRECT(ADDRESS(1456,43))+INDIRECT(ADDRESS(1459,43))-INDIRECT(ADDRESS(1460,43)))</f>
        <v>0</v>
      </c>
      <c r="AR1461">
        <f>IF(DAY(NOW())&lt;M3,INDIRECT(ADDRESS(1461,43))-INDIRECT(ADDRESS(1456,44))+INDIRECT(ADDRESS(1457,44))-INDIRECT(ADDRESS(1460,44)),INDIRECT(ADDRESS(1461,43))-INDIRECT(ADDRESS(1456,44))+INDIRECT(ADDRESS(1459,44))-INDIRECT(ADDRESS(1460,44)))</f>
        <v>0</v>
      </c>
    </row>
    <row r="1462" spans="1:76">
      <c r="A1462" t="s">
        <v>31</v>
      </c>
      <c r="B1462" t="s">
        <v>597</v>
      </c>
      <c r="C1462" t="s">
        <v>598</v>
      </c>
      <c r="F1462" t="s">
        <v>596</v>
      </c>
      <c r="K1462" t="s">
        <v>590</v>
      </c>
      <c r="L1462" t="s">
        <v>21</v>
      </c>
      <c r="M1462">
        <f>sumifs(BOM!m:m,BOM!A:A,".1",BOM!B:B,"262-002200-000")</f>
        <v>0</v>
      </c>
      <c r="N1462">
        <f>sumifs(BOM!n:n,BOM!A:A,".1",BOM!B:B,"262-002200-000")</f>
        <v>0</v>
      </c>
      <c r="O1462">
        <f>sumifs(BOM!o:o,BOM!A:A,".1",BOM!B:B,"262-002200-000")</f>
        <v>0</v>
      </c>
      <c r="P1462">
        <f>sumifs(BOM!p:p,BOM!A:A,".1",BOM!B:B,"262-002200-000")</f>
        <v>0</v>
      </c>
      <c r="Q1462">
        <f>sumifs(BOM!q:q,BOM!A:A,".1",BOM!B:B,"262-002200-000")</f>
        <v>0</v>
      </c>
      <c r="R1462">
        <f>sumifs(BOM!r:r,BOM!A:A,".1",BOM!B:B,"262-002200-000")</f>
        <v>0</v>
      </c>
      <c r="S1462">
        <f>sumifs(BOM!s:s,BOM!A:A,".1",BOM!B:B,"262-002200-000")</f>
        <v>0</v>
      </c>
      <c r="T1462">
        <f>sumifs(BOM!t:t,BOM!A:A,".1",BOM!B:B,"262-002200-000")</f>
        <v>0</v>
      </c>
      <c r="U1462">
        <f>sumifs(BOM!u:u,BOM!A:A,".1",BOM!B:B,"262-002200-000")</f>
        <v>0</v>
      </c>
      <c r="V1462">
        <f>sumifs(BOM!v:v,BOM!A:A,".1",BOM!B:B,"262-002200-000")</f>
        <v>0</v>
      </c>
      <c r="W1462">
        <f>sumifs(BOM!w:w,BOM!A:A,".1",BOM!B:B,"262-002200-000")</f>
        <v>0</v>
      </c>
      <c r="X1462">
        <f>sumifs(BOM!x:x,BOM!A:A,".1",BOM!B:B,"262-002200-000")</f>
        <v>0</v>
      </c>
      <c r="Y1462">
        <f>sumifs(BOM!y:y,BOM!A:A,".1",BOM!B:B,"262-002200-000")</f>
        <v>0</v>
      </c>
      <c r="Z1462">
        <f>sumifs(BOM!z:z,BOM!A:A,".1",BOM!B:B,"262-002200-000")</f>
        <v>0</v>
      </c>
      <c r="AA1462">
        <f>sumifs(BOM!aa:aa,BOM!A:A,".1",BOM!B:B,"262-002200-000")</f>
        <v>0</v>
      </c>
      <c r="AB1462">
        <f>sumifs(BOM!ab:ab,BOM!A:A,".1",BOM!B:B,"262-002200-000")</f>
        <v>0</v>
      </c>
      <c r="AC1462">
        <f>sumifs(BOM!ac:ac,BOM!A:A,".1",BOM!B:B,"262-002200-000")</f>
        <v>0</v>
      </c>
      <c r="AD1462">
        <f>sumifs(BOM!ad:ad,BOM!A:A,".1",BOM!B:B,"262-002200-000")</f>
        <v>0</v>
      </c>
      <c r="AE1462">
        <f>sumifs(BOM!ae:ae,BOM!A:A,".1",BOM!B:B,"262-002200-000")</f>
        <v>0</v>
      </c>
      <c r="AF1462">
        <f>sumifs(BOM!af:af,BOM!A:A,".1",BOM!B:B,"262-002200-000")</f>
        <v>0</v>
      </c>
      <c r="AG1462">
        <f>sumifs(BOM!ag:ag,BOM!A:A,".1",BOM!B:B,"262-002200-000")</f>
        <v>0</v>
      </c>
      <c r="AH1462">
        <f>sumifs(BOM!ah:ah,BOM!A:A,".1",BOM!B:B,"262-002200-000")</f>
        <v>0</v>
      </c>
      <c r="AI1462">
        <f>sumifs(BOM!ai:ai,BOM!A:A,".1",BOM!B:B,"262-002200-000")</f>
        <v>0</v>
      </c>
      <c r="AJ1462">
        <f>sumifs(BOM!aj:aj,BOM!A:A,".1",BOM!B:B,"262-002200-000")</f>
        <v>0</v>
      </c>
      <c r="AK1462">
        <f>sumifs(BOM!ak:ak,BOM!A:A,".1",BOM!B:B,"262-002200-000")</f>
        <v>0</v>
      </c>
      <c r="AL1462">
        <f>sumifs(BOM!al:al,BOM!A:A,".1",BOM!B:B,"262-002200-000")</f>
        <v>0</v>
      </c>
      <c r="AM1462">
        <f>sumifs(BOM!am:am,BOM!A:A,".1",BOM!B:B,"262-002200-000")</f>
        <v>0</v>
      </c>
      <c r="AN1462">
        <f>sumifs(BOM!an:an,BOM!A:A,".1",BOM!B:B,"262-002200-000")</f>
        <v>0</v>
      </c>
      <c r="AO1462">
        <f>sumifs(BOM!ao:ao,BOM!A:A,".1",BOM!B:B,"262-002200-000")</f>
        <v>0</v>
      </c>
      <c r="AP1462">
        <f>sumifs(BOM!ap:ap,BOM!A:A,".1",BOM!B:B,"262-002200-000")</f>
        <v>0</v>
      </c>
      <c r="AQ1462">
        <f>sumifs(BOM!aq:aq,BOM!A:A,".1",BOM!B:B,"262-002200-000")</f>
        <v>0</v>
      </c>
      <c r="AR1462">
        <f>sumifs(BOM!ar:ar,BOM!A:A,".1",BOM!B:B,"262-002200-000")</f>
        <v>0</v>
      </c>
      <c r="BX1462">
        <f>sum(j1462:an1462)</f>
        <v>0</v>
      </c>
    </row>
    <row r="1463" spans="1:76">
      <c r="A1463" t="s">
        <v>31</v>
      </c>
      <c r="B1463" t="s">
        <v>597</v>
      </c>
      <c r="C1463" t="s">
        <v>598</v>
      </c>
      <c r="F1463" t="s">
        <v>596</v>
      </c>
      <c r="K1463" t="s">
        <v>590</v>
      </c>
      <c r="L1463" t="s">
        <v>37</v>
      </c>
    </row>
    <row r="1464" spans="1:76">
      <c r="L1464" t="s">
        <v>662</v>
      </c>
    </row>
    <row r="1465" spans="1:76">
      <c r="L1465" t="s">
        <v>663</v>
      </c>
    </row>
    <row r="1466" spans="1:76">
      <c r="L1466" t="s">
        <v>664</v>
      </c>
    </row>
    <row r="1467" spans="1:76">
      <c r="L1467" t="s">
        <v>665</v>
      </c>
      <c r="M1467">
        <f>IF(DAY(NOW())&lt;M3,INDIRECT(ADDRESS(1467,7))-INDIRECT(ADDRESS(1462,13))+INDIRECT(ADDRESS(1463,13))-INDIRECT(ADDRESS(1466,13)),INDIRECT(ADDRESS(1467,7))-INDIRECT(ADDRESS(1462,13))+INDIRECT(ADDRESS(1465,13))-INDIRECT(ADDRESS(1466,13)))</f>
        <v>0</v>
      </c>
      <c r="N1467">
        <f>IF(DAY(NOW())&lt;M3,INDIRECT(ADDRESS(1467,13))-INDIRECT(ADDRESS(1462,14))+INDIRECT(ADDRESS(1463,14))-INDIRECT(ADDRESS(1466,14)),INDIRECT(ADDRESS(1467,13))-INDIRECT(ADDRESS(1462,14))+INDIRECT(ADDRESS(1465,14))-INDIRECT(ADDRESS(1466,14)))</f>
        <v>0</v>
      </c>
      <c r="O1467">
        <f>IF(DAY(NOW())&lt;M3,INDIRECT(ADDRESS(1467,14))-INDIRECT(ADDRESS(1462,15))+INDIRECT(ADDRESS(1463,15))-INDIRECT(ADDRESS(1466,15)),INDIRECT(ADDRESS(1467,14))-INDIRECT(ADDRESS(1462,15))+INDIRECT(ADDRESS(1465,15))-INDIRECT(ADDRESS(1466,15)))</f>
        <v>0</v>
      </c>
      <c r="P1467">
        <f>IF(DAY(NOW())&lt;M3,INDIRECT(ADDRESS(1467,15))-INDIRECT(ADDRESS(1462,16))+INDIRECT(ADDRESS(1463,16))-INDIRECT(ADDRESS(1466,16)),INDIRECT(ADDRESS(1467,15))-INDIRECT(ADDRESS(1462,16))+INDIRECT(ADDRESS(1465,16))-INDIRECT(ADDRESS(1466,16)))</f>
        <v>0</v>
      </c>
      <c r="Q1467">
        <f>IF(DAY(NOW())&lt;M3,INDIRECT(ADDRESS(1467,16))-INDIRECT(ADDRESS(1462,17))+INDIRECT(ADDRESS(1463,17))-INDIRECT(ADDRESS(1466,17)),INDIRECT(ADDRESS(1467,16))-INDIRECT(ADDRESS(1462,17))+INDIRECT(ADDRESS(1465,17))-INDIRECT(ADDRESS(1466,17)))</f>
        <v>0</v>
      </c>
      <c r="R1467">
        <f>IF(DAY(NOW())&lt;M3,INDIRECT(ADDRESS(1467,17))-INDIRECT(ADDRESS(1462,18))+INDIRECT(ADDRESS(1463,18))-INDIRECT(ADDRESS(1466,18)),INDIRECT(ADDRESS(1467,17))-INDIRECT(ADDRESS(1462,18))+INDIRECT(ADDRESS(1465,18))-INDIRECT(ADDRESS(1466,18)))</f>
        <v>0</v>
      </c>
      <c r="S1467">
        <f>IF(DAY(NOW())&lt;M3,INDIRECT(ADDRESS(1467,18))-INDIRECT(ADDRESS(1462,19))+INDIRECT(ADDRESS(1463,19))-INDIRECT(ADDRESS(1466,19)),INDIRECT(ADDRESS(1467,18))-INDIRECT(ADDRESS(1462,19))+INDIRECT(ADDRESS(1465,19))-INDIRECT(ADDRESS(1466,19)))</f>
        <v>0</v>
      </c>
      <c r="T1467">
        <f>IF(DAY(NOW())&lt;M3,INDIRECT(ADDRESS(1467,19))-INDIRECT(ADDRESS(1462,20))+INDIRECT(ADDRESS(1463,20))-INDIRECT(ADDRESS(1466,20)),INDIRECT(ADDRESS(1467,19))-INDIRECT(ADDRESS(1462,20))+INDIRECT(ADDRESS(1465,20))-INDIRECT(ADDRESS(1466,20)))</f>
        <v>0</v>
      </c>
      <c r="U1467">
        <f>IF(DAY(NOW())&lt;M3,INDIRECT(ADDRESS(1467,20))-INDIRECT(ADDRESS(1462,21))+INDIRECT(ADDRESS(1463,21))-INDIRECT(ADDRESS(1466,21)),INDIRECT(ADDRESS(1467,20))-INDIRECT(ADDRESS(1462,21))+INDIRECT(ADDRESS(1465,21))-INDIRECT(ADDRESS(1466,21)))</f>
        <v>0</v>
      </c>
      <c r="V1467">
        <f>IF(DAY(NOW())&lt;M3,INDIRECT(ADDRESS(1467,21))-INDIRECT(ADDRESS(1462,22))+INDIRECT(ADDRESS(1463,22))-INDIRECT(ADDRESS(1466,22)),INDIRECT(ADDRESS(1467,21))-INDIRECT(ADDRESS(1462,22))+INDIRECT(ADDRESS(1465,22))-INDIRECT(ADDRESS(1466,22)))</f>
        <v>0</v>
      </c>
      <c r="W1467">
        <f>IF(DAY(NOW())&lt;M3,INDIRECT(ADDRESS(1467,22))-INDIRECT(ADDRESS(1462,23))+INDIRECT(ADDRESS(1463,23))-INDIRECT(ADDRESS(1466,23)),INDIRECT(ADDRESS(1467,22))-INDIRECT(ADDRESS(1462,23))+INDIRECT(ADDRESS(1465,23))-INDIRECT(ADDRESS(1466,23)))</f>
        <v>0</v>
      </c>
      <c r="X1467">
        <f>IF(DAY(NOW())&lt;M3,INDIRECT(ADDRESS(1467,23))-INDIRECT(ADDRESS(1462,24))+INDIRECT(ADDRESS(1463,24))-INDIRECT(ADDRESS(1466,24)),INDIRECT(ADDRESS(1467,23))-INDIRECT(ADDRESS(1462,24))+INDIRECT(ADDRESS(1465,24))-INDIRECT(ADDRESS(1466,24)))</f>
        <v>0</v>
      </c>
      <c r="Y1467">
        <f>IF(DAY(NOW())&lt;M3,INDIRECT(ADDRESS(1467,24))-INDIRECT(ADDRESS(1462,25))+INDIRECT(ADDRESS(1463,25))-INDIRECT(ADDRESS(1466,25)),INDIRECT(ADDRESS(1467,24))-INDIRECT(ADDRESS(1462,25))+INDIRECT(ADDRESS(1465,25))-INDIRECT(ADDRESS(1466,25)))</f>
        <v>0</v>
      </c>
      <c r="Z1467">
        <f>IF(DAY(NOW())&lt;M3,INDIRECT(ADDRESS(1467,25))-INDIRECT(ADDRESS(1462,26))+INDIRECT(ADDRESS(1463,26))-INDIRECT(ADDRESS(1466,26)),INDIRECT(ADDRESS(1467,25))-INDIRECT(ADDRESS(1462,26))+INDIRECT(ADDRESS(1465,26))-INDIRECT(ADDRESS(1466,26)))</f>
        <v>0</v>
      </c>
      <c r="AA1467">
        <f>IF(DAY(NOW())&lt;M3,INDIRECT(ADDRESS(1467,26))-INDIRECT(ADDRESS(1462,27))+INDIRECT(ADDRESS(1463,27))-INDIRECT(ADDRESS(1466,27)),INDIRECT(ADDRESS(1467,26))-INDIRECT(ADDRESS(1462,27))+INDIRECT(ADDRESS(1465,27))-INDIRECT(ADDRESS(1466,27)))</f>
        <v>0</v>
      </c>
      <c r="AB1467">
        <f>IF(DAY(NOW())&lt;M3,INDIRECT(ADDRESS(1467,27))-INDIRECT(ADDRESS(1462,28))+INDIRECT(ADDRESS(1463,28))-INDIRECT(ADDRESS(1466,28)),INDIRECT(ADDRESS(1467,27))-INDIRECT(ADDRESS(1462,28))+INDIRECT(ADDRESS(1465,28))-INDIRECT(ADDRESS(1466,28)))</f>
        <v>0</v>
      </c>
      <c r="AC1467">
        <f>IF(DAY(NOW())&lt;M3,INDIRECT(ADDRESS(1467,28))-INDIRECT(ADDRESS(1462,29))+INDIRECT(ADDRESS(1463,29))-INDIRECT(ADDRESS(1466,29)),INDIRECT(ADDRESS(1467,28))-INDIRECT(ADDRESS(1462,29))+INDIRECT(ADDRESS(1465,29))-INDIRECT(ADDRESS(1466,29)))</f>
        <v>0</v>
      </c>
      <c r="AD1467">
        <f>IF(DAY(NOW())&lt;M3,INDIRECT(ADDRESS(1467,29))-INDIRECT(ADDRESS(1462,30))+INDIRECT(ADDRESS(1463,30))-INDIRECT(ADDRESS(1466,30)),INDIRECT(ADDRESS(1467,29))-INDIRECT(ADDRESS(1462,30))+INDIRECT(ADDRESS(1465,30))-INDIRECT(ADDRESS(1466,30)))</f>
        <v>0</v>
      </c>
      <c r="AE1467">
        <f>IF(DAY(NOW())&lt;M3,INDIRECT(ADDRESS(1467,30))-INDIRECT(ADDRESS(1462,31))+INDIRECT(ADDRESS(1463,31))-INDIRECT(ADDRESS(1466,31)),INDIRECT(ADDRESS(1467,30))-INDIRECT(ADDRESS(1462,31))+INDIRECT(ADDRESS(1465,31))-INDIRECT(ADDRESS(1466,31)))</f>
        <v>0</v>
      </c>
      <c r="AF1467">
        <f>IF(DAY(NOW())&lt;M3,INDIRECT(ADDRESS(1467,31))-INDIRECT(ADDRESS(1462,32))+INDIRECT(ADDRESS(1463,32))-INDIRECT(ADDRESS(1466,32)),INDIRECT(ADDRESS(1467,31))-INDIRECT(ADDRESS(1462,32))+INDIRECT(ADDRESS(1465,32))-INDIRECT(ADDRESS(1466,32)))</f>
        <v>0</v>
      </c>
      <c r="AG1467">
        <f>IF(DAY(NOW())&lt;M3,INDIRECT(ADDRESS(1467,32))-INDIRECT(ADDRESS(1462,33))+INDIRECT(ADDRESS(1463,33))-INDIRECT(ADDRESS(1466,33)),INDIRECT(ADDRESS(1467,32))-INDIRECT(ADDRESS(1462,33))+INDIRECT(ADDRESS(1465,33))-INDIRECT(ADDRESS(1466,33)))</f>
        <v>0</v>
      </c>
      <c r="AH1467">
        <f>IF(DAY(NOW())&lt;M3,INDIRECT(ADDRESS(1467,33))-INDIRECT(ADDRESS(1462,34))+INDIRECT(ADDRESS(1463,34))-INDIRECT(ADDRESS(1466,34)),INDIRECT(ADDRESS(1467,33))-INDIRECT(ADDRESS(1462,34))+INDIRECT(ADDRESS(1465,34))-INDIRECT(ADDRESS(1466,34)))</f>
        <v>0</v>
      </c>
      <c r="AI1467">
        <f>IF(DAY(NOW())&lt;M3,INDIRECT(ADDRESS(1467,34))-INDIRECT(ADDRESS(1462,35))+INDIRECT(ADDRESS(1463,35))-INDIRECT(ADDRESS(1466,35)),INDIRECT(ADDRESS(1467,34))-INDIRECT(ADDRESS(1462,35))+INDIRECT(ADDRESS(1465,35))-INDIRECT(ADDRESS(1466,35)))</f>
        <v>0</v>
      </c>
      <c r="AJ1467">
        <f>IF(DAY(NOW())&lt;M3,INDIRECT(ADDRESS(1467,35))-INDIRECT(ADDRESS(1462,36))+INDIRECT(ADDRESS(1463,36))-INDIRECT(ADDRESS(1466,36)),INDIRECT(ADDRESS(1467,35))-INDIRECT(ADDRESS(1462,36))+INDIRECT(ADDRESS(1465,36))-INDIRECT(ADDRESS(1466,36)))</f>
        <v>0</v>
      </c>
      <c r="AK1467">
        <f>IF(DAY(NOW())&lt;M3,INDIRECT(ADDRESS(1467,36))-INDIRECT(ADDRESS(1462,37))+INDIRECT(ADDRESS(1463,37))-INDIRECT(ADDRESS(1466,37)),INDIRECT(ADDRESS(1467,36))-INDIRECT(ADDRESS(1462,37))+INDIRECT(ADDRESS(1465,37))-INDIRECT(ADDRESS(1466,37)))</f>
        <v>0</v>
      </c>
      <c r="AL1467">
        <f>IF(DAY(NOW())&lt;M3,INDIRECT(ADDRESS(1467,37))-INDIRECT(ADDRESS(1462,38))+INDIRECT(ADDRESS(1463,38))-INDIRECT(ADDRESS(1466,38)),INDIRECT(ADDRESS(1467,37))-INDIRECT(ADDRESS(1462,38))+INDIRECT(ADDRESS(1465,38))-INDIRECT(ADDRESS(1466,38)))</f>
        <v>0</v>
      </c>
      <c r="AM1467">
        <f>IF(DAY(NOW())&lt;M3,INDIRECT(ADDRESS(1467,38))-INDIRECT(ADDRESS(1462,39))+INDIRECT(ADDRESS(1463,39))-INDIRECT(ADDRESS(1466,39)),INDIRECT(ADDRESS(1467,38))-INDIRECT(ADDRESS(1462,39))+INDIRECT(ADDRESS(1465,39))-INDIRECT(ADDRESS(1466,39)))</f>
        <v>0</v>
      </c>
      <c r="AN1467">
        <f>IF(DAY(NOW())&lt;M3,INDIRECT(ADDRESS(1467,39))-INDIRECT(ADDRESS(1462,40))+INDIRECT(ADDRESS(1463,40))-INDIRECT(ADDRESS(1466,40)),INDIRECT(ADDRESS(1467,39))-INDIRECT(ADDRESS(1462,40))+INDIRECT(ADDRESS(1465,40))-INDIRECT(ADDRESS(1466,40)))</f>
        <v>0</v>
      </c>
      <c r="AO1467">
        <f>IF(DAY(NOW())&lt;M3,INDIRECT(ADDRESS(1467,40))-INDIRECT(ADDRESS(1462,41))+INDIRECT(ADDRESS(1463,41))-INDIRECT(ADDRESS(1466,41)),INDIRECT(ADDRESS(1467,40))-INDIRECT(ADDRESS(1462,41))+INDIRECT(ADDRESS(1465,41))-INDIRECT(ADDRESS(1466,41)))</f>
        <v>0</v>
      </c>
      <c r="AP1467">
        <f>IF(DAY(NOW())&lt;M3,INDIRECT(ADDRESS(1467,41))-INDIRECT(ADDRESS(1462,42))+INDIRECT(ADDRESS(1463,42))-INDIRECT(ADDRESS(1466,42)),INDIRECT(ADDRESS(1467,41))-INDIRECT(ADDRESS(1462,42))+INDIRECT(ADDRESS(1465,42))-INDIRECT(ADDRESS(1466,42)))</f>
        <v>0</v>
      </c>
      <c r="AQ1467">
        <f>IF(DAY(NOW())&lt;M3,INDIRECT(ADDRESS(1467,42))-INDIRECT(ADDRESS(1462,43))+INDIRECT(ADDRESS(1463,43))-INDIRECT(ADDRESS(1466,43)),INDIRECT(ADDRESS(1467,42))-INDIRECT(ADDRESS(1462,43))+INDIRECT(ADDRESS(1465,43))-INDIRECT(ADDRESS(1466,43)))</f>
        <v>0</v>
      </c>
      <c r="AR1467">
        <f>IF(DAY(NOW())&lt;M3,INDIRECT(ADDRESS(1467,43))-INDIRECT(ADDRESS(1462,44))+INDIRECT(ADDRESS(1463,44))-INDIRECT(ADDRESS(1466,44)),INDIRECT(ADDRESS(1467,43))-INDIRECT(ADDRESS(1462,44))+INDIRECT(ADDRESS(1465,44))-INDIRECT(ADDRESS(1466,44)))</f>
        <v>0</v>
      </c>
    </row>
    <row r="1468" spans="1:76">
      <c r="A1468" t="s">
        <v>31</v>
      </c>
      <c r="B1468" t="s">
        <v>597</v>
      </c>
      <c r="C1468" t="s">
        <v>598</v>
      </c>
      <c r="E1468">
        <v>1</v>
      </c>
      <c r="F1468" t="s">
        <v>529</v>
      </c>
      <c r="K1468" t="s">
        <v>590</v>
      </c>
      <c r="L1468" t="s">
        <v>21</v>
      </c>
      <c r="M1468">
        <f>sumifs(BOM!m:m,BOM!A:A,".1",BOM!B:B,"262-002200-000")</f>
        <v>0</v>
      </c>
      <c r="N1468">
        <f>sumifs(BOM!n:n,BOM!A:A,".1",BOM!B:B,"262-002200-000")</f>
        <v>0</v>
      </c>
      <c r="O1468">
        <f>sumifs(BOM!o:o,BOM!A:A,".1",BOM!B:B,"262-002200-000")</f>
        <v>0</v>
      </c>
      <c r="P1468">
        <f>sumifs(BOM!p:p,BOM!A:A,".1",BOM!B:B,"262-002200-000")</f>
        <v>0</v>
      </c>
      <c r="Q1468">
        <f>sumifs(BOM!q:q,BOM!A:A,".1",BOM!B:B,"262-002200-000")</f>
        <v>0</v>
      </c>
      <c r="R1468">
        <f>sumifs(BOM!r:r,BOM!A:A,".1",BOM!B:B,"262-002200-000")</f>
        <v>0</v>
      </c>
      <c r="S1468">
        <f>sumifs(BOM!s:s,BOM!A:A,".1",BOM!B:B,"262-002200-000")</f>
        <v>0</v>
      </c>
      <c r="T1468">
        <f>sumifs(BOM!t:t,BOM!A:A,".1",BOM!B:B,"262-002200-000")</f>
        <v>0</v>
      </c>
      <c r="U1468">
        <f>sumifs(BOM!u:u,BOM!A:A,".1",BOM!B:B,"262-002200-000")</f>
        <v>0</v>
      </c>
      <c r="V1468">
        <f>sumifs(BOM!v:v,BOM!A:A,".1",BOM!B:B,"262-002200-000")</f>
        <v>0</v>
      </c>
      <c r="W1468">
        <f>sumifs(BOM!w:w,BOM!A:A,".1",BOM!B:B,"262-002200-000")</f>
        <v>0</v>
      </c>
      <c r="X1468">
        <f>sumifs(BOM!x:x,BOM!A:A,".1",BOM!B:B,"262-002200-000")</f>
        <v>0</v>
      </c>
      <c r="Y1468">
        <f>sumifs(BOM!y:y,BOM!A:A,".1",BOM!B:B,"262-002200-000")</f>
        <v>0</v>
      </c>
      <c r="Z1468">
        <f>sumifs(BOM!z:z,BOM!A:A,".1",BOM!B:B,"262-002200-000")</f>
        <v>0</v>
      </c>
      <c r="AA1468">
        <f>sumifs(BOM!aa:aa,BOM!A:A,".1",BOM!B:B,"262-002200-000")</f>
        <v>0</v>
      </c>
      <c r="AB1468">
        <f>sumifs(BOM!ab:ab,BOM!A:A,".1",BOM!B:B,"262-002200-000")</f>
        <v>0</v>
      </c>
      <c r="AC1468">
        <f>sumifs(BOM!ac:ac,BOM!A:A,".1",BOM!B:B,"262-002200-000")</f>
        <v>0</v>
      </c>
      <c r="AD1468">
        <f>sumifs(BOM!ad:ad,BOM!A:A,".1",BOM!B:B,"262-002200-000")</f>
        <v>0</v>
      </c>
      <c r="AE1468">
        <f>sumifs(BOM!ae:ae,BOM!A:A,".1",BOM!B:B,"262-002200-000")</f>
        <v>0</v>
      </c>
      <c r="AF1468">
        <f>sumifs(BOM!af:af,BOM!A:A,".1",BOM!B:B,"262-002200-000")</f>
        <v>0</v>
      </c>
      <c r="AG1468">
        <f>sumifs(BOM!ag:ag,BOM!A:A,".1",BOM!B:B,"262-002200-000")</f>
        <v>0</v>
      </c>
      <c r="AH1468">
        <f>sumifs(BOM!ah:ah,BOM!A:A,".1",BOM!B:B,"262-002200-000")</f>
        <v>0</v>
      </c>
      <c r="AI1468">
        <f>sumifs(BOM!ai:ai,BOM!A:A,".1",BOM!B:B,"262-002200-000")</f>
        <v>0</v>
      </c>
      <c r="AJ1468">
        <f>sumifs(BOM!aj:aj,BOM!A:A,".1",BOM!B:B,"262-002200-000")</f>
        <v>0</v>
      </c>
      <c r="AK1468">
        <f>sumifs(BOM!ak:ak,BOM!A:A,".1",BOM!B:B,"262-002200-000")</f>
        <v>0</v>
      </c>
      <c r="AL1468">
        <f>sumifs(BOM!al:al,BOM!A:A,".1",BOM!B:B,"262-002200-000")</f>
        <v>0</v>
      </c>
      <c r="AM1468">
        <f>sumifs(BOM!am:am,BOM!A:A,".1",BOM!B:B,"262-002200-000")</f>
        <v>0</v>
      </c>
      <c r="AN1468">
        <f>sumifs(BOM!an:an,BOM!A:A,".1",BOM!B:B,"262-002200-000")</f>
        <v>0</v>
      </c>
      <c r="AO1468">
        <f>sumifs(BOM!ao:ao,BOM!A:A,".1",BOM!B:B,"262-002200-000")</f>
        <v>0</v>
      </c>
      <c r="AP1468">
        <f>sumifs(BOM!ap:ap,BOM!A:A,".1",BOM!B:B,"262-002200-000")</f>
        <v>0</v>
      </c>
      <c r="AQ1468">
        <f>sumifs(BOM!aq:aq,BOM!A:A,".1",BOM!B:B,"262-002200-000")</f>
        <v>0</v>
      </c>
      <c r="AR1468">
        <f>sumifs(BOM!ar:ar,BOM!A:A,".1",BOM!B:B,"262-002200-000")</f>
        <v>0</v>
      </c>
      <c r="BX1468">
        <f>sum(j1468:an1468)</f>
        <v>0</v>
      </c>
    </row>
    <row r="1469" spans="1:76">
      <c r="A1469" t="s">
        <v>31</v>
      </c>
      <c r="B1469" t="s">
        <v>597</v>
      </c>
      <c r="C1469" t="s">
        <v>598</v>
      </c>
      <c r="E1469">
        <v>1</v>
      </c>
      <c r="F1469" t="s">
        <v>529</v>
      </c>
      <c r="K1469" t="s">
        <v>590</v>
      </c>
      <c r="L1469" t="s">
        <v>37</v>
      </c>
    </row>
    <row r="1470" spans="1:76">
      <c r="L1470" t="s">
        <v>662</v>
      </c>
    </row>
    <row r="1471" spans="1:76">
      <c r="L1471" t="s">
        <v>663</v>
      </c>
    </row>
    <row r="1472" spans="1:76">
      <c r="L1472" t="s">
        <v>664</v>
      </c>
    </row>
    <row r="1473" spans="1:76">
      <c r="L1473" t="s">
        <v>665</v>
      </c>
      <c r="M1473">
        <f>IF(DAY(NOW())&lt;M3,INDIRECT(ADDRESS(1473,7))-INDIRECT(ADDRESS(1468,13))+INDIRECT(ADDRESS(1469,13))-INDIRECT(ADDRESS(1472,13)),INDIRECT(ADDRESS(1473,7))-INDIRECT(ADDRESS(1468,13))+INDIRECT(ADDRESS(1471,13))-INDIRECT(ADDRESS(1472,13)))</f>
        <v>0</v>
      </c>
      <c r="N1473">
        <f>IF(DAY(NOW())&lt;M3,INDIRECT(ADDRESS(1473,13))-INDIRECT(ADDRESS(1468,14))+INDIRECT(ADDRESS(1469,14))-INDIRECT(ADDRESS(1472,14)),INDIRECT(ADDRESS(1473,13))-INDIRECT(ADDRESS(1468,14))+INDIRECT(ADDRESS(1471,14))-INDIRECT(ADDRESS(1472,14)))</f>
        <v>0</v>
      </c>
      <c r="O1473">
        <f>IF(DAY(NOW())&lt;M3,INDIRECT(ADDRESS(1473,14))-INDIRECT(ADDRESS(1468,15))+INDIRECT(ADDRESS(1469,15))-INDIRECT(ADDRESS(1472,15)),INDIRECT(ADDRESS(1473,14))-INDIRECT(ADDRESS(1468,15))+INDIRECT(ADDRESS(1471,15))-INDIRECT(ADDRESS(1472,15)))</f>
        <v>0</v>
      </c>
      <c r="P1473">
        <f>IF(DAY(NOW())&lt;M3,INDIRECT(ADDRESS(1473,15))-INDIRECT(ADDRESS(1468,16))+INDIRECT(ADDRESS(1469,16))-INDIRECT(ADDRESS(1472,16)),INDIRECT(ADDRESS(1473,15))-INDIRECT(ADDRESS(1468,16))+INDIRECT(ADDRESS(1471,16))-INDIRECT(ADDRESS(1472,16)))</f>
        <v>0</v>
      </c>
      <c r="Q1473">
        <f>IF(DAY(NOW())&lt;M3,INDIRECT(ADDRESS(1473,16))-INDIRECT(ADDRESS(1468,17))+INDIRECT(ADDRESS(1469,17))-INDIRECT(ADDRESS(1472,17)),INDIRECT(ADDRESS(1473,16))-INDIRECT(ADDRESS(1468,17))+INDIRECT(ADDRESS(1471,17))-INDIRECT(ADDRESS(1472,17)))</f>
        <v>0</v>
      </c>
      <c r="R1473">
        <f>IF(DAY(NOW())&lt;M3,INDIRECT(ADDRESS(1473,17))-INDIRECT(ADDRESS(1468,18))+INDIRECT(ADDRESS(1469,18))-INDIRECT(ADDRESS(1472,18)),INDIRECT(ADDRESS(1473,17))-INDIRECT(ADDRESS(1468,18))+INDIRECT(ADDRESS(1471,18))-INDIRECT(ADDRESS(1472,18)))</f>
        <v>0</v>
      </c>
      <c r="S1473">
        <f>IF(DAY(NOW())&lt;M3,INDIRECT(ADDRESS(1473,18))-INDIRECT(ADDRESS(1468,19))+INDIRECT(ADDRESS(1469,19))-INDIRECT(ADDRESS(1472,19)),INDIRECT(ADDRESS(1473,18))-INDIRECT(ADDRESS(1468,19))+INDIRECT(ADDRESS(1471,19))-INDIRECT(ADDRESS(1472,19)))</f>
        <v>0</v>
      </c>
      <c r="T1473">
        <f>IF(DAY(NOW())&lt;M3,INDIRECT(ADDRESS(1473,19))-INDIRECT(ADDRESS(1468,20))+INDIRECT(ADDRESS(1469,20))-INDIRECT(ADDRESS(1472,20)),INDIRECT(ADDRESS(1473,19))-INDIRECT(ADDRESS(1468,20))+INDIRECT(ADDRESS(1471,20))-INDIRECT(ADDRESS(1472,20)))</f>
        <v>0</v>
      </c>
      <c r="U1473">
        <f>IF(DAY(NOW())&lt;M3,INDIRECT(ADDRESS(1473,20))-INDIRECT(ADDRESS(1468,21))+INDIRECT(ADDRESS(1469,21))-INDIRECT(ADDRESS(1472,21)),INDIRECT(ADDRESS(1473,20))-INDIRECT(ADDRESS(1468,21))+INDIRECT(ADDRESS(1471,21))-INDIRECT(ADDRESS(1472,21)))</f>
        <v>0</v>
      </c>
      <c r="V1473">
        <f>IF(DAY(NOW())&lt;M3,INDIRECT(ADDRESS(1473,21))-INDIRECT(ADDRESS(1468,22))+INDIRECT(ADDRESS(1469,22))-INDIRECT(ADDRESS(1472,22)),INDIRECT(ADDRESS(1473,21))-INDIRECT(ADDRESS(1468,22))+INDIRECT(ADDRESS(1471,22))-INDIRECT(ADDRESS(1472,22)))</f>
        <v>0</v>
      </c>
      <c r="W1473">
        <f>IF(DAY(NOW())&lt;M3,INDIRECT(ADDRESS(1473,22))-INDIRECT(ADDRESS(1468,23))+INDIRECT(ADDRESS(1469,23))-INDIRECT(ADDRESS(1472,23)),INDIRECT(ADDRESS(1473,22))-INDIRECT(ADDRESS(1468,23))+INDIRECT(ADDRESS(1471,23))-INDIRECT(ADDRESS(1472,23)))</f>
        <v>0</v>
      </c>
      <c r="X1473">
        <f>IF(DAY(NOW())&lt;M3,INDIRECT(ADDRESS(1473,23))-INDIRECT(ADDRESS(1468,24))+INDIRECT(ADDRESS(1469,24))-INDIRECT(ADDRESS(1472,24)),INDIRECT(ADDRESS(1473,23))-INDIRECT(ADDRESS(1468,24))+INDIRECT(ADDRESS(1471,24))-INDIRECT(ADDRESS(1472,24)))</f>
        <v>0</v>
      </c>
      <c r="Y1473">
        <f>IF(DAY(NOW())&lt;M3,INDIRECT(ADDRESS(1473,24))-INDIRECT(ADDRESS(1468,25))+INDIRECT(ADDRESS(1469,25))-INDIRECT(ADDRESS(1472,25)),INDIRECT(ADDRESS(1473,24))-INDIRECT(ADDRESS(1468,25))+INDIRECT(ADDRESS(1471,25))-INDIRECT(ADDRESS(1472,25)))</f>
        <v>0</v>
      </c>
      <c r="Z1473">
        <f>IF(DAY(NOW())&lt;M3,INDIRECT(ADDRESS(1473,25))-INDIRECT(ADDRESS(1468,26))+INDIRECT(ADDRESS(1469,26))-INDIRECT(ADDRESS(1472,26)),INDIRECT(ADDRESS(1473,25))-INDIRECT(ADDRESS(1468,26))+INDIRECT(ADDRESS(1471,26))-INDIRECT(ADDRESS(1472,26)))</f>
        <v>0</v>
      </c>
      <c r="AA1473">
        <f>IF(DAY(NOW())&lt;M3,INDIRECT(ADDRESS(1473,26))-INDIRECT(ADDRESS(1468,27))+INDIRECT(ADDRESS(1469,27))-INDIRECT(ADDRESS(1472,27)),INDIRECT(ADDRESS(1473,26))-INDIRECT(ADDRESS(1468,27))+INDIRECT(ADDRESS(1471,27))-INDIRECT(ADDRESS(1472,27)))</f>
        <v>0</v>
      </c>
      <c r="AB1473">
        <f>IF(DAY(NOW())&lt;M3,INDIRECT(ADDRESS(1473,27))-INDIRECT(ADDRESS(1468,28))+INDIRECT(ADDRESS(1469,28))-INDIRECT(ADDRESS(1472,28)),INDIRECT(ADDRESS(1473,27))-INDIRECT(ADDRESS(1468,28))+INDIRECT(ADDRESS(1471,28))-INDIRECT(ADDRESS(1472,28)))</f>
        <v>0</v>
      </c>
      <c r="AC1473">
        <f>IF(DAY(NOW())&lt;M3,INDIRECT(ADDRESS(1473,28))-INDIRECT(ADDRESS(1468,29))+INDIRECT(ADDRESS(1469,29))-INDIRECT(ADDRESS(1472,29)),INDIRECT(ADDRESS(1473,28))-INDIRECT(ADDRESS(1468,29))+INDIRECT(ADDRESS(1471,29))-INDIRECT(ADDRESS(1472,29)))</f>
        <v>0</v>
      </c>
      <c r="AD1473">
        <f>IF(DAY(NOW())&lt;M3,INDIRECT(ADDRESS(1473,29))-INDIRECT(ADDRESS(1468,30))+INDIRECT(ADDRESS(1469,30))-INDIRECT(ADDRESS(1472,30)),INDIRECT(ADDRESS(1473,29))-INDIRECT(ADDRESS(1468,30))+INDIRECT(ADDRESS(1471,30))-INDIRECT(ADDRESS(1472,30)))</f>
        <v>0</v>
      </c>
      <c r="AE1473">
        <f>IF(DAY(NOW())&lt;M3,INDIRECT(ADDRESS(1473,30))-INDIRECT(ADDRESS(1468,31))+INDIRECT(ADDRESS(1469,31))-INDIRECT(ADDRESS(1472,31)),INDIRECT(ADDRESS(1473,30))-INDIRECT(ADDRESS(1468,31))+INDIRECT(ADDRESS(1471,31))-INDIRECT(ADDRESS(1472,31)))</f>
        <v>0</v>
      </c>
      <c r="AF1473">
        <f>IF(DAY(NOW())&lt;M3,INDIRECT(ADDRESS(1473,31))-INDIRECT(ADDRESS(1468,32))+INDIRECT(ADDRESS(1469,32))-INDIRECT(ADDRESS(1472,32)),INDIRECT(ADDRESS(1473,31))-INDIRECT(ADDRESS(1468,32))+INDIRECT(ADDRESS(1471,32))-INDIRECT(ADDRESS(1472,32)))</f>
        <v>0</v>
      </c>
      <c r="AG1473">
        <f>IF(DAY(NOW())&lt;M3,INDIRECT(ADDRESS(1473,32))-INDIRECT(ADDRESS(1468,33))+INDIRECT(ADDRESS(1469,33))-INDIRECT(ADDRESS(1472,33)),INDIRECT(ADDRESS(1473,32))-INDIRECT(ADDRESS(1468,33))+INDIRECT(ADDRESS(1471,33))-INDIRECT(ADDRESS(1472,33)))</f>
        <v>0</v>
      </c>
      <c r="AH1473">
        <f>IF(DAY(NOW())&lt;M3,INDIRECT(ADDRESS(1473,33))-INDIRECT(ADDRESS(1468,34))+INDIRECT(ADDRESS(1469,34))-INDIRECT(ADDRESS(1472,34)),INDIRECT(ADDRESS(1473,33))-INDIRECT(ADDRESS(1468,34))+INDIRECT(ADDRESS(1471,34))-INDIRECT(ADDRESS(1472,34)))</f>
        <v>0</v>
      </c>
      <c r="AI1473">
        <f>IF(DAY(NOW())&lt;M3,INDIRECT(ADDRESS(1473,34))-INDIRECT(ADDRESS(1468,35))+INDIRECT(ADDRESS(1469,35))-INDIRECT(ADDRESS(1472,35)),INDIRECT(ADDRESS(1473,34))-INDIRECT(ADDRESS(1468,35))+INDIRECT(ADDRESS(1471,35))-INDIRECT(ADDRESS(1472,35)))</f>
        <v>0</v>
      </c>
      <c r="AJ1473">
        <f>IF(DAY(NOW())&lt;M3,INDIRECT(ADDRESS(1473,35))-INDIRECT(ADDRESS(1468,36))+INDIRECT(ADDRESS(1469,36))-INDIRECT(ADDRESS(1472,36)),INDIRECT(ADDRESS(1473,35))-INDIRECT(ADDRESS(1468,36))+INDIRECT(ADDRESS(1471,36))-INDIRECT(ADDRESS(1472,36)))</f>
        <v>0</v>
      </c>
      <c r="AK1473">
        <f>IF(DAY(NOW())&lt;M3,INDIRECT(ADDRESS(1473,36))-INDIRECT(ADDRESS(1468,37))+INDIRECT(ADDRESS(1469,37))-INDIRECT(ADDRESS(1472,37)),INDIRECT(ADDRESS(1473,36))-INDIRECT(ADDRESS(1468,37))+INDIRECT(ADDRESS(1471,37))-INDIRECT(ADDRESS(1472,37)))</f>
        <v>0</v>
      </c>
      <c r="AL1473">
        <f>IF(DAY(NOW())&lt;M3,INDIRECT(ADDRESS(1473,37))-INDIRECT(ADDRESS(1468,38))+INDIRECT(ADDRESS(1469,38))-INDIRECT(ADDRESS(1472,38)),INDIRECT(ADDRESS(1473,37))-INDIRECT(ADDRESS(1468,38))+INDIRECT(ADDRESS(1471,38))-INDIRECT(ADDRESS(1472,38)))</f>
        <v>0</v>
      </c>
      <c r="AM1473">
        <f>IF(DAY(NOW())&lt;M3,INDIRECT(ADDRESS(1473,38))-INDIRECT(ADDRESS(1468,39))+INDIRECT(ADDRESS(1469,39))-INDIRECT(ADDRESS(1472,39)),INDIRECT(ADDRESS(1473,38))-INDIRECT(ADDRESS(1468,39))+INDIRECT(ADDRESS(1471,39))-INDIRECT(ADDRESS(1472,39)))</f>
        <v>0</v>
      </c>
      <c r="AN1473">
        <f>IF(DAY(NOW())&lt;M3,INDIRECT(ADDRESS(1473,39))-INDIRECT(ADDRESS(1468,40))+INDIRECT(ADDRESS(1469,40))-INDIRECT(ADDRESS(1472,40)),INDIRECT(ADDRESS(1473,39))-INDIRECT(ADDRESS(1468,40))+INDIRECT(ADDRESS(1471,40))-INDIRECT(ADDRESS(1472,40)))</f>
        <v>0</v>
      </c>
      <c r="AO1473">
        <f>IF(DAY(NOW())&lt;M3,INDIRECT(ADDRESS(1473,40))-INDIRECT(ADDRESS(1468,41))+INDIRECT(ADDRESS(1469,41))-INDIRECT(ADDRESS(1472,41)),INDIRECT(ADDRESS(1473,40))-INDIRECT(ADDRESS(1468,41))+INDIRECT(ADDRESS(1471,41))-INDIRECT(ADDRESS(1472,41)))</f>
        <v>0</v>
      </c>
      <c r="AP1473">
        <f>IF(DAY(NOW())&lt;M3,INDIRECT(ADDRESS(1473,41))-INDIRECT(ADDRESS(1468,42))+INDIRECT(ADDRESS(1469,42))-INDIRECT(ADDRESS(1472,42)),INDIRECT(ADDRESS(1473,41))-INDIRECT(ADDRESS(1468,42))+INDIRECT(ADDRESS(1471,42))-INDIRECT(ADDRESS(1472,42)))</f>
        <v>0</v>
      </c>
      <c r="AQ1473">
        <f>IF(DAY(NOW())&lt;M3,INDIRECT(ADDRESS(1473,42))-INDIRECT(ADDRESS(1468,43))+INDIRECT(ADDRESS(1469,43))-INDIRECT(ADDRESS(1472,43)),INDIRECT(ADDRESS(1473,42))-INDIRECT(ADDRESS(1468,43))+INDIRECT(ADDRESS(1471,43))-INDIRECT(ADDRESS(1472,43)))</f>
        <v>0</v>
      </c>
      <c r="AR1473">
        <f>IF(DAY(NOW())&lt;M3,INDIRECT(ADDRESS(1473,43))-INDIRECT(ADDRESS(1468,44))+INDIRECT(ADDRESS(1469,44))-INDIRECT(ADDRESS(1472,44)),INDIRECT(ADDRESS(1473,43))-INDIRECT(ADDRESS(1468,44))+INDIRECT(ADDRESS(1471,44))-INDIRECT(ADDRESS(1472,44)))</f>
        <v>0</v>
      </c>
    </row>
    <row r="1474" spans="1:76">
      <c r="A1474" t="s">
        <v>14</v>
      </c>
      <c r="B1474" t="s">
        <v>527</v>
      </c>
      <c r="C1474" t="s">
        <v>528</v>
      </c>
      <c r="D1474" t="s">
        <v>469</v>
      </c>
      <c r="F1474" t="s">
        <v>532</v>
      </c>
      <c r="K1474" t="s">
        <v>590</v>
      </c>
      <c r="L1474" t="s">
        <v>21</v>
      </c>
      <c r="BX1474">
        <f>sum(j1474:an1474)</f>
        <v>0</v>
      </c>
    </row>
    <row r="1475" spans="1:76">
      <c r="A1475" t="s">
        <v>14</v>
      </c>
      <c r="B1475" t="s">
        <v>527</v>
      </c>
      <c r="C1475" t="s">
        <v>528</v>
      </c>
      <c r="D1475" t="s">
        <v>469</v>
      </c>
      <c r="F1475" t="s">
        <v>532</v>
      </c>
      <c r="K1475" t="s">
        <v>590</v>
      </c>
      <c r="L1475" t="s">
        <v>37</v>
      </c>
    </row>
    <row r="1476" spans="1:76">
      <c r="L1476" t="s">
        <v>662</v>
      </c>
    </row>
    <row r="1477" spans="1:76">
      <c r="L1477" t="s">
        <v>663</v>
      </c>
    </row>
    <row r="1478" spans="1:76">
      <c r="L1478" t="s">
        <v>664</v>
      </c>
    </row>
    <row r="1479" spans="1:76">
      <c r="L1479" t="s">
        <v>665</v>
      </c>
      <c r="M1479">
        <f>IF(DAY(NOW())&lt;M3,INDIRECT(ADDRESS(1479,7))-INDIRECT(ADDRESS(1474,13))+INDIRECT(ADDRESS(1475,13))-INDIRECT(ADDRESS(1478,13)),INDIRECT(ADDRESS(1479,7))-INDIRECT(ADDRESS(1474,13))+INDIRECT(ADDRESS(1477,13))-INDIRECT(ADDRESS(1478,13)))</f>
        <v>0</v>
      </c>
      <c r="N1479">
        <f>IF(DAY(NOW())&lt;M3,INDIRECT(ADDRESS(1479,13))-INDIRECT(ADDRESS(1474,14))+INDIRECT(ADDRESS(1475,14))-INDIRECT(ADDRESS(1478,14)),INDIRECT(ADDRESS(1479,13))-INDIRECT(ADDRESS(1474,14))+INDIRECT(ADDRESS(1477,14))-INDIRECT(ADDRESS(1478,14)))</f>
        <v>0</v>
      </c>
      <c r="O1479">
        <f>IF(DAY(NOW())&lt;M3,INDIRECT(ADDRESS(1479,14))-INDIRECT(ADDRESS(1474,15))+INDIRECT(ADDRESS(1475,15))-INDIRECT(ADDRESS(1478,15)),INDIRECT(ADDRESS(1479,14))-INDIRECT(ADDRESS(1474,15))+INDIRECT(ADDRESS(1477,15))-INDIRECT(ADDRESS(1478,15)))</f>
        <v>0</v>
      </c>
      <c r="P1479">
        <f>IF(DAY(NOW())&lt;M3,INDIRECT(ADDRESS(1479,15))-INDIRECT(ADDRESS(1474,16))+INDIRECT(ADDRESS(1475,16))-INDIRECT(ADDRESS(1478,16)),INDIRECT(ADDRESS(1479,15))-INDIRECT(ADDRESS(1474,16))+INDIRECT(ADDRESS(1477,16))-INDIRECT(ADDRESS(1478,16)))</f>
        <v>0</v>
      </c>
      <c r="Q1479">
        <f>IF(DAY(NOW())&lt;M3,INDIRECT(ADDRESS(1479,16))-INDIRECT(ADDRESS(1474,17))+INDIRECT(ADDRESS(1475,17))-INDIRECT(ADDRESS(1478,17)),INDIRECT(ADDRESS(1479,16))-INDIRECT(ADDRESS(1474,17))+INDIRECT(ADDRESS(1477,17))-INDIRECT(ADDRESS(1478,17)))</f>
        <v>0</v>
      </c>
      <c r="R1479">
        <f>IF(DAY(NOW())&lt;M3,INDIRECT(ADDRESS(1479,17))-INDIRECT(ADDRESS(1474,18))+INDIRECT(ADDRESS(1475,18))-INDIRECT(ADDRESS(1478,18)),INDIRECT(ADDRESS(1479,17))-INDIRECT(ADDRESS(1474,18))+INDIRECT(ADDRESS(1477,18))-INDIRECT(ADDRESS(1478,18)))</f>
        <v>0</v>
      </c>
      <c r="S1479">
        <f>IF(DAY(NOW())&lt;M3,INDIRECT(ADDRESS(1479,18))-INDIRECT(ADDRESS(1474,19))+INDIRECT(ADDRESS(1475,19))-INDIRECT(ADDRESS(1478,19)),INDIRECT(ADDRESS(1479,18))-INDIRECT(ADDRESS(1474,19))+INDIRECT(ADDRESS(1477,19))-INDIRECT(ADDRESS(1478,19)))</f>
        <v>0</v>
      </c>
      <c r="T1479">
        <f>IF(DAY(NOW())&lt;M3,INDIRECT(ADDRESS(1479,19))-INDIRECT(ADDRESS(1474,20))+INDIRECT(ADDRESS(1475,20))-INDIRECT(ADDRESS(1478,20)),INDIRECT(ADDRESS(1479,19))-INDIRECT(ADDRESS(1474,20))+INDIRECT(ADDRESS(1477,20))-INDIRECT(ADDRESS(1478,20)))</f>
        <v>0</v>
      </c>
      <c r="U1479">
        <f>IF(DAY(NOW())&lt;M3,INDIRECT(ADDRESS(1479,20))-INDIRECT(ADDRESS(1474,21))+INDIRECT(ADDRESS(1475,21))-INDIRECT(ADDRESS(1478,21)),INDIRECT(ADDRESS(1479,20))-INDIRECT(ADDRESS(1474,21))+INDIRECT(ADDRESS(1477,21))-INDIRECT(ADDRESS(1478,21)))</f>
        <v>0</v>
      </c>
      <c r="V1479">
        <f>IF(DAY(NOW())&lt;M3,INDIRECT(ADDRESS(1479,21))-INDIRECT(ADDRESS(1474,22))+INDIRECT(ADDRESS(1475,22))-INDIRECT(ADDRESS(1478,22)),INDIRECT(ADDRESS(1479,21))-INDIRECT(ADDRESS(1474,22))+INDIRECT(ADDRESS(1477,22))-INDIRECT(ADDRESS(1478,22)))</f>
        <v>0</v>
      </c>
      <c r="W1479">
        <f>IF(DAY(NOW())&lt;M3,INDIRECT(ADDRESS(1479,22))-INDIRECT(ADDRESS(1474,23))+INDIRECT(ADDRESS(1475,23))-INDIRECT(ADDRESS(1478,23)),INDIRECT(ADDRESS(1479,22))-INDIRECT(ADDRESS(1474,23))+INDIRECT(ADDRESS(1477,23))-INDIRECT(ADDRESS(1478,23)))</f>
        <v>0</v>
      </c>
      <c r="X1479">
        <f>IF(DAY(NOW())&lt;M3,INDIRECT(ADDRESS(1479,23))-INDIRECT(ADDRESS(1474,24))+INDIRECT(ADDRESS(1475,24))-INDIRECT(ADDRESS(1478,24)),INDIRECT(ADDRESS(1479,23))-INDIRECT(ADDRESS(1474,24))+INDIRECT(ADDRESS(1477,24))-INDIRECT(ADDRESS(1478,24)))</f>
        <v>0</v>
      </c>
      <c r="Y1479">
        <f>IF(DAY(NOW())&lt;M3,INDIRECT(ADDRESS(1479,24))-INDIRECT(ADDRESS(1474,25))+INDIRECT(ADDRESS(1475,25))-INDIRECT(ADDRESS(1478,25)),INDIRECT(ADDRESS(1479,24))-INDIRECT(ADDRESS(1474,25))+INDIRECT(ADDRESS(1477,25))-INDIRECT(ADDRESS(1478,25)))</f>
        <v>0</v>
      </c>
      <c r="Z1479">
        <f>IF(DAY(NOW())&lt;M3,INDIRECT(ADDRESS(1479,25))-INDIRECT(ADDRESS(1474,26))+INDIRECT(ADDRESS(1475,26))-INDIRECT(ADDRESS(1478,26)),INDIRECT(ADDRESS(1479,25))-INDIRECT(ADDRESS(1474,26))+INDIRECT(ADDRESS(1477,26))-INDIRECT(ADDRESS(1478,26)))</f>
        <v>0</v>
      </c>
      <c r="AA1479">
        <f>IF(DAY(NOW())&lt;M3,INDIRECT(ADDRESS(1479,26))-INDIRECT(ADDRESS(1474,27))+INDIRECT(ADDRESS(1475,27))-INDIRECT(ADDRESS(1478,27)),INDIRECT(ADDRESS(1479,26))-INDIRECT(ADDRESS(1474,27))+INDIRECT(ADDRESS(1477,27))-INDIRECT(ADDRESS(1478,27)))</f>
        <v>0</v>
      </c>
      <c r="AB1479">
        <f>IF(DAY(NOW())&lt;M3,INDIRECT(ADDRESS(1479,27))-INDIRECT(ADDRESS(1474,28))+INDIRECT(ADDRESS(1475,28))-INDIRECT(ADDRESS(1478,28)),INDIRECT(ADDRESS(1479,27))-INDIRECT(ADDRESS(1474,28))+INDIRECT(ADDRESS(1477,28))-INDIRECT(ADDRESS(1478,28)))</f>
        <v>0</v>
      </c>
      <c r="AC1479">
        <f>IF(DAY(NOW())&lt;M3,INDIRECT(ADDRESS(1479,28))-INDIRECT(ADDRESS(1474,29))+INDIRECT(ADDRESS(1475,29))-INDIRECT(ADDRESS(1478,29)),INDIRECT(ADDRESS(1479,28))-INDIRECT(ADDRESS(1474,29))+INDIRECT(ADDRESS(1477,29))-INDIRECT(ADDRESS(1478,29)))</f>
        <v>0</v>
      </c>
      <c r="AD1479">
        <f>IF(DAY(NOW())&lt;M3,INDIRECT(ADDRESS(1479,29))-INDIRECT(ADDRESS(1474,30))+INDIRECT(ADDRESS(1475,30))-INDIRECT(ADDRESS(1478,30)),INDIRECT(ADDRESS(1479,29))-INDIRECT(ADDRESS(1474,30))+INDIRECT(ADDRESS(1477,30))-INDIRECT(ADDRESS(1478,30)))</f>
        <v>0</v>
      </c>
      <c r="AE1479">
        <f>IF(DAY(NOW())&lt;M3,INDIRECT(ADDRESS(1479,30))-INDIRECT(ADDRESS(1474,31))+INDIRECT(ADDRESS(1475,31))-INDIRECT(ADDRESS(1478,31)),INDIRECT(ADDRESS(1479,30))-INDIRECT(ADDRESS(1474,31))+INDIRECT(ADDRESS(1477,31))-INDIRECT(ADDRESS(1478,31)))</f>
        <v>0</v>
      </c>
      <c r="AF1479">
        <f>IF(DAY(NOW())&lt;M3,INDIRECT(ADDRESS(1479,31))-INDIRECT(ADDRESS(1474,32))+INDIRECT(ADDRESS(1475,32))-INDIRECT(ADDRESS(1478,32)),INDIRECT(ADDRESS(1479,31))-INDIRECT(ADDRESS(1474,32))+INDIRECT(ADDRESS(1477,32))-INDIRECT(ADDRESS(1478,32)))</f>
        <v>0</v>
      </c>
      <c r="AG1479">
        <f>IF(DAY(NOW())&lt;M3,INDIRECT(ADDRESS(1479,32))-INDIRECT(ADDRESS(1474,33))+INDIRECT(ADDRESS(1475,33))-INDIRECT(ADDRESS(1478,33)),INDIRECT(ADDRESS(1479,32))-INDIRECT(ADDRESS(1474,33))+INDIRECT(ADDRESS(1477,33))-INDIRECT(ADDRESS(1478,33)))</f>
        <v>0</v>
      </c>
      <c r="AH1479">
        <f>IF(DAY(NOW())&lt;M3,INDIRECT(ADDRESS(1479,33))-INDIRECT(ADDRESS(1474,34))+INDIRECT(ADDRESS(1475,34))-INDIRECT(ADDRESS(1478,34)),INDIRECT(ADDRESS(1479,33))-INDIRECT(ADDRESS(1474,34))+INDIRECT(ADDRESS(1477,34))-INDIRECT(ADDRESS(1478,34)))</f>
        <v>0</v>
      </c>
      <c r="AI1479">
        <f>IF(DAY(NOW())&lt;M3,INDIRECT(ADDRESS(1479,34))-INDIRECT(ADDRESS(1474,35))+INDIRECT(ADDRESS(1475,35))-INDIRECT(ADDRESS(1478,35)),INDIRECT(ADDRESS(1479,34))-INDIRECT(ADDRESS(1474,35))+INDIRECT(ADDRESS(1477,35))-INDIRECT(ADDRESS(1478,35)))</f>
        <v>0</v>
      </c>
      <c r="AJ1479">
        <f>IF(DAY(NOW())&lt;M3,INDIRECT(ADDRESS(1479,35))-INDIRECT(ADDRESS(1474,36))+INDIRECT(ADDRESS(1475,36))-INDIRECT(ADDRESS(1478,36)),INDIRECT(ADDRESS(1479,35))-INDIRECT(ADDRESS(1474,36))+INDIRECT(ADDRESS(1477,36))-INDIRECT(ADDRESS(1478,36)))</f>
        <v>0</v>
      </c>
      <c r="AK1479">
        <f>IF(DAY(NOW())&lt;M3,INDIRECT(ADDRESS(1479,36))-INDIRECT(ADDRESS(1474,37))+INDIRECT(ADDRESS(1475,37))-INDIRECT(ADDRESS(1478,37)),INDIRECT(ADDRESS(1479,36))-INDIRECT(ADDRESS(1474,37))+INDIRECT(ADDRESS(1477,37))-INDIRECT(ADDRESS(1478,37)))</f>
        <v>0</v>
      </c>
      <c r="AL1479">
        <f>IF(DAY(NOW())&lt;M3,INDIRECT(ADDRESS(1479,37))-INDIRECT(ADDRESS(1474,38))+INDIRECT(ADDRESS(1475,38))-INDIRECT(ADDRESS(1478,38)),INDIRECT(ADDRESS(1479,37))-INDIRECT(ADDRESS(1474,38))+INDIRECT(ADDRESS(1477,38))-INDIRECT(ADDRESS(1478,38)))</f>
        <v>0</v>
      </c>
      <c r="AM1479">
        <f>IF(DAY(NOW())&lt;M3,INDIRECT(ADDRESS(1479,38))-INDIRECT(ADDRESS(1474,39))+INDIRECT(ADDRESS(1475,39))-INDIRECT(ADDRESS(1478,39)),INDIRECT(ADDRESS(1479,38))-INDIRECT(ADDRESS(1474,39))+INDIRECT(ADDRESS(1477,39))-INDIRECT(ADDRESS(1478,39)))</f>
        <v>0</v>
      </c>
      <c r="AN1479">
        <f>IF(DAY(NOW())&lt;M3,INDIRECT(ADDRESS(1479,39))-INDIRECT(ADDRESS(1474,40))+INDIRECT(ADDRESS(1475,40))-INDIRECT(ADDRESS(1478,40)),INDIRECT(ADDRESS(1479,39))-INDIRECT(ADDRESS(1474,40))+INDIRECT(ADDRESS(1477,40))-INDIRECT(ADDRESS(1478,40)))</f>
        <v>0</v>
      </c>
      <c r="AO1479">
        <f>IF(DAY(NOW())&lt;M3,INDIRECT(ADDRESS(1479,40))-INDIRECT(ADDRESS(1474,41))+INDIRECT(ADDRESS(1475,41))-INDIRECT(ADDRESS(1478,41)),INDIRECT(ADDRESS(1479,40))-INDIRECT(ADDRESS(1474,41))+INDIRECT(ADDRESS(1477,41))-INDIRECT(ADDRESS(1478,41)))</f>
        <v>0</v>
      </c>
      <c r="AP1479">
        <f>IF(DAY(NOW())&lt;M3,INDIRECT(ADDRESS(1479,41))-INDIRECT(ADDRESS(1474,42))+INDIRECT(ADDRESS(1475,42))-INDIRECT(ADDRESS(1478,42)),INDIRECT(ADDRESS(1479,41))-INDIRECT(ADDRESS(1474,42))+INDIRECT(ADDRESS(1477,42))-INDIRECT(ADDRESS(1478,42)))</f>
        <v>0</v>
      </c>
      <c r="AQ1479">
        <f>IF(DAY(NOW())&lt;M3,INDIRECT(ADDRESS(1479,42))-INDIRECT(ADDRESS(1474,43))+INDIRECT(ADDRESS(1475,43))-INDIRECT(ADDRESS(1478,43)),INDIRECT(ADDRESS(1479,42))-INDIRECT(ADDRESS(1474,43))+INDIRECT(ADDRESS(1477,43))-INDIRECT(ADDRESS(1478,43)))</f>
        <v>0</v>
      </c>
      <c r="AR1479">
        <f>IF(DAY(NOW())&lt;M3,INDIRECT(ADDRESS(1479,43))-INDIRECT(ADDRESS(1474,44))+INDIRECT(ADDRESS(1475,44))-INDIRECT(ADDRESS(1478,44)),INDIRECT(ADDRESS(1479,43))-INDIRECT(ADDRESS(1474,44))+INDIRECT(ADDRESS(1477,44))-INDIRECT(ADDRESS(1478,44)))</f>
        <v>0</v>
      </c>
    </row>
    <row r="1480" spans="1:76">
      <c r="A1480" t="s">
        <v>14</v>
      </c>
      <c r="B1480" t="s">
        <v>530</v>
      </c>
      <c r="C1480" t="s">
        <v>531</v>
      </c>
      <c r="E1480">
        <v>1</v>
      </c>
      <c r="F1480" t="s">
        <v>535</v>
      </c>
      <c r="K1480" t="s">
        <v>590</v>
      </c>
      <c r="L1480" t="s">
        <v>21</v>
      </c>
      <c r="BX1480">
        <f>sum(j1480:an1480)</f>
        <v>0</v>
      </c>
    </row>
    <row r="1481" spans="1:76">
      <c r="A1481" t="s">
        <v>14</v>
      </c>
      <c r="B1481" t="s">
        <v>530</v>
      </c>
      <c r="C1481" t="s">
        <v>531</v>
      </c>
      <c r="E1481">
        <v>1</v>
      </c>
      <c r="F1481" t="s">
        <v>535</v>
      </c>
      <c r="K1481" t="s">
        <v>590</v>
      </c>
      <c r="L1481" t="s">
        <v>37</v>
      </c>
    </row>
    <row r="1482" spans="1:76">
      <c r="L1482" t="s">
        <v>662</v>
      </c>
    </row>
    <row r="1483" spans="1:76">
      <c r="L1483" t="s">
        <v>663</v>
      </c>
    </row>
    <row r="1484" spans="1:76">
      <c r="L1484" t="s">
        <v>664</v>
      </c>
    </row>
    <row r="1485" spans="1:76">
      <c r="L1485" t="s">
        <v>665</v>
      </c>
      <c r="M1485">
        <f>IF(DAY(NOW())&lt;M3,INDIRECT(ADDRESS(1485,7))-INDIRECT(ADDRESS(1480,13))+INDIRECT(ADDRESS(1481,13))-INDIRECT(ADDRESS(1484,13)),INDIRECT(ADDRESS(1485,7))-INDIRECT(ADDRESS(1480,13))+INDIRECT(ADDRESS(1483,13))-INDIRECT(ADDRESS(1484,13)))</f>
        <v>0</v>
      </c>
      <c r="N1485">
        <f>IF(DAY(NOW())&lt;M3,INDIRECT(ADDRESS(1485,13))-INDIRECT(ADDRESS(1480,14))+INDIRECT(ADDRESS(1481,14))-INDIRECT(ADDRESS(1484,14)),INDIRECT(ADDRESS(1485,13))-INDIRECT(ADDRESS(1480,14))+INDIRECT(ADDRESS(1483,14))-INDIRECT(ADDRESS(1484,14)))</f>
        <v>0</v>
      </c>
      <c r="O1485">
        <f>IF(DAY(NOW())&lt;M3,INDIRECT(ADDRESS(1485,14))-INDIRECT(ADDRESS(1480,15))+INDIRECT(ADDRESS(1481,15))-INDIRECT(ADDRESS(1484,15)),INDIRECT(ADDRESS(1485,14))-INDIRECT(ADDRESS(1480,15))+INDIRECT(ADDRESS(1483,15))-INDIRECT(ADDRESS(1484,15)))</f>
        <v>0</v>
      </c>
      <c r="P1485">
        <f>IF(DAY(NOW())&lt;M3,INDIRECT(ADDRESS(1485,15))-INDIRECT(ADDRESS(1480,16))+INDIRECT(ADDRESS(1481,16))-INDIRECT(ADDRESS(1484,16)),INDIRECT(ADDRESS(1485,15))-INDIRECT(ADDRESS(1480,16))+INDIRECT(ADDRESS(1483,16))-INDIRECT(ADDRESS(1484,16)))</f>
        <v>0</v>
      </c>
      <c r="Q1485">
        <f>IF(DAY(NOW())&lt;M3,INDIRECT(ADDRESS(1485,16))-INDIRECT(ADDRESS(1480,17))+INDIRECT(ADDRESS(1481,17))-INDIRECT(ADDRESS(1484,17)),INDIRECT(ADDRESS(1485,16))-INDIRECT(ADDRESS(1480,17))+INDIRECT(ADDRESS(1483,17))-INDIRECT(ADDRESS(1484,17)))</f>
        <v>0</v>
      </c>
      <c r="R1485">
        <f>IF(DAY(NOW())&lt;M3,INDIRECT(ADDRESS(1485,17))-INDIRECT(ADDRESS(1480,18))+INDIRECT(ADDRESS(1481,18))-INDIRECT(ADDRESS(1484,18)),INDIRECT(ADDRESS(1485,17))-INDIRECT(ADDRESS(1480,18))+INDIRECT(ADDRESS(1483,18))-INDIRECT(ADDRESS(1484,18)))</f>
        <v>0</v>
      </c>
      <c r="S1485">
        <f>IF(DAY(NOW())&lt;M3,INDIRECT(ADDRESS(1485,18))-INDIRECT(ADDRESS(1480,19))+INDIRECT(ADDRESS(1481,19))-INDIRECT(ADDRESS(1484,19)),INDIRECT(ADDRESS(1485,18))-INDIRECT(ADDRESS(1480,19))+INDIRECT(ADDRESS(1483,19))-INDIRECT(ADDRESS(1484,19)))</f>
        <v>0</v>
      </c>
      <c r="T1485">
        <f>IF(DAY(NOW())&lt;M3,INDIRECT(ADDRESS(1485,19))-INDIRECT(ADDRESS(1480,20))+INDIRECT(ADDRESS(1481,20))-INDIRECT(ADDRESS(1484,20)),INDIRECT(ADDRESS(1485,19))-INDIRECT(ADDRESS(1480,20))+INDIRECT(ADDRESS(1483,20))-INDIRECT(ADDRESS(1484,20)))</f>
        <v>0</v>
      </c>
      <c r="U1485">
        <f>IF(DAY(NOW())&lt;M3,INDIRECT(ADDRESS(1485,20))-INDIRECT(ADDRESS(1480,21))+INDIRECT(ADDRESS(1481,21))-INDIRECT(ADDRESS(1484,21)),INDIRECT(ADDRESS(1485,20))-INDIRECT(ADDRESS(1480,21))+INDIRECT(ADDRESS(1483,21))-INDIRECT(ADDRESS(1484,21)))</f>
        <v>0</v>
      </c>
      <c r="V1485">
        <f>IF(DAY(NOW())&lt;M3,INDIRECT(ADDRESS(1485,21))-INDIRECT(ADDRESS(1480,22))+INDIRECT(ADDRESS(1481,22))-INDIRECT(ADDRESS(1484,22)),INDIRECT(ADDRESS(1485,21))-INDIRECT(ADDRESS(1480,22))+INDIRECT(ADDRESS(1483,22))-INDIRECT(ADDRESS(1484,22)))</f>
        <v>0</v>
      </c>
      <c r="W1485">
        <f>IF(DAY(NOW())&lt;M3,INDIRECT(ADDRESS(1485,22))-INDIRECT(ADDRESS(1480,23))+INDIRECT(ADDRESS(1481,23))-INDIRECT(ADDRESS(1484,23)),INDIRECT(ADDRESS(1485,22))-INDIRECT(ADDRESS(1480,23))+INDIRECT(ADDRESS(1483,23))-INDIRECT(ADDRESS(1484,23)))</f>
        <v>0</v>
      </c>
      <c r="X1485">
        <f>IF(DAY(NOW())&lt;M3,INDIRECT(ADDRESS(1485,23))-INDIRECT(ADDRESS(1480,24))+INDIRECT(ADDRESS(1481,24))-INDIRECT(ADDRESS(1484,24)),INDIRECT(ADDRESS(1485,23))-INDIRECT(ADDRESS(1480,24))+INDIRECT(ADDRESS(1483,24))-INDIRECT(ADDRESS(1484,24)))</f>
        <v>0</v>
      </c>
      <c r="Y1485">
        <f>IF(DAY(NOW())&lt;M3,INDIRECT(ADDRESS(1485,24))-INDIRECT(ADDRESS(1480,25))+INDIRECT(ADDRESS(1481,25))-INDIRECT(ADDRESS(1484,25)),INDIRECT(ADDRESS(1485,24))-INDIRECT(ADDRESS(1480,25))+INDIRECT(ADDRESS(1483,25))-INDIRECT(ADDRESS(1484,25)))</f>
        <v>0</v>
      </c>
      <c r="Z1485">
        <f>IF(DAY(NOW())&lt;M3,INDIRECT(ADDRESS(1485,25))-INDIRECT(ADDRESS(1480,26))+INDIRECT(ADDRESS(1481,26))-INDIRECT(ADDRESS(1484,26)),INDIRECT(ADDRESS(1485,25))-INDIRECT(ADDRESS(1480,26))+INDIRECT(ADDRESS(1483,26))-INDIRECT(ADDRESS(1484,26)))</f>
        <v>0</v>
      </c>
      <c r="AA1485">
        <f>IF(DAY(NOW())&lt;M3,INDIRECT(ADDRESS(1485,26))-INDIRECT(ADDRESS(1480,27))+INDIRECT(ADDRESS(1481,27))-INDIRECT(ADDRESS(1484,27)),INDIRECT(ADDRESS(1485,26))-INDIRECT(ADDRESS(1480,27))+INDIRECT(ADDRESS(1483,27))-INDIRECT(ADDRESS(1484,27)))</f>
        <v>0</v>
      </c>
      <c r="AB1485">
        <f>IF(DAY(NOW())&lt;M3,INDIRECT(ADDRESS(1485,27))-INDIRECT(ADDRESS(1480,28))+INDIRECT(ADDRESS(1481,28))-INDIRECT(ADDRESS(1484,28)),INDIRECT(ADDRESS(1485,27))-INDIRECT(ADDRESS(1480,28))+INDIRECT(ADDRESS(1483,28))-INDIRECT(ADDRESS(1484,28)))</f>
        <v>0</v>
      </c>
      <c r="AC1485">
        <f>IF(DAY(NOW())&lt;M3,INDIRECT(ADDRESS(1485,28))-INDIRECT(ADDRESS(1480,29))+INDIRECT(ADDRESS(1481,29))-INDIRECT(ADDRESS(1484,29)),INDIRECT(ADDRESS(1485,28))-INDIRECT(ADDRESS(1480,29))+INDIRECT(ADDRESS(1483,29))-INDIRECT(ADDRESS(1484,29)))</f>
        <v>0</v>
      </c>
      <c r="AD1485">
        <f>IF(DAY(NOW())&lt;M3,INDIRECT(ADDRESS(1485,29))-INDIRECT(ADDRESS(1480,30))+INDIRECT(ADDRESS(1481,30))-INDIRECT(ADDRESS(1484,30)),INDIRECT(ADDRESS(1485,29))-INDIRECT(ADDRESS(1480,30))+INDIRECT(ADDRESS(1483,30))-INDIRECT(ADDRESS(1484,30)))</f>
        <v>0</v>
      </c>
      <c r="AE1485">
        <f>IF(DAY(NOW())&lt;M3,INDIRECT(ADDRESS(1485,30))-INDIRECT(ADDRESS(1480,31))+INDIRECT(ADDRESS(1481,31))-INDIRECT(ADDRESS(1484,31)),INDIRECT(ADDRESS(1485,30))-INDIRECT(ADDRESS(1480,31))+INDIRECT(ADDRESS(1483,31))-INDIRECT(ADDRESS(1484,31)))</f>
        <v>0</v>
      </c>
      <c r="AF1485">
        <f>IF(DAY(NOW())&lt;M3,INDIRECT(ADDRESS(1485,31))-INDIRECT(ADDRESS(1480,32))+INDIRECT(ADDRESS(1481,32))-INDIRECT(ADDRESS(1484,32)),INDIRECT(ADDRESS(1485,31))-INDIRECT(ADDRESS(1480,32))+INDIRECT(ADDRESS(1483,32))-INDIRECT(ADDRESS(1484,32)))</f>
        <v>0</v>
      </c>
      <c r="AG1485">
        <f>IF(DAY(NOW())&lt;M3,INDIRECT(ADDRESS(1485,32))-INDIRECT(ADDRESS(1480,33))+INDIRECT(ADDRESS(1481,33))-INDIRECT(ADDRESS(1484,33)),INDIRECT(ADDRESS(1485,32))-INDIRECT(ADDRESS(1480,33))+INDIRECT(ADDRESS(1483,33))-INDIRECT(ADDRESS(1484,33)))</f>
        <v>0</v>
      </c>
      <c r="AH1485">
        <f>IF(DAY(NOW())&lt;M3,INDIRECT(ADDRESS(1485,33))-INDIRECT(ADDRESS(1480,34))+INDIRECT(ADDRESS(1481,34))-INDIRECT(ADDRESS(1484,34)),INDIRECT(ADDRESS(1485,33))-INDIRECT(ADDRESS(1480,34))+INDIRECT(ADDRESS(1483,34))-INDIRECT(ADDRESS(1484,34)))</f>
        <v>0</v>
      </c>
      <c r="AI1485">
        <f>IF(DAY(NOW())&lt;M3,INDIRECT(ADDRESS(1485,34))-INDIRECT(ADDRESS(1480,35))+INDIRECT(ADDRESS(1481,35))-INDIRECT(ADDRESS(1484,35)),INDIRECT(ADDRESS(1485,34))-INDIRECT(ADDRESS(1480,35))+INDIRECT(ADDRESS(1483,35))-INDIRECT(ADDRESS(1484,35)))</f>
        <v>0</v>
      </c>
      <c r="AJ1485">
        <f>IF(DAY(NOW())&lt;M3,INDIRECT(ADDRESS(1485,35))-INDIRECT(ADDRESS(1480,36))+INDIRECT(ADDRESS(1481,36))-INDIRECT(ADDRESS(1484,36)),INDIRECT(ADDRESS(1485,35))-INDIRECT(ADDRESS(1480,36))+INDIRECT(ADDRESS(1483,36))-INDIRECT(ADDRESS(1484,36)))</f>
        <v>0</v>
      </c>
      <c r="AK1485">
        <f>IF(DAY(NOW())&lt;M3,INDIRECT(ADDRESS(1485,36))-INDIRECT(ADDRESS(1480,37))+INDIRECT(ADDRESS(1481,37))-INDIRECT(ADDRESS(1484,37)),INDIRECT(ADDRESS(1485,36))-INDIRECT(ADDRESS(1480,37))+INDIRECT(ADDRESS(1483,37))-INDIRECT(ADDRESS(1484,37)))</f>
        <v>0</v>
      </c>
      <c r="AL1485">
        <f>IF(DAY(NOW())&lt;M3,INDIRECT(ADDRESS(1485,37))-INDIRECT(ADDRESS(1480,38))+INDIRECT(ADDRESS(1481,38))-INDIRECT(ADDRESS(1484,38)),INDIRECT(ADDRESS(1485,37))-INDIRECT(ADDRESS(1480,38))+INDIRECT(ADDRESS(1483,38))-INDIRECT(ADDRESS(1484,38)))</f>
        <v>0</v>
      </c>
      <c r="AM1485">
        <f>IF(DAY(NOW())&lt;M3,INDIRECT(ADDRESS(1485,38))-INDIRECT(ADDRESS(1480,39))+INDIRECT(ADDRESS(1481,39))-INDIRECT(ADDRESS(1484,39)),INDIRECT(ADDRESS(1485,38))-INDIRECT(ADDRESS(1480,39))+INDIRECT(ADDRESS(1483,39))-INDIRECT(ADDRESS(1484,39)))</f>
        <v>0</v>
      </c>
      <c r="AN1485">
        <f>IF(DAY(NOW())&lt;M3,INDIRECT(ADDRESS(1485,39))-INDIRECT(ADDRESS(1480,40))+INDIRECT(ADDRESS(1481,40))-INDIRECT(ADDRESS(1484,40)),INDIRECT(ADDRESS(1485,39))-INDIRECT(ADDRESS(1480,40))+INDIRECT(ADDRESS(1483,40))-INDIRECT(ADDRESS(1484,40)))</f>
        <v>0</v>
      </c>
      <c r="AO1485">
        <f>IF(DAY(NOW())&lt;M3,INDIRECT(ADDRESS(1485,40))-INDIRECT(ADDRESS(1480,41))+INDIRECT(ADDRESS(1481,41))-INDIRECT(ADDRESS(1484,41)),INDIRECT(ADDRESS(1485,40))-INDIRECT(ADDRESS(1480,41))+INDIRECT(ADDRESS(1483,41))-INDIRECT(ADDRESS(1484,41)))</f>
        <v>0</v>
      </c>
      <c r="AP1485">
        <f>IF(DAY(NOW())&lt;M3,INDIRECT(ADDRESS(1485,41))-INDIRECT(ADDRESS(1480,42))+INDIRECT(ADDRESS(1481,42))-INDIRECT(ADDRESS(1484,42)),INDIRECT(ADDRESS(1485,41))-INDIRECT(ADDRESS(1480,42))+INDIRECT(ADDRESS(1483,42))-INDIRECT(ADDRESS(1484,42)))</f>
        <v>0</v>
      </c>
      <c r="AQ1485">
        <f>IF(DAY(NOW())&lt;M3,INDIRECT(ADDRESS(1485,42))-INDIRECT(ADDRESS(1480,43))+INDIRECT(ADDRESS(1481,43))-INDIRECT(ADDRESS(1484,43)),INDIRECT(ADDRESS(1485,42))-INDIRECT(ADDRESS(1480,43))+INDIRECT(ADDRESS(1483,43))-INDIRECT(ADDRESS(1484,43)))</f>
        <v>0</v>
      </c>
      <c r="AR1485">
        <f>IF(DAY(NOW())&lt;M3,INDIRECT(ADDRESS(1485,43))-INDIRECT(ADDRESS(1480,44))+INDIRECT(ADDRESS(1481,44))-INDIRECT(ADDRESS(1484,44)),INDIRECT(ADDRESS(1485,43))-INDIRECT(ADDRESS(1480,44))+INDIRECT(ADDRESS(1483,44))-INDIRECT(ADDRESS(1484,44)))</f>
        <v>0</v>
      </c>
    </row>
    <row r="1486" spans="1:76">
      <c r="A1486" t="s">
        <v>14</v>
      </c>
      <c r="B1486" t="s">
        <v>533</v>
      </c>
      <c r="C1486" t="s">
        <v>534</v>
      </c>
      <c r="E1486" t="s">
        <v>444</v>
      </c>
      <c r="F1486" t="s">
        <v>538</v>
      </c>
      <c r="K1486" t="s">
        <v>590</v>
      </c>
      <c r="L1486" t="s">
        <v>21</v>
      </c>
      <c r="BX1486">
        <f>sum(j1486:an1486)</f>
        <v>0</v>
      </c>
    </row>
    <row r="1487" spans="1:76">
      <c r="A1487" t="s">
        <v>14</v>
      </c>
      <c r="B1487" t="s">
        <v>533</v>
      </c>
      <c r="C1487" t="s">
        <v>534</v>
      </c>
      <c r="E1487" t="s">
        <v>444</v>
      </c>
      <c r="F1487" t="s">
        <v>538</v>
      </c>
      <c r="K1487" t="s">
        <v>590</v>
      </c>
      <c r="L1487" t="s">
        <v>37</v>
      </c>
    </row>
    <row r="1488" spans="1:76">
      <c r="L1488" t="s">
        <v>662</v>
      </c>
    </row>
    <row r="1489" spans="1:76">
      <c r="L1489" t="s">
        <v>663</v>
      </c>
    </row>
    <row r="1490" spans="1:76">
      <c r="L1490" t="s">
        <v>664</v>
      </c>
    </row>
    <row r="1491" spans="1:76">
      <c r="L1491" t="s">
        <v>665</v>
      </c>
      <c r="M1491">
        <f>IF(DAY(NOW())&lt;M3,INDIRECT(ADDRESS(1491,7))-INDIRECT(ADDRESS(1486,13))+INDIRECT(ADDRESS(1487,13))-INDIRECT(ADDRESS(1490,13)),INDIRECT(ADDRESS(1491,7))-INDIRECT(ADDRESS(1486,13))+INDIRECT(ADDRESS(1489,13))-INDIRECT(ADDRESS(1490,13)))</f>
        <v>0</v>
      </c>
      <c r="N1491">
        <f>IF(DAY(NOW())&lt;M3,INDIRECT(ADDRESS(1491,13))-INDIRECT(ADDRESS(1486,14))+INDIRECT(ADDRESS(1487,14))-INDIRECT(ADDRESS(1490,14)),INDIRECT(ADDRESS(1491,13))-INDIRECT(ADDRESS(1486,14))+INDIRECT(ADDRESS(1489,14))-INDIRECT(ADDRESS(1490,14)))</f>
        <v>0</v>
      </c>
      <c r="O1491">
        <f>IF(DAY(NOW())&lt;M3,INDIRECT(ADDRESS(1491,14))-INDIRECT(ADDRESS(1486,15))+INDIRECT(ADDRESS(1487,15))-INDIRECT(ADDRESS(1490,15)),INDIRECT(ADDRESS(1491,14))-INDIRECT(ADDRESS(1486,15))+INDIRECT(ADDRESS(1489,15))-INDIRECT(ADDRESS(1490,15)))</f>
        <v>0</v>
      </c>
      <c r="P1491">
        <f>IF(DAY(NOW())&lt;M3,INDIRECT(ADDRESS(1491,15))-INDIRECT(ADDRESS(1486,16))+INDIRECT(ADDRESS(1487,16))-INDIRECT(ADDRESS(1490,16)),INDIRECT(ADDRESS(1491,15))-INDIRECT(ADDRESS(1486,16))+INDIRECT(ADDRESS(1489,16))-INDIRECT(ADDRESS(1490,16)))</f>
        <v>0</v>
      </c>
      <c r="Q1491">
        <f>IF(DAY(NOW())&lt;M3,INDIRECT(ADDRESS(1491,16))-INDIRECT(ADDRESS(1486,17))+INDIRECT(ADDRESS(1487,17))-INDIRECT(ADDRESS(1490,17)),INDIRECT(ADDRESS(1491,16))-INDIRECT(ADDRESS(1486,17))+INDIRECT(ADDRESS(1489,17))-INDIRECT(ADDRESS(1490,17)))</f>
        <v>0</v>
      </c>
      <c r="R1491">
        <f>IF(DAY(NOW())&lt;M3,INDIRECT(ADDRESS(1491,17))-INDIRECT(ADDRESS(1486,18))+INDIRECT(ADDRESS(1487,18))-INDIRECT(ADDRESS(1490,18)),INDIRECT(ADDRESS(1491,17))-INDIRECT(ADDRESS(1486,18))+INDIRECT(ADDRESS(1489,18))-INDIRECT(ADDRESS(1490,18)))</f>
        <v>0</v>
      </c>
      <c r="S1491">
        <f>IF(DAY(NOW())&lt;M3,INDIRECT(ADDRESS(1491,18))-INDIRECT(ADDRESS(1486,19))+INDIRECT(ADDRESS(1487,19))-INDIRECT(ADDRESS(1490,19)),INDIRECT(ADDRESS(1491,18))-INDIRECT(ADDRESS(1486,19))+INDIRECT(ADDRESS(1489,19))-INDIRECT(ADDRESS(1490,19)))</f>
        <v>0</v>
      </c>
      <c r="T1491">
        <f>IF(DAY(NOW())&lt;M3,INDIRECT(ADDRESS(1491,19))-INDIRECT(ADDRESS(1486,20))+INDIRECT(ADDRESS(1487,20))-INDIRECT(ADDRESS(1490,20)),INDIRECT(ADDRESS(1491,19))-INDIRECT(ADDRESS(1486,20))+INDIRECT(ADDRESS(1489,20))-INDIRECT(ADDRESS(1490,20)))</f>
        <v>0</v>
      </c>
      <c r="U1491">
        <f>IF(DAY(NOW())&lt;M3,INDIRECT(ADDRESS(1491,20))-INDIRECT(ADDRESS(1486,21))+INDIRECT(ADDRESS(1487,21))-INDIRECT(ADDRESS(1490,21)),INDIRECT(ADDRESS(1491,20))-INDIRECT(ADDRESS(1486,21))+INDIRECT(ADDRESS(1489,21))-INDIRECT(ADDRESS(1490,21)))</f>
        <v>0</v>
      </c>
      <c r="V1491">
        <f>IF(DAY(NOW())&lt;M3,INDIRECT(ADDRESS(1491,21))-INDIRECT(ADDRESS(1486,22))+INDIRECT(ADDRESS(1487,22))-INDIRECT(ADDRESS(1490,22)),INDIRECT(ADDRESS(1491,21))-INDIRECT(ADDRESS(1486,22))+INDIRECT(ADDRESS(1489,22))-INDIRECT(ADDRESS(1490,22)))</f>
        <v>0</v>
      </c>
      <c r="W1491">
        <f>IF(DAY(NOW())&lt;M3,INDIRECT(ADDRESS(1491,22))-INDIRECT(ADDRESS(1486,23))+INDIRECT(ADDRESS(1487,23))-INDIRECT(ADDRESS(1490,23)),INDIRECT(ADDRESS(1491,22))-INDIRECT(ADDRESS(1486,23))+INDIRECT(ADDRESS(1489,23))-INDIRECT(ADDRESS(1490,23)))</f>
        <v>0</v>
      </c>
      <c r="X1491">
        <f>IF(DAY(NOW())&lt;M3,INDIRECT(ADDRESS(1491,23))-INDIRECT(ADDRESS(1486,24))+INDIRECT(ADDRESS(1487,24))-INDIRECT(ADDRESS(1490,24)),INDIRECT(ADDRESS(1491,23))-INDIRECT(ADDRESS(1486,24))+INDIRECT(ADDRESS(1489,24))-INDIRECT(ADDRESS(1490,24)))</f>
        <v>0</v>
      </c>
      <c r="Y1491">
        <f>IF(DAY(NOW())&lt;M3,INDIRECT(ADDRESS(1491,24))-INDIRECT(ADDRESS(1486,25))+INDIRECT(ADDRESS(1487,25))-INDIRECT(ADDRESS(1490,25)),INDIRECT(ADDRESS(1491,24))-INDIRECT(ADDRESS(1486,25))+INDIRECT(ADDRESS(1489,25))-INDIRECT(ADDRESS(1490,25)))</f>
        <v>0</v>
      </c>
      <c r="Z1491">
        <f>IF(DAY(NOW())&lt;M3,INDIRECT(ADDRESS(1491,25))-INDIRECT(ADDRESS(1486,26))+INDIRECT(ADDRESS(1487,26))-INDIRECT(ADDRESS(1490,26)),INDIRECT(ADDRESS(1491,25))-INDIRECT(ADDRESS(1486,26))+INDIRECT(ADDRESS(1489,26))-INDIRECT(ADDRESS(1490,26)))</f>
        <v>0</v>
      </c>
      <c r="AA1491">
        <f>IF(DAY(NOW())&lt;M3,INDIRECT(ADDRESS(1491,26))-INDIRECT(ADDRESS(1486,27))+INDIRECT(ADDRESS(1487,27))-INDIRECT(ADDRESS(1490,27)),INDIRECT(ADDRESS(1491,26))-INDIRECT(ADDRESS(1486,27))+INDIRECT(ADDRESS(1489,27))-INDIRECT(ADDRESS(1490,27)))</f>
        <v>0</v>
      </c>
      <c r="AB1491">
        <f>IF(DAY(NOW())&lt;M3,INDIRECT(ADDRESS(1491,27))-INDIRECT(ADDRESS(1486,28))+INDIRECT(ADDRESS(1487,28))-INDIRECT(ADDRESS(1490,28)),INDIRECT(ADDRESS(1491,27))-INDIRECT(ADDRESS(1486,28))+INDIRECT(ADDRESS(1489,28))-INDIRECT(ADDRESS(1490,28)))</f>
        <v>0</v>
      </c>
      <c r="AC1491">
        <f>IF(DAY(NOW())&lt;M3,INDIRECT(ADDRESS(1491,28))-INDIRECT(ADDRESS(1486,29))+INDIRECT(ADDRESS(1487,29))-INDIRECT(ADDRESS(1490,29)),INDIRECT(ADDRESS(1491,28))-INDIRECT(ADDRESS(1486,29))+INDIRECT(ADDRESS(1489,29))-INDIRECT(ADDRESS(1490,29)))</f>
        <v>0</v>
      </c>
      <c r="AD1491">
        <f>IF(DAY(NOW())&lt;M3,INDIRECT(ADDRESS(1491,29))-INDIRECT(ADDRESS(1486,30))+INDIRECT(ADDRESS(1487,30))-INDIRECT(ADDRESS(1490,30)),INDIRECT(ADDRESS(1491,29))-INDIRECT(ADDRESS(1486,30))+INDIRECT(ADDRESS(1489,30))-INDIRECT(ADDRESS(1490,30)))</f>
        <v>0</v>
      </c>
      <c r="AE1491">
        <f>IF(DAY(NOW())&lt;M3,INDIRECT(ADDRESS(1491,30))-INDIRECT(ADDRESS(1486,31))+INDIRECT(ADDRESS(1487,31))-INDIRECT(ADDRESS(1490,31)),INDIRECT(ADDRESS(1491,30))-INDIRECT(ADDRESS(1486,31))+INDIRECT(ADDRESS(1489,31))-INDIRECT(ADDRESS(1490,31)))</f>
        <v>0</v>
      </c>
      <c r="AF1491">
        <f>IF(DAY(NOW())&lt;M3,INDIRECT(ADDRESS(1491,31))-INDIRECT(ADDRESS(1486,32))+INDIRECT(ADDRESS(1487,32))-INDIRECT(ADDRESS(1490,32)),INDIRECT(ADDRESS(1491,31))-INDIRECT(ADDRESS(1486,32))+INDIRECT(ADDRESS(1489,32))-INDIRECT(ADDRESS(1490,32)))</f>
        <v>0</v>
      </c>
      <c r="AG1491">
        <f>IF(DAY(NOW())&lt;M3,INDIRECT(ADDRESS(1491,32))-INDIRECT(ADDRESS(1486,33))+INDIRECT(ADDRESS(1487,33))-INDIRECT(ADDRESS(1490,33)),INDIRECT(ADDRESS(1491,32))-INDIRECT(ADDRESS(1486,33))+INDIRECT(ADDRESS(1489,33))-INDIRECT(ADDRESS(1490,33)))</f>
        <v>0</v>
      </c>
      <c r="AH1491">
        <f>IF(DAY(NOW())&lt;M3,INDIRECT(ADDRESS(1491,33))-INDIRECT(ADDRESS(1486,34))+INDIRECT(ADDRESS(1487,34))-INDIRECT(ADDRESS(1490,34)),INDIRECT(ADDRESS(1491,33))-INDIRECT(ADDRESS(1486,34))+INDIRECT(ADDRESS(1489,34))-INDIRECT(ADDRESS(1490,34)))</f>
        <v>0</v>
      </c>
      <c r="AI1491">
        <f>IF(DAY(NOW())&lt;M3,INDIRECT(ADDRESS(1491,34))-INDIRECT(ADDRESS(1486,35))+INDIRECT(ADDRESS(1487,35))-INDIRECT(ADDRESS(1490,35)),INDIRECT(ADDRESS(1491,34))-INDIRECT(ADDRESS(1486,35))+INDIRECT(ADDRESS(1489,35))-INDIRECT(ADDRESS(1490,35)))</f>
        <v>0</v>
      </c>
      <c r="AJ1491">
        <f>IF(DAY(NOW())&lt;M3,INDIRECT(ADDRESS(1491,35))-INDIRECT(ADDRESS(1486,36))+INDIRECT(ADDRESS(1487,36))-INDIRECT(ADDRESS(1490,36)),INDIRECT(ADDRESS(1491,35))-INDIRECT(ADDRESS(1486,36))+INDIRECT(ADDRESS(1489,36))-INDIRECT(ADDRESS(1490,36)))</f>
        <v>0</v>
      </c>
      <c r="AK1491">
        <f>IF(DAY(NOW())&lt;M3,INDIRECT(ADDRESS(1491,36))-INDIRECT(ADDRESS(1486,37))+INDIRECT(ADDRESS(1487,37))-INDIRECT(ADDRESS(1490,37)),INDIRECT(ADDRESS(1491,36))-INDIRECT(ADDRESS(1486,37))+INDIRECT(ADDRESS(1489,37))-INDIRECT(ADDRESS(1490,37)))</f>
        <v>0</v>
      </c>
      <c r="AL1491">
        <f>IF(DAY(NOW())&lt;M3,INDIRECT(ADDRESS(1491,37))-INDIRECT(ADDRESS(1486,38))+INDIRECT(ADDRESS(1487,38))-INDIRECT(ADDRESS(1490,38)),INDIRECT(ADDRESS(1491,37))-INDIRECT(ADDRESS(1486,38))+INDIRECT(ADDRESS(1489,38))-INDIRECT(ADDRESS(1490,38)))</f>
        <v>0</v>
      </c>
      <c r="AM1491">
        <f>IF(DAY(NOW())&lt;M3,INDIRECT(ADDRESS(1491,38))-INDIRECT(ADDRESS(1486,39))+INDIRECT(ADDRESS(1487,39))-INDIRECT(ADDRESS(1490,39)),INDIRECT(ADDRESS(1491,38))-INDIRECT(ADDRESS(1486,39))+INDIRECT(ADDRESS(1489,39))-INDIRECT(ADDRESS(1490,39)))</f>
        <v>0</v>
      </c>
      <c r="AN1491">
        <f>IF(DAY(NOW())&lt;M3,INDIRECT(ADDRESS(1491,39))-INDIRECT(ADDRESS(1486,40))+INDIRECT(ADDRESS(1487,40))-INDIRECT(ADDRESS(1490,40)),INDIRECT(ADDRESS(1491,39))-INDIRECT(ADDRESS(1486,40))+INDIRECT(ADDRESS(1489,40))-INDIRECT(ADDRESS(1490,40)))</f>
        <v>0</v>
      </c>
      <c r="AO1491">
        <f>IF(DAY(NOW())&lt;M3,INDIRECT(ADDRESS(1491,40))-INDIRECT(ADDRESS(1486,41))+INDIRECT(ADDRESS(1487,41))-INDIRECT(ADDRESS(1490,41)),INDIRECT(ADDRESS(1491,40))-INDIRECT(ADDRESS(1486,41))+INDIRECT(ADDRESS(1489,41))-INDIRECT(ADDRESS(1490,41)))</f>
        <v>0</v>
      </c>
      <c r="AP1491">
        <f>IF(DAY(NOW())&lt;M3,INDIRECT(ADDRESS(1491,41))-INDIRECT(ADDRESS(1486,42))+INDIRECT(ADDRESS(1487,42))-INDIRECT(ADDRESS(1490,42)),INDIRECT(ADDRESS(1491,41))-INDIRECT(ADDRESS(1486,42))+INDIRECT(ADDRESS(1489,42))-INDIRECT(ADDRESS(1490,42)))</f>
        <v>0</v>
      </c>
      <c r="AQ1491">
        <f>IF(DAY(NOW())&lt;M3,INDIRECT(ADDRESS(1491,42))-INDIRECT(ADDRESS(1486,43))+INDIRECT(ADDRESS(1487,43))-INDIRECT(ADDRESS(1490,43)),INDIRECT(ADDRESS(1491,42))-INDIRECT(ADDRESS(1486,43))+INDIRECT(ADDRESS(1489,43))-INDIRECT(ADDRESS(1490,43)))</f>
        <v>0</v>
      </c>
      <c r="AR1491">
        <f>IF(DAY(NOW())&lt;M3,INDIRECT(ADDRESS(1491,43))-INDIRECT(ADDRESS(1486,44))+INDIRECT(ADDRESS(1487,44))-INDIRECT(ADDRESS(1490,44)),INDIRECT(ADDRESS(1491,43))-INDIRECT(ADDRESS(1486,44))+INDIRECT(ADDRESS(1489,44))-INDIRECT(ADDRESS(1490,44)))</f>
        <v>0</v>
      </c>
    </row>
    <row r="1492" spans="1:76">
      <c r="A1492" t="s">
        <v>14</v>
      </c>
      <c r="B1492" t="s">
        <v>536</v>
      </c>
      <c r="C1492" t="s">
        <v>537</v>
      </c>
      <c r="D1492" t="s">
        <v>525</v>
      </c>
      <c r="E1492" t="s">
        <v>444</v>
      </c>
      <c r="F1492" t="s">
        <v>599</v>
      </c>
      <c r="K1492" t="s">
        <v>590</v>
      </c>
      <c r="L1492" t="s">
        <v>21</v>
      </c>
      <c r="BX1492">
        <f>sum(j1492:an1492)</f>
        <v>0</v>
      </c>
    </row>
    <row r="1493" spans="1:76">
      <c r="A1493" t="s">
        <v>14</v>
      </c>
      <c r="B1493" t="s">
        <v>536</v>
      </c>
      <c r="C1493" t="s">
        <v>537</v>
      </c>
      <c r="D1493" t="s">
        <v>525</v>
      </c>
      <c r="E1493" t="s">
        <v>444</v>
      </c>
      <c r="F1493" t="s">
        <v>599</v>
      </c>
      <c r="K1493" t="s">
        <v>590</v>
      </c>
      <c r="L1493" t="s">
        <v>37</v>
      </c>
    </row>
    <row r="1494" spans="1:76">
      <c r="L1494" t="s">
        <v>662</v>
      </c>
    </row>
    <row r="1495" spans="1:76">
      <c r="L1495" t="s">
        <v>663</v>
      </c>
    </row>
    <row r="1496" spans="1:76">
      <c r="L1496" t="s">
        <v>664</v>
      </c>
    </row>
    <row r="1497" spans="1:76">
      <c r="L1497" t="s">
        <v>665</v>
      </c>
      <c r="M1497">
        <f>IF(DAY(NOW())&lt;M3,INDIRECT(ADDRESS(1497,7))-INDIRECT(ADDRESS(1492,13))+INDIRECT(ADDRESS(1493,13))-INDIRECT(ADDRESS(1496,13)),INDIRECT(ADDRESS(1497,7))-INDIRECT(ADDRESS(1492,13))+INDIRECT(ADDRESS(1495,13))-INDIRECT(ADDRESS(1496,13)))</f>
        <v>0</v>
      </c>
      <c r="N1497">
        <f>IF(DAY(NOW())&lt;M3,INDIRECT(ADDRESS(1497,13))-INDIRECT(ADDRESS(1492,14))+INDIRECT(ADDRESS(1493,14))-INDIRECT(ADDRESS(1496,14)),INDIRECT(ADDRESS(1497,13))-INDIRECT(ADDRESS(1492,14))+INDIRECT(ADDRESS(1495,14))-INDIRECT(ADDRESS(1496,14)))</f>
        <v>0</v>
      </c>
      <c r="O1497">
        <f>IF(DAY(NOW())&lt;M3,INDIRECT(ADDRESS(1497,14))-INDIRECT(ADDRESS(1492,15))+INDIRECT(ADDRESS(1493,15))-INDIRECT(ADDRESS(1496,15)),INDIRECT(ADDRESS(1497,14))-INDIRECT(ADDRESS(1492,15))+INDIRECT(ADDRESS(1495,15))-INDIRECT(ADDRESS(1496,15)))</f>
        <v>0</v>
      </c>
      <c r="P1497">
        <f>IF(DAY(NOW())&lt;M3,INDIRECT(ADDRESS(1497,15))-INDIRECT(ADDRESS(1492,16))+INDIRECT(ADDRESS(1493,16))-INDIRECT(ADDRESS(1496,16)),INDIRECT(ADDRESS(1497,15))-INDIRECT(ADDRESS(1492,16))+INDIRECT(ADDRESS(1495,16))-INDIRECT(ADDRESS(1496,16)))</f>
        <v>0</v>
      </c>
      <c r="Q1497">
        <f>IF(DAY(NOW())&lt;M3,INDIRECT(ADDRESS(1497,16))-INDIRECT(ADDRESS(1492,17))+INDIRECT(ADDRESS(1493,17))-INDIRECT(ADDRESS(1496,17)),INDIRECT(ADDRESS(1497,16))-INDIRECT(ADDRESS(1492,17))+INDIRECT(ADDRESS(1495,17))-INDIRECT(ADDRESS(1496,17)))</f>
        <v>0</v>
      </c>
      <c r="R1497">
        <f>IF(DAY(NOW())&lt;M3,INDIRECT(ADDRESS(1497,17))-INDIRECT(ADDRESS(1492,18))+INDIRECT(ADDRESS(1493,18))-INDIRECT(ADDRESS(1496,18)),INDIRECT(ADDRESS(1497,17))-INDIRECT(ADDRESS(1492,18))+INDIRECT(ADDRESS(1495,18))-INDIRECT(ADDRESS(1496,18)))</f>
        <v>0</v>
      </c>
      <c r="S1497">
        <f>IF(DAY(NOW())&lt;M3,INDIRECT(ADDRESS(1497,18))-INDIRECT(ADDRESS(1492,19))+INDIRECT(ADDRESS(1493,19))-INDIRECT(ADDRESS(1496,19)),INDIRECT(ADDRESS(1497,18))-INDIRECT(ADDRESS(1492,19))+INDIRECT(ADDRESS(1495,19))-INDIRECT(ADDRESS(1496,19)))</f>
        <v>0</v>
      </c>
      <c r="T1497">
        <f>IF(DAY(NOW())&lt;M3,INDIRECT(ADDRESS(1497,19))-INDIRECT(ADDRESS(1492,20))+INDIRECT(ADDRESS(1493,20))-INDIRECT(ADDRESS(1496,20)),INDIRECT(ADDRESS(1497,19))-INDIRECT(ADDRESS(1492,20))+INDIRECT(ADDRESS(1495,20))-INDIRECT(ADDRESS(1496,20)))</f>
        <v>0</v>
      </c>
      <c r="U1497">
        <f>IF(DAY(NOW())&lt;M3,INDIRECT(ADDRESS(1497,20))-INDIRECT(ADDRESS(1492,21))+INDIRECT(ADDRESS(1493,21))-INDIRECT(ADDRESS(1496,21)),INDIRECT(ADDRESS(1497,20))-INDIRECT(ADDRESS(1492,21))+INDIRECT(ADDRESS(1495,21))-INDIRECT(ADDRESS(1496,21)))</f>
        <v>0</v>
      </c>
      <c r="V1497">
        <f>IF(DAY(NOW())&lt;M3,INDIRECT(ADDRESS(1497,21))-INDIRECT(ADDRESS(1492,22))+INDIRECT(ADDRESS(1493,22))-INDIRECT(ADDRESS(1496,22)),INDIRECT(ADDRESS(1497,21))-INDIRECT(ADDRESS(1492,22))+INDIRECT(ADDRESS(1495,22))-INDIRECT(ADDRESS(1496,22)))</f>
        <v>0</v>
      </c>
      <c r="W1497">
        <f>IF(DAY(NOW())&lt;M3,INDIRECT(ADDRESS(1497,22))-INDIRECT(ADDRESS(1492,23))+INDIRECT(ADDRESS(1493,23))-INDIRECT(ADDRESS(1496,23)),INDIRECT(ADDRESS(1497,22))-INDIRECT(ADDRESS(1492,23))+INDIRECT(ADDRESS(1495,23))-INDIRECT(ADDRESS(1496,23)))</f>
        <v>0</v>
      </c>
      <c r="X1497">
        <f>IF(DAY(NOW())&lt;M3,INDIRECT(ADDRESS(1497,23))-INDIRECT(ADDRESS(1492,24))+INDIRECT(ADDRESS(1493,24))-INDIRECT(ADDRESS(1496,24)),INDIRECT(ADDRESS(1497,23))-INDIRECT(ADDRESS(1492,24))+INDIRECT(ADDRESS(1495,24))-INDIRECT(ADDRESS(1496,24)))</f>
        <v>0</v>
      </c>
      <c r="Y1497">
        <f>IF(DAY(NOW())&lt;M3,INDIRECT(ADDRESS(1497,24))-INDIRECT(ADDRESS(1492,25))+INDIRECT(ADDRESS(1493,25))-INDIRECT(ADDRESS(1496,25)),INDIRECT(ADDRESS(1497,24))-INDIRECT(ADDRESS(1492,25))+INDIRECT(ADDRESS(1495,25))-INDIRECT(ADDRESS(1496,25)))</f>
        <v>0</v>
      </c>
      <c r="Z1497">
        <f>IF(DAY(NOW())&lt;M3,INDIRECT(ADDRESS(1497,25))-INDIRECT(ADDRESS(1492,26))+INDIRECT(ADDRESS(1493,26))-INDIRECT(ADDRESS(1496,26)),INDIRECT(ADDRESS(1497,25))-INDIRECT(ADDRESS(1492,26))+INDIRECT(ADDRESS(1495,26))-INDIRECT(ADDRESS(1496,26)))</f>
        <v>0</v>
      </c>
      <c r="AA1497">
        <f>IF(DAY(NOW())&lt;M3,INDIRECT(ADDRESS(1497,26))-INDIRECT(ADDRESS(1492,27))+INDIRECT(ADDRESS(1493,27))-INDIRECT(ADDRESS(1496,27)),INDIRECT(ADDRESS(1497,26))-INDIRECT(ADDRESS(1492,27))+INDIRECT(ADDRESS(1495,27))-INDIRECT(ADDRESS(1496,27)))</f>
        <v>0</v>
      </c>
      <c r="AB1497">
        <f>IF(DAY(NOW())&lt;M3,INDIRECT(ADDRESS(1497,27))-INDIRECT(ADDRESS(1492,28))+INDIRECT(ADDRESS(1493,28))-INDIRECT(ADDRESS(1496,28)),INDIRECT(ADDRESS(1497,27))-INDIRECT(ADDRESS(1492,28))+INDIRECT(ADDRESS(1495,28))-INDIRECT(ADDRESS(1496,28)))</f>
        <v>0</v>
      </c>
      <c r="AC1497">
        <f>IF(DAY(NOW())&lt;M3,INDIRECT(ADDRESS(1497,28))-INDIRECT(ADDRESS(1492,29))+INDIRECT(ADDRESS(1493,29))-INDIRECT(ADDRESS(1496,29)),INDIRECT(ADDRESS(1497,28))-INDIRECT(ADDRESS(1492,29))+INDIRECT(ADDRESS(1495,29))-INDIRECT(ADDRESS(1496,29)))</f>
        <v>0</v>
      </c>
      <c r="AD1497">
        <f>IF(DAY(NOW())&lt;M3,INDIRECT(ADDRESS(1497,29))-INDIRECT(ADDRESS(1492,30))+INDIRECT(ADDRESS(1493,30))-INDIRECT(ADDRESS(1496,30)),INDIRECT(ADDRESS(1497,29))-INDIRECT(ADDRESS(1492,30))+INDIRECT(ADDRESS(1495,30))-INDIRECT(ADDRESS(1496,30)))</f>
        <v>0</v>
      </c>
      <c r="AE1497">
        <f>IF(DAY(NOW())&lt;M3,INDIRECT(ADDRESS(1497,30))-INDIRECT(ADDRESS(1492,31))+INDIRECT(ADDRESS(1493,31))-INDIRECT(ADDRESS(1496,31)),INDIRECT(ADDRESS(1497,30))-INDIRECT(ADDRESS(1492,31))+INDIRECT(ADDRESS(1495,31))-INDIRECT(ADDRESS(1496,31)))</f>
        <v>0</v>
      </c>
      <c r="AF1497">
        <f>IF(DAY(NOW())&lt;M3,INDIRECT(ADDRESS(1497,31))-INDIRECT(ADDRESS(1492,32))+INDIRECT(ADDRESS(1493,32))-INDIRECT(ADDRESS(1496,32)),INDIRECT(ADDRESS(1497,31))-INDIRECT(ADDRESS(1492,32))+INDIRECT(ADDRESS(1495,32))-INDIRECT(ADDRESS(1496,32)))</f>
        <v>0</v>
      </c>
      <c r="AG1497">
        <f>IF(DAY(NOW())&lt;M3,INDIRECT(ADDRESS(1497,32))-INDIRECT(ADDRESS(1492,33))+INDIRECT(ADDRESS(1493,33))-INDIRECT(ADDRESS(1496,33)),INDIRECT(ADDRESS(1497,32))-INDIRECT(ADDRESS(1492,33))+INDIRECT(ADDRESS(1495,33))-INDIRECT(ADDRESS(1496,33)))</f>
        <v>0</v>
      </c>
      <c r="AH1497">
        <f>IF(DAY(NOW())&lt;M3,INDIRECT(ADDRESS(1497,33))-INDIRECT(ADDRESS(1492,34))+INDIRECT(ADDRESS(1493,34))-INDIRECT(ADDRESS(1496,34)),INDIRECT(ADDRESS(1497,33))-INDIRECT(ADDRESS(1492,34))+INDIRECT(ADDRESS(1495,34))-INDIRECT(ADDRESS(1496,34)))</f>
        <v>0</v>
      </c>
      <c r="AI1497">
        <f>IF(DAY(NOW())&lt;M3,INDIRECT(ADDRESS(1497,34))-INDIRECT(ADDRESS(1492,35))+INDIRECT(ADDRESS(1493,35))-INDIRECT(ADDRESS(1496,35)),INDIRECT(ADDRESS(1497,34))-INDIRECT(ADDRESS(1492,35))+INDIRECT(ADDRESS(1495,35))-INDIRECT(ADDRESS(1496,35)))</f>
        <v>0</v>
      </c>
      <c r="AJ1497">
        <f>IF(DAY(NOW())&lt;M3,INDIRECT(ADDRESS(1497,35))-INDIRECT(ADDRESS(1492,36))+INDIRECT(ADDRESS(1493,36))-INDIRECT(ADDRESS(1496,36)),INDIRECT(ADDRESS(1497,35))-INDIRECT(ADDRESS(1492,36))+INDIRECT(ADDRESS(1495,36))-INDIRECT(ADDRESS(1496,36)))</f>
        <v>0</v>
      </c>
      <c r="AK1497">
        <f>IF(DAY(NOW())&lt;M3,INDIRECT(ADDRESS(1497,36))-INDIRECT(ADDRESS(1492,37))+INDIRECT(ADDRESS(1493,37))-INDIRECT(ADDRESS(1496,37)),INDIRECT(ADDRESS(1497,36))-INDIRECT(ADDRESS(1492,37))+INDIRECT(ADDRESS(1495,37))-INDIRECT(ADDRESS(1496,37)))</f>
        <v>0</v>
      </c>
      <c r="AL1497">
        <f>IF(DAY(NOW())&lt;M3,INDIRECT(ADDRESS(1497,37))-INDIRECT(ADDRESS(1492,38))+INDIRECT(ADDRESS(1493,38))-INDIRECT(ADDRESS(1496,38)),INDIRECT(ADDRESS(1497,37))-INDIRECT(ADDRESS(1492,38))+INDIRECT(ADDRESS(1495,38))-INDIRECT(ADDRESS(1496,38)))</f>
        <v>0</v>
      </c>
      <c r="AM1497">
        <f>IF(DAY(NOW())&lt;M3,INDIRECT(ADDRESS(1497,38))-INDIRECT(ADDRESS(1492,39))+INDIRECT(ADDRESS(1493,39))-INDIRECT(ADDRESS(1496,39)),INDIRECT(ADDRESS(1497,38))-INDIRECT(ADDRESS(1492,39))+INDIRECT(ADDRESS(1495,39))-INDIRECT(ADDRESS(1496,39)))</f>
        <v>0</v>
      </c>
      <c r="AN1497">
        <f>IF(DAY(NOW())&lt;M3,INDIRECT(ADDRESS(1497,39))-INDIRECT(ADDRESS(1492,40))+INDIRECT(ADDRESS(1493,40))-INDIRECT(ADDRESS(1496,40)),INDIRECT(ADDRESS(1497,39))-INDIRECT(ADDRESS(1492,40))+INDIRECT(ADDRESS(1495,40))-INDIRECT(ADDRESS(1496,40)))</f>
        <v>0</v>
      </c>
      <c r="AO1497">
        <f>IF(DAY(NOW())&lt;M3,INDIRECT(ADDRESS(1497,40))-INDIRECT(ADDRESS(1492,41))+INDIRECT(ADDRESS(1493,41))-INDIRECT(ADDRESS(1496,41)),INDIRECT(ADDRESS(1497,40))-INDIRECT(ADDRESS(1492,41))+INDIRECT(ADDRESS(1495,41))-INDIRECT(ADDRESS(1496,41)))</f>
        <v>0</v>
      </c>
      <c r="AP1497">
        <f>IF(DAY(NOW())&lt;M3,INDIRECT(ADDRESS(1497,41))-INDIRECT(ADDRESS(1492,42))+INDIRECT(ADDRESS(1493,42))-INDIRECT(ADDRESS(1496,42)),INDIRECT(ADDRESS(1497,41))-INDIRECT(ADDRESS(1492,42))+INDIRECT(ADDRESS(1495,42))-INDIRECT(ADDRESS(1496,42)))</f>
        <v>0</v>
      </c>
      <c r="AQ1497">
        <f>IF(DAY(NOW())&lt;M3,INDIRECT(ADDRESS(1497,42))-INDIRECT(ADDRESS(1492,43))+INDIRECT(ADDRESS(1493,43))-INDIRECT(ADDRESS(1496,43)),INDIRECT(ADDRESS(1497,42))-INDIRECT(ADDRESS(1492,43))+INDIRECT(ADDRESS(1495,43))-INDIRECT(ADDRESS(1496,43)))</f>
        <v>0</v>
      </c>
      <c r="AR1497">
        <f>IF(DAY(NOW())&lt;M3,INDIRECT(ADDRESS(1497,43))-INDIRECT(ADDRESS(1492,44))+INDIRECT(ADDRESS(1493,44))-INDIRECT(ADDRESS(1496,44)),INDIRECT(ADDRESS(1497,43))-INDIRECT(ADDRESS(1492,44))+INDIRECT(ADDRESS(1495,44))-INDIRECT(ADDRESS(1496,44)))</f>
        <v>0</v>
      </c>
    </row>
    <row r="1498" spans="1:76">
      <c r="A1498" t="s">
        <v>31</v>
      </c>
      <c r="B1498" t="s">
        <v>600</v>
      </c>
      <c r="C1498" t="s">
        <v>601</v>
      </c>
      <c r="F1498" t="s">
        <v>596</v>
      </c>
      <c r="K1498" t="s">
        <v>590</v>
      </c>
      <c r="L1498" t="s">
        <v>21</v>
      </c>
      <c r="M1498">
        <f>sumifs(BOM!m:m,BOM!A:A,".1",BOM!B:B,"272-064200-000")</f>
        <v>0</v>
      </c>
      <c r="N1498">
        <f>sumifs(BOM!n:n,BOM!A:A,".1",BOM!B:B,"272-064200-000")</f>
        <v>0</v>
      </c>
      <c r="O1498">
        <f>sumifs(BOM!o:o,BOM!A:A,".1",BOM!B:B,"272-064200-000")</f>
        <v>0</v>
      </c>
      <c r="P1498">
        <f>sumifs(BOM!p:p,BOM!A:A,".1",BOM!B:B,"272-064200-000")</f>
        <v>0</v>
      </c>
      <c r="Q1498">
        <f>sumifs(BOM!q:q,BOM!A:A,".1",BOM!B:B,"272-064200-000")</f>
        <v>0</v>
      </c>
      <c r="R1498">
        <f>sumifs(BOM!r:r,BOM!A:A,".1",BOM!B:B,"272-064200-000")</f>
        <v>0</v>
      </c>
      <c r="S1498">
        <f>sumifs(BOM!s:s,BOM!A:A,".1",BOM!B:B,"272-064200-000")</f>
        <v>0</v>
      </c>
      <c r="T1498">
        <f>sumifs(BOM!t:t,BOM!A:A,".1",BOM!B:B,"272-064200-000")</f>
        <v>0</v>
      </c>
      <c r="U1498">
        <f>sumifs(BOM!u:u,BOM!A:A,".1",BOM!B:B,"272-064200-000")</f>
        <v>0</v>
      </c>
      <c r="V1498">
        <f>sumifs(BOM!v:v,BOM!A:A,".1",BOM!B:B,"272-064200-000")</f>
        <v>0</v>
      </c>
      <c r="W1498">
        <f>sumifs(BOM!w:w,BOM!A:A,".1",BOM!B:B,"272-064200-000")</f>
        <v>0</v>
      </c>
      <c r="X1498">
        <f>sumifs(BOM!x:x,BOM!A:A,".1",BOM!B:B,"272-064200-000")</f>
        <v>0</v>
      </c>
      <c r="Y1498">
        <f>sumifs(BOM!y:y,BOM!A:A,".1",BOM!B:B,"272-064200-000")</f>
        <v>0</v>
      </c>
      <c r="Z1498">
        <f>sumifs(BOM!z:z,BOM!A:A,".1",BOM!B:B,"272-064200-000")</f>
        <v>0</v>
      </c>
      <c r="AA1498">
        <f>sumifs(BOM!aa:aa,BOM!A:A,".1",BOM!B:B,"272-064200-000")</f>
        <v>0</v>
      </c>
      <c r="AB1498">
        <f>sumifs(BOM!ab:ab,BOM!A:A,".1",BOM!B:B,"272-064200-000")</f>
        <v>0</v>
      </c>
      <c r="AC1498">
        <f>sumifs(BOM!ac:ac,BOM!A:A,".1",BOM!B:B,"272-064200-000")</f>
        <v>0</v>
      </c>
      <c r="AD1498">
        <f>sumifs(BOM!ad:ad,BOM!A:A,".1",BOM!B:B,"272-064200-000")</f>
        <v>0</v>
      </c>
      <c r="AE1498">
        <f>sumifs(BOM!ae:ae,BOM!A:A,".1",BOM!B:B,"272-064200-000")</f>
        <v>0</v>
      </c>
      <c r="AF1498">
        <f>sumifs(BOM!af:af,BOM!A:A,".1",BOM!B:B,"272-064200-000")</f>
        <v>0</v>
      </c>
      <c r="AG1498">
        <f>sumifs(BOM!ag:ag,BOM!A:A,".1",BOM!B:B,"272-064200-000")</f>
        <v>0</v>
      </c>
      <c r="AH1498">
        <f>sumifs(BOM!ah:ah,BOM!A:A,".1",BOM!B:B,"272-064200-000")</f>
        <v>0</v>
      </c>
      <c r="AI1498">
        <f>sumifs(BOM!ai:ai,BOM!A:A,".1",BOM!B:B,"272-064200-000")</f>
        <v>0</v>
      </c>
      <c r="AJ1498">
        <f>sumifs(BOM!aj:aj,BOM!A:A,".1",BOM!B:B,"272-064200-000")</f>
        <v>0</v>
      </c>
      <c r="AK1498">
        <f>sumifs(BOM!ak:ak,BOM!A:A,".1",BOM!B:B,"272-064200-000")</f>
        <v>0</v>
      </c>
      <c r="AL1498">
        <f>sumifs(BOM!al:al,BOM!A:A,".1",BOM!B:B,"272-064200-000")</f>
        <v>0</v>
      </c>
      <c r="AM1498">
        <f>sumifs(BOM!am:am,BOM!A:A,".1",BOM!B:B,"272-064200-000")</f>
        <v>0</v>
      </c>
      <c r="AN1498">
        <f>sumifs(BOM!an:an,BOM!A:A,".1",BOM!B:B,"272-064200-000")</f>
        <v>0</v>
      </c>
      <c r="AO1498">
        <f>sumifs(BOM!ao:ao,BOM!A:A,".1",BOM!B:B,"272-064200-000")</f>
        <v>0</v>
      </c>
      <c r="AP1498">
        <f>sumifs(BOM!ap:ap,BOM!A:A,".1",BOM!B:B,"272-064200-000")</f>
        <v>0</v>
      </c>
      <c r="AQ1498">
        <f>sumifs(BOM!aq:aq,BOM!A:A,".1",BOM!B:B,"272-064200-000")</f>
        <v>0</v>
      </c>
      <c r="AR1498">
        <f>sumifs(BOM!ar:ar,BOM!A:A,".1",BOM!B:B,"272-064200-000")</f>
        <v>0</v>
      </c>
      <c r="BX1498">
        <f>sum(j1498:an1498)</f>
        <v>0</v>
      </c>
    </row>
    <row r="1499" spans="1:76">
      <c r="A1499" t="s">
        <v>31</v>
      </c>
      <c r="B1499" t="s">
        <v>600</v>
      </c>
      <c r="C1499" t="s">
        <v>601</v>
      </c>
      <c r="F1499" t="s">
        <v>596</v>
      </c>
      <c r="K1499" t="s">
        <v>590</v>
      </c>
      <c r="L1499" t="s">
        <v>37</v>
      </c>
    </row>
    <row r="1500" spans="1:76">
      <c r="L1500" t="s">
        <v>662</v>
      </c>
    </row>
    <row r="1501" spans="1:76">
      <c r="L1501" t="s">
        <v>663</v>
      </c>
    </row>
    <row r="1502" spans="1:76">
      <c r="L1502" t="s">
        <v>664</v>
      </c>
    </row>
    <row r="1503" spans="1:76">
      <c r="L1503" t="s">
        <v>665</v>
      </c>
      <c r="M1503">
        <f>IF(DAY(NOW())&lt;M3,INDIRECT(ADDRESS(1503,7))-INDIRECT(ADDRESS(1498,13))+INDIRECT(ADDRESS(1499,13))-INDIRECT(ADDRESS(1502,13)),INDIRECT(ADDRESS(1503,7))-INDIRECT(ADDRESS(1498,13))+INDIRECT(ADDRESS(1501,13))-INDIRECT(ADDRESS(1502,13)))</f>
        <v>0</v>
      </c>
      <c r="N1503">
        <f>IF(DAY(NOW())&lt;M3,INDIRECT(ADDRESS(1503,13))-INDIRECT(ADDRESS(1498,14))+INDIRECT(ADDRESS(1499,14))-INDIRECT(ADDRESS(1502,14)),INDIRECT(ADDRESS(1503,13))-INDIRECT(ADDRESS(1498,14))+INDIRECT(ADDRESS(1501,14))-INDIRECT(ADDRESS(1502,14)))</f>
        <v>0</v>
      </c>
      <c r="O1503">
        <f>IF(DAY(NOW())&lt;M3,INDIRECT(ADDRESS(1503,14))-INDIRECT(ADDRESS(1498,15))+INDIRECT(ADDRESS(1499,15))-INDIRECT(ADDRESS(1502,15)),INDIRECT(ADDRESS(1503,14))-INDIRECT(ADDRESS(1498,15))+INDIRECT(ADDRESS(1501,15))-INDIRECT(ADDRESS(1502,15)))</f>
        <v>0</v>
      </c>
      <c r="P1503">
        <f>IF(DAY(NOW())&lt;M3,INDIRECT(ADDRESS(1503,15))-INDIRECT(ADDRESS(1498,16))+INDIRECT(ADDRESS(1499,16))-INDIRECT(ADDRESS(1502,16)),INDIRECT(ADDRESS(1503,15))-INDIRECT(ADDRESS(1498,16))+INDIRECT(ADDRESS(1501,16))-INDIRECT(ADDRESS(1502,16)))</f>
        <v>0</v>
      </c>
      <c r="Q1503">
        <f>IF(DAY(NOW())&lt;M3,INDIRECT(ADDRESS(1503,16))-INDIRECT(ADDRESS(1498,17))+INDIRECT(ADDRESS(1499,17))-INDIRECT(ADDRESS(1502,17)),INDIRECT(ADDRESS(1503,16))-INDIRECT(ADDRESS(1498,17))+INDIRECT(ADDRESS(1501,17))-INDIRECT(ADDRESS(1502,17)))</f>
        <v>0</v>
      </c>
      <c r="R1503">
        <f>IF(DAY(NOW())&lt;M3,INDIRECT(ADDRESS(1503,17))-INDIRECT(ADDRESS(1498,18))+INDIRECT(ADDRESS(1499,18))-INDIRECT(ADDRESS(1502,18)),INDIRECT(ADDRESS(1503,17))-INDIRECT(ADDRESS(1498,18))+INDIRECT(ADDRESS(1501,18))-INDIRECT(ADDRESS(1502,18)))</f>
        <v>0</v>
      </c>
      <c r="S1503">
        <f>IF(DAY(NOW())&lt;M3,INDIRECT(ADDRESS(1503,18))-INDIRECT(ADDRESS(1498,19))+INDIRECT(ADDRESS(1499,19))-INDIRECT(ADDRESS(1502,19)),INDIRECT(ADDRESS(1503,18))-INDIRECT(ADDRESS(1498,19))+INDIRECT(ADDRESS(1501,19))-INDIRECT(ADDRESS(1502,19)))</f>
        <v>0</v>
      </c>
      <c r="T1503">
        <f>IF(DAY(NOW())&lt;M3,INDIRECT(ADDRESS(1503,19))-INDIRECT(ADDRESS(1498,20))+INDIRECT(ADDRESS(1499,20))-INDIRECT(ADDRESS(1502,20)),INDIRECT(ADDRESS(1503,19))-INDIRECT(ADDRESS(1498,20))+INDIRECT(ADDRESS(1501,20))-INDIRECT(ADDRESS(1502,20)))</f>
        <v>0</v>
      </c>
      <c r="U1503">
        <f>IF(DAY(NOW())&lt;M3,INDIRECT(ADDRESS(1503,20))-INDIRECT(ADDRESS(1498,21))+INDIRECT(ADDRESS(1499,21))-INDIRECT(ADDRESS(1502,21)),INDIRECT(ADDRESS(1503,20))-INDIRECT(ADDRESS(1498,21))+INDIRECT(ADDRESS(1501,21))-INDIRECT(ADDRESS(1502,21)))</f>
        <v>0</v>
      </c>
      <c r="V1503">
        <f>IF(DAY(NOW())&lt;M3,INDIRECT(ADDRESS(1503,21))-INDIRECT(ADDRESS(1498,22))+INDIRECT(ADDRESS(1499,22))-INDIRECT(ADDRESS(1502,22)),INDIRECT(ADDRESS(1503,21))-INDIRECT(ADDRESS(1498,22))+INDIRECT(ADDRESS(1501,22))-INDIRECT(ADDRESS(1502,22)))</f>
        <v>0</v>
      </c>
      <c r="W1503">
        <f>IF(DAY(NOW())&lt;M3,INDIRECT(ADDRESS(1503,22))-INDIRECT(ADDRESS(1498,23))+INDIRECT(ADDRESS(1499,23))-INDIRECT(ADDRESS(1502,23)),INDIRECT(ADDRESS(1503,22))-INDIRECT(ADDRESS(1498,23))+INDIRECT(ADDRESS(1501,23))-INDIRECT(ADDRESS(1502,23)))</f>
        <v>0</v>
      </c>
      <c r="X1503">
        <f>IF(DAY(NOW())&lt;M3,INDIRECT(ADDRESS(1503,23))-INDIRECT(ADDRESS(1498,24))+INDIRECT(ADDRESS(1499,24))-INDIRECT(ADDRESS(1502,24)),INDIRECT(ADDRESS(1503,23))-INDIRECT(ADDRESS(1498,24))+INDIRECT(ADDRESS(1501,24))-INDIRECT(ADDRESS(1502,24)))</f>
        <v>0</v>
      </c>
      <c r="Y1503">
        <f>IF(DAY(NOW())&lt;M3,INDIRECT(ADDRESS(1503,24))-INDIRECT(ADDRESS(1498,25))+INDIRECT(ADDRESS(1499,25))-INDIRECT(ADDRESS(1502,25)),INDIRECT(ADDRESS(1503,24))-INDIRECT(ADDRESS(1498,25))+INDIRECT(ADDRESS(1501,25))-INDIRECT(ADDRESS(1502,25)))</f>
        <v>0</v>
      </c>
      <c r="Z1503">
        <f>IF(DAY(NOW())&lt;M3,INDIRECT(ADDRESS(1503,25))-INDIRECT(ADDRESS(1498,26))+INDIRECT(ADDRESS(1499,26))-INDIRECT(ADDRESS(1502,26)),INDIRECT(ADDRESS(1503,25))-INDIRECT(ADDRESS(1498,26))+INDIRECT(ADDRESS(1501,26))-INDIRECT(ADDRESS(1502,26)))</f>
        <v>0</v>
      </c>
      <c r="AA1503">
        <f>IF(DAY(NOW())&lt;M3,INDIRECT(ADDRESS(1503,26))-INDIRECT(ADDRESS(1498,27))+INDIRECT(ADDRESS(1499,27))-INDIRECT(ADDRESS(1502,27)),INDIRECT(ADDRESS(1503,26))-INDIRECT(ADDRESS(1498,27))+INDIRECT(ADDRESS(1501,27))-INDIRECT(ADDRESS(1502,27)))</f>
        <v>0</v>
      </c>
      <c r="AB1503">
        <f>IF(DAY(NOW())&lt;M3,INDIRECT(ADDRESS(1503,27))-INDIRECT(ADDRESS(1498,28))+INDIRECT(ADDRESS(1499,28))-INDIRECT(ADDRESS(1502,28)),INDIRECT(ADDRESS(1503,27))-INDIRECT(ADDRESS(1498,28))+INDIRECT(ADDRESS(1501,28))-INDIRECT(ADDRESS(1502,28)))</f>
        <v>0</v>
      </c>
      <c r="AC1503">
        <f>IF(DAY(NOW())&lt;M3,INDIRECT(ADDRESS(1503,28))-INDIRECT(ADDRESS(1498,29))+INDIRECT(ADDRESS(1499,29))-INDIRECT(ADDRESS(1502,29)),INDIRECT(ADDRESS(1503,28))-INDIRECT(ADDRESS(1498,29))+INDIRECT(ADDRESS(1501,29))-INDIRECT(ADDRESS(1502,29)))</f>
        <v>0</v>
      </c>
      <c r="AD1503">
        <f>IF(DAY(NOW())&lt;M3,INDIRECT(ADDRESS(1503,29))-INDIRECT(ADDRESS(1498,30))+INDIRECT(ADDRESS(1499,30))-INDIRECT(ADDRESS(1502,30)),INDIRECT(ADDRESS(1503,29))-INDIRECT(ADDRESS(1498,30))+INDIRECT(ADDRESS(1501,30))-INDIRECT(ADDRESS(1502,30)))</f>
        <v>0</v>
      </c>
      <c r="AE1503">
        <f>IF(DAY(NOW())&lt;M3,INDIRECT(ADDRESS(1503,30))-INDIRECT(ADDRESS(1498,31))+INDIRECT(ADDRESS(1499,31))-INDIRECT(ADDRESS(1502,31)),INDIRECT(ADDRESS(1503,30))-INDIRECT(ADDRESS(1498,31))+INDIRECT(ADDRESS(1501,31))-INDIRECT(ADDRESS(1502,31)))</f>
        <v>0</v>
      </c>
      <c r="AF1503">
        <f>IF(DAY(NOW())&lt;M3,INDIRECT(ADDRESS(1503,31))-INDIRECT(ADDRESS(1498,32))+INDIRECT(ADDRESS(1499,32))-INDIRECT(ADDRESS(1502,32)),INDIRECT(ADDRESS(1503,31))-INDIRECT(ADDRESS(1498,32))+INDIRECT(ADDRESS(1501,32))-INDIRECT(ADDRESS(1502,32)))</f>
        <v>0</v>
      </c>
      <c r="AG1503">
        <f>IF(DAY(NOW())&lt;M3,INDIRECT(ADDRESS(1503,32))-INDIRECT(ADDRESS(1498,33))+INDIRECT(ADDRESS(1499,33))-INDIRECT(ADDRESS(1502,33)),INDIRECT(ADDRESS(1503,32))-INDIRECT(ADDRESS(1498,33))+INDIRECT(ADDRESS(1501,33))-INDIRECT(ADDRESS(1502,33)))</f>
        <v>0</v>
      </c>
      <c r="AH1503">
        <f>IF(DAY(NOW())&lt;M3,INDIRECT(ADDRESS(1503,33))-INDIRECT(ADDRESS(1498,34))+INDIRECT(ADDRESS(1499,34))-INDIRECT(ADDRESS(1502,34)),INDIRECT(ADDRESS(1503,33))-INDIRECT(ADDRESS(1498,34))+INDIRECT(ADDRESS(1501,34))-INDIRECT(ADDRESS(1502,34)))</f>
        <v>0</v>
      </c>
      <c r="AI1503">
        <f>IF(DAY(NOW())&lt;M3,INDIRECT(ADDRESS(1503,34))-INDIRECT(ADDRESS(1498,35))+INDIRECT(ADDRESS(1499,35))-INDIRECT(ADDRESS(1502,35)),INDIRECT(ADDRESS(1503,34))-INDIRECT(ADDRESS(1498,35))+INDIRECT(ADDRESS(1501,35))-INDIRECT(ADDRESS(1502,35)))</f>
        <v>0</v>
      </c>
      <c r="AJ1503">
        <f>IF(DAY(NOW())&lt;M3,INDIRECT(ADDRESS(1503,35))-INDIRECT(ADDRESS(1498,36))+INDIRECT(ADDRESS(1499,36))-INDIRECT(ADDRESS(1502,36)),INDIRECT(ADDRESS(1503,35))-INDIRECT(ADDRESS(1498,36))+INDIRECT(ADDRESS(1501,36))-INDIRECT(ADDRESS(1502,36)))</f>
        <v>0</v>
      </c>
      <c r="AK1503">
        <f>IF(DAY(NOW())&lt;M3,INDIRECT(ADDRESS(1503,36))-INDIRECT(ADDRESS(1498,37))+INDIRECT(ADDRESS(1499,37))-INDIRECT(ADDRESS(1502,37)),INDIRECT(ADDRESS(1503,36))-INDIRECT(ADDRESS(1498,37))+INDIRECT(ADDRESS(1501,37))-INDIRECT(ADDRESS(1502,37)))</f>
        <v>0</v>
      </c>
      <c r="AL1503">
        <f>IF(DAY(NOW())&lt;M3,INDIRECT(ADDRESS(1503,37))-INDIRECT(ADDRESS(1498,38))+INDIRECT(ADDRESS(1499,38))-INDIRECT(ADDRESS(1502,38)),INDIRECT(ADDRESS(1503,37))-INDIRECT(ADDRESS(1498,38))+INDIRECT(ADDRESS(1501,38))-INDIRECT(ADDRESS(1502,38)))</f>
        <v>0</v>
      </c>
      <c r="AM1503">
        <f>IF(DAY(NOW())&lt;M3,INDIRECT(ADDRESS(1503,38))-INDIRECT(ADDRESS(1498,39))+INDIRECT(ADDRESS(1499,39))-INDIRECT(ADDRESS(1502,39)),INDIRECT(ADDRESS(1503,38))-INDIRECT(ADDRESS(1498,39))+INDIRECT(ADDRESS(1501,39))-INDIRECT(ADDRESS(1502,39)))</f>
        <v>0</v>
      </c>
      <c r="AN1503">
        <f>IF(DAY(NOW())&lt;M3,INDIRECT(ADDRESS(1503,39))-INDIRECT(ADDRESS(1498,40))+INDIRECT(ADDRESS(1499,40))-INDIRECT(ADDRESS(1502,40)),INDIRECT(ADDRESS(1503,39))-INDIRECT(ADDRESS(1498,40))+INDIRECT(ADDRESS(1501,40))-INDIRECT(ADDRESS(1502,40)))</f>
        <v>0</v>
      </c>
      <c r="AO1503">
        <f>IF(DAY(NOW())&lt;M3,INDIRECT(ADDRESS(1503,40))-INDIRECT(ADDRESS(1498,41))+INDIRECT(ADDRESS(1499,41))-INDIRECT(ADDRESS(1502,41)),INDIRECT(ADDRESS(1503,40))-INDIRECT(ADDRESS(1498,41))+INDIRECT(ADDRESS(1501,41))-INDIRECT(ADDRESS(1502,41)))</f>
        <v>0</v>
      </c>
      <c r="AP1503">
        <f>IF(DAY(NOW())&lt;M3,INDIRECT(ADDRESS(1503,41))-INDIRECT(ADDRESS(1498,42))+INDIRECT(ADDRESS(1499,42))-INDIRECT(ADDRESS(1502,42)),INDIRECT(ADDRESS(1503,41))-INDIRECT(ADDRESS(1498,42))+INDIRECT(ADDRESS(1501,42))-INDIRECT(ADDRESS(1502,42)))</f>
        <v>0</v>
      </c>
      <c r="AQ1503">
        <f>IF(DAY(NOW())&lt;M3,INDIRECT(ADDRESS(1503,42))-INDIRECT(ADDRESS(1498,43))+INDIRECT(ADDRESS(1499,43))-INDIRECT(ADDRESS(1502,43)),INDIRECT(ADDRESS(1503,42))-INDIRECT(ADDRESS(1498,43))+INDIRECT(ADDRESS(1501,43))-INDIRECT(ADDRESS(1502,43)))</f>
        <v>0</v>
      </c>
      <c r="AR1503">
        <f>IF(DAY(NOW())&lt;M3,INDIRECT(ADDRESS(1503,43))-INDIRECT(ADDRESS(1498,44))+INDIRECT(ADDRESS(1499,44))-INDIRECT(ADDRESS(1502,44)),INDIRECT(ADDRESS(1503,43))-INDIRECT(ADDRESS(1498,44))+INDIRECT(ADDRESS(1501,44))-INDIRECT(ADDRESS(1502,44)))</f>
        <v>0</v>
      </c>
    </row>
    <row r="1504" spans="1:76">
      <c r="A1504" t="s">
        <v>31</v>
      </c>
      <c r="B1504" t="s">
        <v>597</v>
      </c>
      <c r="C1504" t="s">
        <v>598</v>
      </c>
      <c r="E1504">
        <v>1</v>
      </c>
      <c r="F1504" t="s">
        <v>602</v>
      </c>
      <c r="K1504" t="s">
        <v>590</v>
      </c>
      <c r="L1504" t="s">
        <v>21</v>
      </c>
      <c r="M1504">
        <f>sumifs(BOM!m:m,BOM!A:A,".1",BOM!B:B,"262-002200-000")</f>
        <v>0</v>
      </c>
      <c r="N1504">
        <f>sumifs(BOM!n:n,BOM!A:A,".1",BOM!B:B,"262-002200-000")</f>
        <v>0</v>
      </c>
      <c r="O1504">
        <f>sumifs(BOM!o:o,BOM!A:A,".1",BOM!B:B,"262-002200-000")</f>
        <v>0</v>
      </c>
      <c r="P1504">
        <f>sumifs(BOM!p:p,BOM!A:A,".1",BOM!B:B,"262-002200-000")</f>
        <v>0</v>
      </c>
      <c r="Q1504">
        <f>sumifs(BOM!q:q,BOM!A:A,".1",BOM!B:B,"262-002200-000")</f>
        <v>0</v>
      </c>
      <c r="R1504">
        <f>sumifs(BOM!r:r,BOM!A:A,".1",BOM!B:B,"262-002200-000")</f>
        <v>0</v>
      </c>
      <c r="S1504">
        <f>sumifs(BOM!s:s,BOM!A:A,".1",BOM!B:B,"262-002200-000")</f>
        <v>0</v>
      </c>
      <c r="T1504">
        <f>sumifs(BOM!t:t,BOM!A:A,".1",BOM!B:B,"262-002200-000")</f>
        <v>0</v>
      </c>
      <c r="U1504">
        <f>sumifs(BOM!u:u,BOM!A:A,".1",BOM!B:B,"262-002200-000")</f>
        <v>0</v>
      </c>
      <c r="V1504">
        <f>sumifs(BOM!v:v,BOM!A:A,".1",BOM!B:B,"262-002200-000")</f>
        <v>0</v>
      </c>
      <c r="W1504">
        <f>sumifs(BOM!w:w,BOM!A:A,".1",BOM!B:B,"262-002200-000")</f>
        <v>0</v>
      </c>
      <c r="X1504">
        <f>sumifs(BOM!x:x,BOM!A:A,".1",BOM!B:B,"262-002200-000")</f>
        <v>0</v>
      </c>
      <c r="Y1504">
        <f>sumifs(BOM!y:y,BOM!A:A,".1",BOM!B:B,"262-002200-000")</f>
        <v>0</v>
      </c>
      <c r="Z1504">
        <f>sumifs(BOM!z:z,BOM!A:A,".1",BOM!B:B,"262-002200-000")</f>
        <v>0</v>
      </c>
      <c r="AA1504">
        <f>sumifs(BOM!aa:aa,BOM!A:A,".1",BOM!B:B,"262-002200-000")</f>
        <v>0</v>
      </c>
      <c r="AB1504">
        <f>sumifs(BOM!ab:ab,BOM!A:A,".1",BOM!B:B,"262-002200-000")</f>
        <v>0</v>
      </c>
      <c r="AC1504">
        <f>sumifs(BOM!ac:ac,BOM!A:A,".1",BOM!B:B,"262-002200-000")</f>
        <v>0</v>
      </c>
      <c r="AD1504">
        <f>sumifs(BOM!ad:ad,BOM!A:A,".1",BOM!B:B,"262-002200-000")</f>
        <v>0</v>
      </c>
      <c r="AE1504">
        <f>sumifs(BOM!ae:ae,BOM!A:A,".1",BOM!B:B,"262-002200-000")</f>
        <v>0</v>
      </c>
      <c r="AF1504">
        <f>sumifs(BOM!af:af,BOM!A:A,".1",BOM!B:B,"262-002200-000")</f>
        <v>0</v>
      </c>
      <c r="AG1504">
        <f>sumifs(BOM!ag:ag,BOM!A:A,".1",BOM!B:B,"262-002200-000")</f>
        <v>0</v>
      </c>
      <c r="AH1504">
        <f>sumifs(BOM!ah:ah,BOM!A:A,".1",BOM!B:B,"262-002200-000")</f>
        <v>0</v>
      </c>
      <c r="AI1504">
        <f>sumifs(BOM!ai:ai,BOM!A:A,".1",BOM!B:B,"262-002200-000")</f>
        <v>0</v>
      </c>
      <c r="AJ1504">
        <f>sumifs(BOM!aj:aj,BOM!A:A,".1",BOM!B:B,"262-002200-000")</f>
        <v>0</v>
      </c>
      <c r="AK1504">
        <f>sumifs(BOM!ak:ak,BOM!A:A,".1",BOM!B:B,"262-002200-000")</f>
        <v>0</v>
      </c>
      <c r="AL1504">
        <f>sumifs(BOM!al:al,BOM!A:A,".1",BOM!B:B,"262-002200-000")</f>
        <v>0</v>
      </c>
      <c r="AM1504">
        <f>sumifs(BOM!am:am,BOM!A:A,".1",BOM!B:B,"262-002200-000")</f>
        <v>0</v>
      </c>
      <c r="AN1504">
        <f>sumifs(BOM!an:an,BOM!A:A,".1",BOM!B:B,"262-002200-000")</f>
        <v>0</v>
      </c>
      <c r="AO1504">
        <f>sumifs(BOM!ao:ao,BOM!A:A,".1",BOM!B:B,"262-002200-000")</f>
        <v>0</v>
      </c>
      <c r="AP1504">
        <f>sumifs(BOM!ap:ap,BOM!A:A,".1",BOM!B:B,"262-002200-000")</f>
        <v>0</v>
      </c>
      <c r="AQ1504">
        <f>sumifs(BOM!aq:aq,BOM!A:A,".1",BOM!B:B,"262-002200-000")</f>
        <v>0</v>
      </c>
      <c r="AR1504">
        <f>sumifs(BOM!ar:ar,BOM!A:A,".1",BOM!B:B,"262-002200-000")</f>
        <v>0</v>
      </c>
      <c r="BX1504">
        <f>sum(j1504:an1504)</f>
        <v>0</v>
      </c>
    </row>
    <row r="1505" spans="1:76">
      <c r="A1505" t="s">
        <v>31</v>
      </c>
      <c r="B1505" t="s">
        <v>597</v>
      </c>
      <c r="C1505" t="s">
        <v>598</v>
      </c>
      <c r="E1505">
        <v>1</v>
      </c>
      <c r="F1505" t="s">
        <v>602</v>
      </c>
      <c r="K1505" t="s">
        <v>590</v>
      </c>
      <c r="L1505" t="s">
        <v>37</v>
      </c>
    </row>
    <row r="1506" spans="1:76">
      <c r="L1506" t="s">
        <v>662</v>
      </c>
    </row>
    <row r="1507" spans="1:76">
      <c r="L1507" t="s">
        <v>663</v>
      </c>
    </row>
    <row r="1508" spans="1:76">
      <c r="L1508" t="s">
        <v>664</v>
      </c>
    </row>
    <row r="1509" spans="1:76">
      <c r="L1509" t="s">
        <v>665</v>
      </c>
      <c r="M1509">
        <f>IF(DAY(NOW())&lt;M3,INDIRECT(ADDRESS(1509,7))-INDIRECT(ADDRESS(1504,13))+INDIRECT(ADDRESS(1505,13))-INDIRECT(ADDRESS(1508,13)),INDIRECT(ADDRESS(1509,7))-INDIRECT(ADDRESS(1504,13))+INDIRECT(ADDRESS(1507,13))-INDIRECT(ADDRESS(1508,13)))</f>
        <v>0</v>
      </c>
      <c r="N1509">
        <f>IF(DAY(NOW())&lt;M3,INDIRECT(ADDRESS(1509,13))-INDIRECT(ADDRESS(1504,14))+INDIRECT(ADDRESS(1505,14))-INDIRECT(ADDRESS(1508,14)),INDIRECT(ADDRESS(1509,13))-INDIRECT(ADDRESS(1504,14))+INDIRECT(ADDRESS(1507,14))-INDIRECT(ADDRESS(1508,14)))</f>
        <v>0</v>
      </c>
      <c r="O1509">
        <f>IF(DAY(NOW())&lt;M3,INDIRECT(ADDRESS(1509,14))-INDIRECT(ADDRESS(1504,15))+INDIRECT(ADDRESS(1505,15))-INDIRECT(ADDRESS(1508,15)),INDIRECT(ADDRESS(1509,14))-INDIRECT(ADDRESS(1504,15))+INDIRECT(ADDRESS(1507,15))-INDIRECT(ADDRESS(1508,15)))</f>
        <v>0</v>
      </c>
      <c r="P1509">
        <f>IF(DAY(NOW())&lt;M3,INDIRECT(ADDRESS(1509,15))-INDIRECT(ADDRESS(1504,16))+INDIRECT(ADDRESS(1505,16))-INDIRECT(ADDRESS(1508,16)),INDIRECT(ADDRESS(1509,15))-INDIRECT(ADDRESS(1504,16))+INDIRECT(ADDRESS(1507,16))-INDIRECT(ADDRESS(1508,16)))</f>
        <v>0</v>
      </c>
      <c r="Q1509">
        <f>IF(DAY(NOW())&lt;M3,INDIRECT(ADDRESS(1509,16))-INDIRECT(ADDRESS(1504,17))+INDIRECT(ADDRESS(1505,17))-INDIRECT(ADDRESS(1508,17)),INDIRECT(ADDRESS(1509,16))-INDIRECT(ADDRESS(1504,17))+INDIRECT(ADDRESS(1507,17))-INDIRECT(ADDRESS(1508,17)))</f>
        <v>0</v>
      </c>
      <c r="R1509">
        <f>IF(DAY(NOW())&lt;M3,INDIRECT(ADDRESS(1509,17))-INDIRECT(ADDRESS(1504,18))+INDIRECT(ADDRESS(1505,18))-INDIRECT(ADDRESS(1508,18)),INDIRECT(ADDRESS(1509,17))-INDIRECT(ADDRESS(1504,18))+INDIRECT(ADDRESS(1507,18))-INDIRECT(ADDRESS(1508,18)))</f>
        <v>0</v>
      </c>
      <c r="S1509">
        <f>IF(DAY(NOW())&lt;M3,INDIRECT(ADDRESS(1509,18))-INDIRECT(ADDRESS(1504,19))+INDIRECT(ADDRESS(1505,19))-INDIRECT(ADDRESS(1508,19)),INDIRECT(ADDRESS(1509,18))-INDIRECT(ADDRESS(1504,19))+INDIRECT(ADDRESS(1507,19))-INDIRECT(ADDRESS(1508,19)))</f>
        <v>0</v>
      </c>
      <c r="T1509">
        <f>IF(DAY(NOW())&lt;M3,INDIRECT(ADDRESS(1509,19))-INDIRECT(ADDRESS(1504,20))+INDIRECT(ADDRESS(1505,20))-INDIRECT(ADDRESS(1508,20)),INDIRECT(ADDRESS(1509,19))-INDIRECT(ADDRESS(1504,20))+INDIRECT(ADDRESS(1507,20))-INDIRECT(ADDRESS(1508,20)))</f>
        <v>0</v>
      </c>
      <c r="U1509">
        <f>IF(DAY(NOW())&lt;M3,INDIRECT(ADDRESS(1509,20))-INDIRECT(ADDRESS(1504,21))+INDIRECT(ADDRESS(1505,21))-INDIRECT(ADDRESS(1508,21)),INDIRECT(ADDRESS(1509,20))-INDIRECT(ADDRESS(1504,21))+INDIRECT(ADDRESS(1507,21))-INDIRECT(ADDRESS(1508,21)))</f>
        <v>0</v>
      </c>
      <c r="V1509">
        <f>IF(DAY(NOW())&lt;M3,INDIRECT(ADDRESS(1509,21))-INDIRECT(ADDRESS(1504,22))+INDIRECT(ADDRESS(1505,22))-INDIRECT(ADDRESS(1508,22)),INDIRECT(ADDRESS(1509,21))-INDIRECT(ADDRESS(1504,22))+INDIRECT(ADDRESS(1507,22))-INDIRECT(ADDRESS(1508,22)))</f>
        <v>0</v>
      </c>
      <c r="W1509">
        <f>IF(DAY(NOW())&lt;M3,INDIRECT(ADDRESS(1509,22))-INDIRECT(ADDRESS(1504,23))+INDIRECT(ADDRESS(1505,23))-INDIRECT(ADDRESS(1508,23)),INDIRECT(ADDRESS(1509,22))-INDIRECT(ADDRESS(1504,23))+INDIRECT(ADDRESS(1507,23))-INDIRECT(ADDRESS(1508,23)))</f>
        <v>0</v>
      </c>
      <c r="X1509">
        <f>IF(DAY(NOW())&lt;M3,INDIRECT(ADDRESS(1509,23))-INDIRECT(ADDRESS(1504,24))+INDIRECT(ADDRESS(1505,24))-INDIRECT(ADDRESS(1508,24)),INDIRECT(ADDRESS(1509,23))-INDIRECT(ADDRESS(1504,24))+INDIRECT(ADDRESS(1507,24))-INDIRECT(ADDRESS(1508,24)))</f>
        <v>0</v>
      </c>
      <c r="Y1509">
        <f>IF(DAY(NOW())&lt;M3,INDIRECT(ADDRESS(1509,24))-INDIRECT(ADDRESS(1504,25))+INDIRECT(ADDRESS(1505,25))-INDIRECT(ADDRESS(1508,25)),INDIRECT(ADDRESS(1509,24))-INDIRECT(ADDRESS(1504,25))+INDIRECT(ADDRESS(1507,25))-INDIRECT(ADDRESS(1508,25)))</f>
        <v>0</v>
      </c>
      <c r="Z1509">
        <f>IF(DAY(NOW())&lt;M3,INDIRECT(ADDRESS(1509,25))-INDIRECT(ADDRESS(1504,26))+INDIRECT(ADDRESS(1505,26))-INDIRECT(ADDRESS(1508,26)),INDIRECT(ADDRESS(1509,25))-INDIRECT(ADDRESS(1504,26))+INDIRECT(ADDRESS(1507,26))-INDIRECT(ADDRESS(1508,26)))</f>
        <v>0</v>
      </c>
      <c r="AA1509">
        <f>IF(DAY(NOW())&lt;M3,INDIRECT(ADDRESS(1509,26))-INDIRECT(ADDRESS(1504,27))+INDIRECT(ADDRESS(1505,27))-INDIRECT(ADDRESS(1508,27)),INDIRECT(ADDRESS(1509,26))-INDIRECT(ADDRESS(1504,27))+INDIRECT(ADDRESS(1507,27))-INDIRECT(ADDRESS(1508,27)))</f>
        <v>0</v>
      </c>
      <c r="AB1509">
        <f>IF(DAY(NOW())&lt;M3,INDIRECT(ADDRESS(1509,27))-INDIRECT(ADDRESS(1504,28))+INDIRECT(ADDRESS(1505,28))-INDIRECT(ADDRESS(1508,28)),INDIRECT(ADDRESS(1509,27))-INDIRECT(ADDRESS(1504,28))+INDIRECT(ADDRESS(1507,28))-INDIRECT(ADDRESS(1508,28)))</f>
        <v>0</v>
      </c>
      <c r="AC1509">
        <f>IF(DAY(NOW())&lt;M3,INDIRECT(ADDRESS(1509,28))-INDIRECT(ADDRESS(1504,29))+INDIRECT(ADDRESS(1505,29))-INDIRECT(ADDRESS(1508,29)),INDIRECT(ADDRESS(1509,28))-INDIRECT(ADDRESS(1504,29))+INDIRECT(ADDRESS(1507,29))-INDIRECT(ADDRESS(1508,29)))</f>
        <v>0</v>
      </c>
      <c r="AD1509">
        <f>IF(DAY(NOW())&lt;M3,INDIRECT(ADDRESS(1509,29))-INDIRECT(ADDRESS(1504,30))+INDIRECT(ADDRESS(1505,30))-INDIRECT(ADDRESS(1508,30)),INDIRECT(ADDRESS(1509,29))-INDIRECT(ADDRESS(1504,30))+INDIRECT(ADDRESS(1507,30))-INDIRECT(ADDRESS(1508,30)))</f>
        <v>0</v>
      </c>
      <c r="AE1509">
        <f>IF(DAY(NOW())&lt;M3,INDIRECT(ADDRESS(1509,30))-INDIRECT(ADDRESS(1504,31))+INDIRECT(ADDRESS(1505,31))-INDIRECT(ADDRESS(1508,31)),INDIRECT(ADDRESS(1509,30))-INDIRECT(ADDRESS(1504,31))+INDIRECT(ADDRESS(1507,31))-INDIRECT(ADDRESS(1508,31)))</f>
        <v>0</v>
      </c>
      <c r="AF1509">
        <f>IF(DAY(NOW())&lt;M3,INDIRECT(ADDRESS(1509,31))-INDIRECT(ADDRESS(1504,32))+INDIRECT(ADDRESS(1505,32))-INDIRECT(ADDRESS(1508,32)),INDIRECT(ADDRESS(1509,31))-INDIRECT(ADDRESS(1504,32))+INDIRECT(ADDRESS(1507,32))-INDIRECT(ADDRESS(1508,32)))</f>
        <v>0</v>
      </c>
      <c r="AG1509">
        <f>IF(DAY(NOW())&lt;M3,INDIRECT(ADDRESS(1509,32))-INDIRECT(ADDRESS(1504,33))+INDIRECT(ADDRESS(1505,33))-INDIRECT(ADDRESS(1508,33)),INDIRECT(ADDRESS(1509,32))-INDIRECT(ADDRESS(1504,33))+INDIRECT(ADDRESS(1507,33))-INDIRECT(ADDRESS(1508,33)))</f>
        <v>0</v>
      </c>
      <c r="AH1509">
        <f>IF(DAY(NOW())&lt;M3,INDIRECT(ADDRESS(1509,33))-INDIRECT(ADDRESS(1504,34))+INDIRECT(ADDRESS(1505,34))-INDIRECT(ADDRESS(1508,34)),INDIRECT(ADDRESS(1509,33))-INDIRECT(ADDRESS(1504,34))+INDIRECT(ADDRESS(1507,34))-INDIRECT(ADDRESS(1508,34)))</f>
        <v>0</v>
      </c>
      <c r="AI1509">
        <f>IF(DAY(NOW())&lt;M3,INDIRECT(ADDRESS(1509,34))-INDIRECT(ADDRESS(1504,35))+INDIRECT(ADDRESS(1505,35))-INDIRECT(ADDRESS(1508,35)),INDIRECT(ADDRESS(1509,34))-INDIRECT(ADDRESS(1504,35))+INDIRECT(ADDRESS(1507,35))-INDIRECT(ADDRESS(1508,35)))</f>
        <v>0</v>
      </c>
      <c r="AJ1509">
        <f>IF(DAY(NOW())&lt;M3,INDIRECT(ADDRESS(1509,35))-INDIRECT(ADDRESS(1504,36))+INDIRECT(ADDRESS(1505,36))-INDIRECT(ADDRESS(1508,36)),INDIRECT(ADDRESS(1509,35))-INDIRECT(ADDRESS(1504,36))+INDIRECT(ADDRESS(1507,36))-INDIRECT(ADDRESS(1508,36)))</f>
        <v>0</v>
      </c>
      <c r="AK1509">
        <f>IF(DAY(NOW())&lt;M3,INDIRECT(ADDRESS(1509,36))-INDIRECT(ADDRESS(1504,37))+INDIRECT(ADDRESS(1505,37))-INDIRECT(ADDRESS(1508,37)),INDIRECT(ADDRESS(1509,36))-INDIRECT(ADDRESS(1504,37))+INDIRECT(ADDRESS(1507,37))-INDIRECT(ADDRESS(1508,37)))</f>
        <v>0</v>
      </c>
      <c r="AL1509">
        <f>IF(DAY(NOW())&lt;M3,INDIRECT(ADDRESS(1509,37))-INDIRECT(ADDRESS(1504,38))+INDIRECT(ADDRESS(1505,38))-INDIRECT(ADDRESS(1508,38)),INDIRECT(ADDRESS(1509,37))-INDIRECT(ADDRESS(1504,38))+INDIRECT(ADDRESS(1507,38))-INDIRECT(ADDRESS(1508,38)))</f>
        <v>0</v>
      </c>
      <c r="AM1509">
        <f>IF(DAY(NOW())&lt;M3,INDIRECT(ADDRESS(1509,38))-INDIRECT(ADDRESS(1504,39))+INDIRECT(ADDRESS(1505,39))-INDIRECT(ADDRESS(1508,39)),INDIRECT(ADDRESS(1509,38))-INDIRECT(ADDRESS(1504,39))+INDIRECT(ADDRESS(1507,39))-INDIRECT(ADDRESS(1508,39)))</f>
        <v>0</v>
      </c>
      <c r="AN1509">
        <f>IF(DAY(NOW())&lt;M3,INDIRECT(ADDRESS(1509,39))-INDIRECT(ADDRESS(1504,40))+INDIRECT(ADDRESS(1505,40))-INDIRECT(ADDRESS(1508,40)),INDIRECT(ADDRESS(1509,39))-INDIRECT(ADDRESS(1504,40))+INDIRECT(ADDRESS(1507,40))-INDIRECT(ADDRESS(1508,40)))</f>
        <v>0</v>
      </c>
      <c r="AO1509">
        <f>IF(DAY(NOW())&lt;M3,INDIRECT(ADDRESS(1509,40))-INDIRECT(ADDRESS(1504,41))+INDIRECT(ADDRESS(1505,41))-INDIRECT(ADDRESS(1508,41)),INDIRECT(ADDRESS(1509,40))-INDIRECT(ADDRESS(1504,41))+INDIRECT(ADDRESS(1507,41))-INDIRECT(ADDRESS(1508,41)))</f>
        <v>0</v>
      </c>
      <c r="AP1509">
        <f>IF(DAY(NOW())&lt;M3,INDIRECT(ADDRESS(1509,41))-INDIRECT(ADDRESS(1504,42))+INDIRECT(ADDRESS(1505,42))-INDIRECT(ADDRESS(1508,42)),INDIRECT(ADDRESS(1509,41))-INDIRECT(ADDRESS(1504,42))+INDIRECT(ADDRESS(1507,42))-INDIRECT(ADDRESS(1508,42)))</f>
        <v>0</v>
      </c>
      <c r="AQ1509">
        <f>IF(DAY(NOW())&lt;M3,INDIRECT(ADDRESS(1509,42))-INDIRECT(ADDRESS(1504,43))+INDIRECT(ADDRESS(1505,43))-INDIRECT(ADDRESS(1508,43)),INDIRECT(ADDRESS(1509,42))-INDIRECT(ADDRESS(1504,43))+INDIRECT(ADDRESS(1507,43))-INDIRECT(ADDRESS(1508,43)))</f>
        <v>0</v>
      </c>
      <c r="AR1509">
        <f>IF(DAY(NOW())&lt;M3,INDIRECT(ADDRESS(1509,43))-INDIRECT(ADDRESS(1504,44))+INDIRECT(ADDRESS(1505,44))-INDIRECT(ADDRESS(1508,44)),INDIRECT(ADDRESS(1509,43))-INDIRECT(ADDRESS(1504,44))+INDIRECT(ADDRESS(1507,44))-INDIRECT(ADDRESS(1508,44)))</f>
        <v>0</v>
      </c>
    </row>
    <row r="1510" spans="1:76">
      <c r="A1510" t="s">
        <v>31</v>
      </c>
      <c r="B1510" t="s">
        <v>603</v>
      </c>
      <c r="C1510" t="s">
        <v>604</v>
      </c>
      <c r="D1510" t="s">
        <v>448</v>
      </c>
      <c r="F1510" t="s">
        <v>541</v>
      </c>
      <c r="K1510" t="s">
        <v>590</v>
      </c>
      <c r="L1510" t="s">
        <v>21</v>
      </c>
      <c r="M1510">
        <f>sumifs(BOM!m:m,BOM!A:A,".1",BOM!B:B,"222-175000-000")</f>
        <v>0</v>
      </c>
      <c r="N1510">
        <f>sumifs(BOM!n:n,BOM!A:A,".1",BOM!B:B,"222-175000-000")</f>
        <v>0</v>
      </c>
      <c r="O1510">
        <f>sumifs(BOM!o:o,BOM!A:A,".1",BOM!B:B,"222-175000-000")</f>
        <v>0</v>
      </c>
      <c r="P1510">
        <f>sumifs(BOM!p:p,BOM!A:A,".1",BOM!B:B,"222-175000-000")</f>
        <v>0</v>
      </c>
      <c r="Q1510">
        <f>sumifs(BOM!q:q,BOM!A:A,".1",BOM!B:B,"222-175000-000")</f>
        <v>0</v>
      </c>
      <c r="R1510">
        <f>sumifs(BOM!r:r,BOM!A:A,".1",BOM!B:B,"222-175000-000")</f>
        <v>0</v>
      </c>
      <c r="S1510">
        <f>sumifs(BOM!s:s,BOM!A:A,".1",BOM!B:B,"222-175000-000")</f>
        <v>0</v>
      </c>
      <c r="T1510">
        <f>sumifs(BOM!t:t,BOM!A:A,".1",BOM!B:B,"222-175000-000")</f>
        <v>0</v>
      </c>
      <c r="U1510">
        <f>sumifs(BOM!u:u,BOM!A:A,".1",BOM!B:B,"222-175000-000")</f>
        <v>0</v>
      </c>
      <c r="V1510">
        <f>sumifs(BOM!v:v,BOM!A:A,".1",BOM!B:B,"222-175000-000")</f>
        <v>0</v>
      </c>
      <c r="W1510">
        <f>sumifs(BOM!w:w,BOM!A:A,".1",BOM!B:B,"222-175000-000")</f>
        <v>0</v>
      </c>
      <c r="X1510">
        <f>sumifs(BOM!x:x,BOM!A:A,".1",BOM!B:B,"222-175000-000")</f>
        <v>0</v>
      </c>
      <c r="Y1510">
        <f>sumifs(BOM!y:y,BOM!A:A,".1",BOM!B:B,"222-175000-000")</f>
        <v>0</v>
      </c>
      <c r="Z1510">
        <f>sumifs(BOM!z:z,BOM!A:A,".1",BOM!B:B,"222-175000-000")</f>
        <v>0</v>
      </c>
      <c r="AA1510">
        <f>sumifs(BOM!aa:aa,BOM!A:A,".1",BOM!B:B,"222-175000-000")</f>
        <v>0</v>
      </c>
      <c r="AB1510">
        <f>sumifs(BOM!ab:ab,BOM!A:A,".1",BOM!B:B,"222-175000-000")</f>
        <v>0</v>
      </c>
      <c r="AC1510">
        <f>sumifs(BOM!ac:ac,BOM!A:A,".1",BOM!B:B,"222-175000-000")</f>
        <v>0</v>
      </c>
      <c r="AD1510">
        <f>sumifs(BOM!ad:ad,BOM!A:A,".1",BOM!B:B,"222-175000-000")</f>
        <v>0</v>
      </c>
      <c r="AE1510">
        <f>sumifs(BOM!ae:ae,BOM!A:A,".1",BOM!B:B,"222-175000-000")</f>
        <v>0</v>
      </c>
      <c r="AF1510">
        <f>sumifs(BOM!af:af,BOM!A:A,".1",BOM!B:B,"222-175000-000")</f>
        <v>0</v>
      </c>
      <c r="AG1510">
        <f>sumifs(BOM!ag:ag,BOM!A:A,".1",BOM!B:B,"222-175000-000")</f>
        <v>0</v>
      </c>
      <c r="AH1510">
        <f>sumifs(BOM!ah:ah,BOM!A:A,".1",BOM!B:B,"222-175000-000")</f>
        <v>0</v>
      </c>
      <c r="AI1510">
        <f>sumifs(BOM!ai:ai,BOM!A:A,".1",BOM!B:B,"222-175000-000")</f>
        <v>0</v>
      </c>
      <c r="AJ1510">
        <f>sumifs(BOM!aj:aj,BOM!A:A,".1",BOM!B:B,"222-175000-000")</f>
        <v>0</v>
      </c>
      <c r="AK1510">
        <f>sumifs(BOM!ak:ak,BOM!A:A,".1",BOM!B:B,"222-175000-000")</f>
        <v>0</v>
      </c>
      <c r="AL1510">
        <f>sumifs(BOM!al:al,BOM!A:A,".1",BOM!B:B,"222-175000-000")</f>
        <v>0</v>
      </c>
      <c r="AM1510">
        <f>sumifs(BOM!am:am,BOM!A:A,".1",BOM!B:B,"222-175000-000")</f>
        <v>0</v>
      </c>
      <c r="AN1510">
        <f>sumifs(BOM!an:an,BOM!A:A,".1",BOM!B:B,"222-175000-000")</f>
        <v>0</v>
      </c>
      <c r="AO1510">
        <f>sumifs(BOM!ao:ao,BOM!A:A,".1",BOM!B:B,"222-175000-000")</f>
        <v>0</v>
      </c>
      <c r="AP1510">
        <f>sumifs(BOM!ap:ap,BOM!A:A,".1",BOM!B:B,"222-175000-000")</f>
        <v>0</v>
      </c>
      <c r="AQ1510">
        <f>sumifs(BOM!aq:aq,BOM!A:A,".1",BOM!B:B,"222-175000-000")</f>
        <v>0</v>
      </c>
      <c r="AR1510">
        <f>sumifs(BOM!ar:ar,BOM!A:A,".1",BOM!B:B,"222-175000-000")</f>
        <v>0</v>
      </c>
      <c r="BX1510">
        <f>sum(j1510:an1510)</f>
        <v>0</v>
      </c>
    </row>
    <row r="1511" spans="1:76">
      <c r="A1511" t="s">
        <v>31</v>
      </c>
      <c r="B1511" t="s">
        <v>603</v>
      </c>
      <c r="C1511" t="s">
        <v>604</v>
      </c>
      <c r="D1511" t="s">
        <v>448</v>
      </c>
      <c r="F1511" t="s">
        <v>541</v>
      </c>
      <c r="K1511" t="s">
        <v>590</v>
      </c>
      <c r="L1511" t="s">
        <v>37</v>
      </c>
    </row>
    <row r="1512" spans="1:76">
      <c r="L1512" t="s">
        <v>662</v>
      </c>
    </row>
    <row r="1513" spans="1:76">
      <c r="L1513" t="s">
        <v>663</v>
      </c>
    </row>
    <row r="1514" spans="1:76">
      <c r="L1514" t="s">
        <v>664</v>
      </c>
    </row>
    <row r="1515" spans="1:76">
      <c r="L1515" t="s">
        <v>665</v>
      </c>
      <c r="M1515">
        <f>IF(DAY(NOW())&lt;M3,INDIRECT(ADDRESS(1515,7))-INDIRECT(ADDRESS(1510,13))+INDIRECT(ADDRESS(1511,13))-INDIRECT(ADDRESS(1514,13)),INDIRECT(ADDRESS(1515,7))-INDIRECT(ADDRESS(1510,13))+INDIRECT(ADDRESS(1513,13))-INDIRECT(ADDRESS(1514,13)))</f>
        <v>0</v>
      </c>
      <c r="N1515">
        <f>IF(DAY(NOW())&lt;M3,INDIRECT(ADDRESS(1515,13))-INDIRECT(ADDRESS(1510,14))+INDIRECT(ADDRESS(1511,14))-INDIRECT(ADDRESS(1514,14)),INDIRECT(ADDRESS(1515,13))-INDIRECT(ADDRESS(1510,14))+INDIRECT(ADDRESS(1513,14))-INDIRECT(ADDRESS(1514,14)))</f>
        <v>0</v>
      </c>
      <c r="O1515">
        <f>IF(DAY(NOW())&lt;M3,INDIRECT(ADDRESS(1515,14))-INDIRECT(ADDRESS(1510,15))+INDIRECT(ADDRESS(1511,15))-INDIRECT(ADDRESS(1514,15)),INDIRECT(ADDRESS(1515,14))-INDIRECT(ADDRESS(1510,15))+INDIRECT(ADDRESS(1513,15))-INDIRECT(ADDRESS(1514,15)))</f>
        <v>0</v>
      </c>
      <c r="P1515">
        <f>IF(DAY(NOW())&lt;M3,INDIRECT(ADDRESS(1515,15))-INDIRECT(ADDRESS(1510,16))+INDIRECT(ADDRESS(1511,16))-INDIRECT(ADDRESS(1514,16)),INDIRECT(ADDRESS(1515,15))-INDIRECT(ADDRESS(1510,16))+INDIRECT(ADDRESS(1513,16))-INDIRECT(ADDRESS(1514,16)))</f>
        <v>0</v>
      </c>
      <c r="Q1515">
        <f>IF(DAY(NOW())&lt;M3,INDIRECT(ADDRESS(1515,16))-INDIRECT(ADDRESS(1510,17))+INDIRECT(ADDRESS(1511,17))-INDIRECT(ADDRESS(1514,17)),INDIRECT(ADDRESS(1515,16))-INDIRECT(ADDRESS(1510,17))+INDIRECT(ADDRESS(1513,17))-INDIRECT(ADDRESS(1514,17)))</f>
        <v>0</v>
      </c>
      <c r="R1515">
        <f>IF(DAY(NOW())&lt;M3,INDIRECT(ADDRESS(1515,17))-INDIRECT(ADDRESS(1510,18))+INDIRECT(ADDRESS(1511,18))-INDIRECT(ADDRESS(1514,18)),INDIRECT(ADDRESS(1515,17))-INDIRECT(ADDRESS(1510,18))+INDIRECT(ADDRESS(1513,18))-INDIRECT(ADDRESS(1514,18)))</f>
        <v>0</v>
      </c>
      <c r="S1515">
        <f>IF(DAY(NOW())&lt;M3,INDIRECT(ADDRESS(1515,18))-INDIRECT(ADDRESS(1510,19))+INDIRECT(ADDRESS(1511,19))-INDIRECT(ADDRESS(1514,19)),INDIRECT(ADDRESS(1515,18))-INDIRECT(ADDRESS(1510,19))+INDIRECT(ADDRESS(1513,19))-INDIRECT(ADDRESS(1514,19)))</f>
        <v>0</v>
      </c>
      <c r="T1515">
        <f>IF(DAY(NOW())&lt;M3,INDIRECT(ADDRESS(1515,19))-INDIRECT(ADDRESS(1510,20))+INDIRECT(ADDRESS(1511,20))-INDIRECT(ADDRESS(1514,20)),INDIRECT(ADDRESS(1515,19))-INDIRECT(ADDRESS(1510,20))+INDIRECT(ADDRESS(1513,20))-INDIRECT(ADDRESS(1514,20)))</f>
        <v>0</v>
      </c>
      <c r="U1515">
        <f>IF(DAY(NOW())&lt;M3,INDIRECT(ADDRESS(1515,20))-INDIRECT(ADDRESS(1510,21))+INDIRECT(ADDRESS(1511,21))-INDIRECT(ADDRESS(1514,21)),INDIRECT(ADDRESS(1515,20))-INDIRECT(ADDRESS(1510,21))+INDIRECT(ADDRESS(1513,21))-INDIRECT(ADDRESS(1514,21)))</f>
        <v>0</v>
      </c>
      <c r="V1515">
        <f>IF(DAY(NOW())&lt;M3,INDIRECT(ADDRESS(1515,21))-INDIRECT(ADDRESS(1510,22))+INDIRECT(ADDRESS(1511,22))-INDIRECT(ADDRESS(1514,22)),INDIRECT(ADDRESS(1515,21))-INDIRECT(ADDRESS(1510,22))+INDIRECT(ADDRESS(1513,22))-INDIRECT(ADDRESS(1514,22)))</f>
        <v>0</v>
      </c>
      <c r="W1515">
        <f>IF(DAY(NOW())&lt;M3,INDIRECT(ADDRESS(1515,22))-INDIRECT(ADDRESS(1510,23))+INDIRECT(ADDRESS(1511,23))-INDIRECT(ADDRESS(1514,23)),INDIRECT(ADDRESS(1515,22))-INDIRECT(ADDRESS(1510,23))+INDIRECT(ADDRESS(1513,23))-INDIRECT(ADDRESS(1514,23)))</f>
        <v>0</v>
      </c>
      <c r="X1515">
        <f>IF(DAY(NOW())&lt;M3,INDIRECT(ADDRESS(1515,23))-INDIRECT(ADDRESS(1510,24))+INDIRECT(ADDRESS(1511,24))-INDIRECT(ADDRESS(1514,24)),INDIRECT(ADDRESS(1515,23))-INDIRECT(ADDRESS(1510,24))+INDIRECT(ADDRESS(1513,24))-INDIRECT(ADDRESS(1514,24)))</f>
        <v>0</v>
      </c>
      <c r="Y1515">
        <f>IF(DAY(NOW())&lt;M3,INDIRECT(ADDRESS(1515,24))-INDIRECT(ADDRESS(1510,25))+INDIRECT(ADDRESS(1511,25))-INDIRECT(ADDRESS(1514,25)),INDIRECT(ADDRESS(1515,24))-INDIRECT(ADDRESS(1510,25))+INDIRECT(ADDRESS(1513,25))-INDIRECT(ADDRESS(1514,25)))</f>
        <v>0</v>
      </c>
      <c r="Z1515">
        <f>IF(DAY(NOW())&lt;M3,INDIRECT(ADDRESS(1515,25))-INDIRECT(ADDRESS(1510,26))+INDIRECT(ADDRESS(1511,26))-INDIRECT(ADDRESS(1514,26)),INDIRECT(ADDRESS(1515,25))-INDIRECT(ADDRESS(1510,26))+INDIRECT(ADDRESS(1513,26))-INDIRECT(ADDRESS(1514,26)))</f>
        <v>0</v>
      </c>
      <c r="AA1515">
        <f>IF(DAY(NOW())&lt;M3,INDIRECT(ADDRESS(1515,26))-INDIRECT(ADDRESS(1510,27))+INDIRECT(ADDRESS(1511,27))-INDIRECT(ADDRESS(1514,27)),INDIRECT(ADDRESS(1515,26))-INDIRECT(ADDRESS(1510,27))+INDIRECT(ADDRESS(1513,27))-INDIRECT(ADDRESS(1514,27)))</f>
        <v>0</v>
      </c>
      <c r="AB1515">
        <f>IF(DAY(NOW())&lt;M3,INDIRECT(ADDRESS(1515,27))-INDIRECT(ADDRESS(1510,28))+INDIRECT(ADDRESS(1511,28))-INDIRECT(ADDRESS(1514,28)),INDIRECT(ADDRESS(1515,27))-INDIRECT(ADDRESS(1510,28))+INDIRECT(ADDRESS(1513,28))-INDIRECT(ADDRESS(1514,28)))</f>
        <v>0</v>
      </c>
      <c r="AC1515">
        <f>IF(DAY(NOW())&lt;M3,INDIRECT(ADDRESS(1515,28))-INDIRECT(ADDRESS(1510,29))+INDIRECT(ADDRESS(1511,29))-INDIRECT(ADDRESS(1514,29)),INDIRECT(ADDRESS(1515,28))-INDIRECT(ADDRESS(1510,29))+INDIRECT(ADDRESS(1513,29))-INDIRECT(ADDRESS(1514,29)))</f>
        <v>0</v>
      </c>
      <c r="AD1515">
        <f>IF(DAY(NOW())&lt;M3,INDIRECT(ADDRESS(1515,29))-INDIRECT(ADDRESS(1510,30))+INDIRECT(ADDRESS(1511,30))-INDIRECT(ADDRESS(1514,30)),INDIRECT(ADDRESS(1515,29))-INDIRECT(ADDRESS(1510,30))+INDIRECT(ADDRESS(1513,30))-INDIRECT(ADDRESS(1514,30)))</f>
        <v>0</v>
      </c>
      <c r="AE1515">
        <f>IF(DAY(NOW())&lt;M3,INDIRECT(ADDRESS(1515,30))-INDIRECT(ADDRESS(1510,31))+INDIRECT(ADDRESS(1511,31))-INDIRECT(ADDRESS(1514,31)),INDIRECT(ADDRESS(1515,30))-INDIRECT(ADDRESS(1510,31))+INDIRECT(ADDRESS(1513,31))-INDIRECT(ADDRESS(1514,31)))</f>
        <v>0</v>
      </c>
      <c r="AF1515">
        <f>IF(DAY(NOW())&lt;M3,INDIRECT(ADDRESS(1515,31))-INDIRECT(ADDRESS(1510,32))+INDIRECT(ADDRESS(1511,32))-INDIRECT(ADDRESS(1514,32)),INDIRECT(ADDRESS(1515,31))-INDIRECT(ADDRESS(1510,32))+INDIRECT(ADDRESS(1513,32))-INDIRECT(ADDRESS(1514,32)))</f>
        <v>0</v>
      </c>
      <c r="AG1515">
        <f>IF(DAY(NOW())&lt;M3,INDIRECT(ADDRESS(1515,32))-INDIRECT(ADDRESS(1510,33))+INDIRECT(ADDRESS(1511,33))-INDIRECT(ADDRESS(1514,33)),INDIRECT(ADDRESS(1515,32))-INDIRECT(ADDRESS(1510,33))+INDIRECT(ADDRESS(1513,33))-INDIRECT(ADDRESS(1514,33)))</f>
        <v>0</v>
      </c>
      <c r="AH1515">
        <f>IF(DAY(NOW())&lt;M3,INDIRECT(ADDRESS(1515,33))-INDIRECT(ADDRESS(1510,34))+INDIRECT(ADDRESS(1511,34))-INDIRECT(ADDRESS(1514,34)),INDIRECT(ADDRESS(1515,33))-INDIRECT(ADDRESS(1510,34))+INDIRECT(ADDRESS(1513,34))-INDIRECT(ADDRESS(1514,34)))</f>
        <v>0</v>
      </c>
      <c r="AI1515">
        <f>IF(DAY(NOW())&lt;M3,INDIRECT(ADDRESS(1515,34))-INDIRECT(ADDRESS(1510,35))+INDIRECT(ADDRESS(1511,35))-INDIRECT(ADDRESS(1514,35)),INDIRECT(ADDRESS(1515,34))-INDIRECT(ADDRESS(1510,35))+INDIRECT(ADDRESS(1513,35))-INDIRECT(ADDRESS(1514,35)))</f>
        <v>0</v>
      </c>
      <c r="AJ1515">
        <f>IF(DAY(NOW())&lt;M3,INDIRECT(ADDRESS(1515,35))-INDIRECT(ADDRESS(1510,36))+INDIRECT(ADDRESS(1511,36))-INDIRECT(ADDRESS(1514,36)),INDIRECT(ADDRESS(1515,35))-INDIRECT(ADDRESS(1510,36))+INDIRECT(ADDRESS(1513,36))-INDIRECT(ADDRESS(1514,36)))</f>
        <v>0</v>
      </c>
      <c r="AK1515">
        <f>IF(DAY(NOW())&lt;M3,INDIRECT(ADDRESS(1515,36))-INDIRECT(ADDRESS(1510,37))+INDIRECT(ADDRESS(1511,37))-INDIRECT(ADDRESS(1514,37)),INDIRECT(ADDRESS(1515,36))-INDIRECT(ADDRESS(1510,37))+INDIRECT(ADDRESS(1513,37))-INDIRECT(ADDRESS(1514,37)))</f>
        <v>0</v>
      </c>
      <c r="AL1515">
        <f>IF(DAY(NOW())&lt;M3,INDIRECT(ADDRESS(1515,37))-INDIRECT(ADDRESS(1510,38))+INDIRECT(ADDRESS(1511,38))-INDIRECT(ADDRESS(1514,38)),INDIRECT(ADDRESS(1515,37))-INDIRECT(ADDRESS(1510,38))+INDIRECT(ADDRESS(1513,38))-INDIRECT(ADDRESS(1514,38)))</f>
        <v>0</v>
      </c>
      <c r="AM1515">
        <f>IF(DAY(NOW())&lt;M3,INDIRECT(ADDRESS(1515,38))-INDIRECT(ADDRESS(1510,39))+INDIRECT(ADDRESS(1511,39))-INDIRECT(ADDRESS(1514,39)),INDIRECT(ADDRESS(1515,38))-INDIRECT(ADDRESS(1510,39))+INDIRECT(ADDRESS(1513,39))-INDIRECT(ADDRESS(1514,39)))</f>
        <v>0</v>
      </c>
      <c r="AN1515">
        <f>IF(DAY(NOW())&lt;M3,INDIRECT(ADDRESS(1515,39))-INDIRECT(ADDRESS(1510,40))+INDIRECT(ADDRESS(1511,40))-INDIRECT(ADDRESS(1514,40)),INDIRECT(ADDRESS(1515,39))-INDIRECT(ADDRESS(1510,40))+INDIRECT(ADDRESS(1513,40))-INDIRECT(ADDRESS(1514,40)))</f>
        <v>0</v>
      </c>
      <c r="AO1515">
        <f>IF(DAY(NOW())&lt;M3,INDIRECT(ADDRESS(1515,40))-INDIRECT(ADDRESS(1510,41))+INDIRECT(ADDRESS(1511,41))-INDIRECT(ADDRESS(1514,41)),INDIRECT(ADDRESS(1515,40))-INDIRECT(ADDRESS(1510,41))+INDIRECT(ADDRESS(1513,41))-INDIRECT(ADDRESS(1514,41)))</f>
        <v>0</v>
      </c>
      <c r="AP1515">
        <f>IF(DAY(NOW())&lt;M3,INDIRECT(ADDRESS(1515,41))-INDIRECT(ADDRESS(1510,42))+INDIRECT(ADDRESS(1511,42))-INDIRECT(ADDRESS(1514,42)),INDIRECT(ADDRESS(1515,41))-INDIRECT(ADDRESS(1510,42))+INDIRECT(ADDRESS(1513,42))-INDIRECT(ADDRESS(1514,42)))</f>
        <v>0</v>
      </c>
      <c r="AQ1515">
        <f>IF(DAY(NOW())&lt;M3,INDIRECT(ADDRESS(1515,42))-INDIRECT(ADDRESS(1510,43))+INDIRECT(ADDRESS(1511,43))-INDIRECT(ADDRESS(1514,43)),INDIRECT(ADDRESS(1515,42))-INDIRECT(ADDRESS(1510,43))+INDIRECT(ADDRESS(1513,43))-INDIRECT(ADDRESS(1514,43)))</f>
        <v>0</v>
      </c>
      <c r="AR1515">
        <f>IF(DAY(NOW())&lt;M3,INDIRECT(ADDRESS(1515,43))-INDIRECT(ADDRESS(1510,44))+INDIRECT(ADDRESS(1511,44))-INDIRECT(ADDRESS(1514,44)),INDIRECT(ADDRESS(1515,43))-INDIRECT(ADDRESS(1510,44))+INDIRECT(ADDRESS(1513,44))-INDIRECT(ADDRESS(1514,44)))</f>
        <v>0</v>
      </c>
    </row>
    <row r="1516" spans="1:76">
      <c r="A1516" t="s">
        <v>14</v>
      </c>
      <c r="B1516" t="s">
        <v>539</v>
      </c>
      <c r="C1516" t="s">
        <v>540</v>
      </c>
      <c r="E1516" t="s">
        <v>444</v>
      </c>
      <c r="F1516" t="s">
        <v>544</v>
      </c>
      <c r="K1516" t="s">
        <v>590</v>
      </c>
      <c r="L1516" t="s">
        <v>21</v>
      </c>
      <c r="BX1516">
        <f>sum(j1516:an1516)</f>
        <v>0</v>
      </c>
    </row>
    <row r="1517" spans="1:76">
      <c r="A1517" t="s">
        <v>14</v>
      </c>
      <c r="B1517" t="s">
        <v>539</v>
      </c>
      <c r="C1517" t="s">
        <v>540</v>
      </c>
      <c r="E1517" t="s">
        <v>444</v>
      </c>
      <c r="F1517" t="s">
        <v>544</v>
      </c>
      <c r="K1517" t="s">
        <v>590</v>
      </c>
      <c r="L1517" t="s">
        <v>37</v>
      </c>
    </row>
    <row r="1518" spans="1:76">
      <c r="L1518" t="s">
        <v>662</v>
      </c>
    </row>
    <row r="1519" spans="1:76">
      <c r="L1519" t="s">
        <v>663</v>
      </c>
    </row>
    <row r="1520" spans="1:76">
      <c r="L1520" t="s">
        <v>664</v>
      </c>
    </row>
    <row r="1521" spans="1:76">
      <c r="L1521" t="s">
        <v>665</v>
      </c>
      <c r="M1521">
        <f>IF(DAY(NOW())&lt;M3,INDIRECT(ADDRESS(1521,7))-INDIRECT(ADDRESS(1516,13))+INDIRECT(ADDRESS(1517,13))-INDIRECT(ADDRESS(1520,13)),INDIRECT(ADDRESS(1521,7))-INDIRECT(ADDRESS(1516,13))+INDIRECT(ADDRESS(1519,13))-INDIRECT(ADDRESS(1520,13)))</f>
        <v>0</v>
      </c>
      <c r="N1521">
        <f>IF(DAY(NOW())&lt;M3,INDIRECT(ADDRESS(1521,13))-INDIRECT(ADDRESS(1516,14))+INDIRECT(ADDRESS(1517,14))-INDIRECT(ADDRESS(1520,14)),INDIRECT(ADDRESS(1521,13))-INDIRECT(ADDRESS(1516,14))+INDIRECT(ADDRESS(1519,14))-INDIRECT(ADDRESS(1520,14)))</f>
        <v>0</v>
      </c>
      <c r="O1521">
        <f>IF(DAY(NOW())&lt;M3,INDIRECT(ADDRESS(1521,14))-INDIRECT(ADDRESS(1516,15))+INDIRECT(ADDRESS(1517,15))-INDIRECT(ADDRESS(1520,15)),INDIRECT(ADDRESS(1521,14))-INDIRECT(ADDRESS(1516,15))+INDIRECT(ADDRESS(1519,15))-INDIRECT(ADDRESS(1520,15)))</f>
        <v>0</v>
      </c>
      <c r="P1521">
        <f>IF(DAY(NOW())&lt;M3,INDIRECT(ADDRESS(1521,15))-INDIRECT(ADDRESS(1516,16))+INDIRECT(ADDRESS(1517,16))-INDIRECT(ADDRESS(1520,16)),INDIRECT(ADDRESS(1521,15))-INDIRECT(ADDRESS(1516,16))+INDIRECT(ADDRESS(1519,16))-INDIRECT(ADDRESS(1520,16)))</f>
        <v>0</v>
      </c>
      <c r="Q1521">
        <f>IF(DAY(NOW())&lt;M3,INDIRECT(ADDRESS(1521,16))-INDIRECT(ADDRESS(1516,17))+INDIRECT(ADDRESS(1517,17))-INDIRECT(ADDRESS(1520,17)),INDIRECT(ADDRESS(1521,16))-INDIRECT(ADDRESS(1516,17))+INDIRECT(ADDRESS(1519,17))-INDIRECT(ADDRESS(1520,17)))</f>
        <v>0</v>
      </c>
      <c r="R1521">
        <f>IF(DAY(NOW())&lt;M3,INDIRECT(ADDRESS(1521,17))-INDIRECT(ADDRESS(1516,18))+INDIRECT(ADDRESS(1517,18))-INDIRECT(ADDRESS(1520,18)),INDIRECT(ADDRESS(1521,17))-INDIRECT(ADDRESS(1516,18))+INDIRECT(ADDRESS(1519,18))-INDIRECT(ADDRESS(1520,18)))</f>
        <v>0</v>
      </c>
      <c r="S1521">
        <f>IF(DAY(NOW())&lt;M3,INDIRECT(ADDRESS(1521,18))-INDIRECT(ADDRESS(1516,19))+INDIRECT(ADDRESS(1517,19))-INDIRECT(ADDRESS(1520,19)),INDIRECT(ADDRESS(1521,18))-INDIRECT(ADDRESS(1516,19))+INDIRECT(ADDRESS(1519,19))-INDIRECT(ADDRESS(1520,19)))</f>
        <v>0</v>
      </c>
      <c r="T1521">
        <f>IF(DAY(NOW())&lt;M3,INDIRECT(ADDRESS(1521,19))-INDIRECT(ADDRESS(1516,20))+INDIRECT(ADDRESS(1517,20))-INDIRECT(ADDRESS(1520,20)),INDIRECT(ADDRESS(1521,19))-INDIRECT(ADDRESS(1516,20))+INDIRECT(ADDRESS(1519,20))-INDIRECT(ADDRESS(1520,20)))</f>
        <v>0</v>
      </c>
      <c r="U1521">
        <f>IF(DAY(NOW())&lt;M3,INDIRECT(ADDRESS(1521,20))-INDIRECT(ADDRESS(1516,21))+INDIRECT(ADDRESS(1517,21))-INDIRECT(ADDRESS(1520,21)),INDIRECT(ADDRESS(1521,20))-INDIRECT(ADDRESS(1516,21))+INDIRECT(ADDRESS(1519,21))-INDIRECT(ADDRESS(1520,21)))</f>
        <v>0</v>
      </c>
      <c r="V1521">
        <f>IF(DAY(NOW())&lt;M3,INDIRECT(ADDRESS(1521,21))-INDIRECT(ADDRESS(1516,22))+INDIRECT(ADDRESS(1517,22))-INDIRECT(ADDRESS(1520,22)),INDIRECT(ADDRESS(1521,21))-INDIRECT(ADDRESS(1516,22))+INDIRECT(ADDRESS(1519,22))-INDIRECT(ADDRESS(1520,22)))</f>
        <v>0</v>
      </c>
      <c r="W1521">
        <f>IF(DAY(NOW())&lt;M3,INDIRECT(ADDRESS(1521,22))-INDIRECT(ADDRESS(1516,23))+INDIRECT(ADDRESS(1517,23))-INDIRECT(ADDRESS(1520,23)),INDIRECT(ADDRESS(1521,22))-INDIRECT(ADDRESS(1516,23))+INDIRECT(ADDRESS(1519,23))-INDIRECT(ADDRESS(1520,23)))</f>
        <v>0</v>
      </c>
      <c r="X1521">
        <f>IF(DAY(NOW())&lt;M3,INDIRECT(ADDRESS(1521,23))-INDIRECT(ADDRESS(1516,24))+INDIRECT(ADDRESS(1517,24))-INDIRECT(ADDRESS(1520,24)),INDIRECT(ADDRESS(1521,23))-INDIRECT(ADDRESS(1516,24))+INDIRECT(ADDRESS(1519,24))-INDIRECT(ADDRESS(1520,24)))</f>
        <v>0</v>
      </c>
      <c r="Y1521">
        <f>IF(DAY(NOW())&lt;M3,INDIRECT(ADDRESS(1521,24))-INDIRECT(ADDRESS(1516,25))+INDIRECT(ADDRESS(1517,25))-INDIRECT(ADDRESS(1520,25)),INDIRECT(ADDRESS(1521,24))-INDIRECT(ADDRESS(1516,25))+INDIRECT(ADDRESS(1519,25))-INDIRECT(ADDRESS(1520,25)))</f>
        <v>0</v>
      </c>
      <c r="Z1521">
        <f>IF(DAY(NOW())&lt;M3,INDIRECT(ADDRESS(1521,25))-INDIRECT(ADDRESS(1516,26))+INDIRECT(ADDRESS(1517,26))-INDIRECT(ADDRESS(1520,26)),INDIRECT(ADDRESS(1521,25))-INDIRECT(ADDRESS(1516,26))+INDIRECT(ADDRESS(1519,26))-INDIRECT(ADDRESS(1520,26)))</f>
        <v>0</v>
      </c>
      <c r="AA1521">
        <f>IF(DAY(NOW())&lt;M3,INDIRECT(ADDRESS(1521,26))-INDIRECT(ADDRESS(1516,27))+INDIRECT(ADDRESS(1517,27))-INDIRECT(ADDRESS(1520,27)),INDIRECT(ADDRESS(1521,26))-INDIRECT(ADDRESS(1516,27))+INDIRECT(ADDRESS(1519,27))-INDIRECT(ADDRESS(1520,27)))</f>
        <v>0</v>
      </c>
      <c r="AB1521">
        <f>IF(DAY(NOW())&lt;M3,INDIRECT(ADDRESS(1521,27))-INDIRECT(ADDRESS(1516,28))+INDIRECT(ADDRESS(1517,28))-INDIRECT(ADDRESS(1520,28)),INDIRECT(ADDRESS(1521,27))-INDIRECT(ADDRESS(1516,28))+INDIRECT(ADDRESS(1519,28))-INDIRECT(ADDRESS(1520,28)))</f>
        <v>0</v>
      </c>
      <c r="AC1521">
        <f>IF(DAY(NOW())&lt;M3,INDIRECT(ADDRESS(1521,28))-INDIRECT(ADDRESS(1516,29))+INDIRECT(ADDRESS(1517,29))-INDIRECT(ADDRESS(1520,29)),INDIRECT(ADDRESS(1521,28))-INDIRECT(ADDRESS(1516,29))+INDIRECT(ADDRESS(1519,29))-INDIRECT(ADDRESS(1520,29)))</f>
        <v>0</v>
      </c>
      <c r="AD1521">
        <f>IF(DAY(NOW())&lt;M3,INDIRECT(ADDRESS(1521,29))-INDIRECT(ADDRESS(1516,30))+INDIRECT(ADDRESS(1517,30))-INDIRECT(ADDRESS(1520,30)),INDIRECT(ADDRESS(1521,29))-INDIRECT(ADDRESS(1516,30))+INDIRECT(ADDRESS(1519,30))-INDIRECT(ADDRESS(1520,30)))</f>
        <v>0</v>
      </c>
      <c r="AE1521">
        <f>IF(DAY(NOW())&lt;M3,INDIRECT(ADDRESS(1521,30))-INDIRECT(ADDRESS(1516,31))+INDIRECT(ADDRESS(1517,31))-INDIRECT(ADDRESS(1520,31)),INDIRECT(ADDRESS(1521,30))-INDIRECT(ADDRESS(1516,31))+INDIRECT(ADDRESS(1519,31))-INDIRECT(ADDRESS(1520,31)))</f>
        <v>0</v>
      </c>
      <c r="AF1521">
        <f>IF(DAY(NOW())&lt;M3,INDIRECT(ADDRESS(1521,31))-INDIRECT(ADDRESS(1516,32))+INDIRECT(ADDRESS(1517,32))-INDIRECT(ADDRESS(1520,32)),INDIRECT(ADDRESS(1521,31))-INDIRECT(ADDRESS(1516,32))+INDIRECT(ADDRESS(1519,32))-INDIRECT(ADDRESS(1520,32)))</f>
        <v>0</v>
      </c>
      <c r="AG1521">
        <f>IF(DAY(NOW())&lt;M3,INDIRECT(ADDRESS(1521,32))-INDIRECT(ADDRESS(1516,33))+INDIRECT(ADDRESS(1517,33))-INDIRECT(ADDRESS(1520,33)),INDIRECT(ADDRESS(1521,32))-INDIRECT(ADDRESS(1516,33))+INDIRECT(ADDRESS(1519,33))-INDIRECT(ADDRESS(1520,33)))</f>
        <v>0</v>
      </c>
      <c r="AH1521">
        <f>IF(DAY(NOW())&lt;M3,INDIRECT(ADDRESS(1521,33))-INDIRECT(ADDRESS(1516,34))+INDIRECT(ADDRESS(1517,34))-INDIRECT(ADDRESS(1520,34)),INDIRECT(ADDRESS(1521,33))-INDIRECT(ADDRESS(1516,34))+INDIRECT(ADDRESS(1519,34))-INDIRECT(ADDRESS(1520,34)))</f>
        <v>0</v>
      </c>
      <c r="AI1521">
        <f>IF(DAY(NOW())&lt;M3,INDIRECT(ADDRESS(1521,34))-INDIRECT(ADDRESS(1516,35))+INDIRECT(ADDRESS(1517,35))-INDIRECT(ADDRESS(1520,35)),INDIRECT(ADDRESS(1521,34))-INDIRECT(ADDRESS(1516,35))+INDIRECT(ADDRESS(1519,35))-INDIRECT(ADDRESS(1520,35)))</f>
        <v>0</v>
      </c>
      <c r="AJ1521">
        <f>IF(DAY(NOW())&lt;M3,INDIRECT(ADDRESS(1521,35))-INDIRECT(ADDRESS(1516,36))+INDIRECT(ADDRESS(1517,36))-INDIRECT(ADDRESS(1520,36)),INDIRECT(ADDRESS(1521,35))-INDIRECT(ADDRESS(1516,36))+INDIRECT(ADDRESS(1519,36))-INDIRECT(ADDRESS(1520,36)))</f>
        <v>0</v>
      </c>
      <c r="AK1521">
        <f>IF(DAY(NOW())&lt;M3,INDIRECT(ADDRESS(1521,36))-INDIRECT(ADDRESS(1516,37))+INDIRECT(ADDRESS(1517,37))-INDIRECT(ADDRESS(1520,37)),INDIRECT(ADDRESS(1521,36))-INDIRECT(ADDRESS(1516,37))+INDIRECT(ADDRESS(1519,37))-INDIRECT(ADDRESS(1520,37)))</f>
        <v>0</v>
      </c>
      <c r="AL1521">
        <f>IF(DAY(NOW())&lt;M3,INDIRECT(ADDRESS(1521,37))-INDIRECT(ADDRESS(1516,38))+INDIRECT(ADDRESS(1517,38))-INDIRECT(ADDRESS(1520,38)),INDIRECT(ADDRESS(1521,37))-INDIRECT(ADDRESS(1516,38))+INDIRECT(ADDRESS(1519,38))-INDIRECT(ADDRESS(1520,38)))</f>
        <v>0</v>
      </c>
      <c r="AM1521">
        <f>IF(DAY(NOW())&lt;M3,INDIRECT(ADDRESS(1521,38))-INDIRECT(ADDRESS(1516,39))+INDIRECT(ADDRESS(1517,39))-INDIRECT(ADDRESS(1520,39)),INDIRECT(ADDRESS(1521,38))-INDIRECT(ADDRESS(1516,39))+INDIRECT(ADDRESS(1519,39))-INDIRECT(ADDRESS(1520,39)))</f>
        <v>0</v>
      </c>
      <c r="AN1521">
        <f>IF(DAY(NOW())&lt;M3,INDIRECT(ADDRESS(1521,39))-INDIRECT(ADDRESS(1516,40))+INDIRECT(ADDRESS(1517,40))-INDIRECT(ADDRESS(1520,40)),INDIRECT(ADDRESS(1521,39))-INDIRECT(ADDRESS(1516,40))+INDIRECT(ADDRESS(1519,40))-INDIRECT(ADDRESS(1520,40)))</f>
        <v>0</v>
      </c>
      <c r="AO1521">
        <f>IF(DAY(NOW())&lt;M3,INDIRECT(ADDRESS(1521,40))-INDIRECT(ADDRESS(1516,41))+INDIRECT(ADDRESS(1517,41))-INDIRECT(ADDRESS(1520,41)),INDIRECT(ADDRESS(1521,40))-INDIRECT(ADDRESS(1516,41))+INDIRECT(ADDRESS(1519,41))-INDIRECT(ADDRESS(1520,41)))</f>
        <v>0</v>
      </c>
      <c r="AP1521">
        <f>IF(DAY(NOW())&lt;M3,INDIRECT(ADDRESS(1521,41))-INDIRECT(ADDRESS(1516,42))+INDIRECT(ADDRESS(1517,42))-INDIRECT(ADDRESS(1520,42)),INDIRECT(ADDRESS(1521,41))-INDIRECT(ADDRESS(1516,42))+INDIRECT(ADDRESS(1519,42))-INDIRECT(ADDRESS(1520,42)))</f>
        <v>0</v>
      </c>
      <c r="AQ1521">
        <f>IF(DAY(NOW())&lt;M3,INDIRECT(ADDRESS(1521,42))-INDIRECT(ADDRESS(1516,43))+INDIRECT(ADDRESS(1517,43))-INDIRECT(ADDRESS(1520,43)),INDIRECT(ADDRESS(1521,42))-INDIRECT(ADDRESS(1516,43))+INDIRECT(ADDRESS(1519,43))-INDIRECT(ADDRESS(1520,43)))</f>
        <v>0</v>
      </c>
      <c r="AR1521">
        <f>IF(DAY(NOW())&lt;M3,INDIRECT(ADDRESS(1521,43))-INDIRECT(ADDRESS(1516,44))+INDIRECT(ADDRESS(1517,44))-INDIRECT(ADDRESS(1520,44)),INDIRECT(ADDRESS(1521,43))-INDIRECT(ADDRESS(1516,44))+INDIRECT(ADDRESS(1519,44))-INDIRECT(ADDRESS(1520,44)))</f>
        <v>0</v>
      </c>
    </row>
    <row r="1522" spans="1:76">
      <c r="A1522" t="s">
        <v>14</v>
      </c>
      <c r="B1522" t="s">
        <v>542</v>
      </c>
      <c r="C1522" t="s">
        <v>543</v>
      </c>
      <c r="F1522" t="s">
        <v>605</v>
      </c>
      <c r="K1522" t="s">
        <v>590</v>
      </c>
      <c r="L1522" t="s">
        <v>21</v>
      </c>
      <c r="BX1522">
        <f>sum(j1522:an1522)</f>
        <v>0</v>
      </c>
    </row>
    <row r="1523" spans="1:76">
      <c r="A1523" t="s">
        <v>14</v>
      </c>
      <c r="B1523" t="s">
        <v>542</v>
      </c>
      <c r="C1523" t="s">
        <v>543</v>
      </c>
      <c r="F1523" t="s">
        <v>605</v>
      </c>
      <c r="K1523" t="s">
        <v>590</v>
      </c>
      <c r="L1523" t="s">
        <v>37</v>
      </c>
    </row>
    <row r="1524" spans="1:76">
      <c r="L1524" t="s">
        <v>662</v>
      </c>
    </row>
    <row r="1525" spans="1:76">
      <c r="L1525" t="s">
        <v>663</v>
      </c>
    </row>
    <row r="1526" spans="1:76">
      <c r="L1526" t="s">
        <v>664</v>
      </c>
    </row>
    <row r="1527" spans="1:76">
      <c r="L1527" t="s">
        <v>665</v>
      </c>
      <c r="M1527">
        <f>IF(DAY(NOW())&lt;M3,INDIRECT(ADDRESS(1527,7))-INDIRECT(ADDRESS(1522,13))+INDIRECT(ADDRESS(1523,13))-INDIRECT(ADDRESS(1526,13)),INDIRECT(ADDRESS(1527,7))-INDIRECT(ADDRESS(1522,13))+INDIRECT(ADDRESS(1525,13))-INDIRECT(ADDRESS(1526,13)))</f>
        <v>0</v>
      </c>
      <c r="N1527">
        <f>IF(DAY(NOW())&lt;M3,INDIRECT(ADDRESS(1527,13))-INDIRECT(ADDRESS(1522,14))+INDIRECT(ADDRESS(1523,14))-INDIRECT(ADDRESS(1526,14)),INDIRECT(ADDRESS(1527,13))-INDIRECT(ADDRESS(1522,14))+INDIRECT(ADDRESS(1525,14))-INDIRECT(ADDRESS(1526,14)))</f>
        <v>0</v>
      </c>
      <c r="O1527">
        <f>IF(DAY(NOW())&lt;M3,INDIRECT(ADDRESS(1527,14))-INDIRECT(ADDRESS(1522,15))+INDIRECT(ADDRESS(1523,15))-INDIRECT(ADDRESS(1526,15)),INDIRECT(ADDRESS(1527,14))-INDIRECT(ADDRESS(1522,15))+INDIRECT(ADDRESS(1525,15))-INDIRECT(ADDRESS(1526,15)))</f>
        <v>0</v>
      </c>
      <c r="P1527">
        <f>IF(DAY(NOW())&lt;M3,INDIRECT(ADDRESS(1527,15))-INDIRECT(ADDRESS(1522,16))+INDIRECT(ADDRESS(1523,16))-INDIRECT(ADDRESS(1526,16)),INDIRECT(ADDRESS(1527,15))-INDIRECT(ADDRESS(1522,16))+INDIRECT(ADDRESS(1525,16))-INDIRECT(ADDRESS(1526,16)))</f>
        <v>0</v>
      </c>
      <c r="Q1527">
        <f>IF(DAY(NOW())&lt;M3,INDIRECT(ADDRESS(1527,16))-INDIRECT(ADDRESS(1522,17))+INDIRECT(ADDRESS(1523,17))-INDIRECT(ADDRESS(1526,17)),INDIRECT(ADDRESS(1527,16))-INDIRECT(ADDRESS(1522,17))+INDIRECT(ADDRESS(1525,17))-INDIRECT(ADDRESS(1526,17)))</f>
        <v>0</v>
      </c>
      <c r="R1527">
        <f>IF(DAY(NOW())&lt;M3,INDIRECT(ADDRESS(1527,17))-INDIRECT(ADDRESS(1522,18))+INDIRECT(ADDRESS(1523,18))-INDIRECT(ADDRESS(1526,18)),INDIRECT(ADDRESS(1527,17))-INDIRECT(ADDRESS(1522,18))+INDIRECT(ADDRESS(1525,18))-INDIRECT(ADDRESS(1526,18)))</f>
        <v>0</v>
      </c>
      <c r="S1527">
        <f>IF(DAY(NOW())&lt;M3,INDIRECT(ADDRESS(1527,18))-INDIRECT(ADDRESS(1522,19))+INDIRECT(ADDRESS(1523,19))-INDIRECT(ADDRESS(1526,19)),INDIRECT(ADDRESS(1527,18))-INDIRECT(ADDRESS(1522,19))+INDIRECT(ADDRESS(1525,19))-INDIRECT(ADDRESS(1526,19)))</f>
        <v>0</v>
      </c>
      <c r="T1527">
        <f>IF(DAY(NOW())&lt;M3,INDIRECT(ADDRESS(1527,19))-INDIRECT(ADDRESS(1522,20))+INDIRECT(ADDRESS(1523,20))-INDIRECT(ADDRESS(1526,20)),INDIRECT(ADDRESS(1527,19))-INDIRECT(ADDRESS(1522,20))+INDIRECT(ADDRESS(1525,20))-INDIRECT(ADDRESS(1526,20)))</f>
        <v>0</v>
      </c>
      <c r="U1527">
        <f>IF(DAY(NOW())&lt;M3,INDIRECT(ADDRESS(1527,20))-INDIRECT(ADDRESS(1522,21))+INDIRECT(ADDRESS(1523,21))-INDIRECT(ADDRESS(1526,21)),INDIRECT(ADDRESS(1527,20))-INDIRECT(ADDRESS(1522,21))+INDIRECT(ADDRESS(1525,21))-INDIRECT(ADDRESS(1526,21)))</f>
        <v>0</v>
      </c>
      <c r="V1527">
        <f>IF(DAY(NOW())&lt;M3,INDIRECT(ADDRESS(1527,21))-INDIRECT(ADDRESS(1522,22))+INDIRECT(ADDRESS(1523,22))-INDIRECT(ADDRESS(1526,22)),INDIRECT(ADDRESS(1527,21))-INDIRECT(ADDRESS(1522,22))+INDIRECT(ADDRESS(1525,22))-INDIRECT(ADDRESS(1526,22)))</f>
        <v>0</v>
      </c>
      <c r="W1527">
        <f>IF(DAY(NOW())&lt;M3,INDIRECT(ADDRESS(1527,22))-INDIRECT(ADDRESS(1522,23))+INDIRECT(ADDRESS(1523,23))-INDIRECT(ADDRESS(1526,23)),INDIRECT(ADDRESS(1527,22))-INDIRECT(ADDRESS(1522,23))+INDIRECT(ADDRESS(1525,23))-INDIRECT(ADDRESS(1526,23)))</f>
        <v>0</v>
      </c>
      <c r="X1527">
        <f>IF(DAY(NOW())&lt;M3,INDIRECT(ADDRESS(1527,23))-INDIRECT(ADDRESS(1522,24))+INDIRECT(ADDRESS(1523,24))-INDIRECT(ADDRESS(1526,24)),INDIRECT(ADDRESS(1527,23))-INDIRECT(ADDRESS(1522,24))+INDIRECT(ADDRESS(1525,24))-INDIRECT(ADDRESS(1526,24)))</f>
        <v>0</v>
      </c>
      <c r="Y1527">
        <f>IF(DAY(NOW())&lt;M3,INDIRECT(ADDRESS(1527,24))-INDIRECT(ADDRESS(1522,25))+INDIRECT(ADDRESS(1523,25))-INDIRECT(ADDRESS(1526,25)),INDIRECT(ADDRESS(1527,24))-INDIRECT(ADDRESS(1522,25))+INDIRECT(ADDRESS(1525,25))-INDIRECT(ADDRESS(1526,25)))</f>
        <v>0</v>
      </c>
      <c r="Z1527">
        <f>IF(DAY(NOW())&lt;M3,INDIRECT(ADDRESS(1527,25))-INDIRECT(ADDRESS(1522,26))+INDIRECT(ADDRESS(1523,26))-INDIRECT(ADDRESS(1526,26)),INDIRECT(ADDRESS(1527,25))-INDIRECT(ADDRESS(1522,26))+INDIRECT(ADDRESS(1525,26))-INDIRECT(ADDRESS(1526,26)))</f>
        <v>0</v>
      </c>
      <c r="AA1527">
        <f>IF(DAY(NOW())&lt;M3,INDIRECT(ADDRESS(1527,26))-INDIRECT(ADDRESS(1522,27))+INDIRECT(ADDRESS(1523,27))-INDIRECT(ADDRESS(1526,27)),INDIRECT(ADDRESS(1527,26))-INDIRECT(ADDRESS(1522,27))+INDIRECT(ADDRESS(1525,27))-INDIRECT(ADDRESS(1526,27)))</f>
        <v>0</v>
      </c>
      <c r="AB1527">
        <f>IF(DAY(NOW())&lt;M3,INDIRECT(ADDRESS(1527,27))-INDIRECT(ADDRESS(1522,28))+INDIRECT(ADDRESS(1523,28))-INDIRECT(ADDRESS(1526,28)),INDIRECT(ADDRESS(1527,27))-INDIRECT(ADDRESS(1522,28))+INDIRECT(ADDRESS(1525,28))-INDIRECT(ADDRESS(1526,28)))</f>
        <v>0</v>
      </c>
      <c r="AC1527">
        <f>IF(DAY(NOW())&lt;M3,INDIRECT(ADDRESS(1527,28))-INDIRECT(ADDRESS(1522,29))+INDIRECT(ADDRESS(1523,29))-INDIRECT(ADDRESS(1526,29)),INDIRECT(ADDRESS(1527,28))-INDIRECT(ADDRESS(1522,29))+INDIRECT(ADDRESS(1525,29))-INDIRECT(ADDRESS(1526,29)))</f>
        <v>0</v>
      </c>
      <c r="AD1527">
        <f>IF(DAY(NOW())&lt;M3,INDIRECT(ADDRESS(1527,29))-INDIRECT(ADDRESS(1522,30))+INDIRECT(ADDRESS(1523,30))-INDIRECT(ADDRESS(1526,30)),INDIRECT(ADDRESS(1527,29))-INDIRECT(ADDRESS(1522,30))+INDIRECT(ADDRESS(1525,30))-INDIRECT(ADDRESS(1526,30)))</f>
        <v>0</v>
      </c>
      <c r="AE1527">
        <f>IF(DAY(NOW())&lt;M3,INDIRECT(ADDRESS(1527,30))-INDIRECT(ADDRESS(1522,31))+INDIRECT(ADDRESS(1523,31))-INDIRECT(ADDRESS(1526,31)),INDIRECT(ADDRESS(1527,30))-INDIRECT(ADDRESS(1522,31))+INDIRECT(ADDRESS(1525,31))-INDIRECT(ADDRESS(1526,31)))</f>
        <v>0</v>
      </c>
      <c r="AF1527">
        <f>IF(DAY(NOW())&lt;M3,INDIRECT(ADDRESS(1527,31))-INDIRECT(ADDRESS(1522,32))+INDIRECT(ADDRESS(1523,32))-INDIRECT(ADDRESS(1526,32)),INDIRECT(ADDRESS(1527,31))-INDIRECT(ADDRESS(1522,32))+INDIRECT(ADDRESS(1525,32))-INDIRECT(ADDRESS(1526,32)))</f>
        <v>0</v>
      </c>
      <c r="AG1527">
        <f>IF(DAY(NOW())&lt;M3,INDIRECT(ADDRESS(1527,32))-INDIRECT(ADDRESS(1522,33))+INDIRECT(ADDRESS(1523,33))-INDIRECT(ADDRESS(1526,33)),INDIRECT(ADDRESS(1527,32))-INDIRECT(ADDRESS(1522,33))+INDIRECT(ADDRESS(1525,33))-INDIRECT(ADDRESS(1526,33)))</f>
        <v>0</v>
      </c>
      <c r="AH1527">
        <f>IF(DAY(NOW())&lt;M3,INDIRECT(ADDRESS(1527,33))-INDIRECT(ADDRESS(1522,34))+INDIRECT(ADDRESS(1523,34))-INDIRECT(ADDRESS(1526,34)),INDIRECT(ADDRESS(1527,33))-INDIRECT(ADDRESS(1522,34))+INDIRECT(ADDRESS(1525,34))-INDIRECT(ADDRESS(1526,34)))</f>
        <v>0</v>
      </c>
      <c r="AI1527">
        <f>IF(DAY(NOW())&lt;M3,INDIRECT(ADDRESS(1527,34))-INDIRECT(ADDRESS(1522,35))+INDIRECT(ADDRESS(1523,35))-INDIRECT(ADDRESS(1526,35)),INDIRECT(ADDRESS(1527,34))-INDIRECT(ADDRESS(1522,35))+INDIRECT(ADDRESS(1525,35))-INDIRECT(ADDRESS(1526,35)))</f>
        <v>0</v>
      </c>
      <c r="AJ1527">
        <f>IF(DAY(NOW())&lt;M3,INDIRECT(ADDRESS(1527,35))-INDIRECT(ADDRESS(1522,36))+INDIRECT(ADDRESS(1523,36))-INDIRECT(ADDRESS(1526,36)),INDIRECT(ADDRESS(1527,35))-INDIRECT(ADDRESS(1522,36))+INDIRECT(ADDRESS(1525,36))-INDIRECT(ADDRESS(1526,36)))</f>
        <v>0</v>
      </c>
      <c r="AK1527">
        <f>IF(DAY(NOW())&lt;M3,INDIRECT(ADDRESS(1527,36))-INDIRECT(ADDRESS(1522,37))+INDIRECT(ADDRESS(1523,37))-INDIRECT(ADDRESS(1526,37)),INDIRECT(ADDRESS(1527,36))-INDIRECT(ADDRESS(1522,37))+INDIRECT(ADDRESS(1525,37))-INDIRECT(ADDRESS(1526,37)))</f>
        <v>0</v>
      </c>
      <c r="AL1527">
        <f>IF(DAY(NOW())&lt;M3,INDIRECT(ADDRESS(1527,37))-INDIRECT(ADDRESS(1522,38))+INDIRECT(ADDRESS(1523,38))-INDIRECT(ADDRESS(1526,38)),INDIRECT(ADDRESS(1527,37))-INDIRECT(ADDRESS(1522,38))+INDIRECT(ADDRESS(1525,38))-INDIRECT(ADDRESS(1526,38)))</f>
        <v>0</v>
      </c>
      <c r="AM1527">
        <f>IF(DAY(NOW())&lt;M3,INDIRECT(ADDRESS(1527,38))-INDIRECT(ADDRESS(1522,39))+INDIRECT(ADDRESS(1523,39))-INDIRECT(ADDRESS(1526,39)),INDIRECT(ADDRESS(1527,38))-INDIRECT(ADDRESS(1522,39))+INDIRECT(ADDRESS(1525,39))-INDIRECT(ADDRESS(1526,39)))</f>
        <v>0</v>
      </c>
      <c r="AN1527">
        <f>IF(DAY(NOW())&lt;M3,INDIRECT(ADDRESS(1527,39))-INDIRECT(ADDRESS(1522,40))+INDIRECT(ADDRESS(1523,40))-INDIRECT(ADDRESS(1526,40)),INDIRECT(ADDRESS(1527,39))-INDIRECT(ADDRESS(1522,40))+INDIRECT(ADDRESS(1525,40))-INDIRECT(ADDRESS(1526,40)))</f>
        <v>0</v>
      </c>
      <c r="AO1527">
        <f>IF(DAY(NOW())&lt;M3,INDIRECT(ADDRESS(1527,40))-INDIRECT(ADDRESS(1522,41))+INDIRECT(ADDRESS(1523,41))-INDIRECT(ADDRESS(1526,41)),INDIRECT(ADDRESS(1527,40))-INDIRECT(ADDRESS(1522,41))+INDIRECT(ADDRESS(1525,41))-INDIRECT(ADDRESS(1526,41)))</f>
        <v>0</v>
      </c>
      <c r="AP1527">
        <f>IF(DAY(NOW())&lt;M3,INDIRECT(ADDRESS(1527,41))-INDIRECT(ADDRESS(1522,42))+INDIRECT(ADDRESS(1523,42))-INDIRECT(ADDRESS(1526,42)),INDIRECT(ADDRESS(1527,41))-INDIRECT(ADDRESS(1522,42))+INDIRECT(ADDRESS(1525,42))-INDIRECT(ADDRESS(1526,42)))</f>
        <v>0</v>
      </c>
      <c r="AQ1527">
        <f>IF(DAY(NOW())&lt;M3,INDIRECT(ADDRESS(1527,42))-INDIRECT(ADDRESS(1522,43))+INDIRECT(ADDRESS(1523,43))-INDIRECT(ADDRESS(1526,43)),INDIRECT(ADDRESS(1527,42))-INDIRECT(ADDRESS(1522,43))+INDIRECT(ADDRESS(1525,43))-INDIRECT(ADDRESS(1526,43)))</f>
        <v>0</v>
      </c>
      <c r="AR1527">
        <f>IF(DAY(NOW())&lt;M3,INDIRECT(ADDRESS(1527,43))-INDIRECT(ADDRESS(1522,44))+INDIRECT(ADDRESS(1523,44))-INDIRECT(ADDRESS(1526,44)),INDIRECT(ADDRESS(1527,43))-INDIRECT(ADDRESS(1522,44))+INDIRECT(ADDRESS(1525,44))-INDIRECT(ADDRESS(1526,44)))</f>
        <v>0</v>
      </c>
    </row>
    <row r="1528" spans="1:76">
      <c r="A1528" t="s">
        <v>31</v>
      </c>
      <c r="B1528" t="s">
        <v>606</v>
      </c>
      <c r="C1528" t="s">
        <v>607</v>
      </c>
      <c r="E1528" t="s">
        <v>444</v>
      </c>
      <c r="F1528" t="s">
        <v>548</v>
      </c>
      <c r="K1528" t="s">
        <v>590</v>
      </c>
      <c r="L1528" t="s">
        <v>21</v>
      </c>
      <c r="M1528">
        <f>sumifs(BOM!m:m,BOM!A:A,".1",BOM!B:B,"852-189000-112")</f>
        <v>0</v>
      </c>
      <c r="N1528">
        <f>sumifs(BOM!n:n,BOM!A:A,".1",BOM!B:B,"852-189000-112")</f>
        <v>0</v>
      </c>
      <c r="O1528">
        <f>sumifs(BOM!o:o,BOM!A:A,".1",BOM!B:B,"852-189000-112")</f>
        <v>0</v>
      </c>
      <c r="P1528">
        <f>sumifs(BOM!p:p,BOM!A:A,".1",BOM!B:B,"852-189000-112")</f>
        <v>0</v>
      </c>
      <c r="Q1528">
        <f>sumifs(BOM!q:q,BOM!A:A,".1",BOM!B:B,"852-189000-112")</f>
        <v>0</v>
      </c>
      <c r="R1528">
        <f>sumifs(BOM!r:r,BOM!A:A,".1",BOM!B:B,"852-189000-112")</f>
        <v>0</v>
      </c>
      <c r="S1528">
        <f>sumifs(BOM!s:s,BOM!A:A,".1",BOM!B:B,"852-189000-112")</f>
        <v>0</v>
      </c>
      <c r="T1528">
        <f>sumifs(BOM!t:t,BOM!A:A,".1",BOM!B:B,"852-189000-112")</f>
        <v>0</v>
      </c>
      <c r="U1528">
        <f>sumifs(BOM!u:u,BOM!A:A,".1",BOM!B:B,"852-189000-112")</f>
        <v>0</v>
      </c>
      <c r="V1528">
        <f>sumifs(BOM!v:v,BOM!A:A,".1",BOM!B:B,"852-189000-112")</f>
        <v>0</v>
      </c>
      <c r="W1528">
        <f>sumifs(BOM!w:w,BOM!A:A,".1",BOM!B:B,"852-189000-112")</f>
        <v>0</v>
      </c>
      <c r="X1528">
        <f>sumifs(BOM!x:x,BOM!A:A,".1",BOM!B:B,"852-189000-112")</f>
        <v>0</v>
      </c>
      <c r="Y1528">
        <f>sumifs(BOM!y:y,BOM!A:A,".1",BOM!B:B,"852-189000-112")</f>
        <v>0</v>
      </c>
      <c r="Z1528">
        <f>sumifs(BOM!z:z,BOM!A:A,".1",BOM!B:B,"852-189000-112")</f>
        <v>0</v>
      </c>
      <c r="AA1528">
        <f>sumifs(BOM!aa:aa,BOM!A:A,".1",BOM!B:B,"852-189000-112")</f>
        <v>0</v>
      </c>
      <c r="AB1528">
        <f>sumifs(BOM!ab:ab,BOM!A:A,".1",BOM!B:B,"852-189000-112")</f>
        <v>0</v>
      </c>
      <c r="AC1528">
        <f>sumifs(BOM!ac:ac,BOM!A:A,".1",BOM!B:B,"852-189000-112")</f>
        <v>0</v>
      </c>
      <c r="AD1528">
        <f>sumifs(BOM!ad:ad,BOM!A:A,".1",BOM!B:B,"852-189000-112")</f>
        <v>0</v>
      </c>
      <c r="AE1528">
        <f>sumifs(BOM!ae:ae,BOM!A:A,".1",BOM!B:B,"852-189000-112")</f>
        <v>0</v>
      </c>
      <c r="AF1528">
        <f>sumifs(BOM!af:af,BOM!A:A,".1",BOM!B:B,"852-189000-112")</f>
        <v>0</v>
      </c>
      <c r="AG1528">
        <f>sumifs(BOM!ag:ag,BOM!A:A,".1",BOM!B:B,"852-189000-112")</f>
        <v>0</v>
      </c>
      <c r="AH1528">
        <f>sumifs(BOM!ah:ah,BOM!A:A,".1",BOM!B:B,"852-189000-112")</f>
        <v>0</v>
      </c>
      <c r="AI1528">
        <f>sumifs(BOM!ai:ai,BOM!A:A,".1",BOM!B:B,"852-189000-112")</f>
        <v>0</v>
      </c>
      <c r="AJ1528">
        <f>sumifs(BOM!aj:aj,BOM!A:A,".1",BOM!B:B,"852-189000-112")</f>
        <v>0</v>
      </c>
      <c r="AK1528">
        <f>sumifs(BOM!ak:ak,BOM!A:A,".1",BOM!B:B,"852-189000-112")</f>
        <v>0</v>
      </c>
      <c r="AL1528">
        <f>sumifs(BOM!al:al,BOM!A:A,".1",BOM!B:B,"852-189000-112")</f>
        <v>0</v>
      </c>
      <c r="AM1528">
        <f>sumifs(BOM!am:am,BOM!A:A,".1",BOM!B:B,"852-189000-112")</f>
        <v>0</v>
      </c>
      <c r="AN1528">
        <f>sumifs(BOM!an:an,BOM!A:A,".1",BOM!B:B,"852-189000-112")</f>
        <v>0</v>
      </c>
      <c r="AO1528">
        <f>sumifs(BOM!ao:ao,BOM!A:A,".1",BOM!B:B,"852-189000-112")</f>
        <v>0</v>
      </c>
      <c r="AP1528">
        <f>sumifs(BOM!ap:ap,BOM!A:A,".1",BOM!B:B,"852-189000-112")</f>
        <v>0</v>
      </c>
      <c r="AQ1528">
        <f>sumifs(BOM!aq:aq,BOM!A:A,".1",BOM!B:B,"852-189000-112")</f>
        <v>0</v>
      </c>
      <c r="AR1528">
        <f>sumifs(BOM!ar:ar,BOM!A:A,".1",BOM!B:B,"852-189000-112")</f>
        <v>0</v>
      </c>
      <c r="BX1528">
        <f>sum(j1528:an1528)</f>
        <v>0</v>
      </c>
    </row>
    <row r="1529" spans="1:76">
      <c r="A1529" t="s">
        <v>31</v>
      </c>
      <c r="B1529" t="s">
        <v>606</v>
      </c>
      <c r="C1529" t="s">
        <v>607</v>
      </c>
      <c r="E1529" t="s">
        <v>444</v>
      </c>
      <c r="F1529" t="s">
        <v>548</v>
      </c>
      <c r="K1529" t="s">
        <v>590</v>
      </c>
      <c r="L1529" t="s">
        <v>37</v>
      </c>
    </row>
    <row r="1530" spans="1:76">
      <c r="L1530" t="s">
        <v>662</v>
      </c>
    </row>
    <row r="1531" spans="1:76">
      <c r="L1531" t="s">
        <v>663</v>
      </c>
    </row>
    <row r="1532" spans="1:76">
      <c r="L1532" t="s">
        <v>664</v>
      </c>
    </row>
    <row r="1533" spans="1:76">
      <c r="L1533" t="s">
        <v>665</v>
      </c>
      <c r="M1533">
        <f>IF(DAY(NOW())&lt;M3,INDIRECT(ADDRESS(1533,7))-INDIRECT(ADDRESS(1528,13))+INDIRECT(ADDRESS(1529,13))-INDIRECT(ADDRESS(1532,13)),INDIRECT(ADDRESS(1533,7))-INDIRECT(ADDRESS(1528,13))+INDIRECT(ADDRESS(1531,13))-INDIRECT(ADDRESS(1532,13)))</f>
        <v>0</v>
      </c>
      <c r="N1533">
        <f>IF(DAY(NOW())&lt;M3,INDIRECT(ADDRESS(1533,13))-INDIRECT(ADDRESS(1528,14))+INDIRECT(ADDRESS(1529,14))-INDIRECT(ADDRESS(1532,14)),INDIRECT(ADDRESS(1533,13))-INDIRECT(ADDRESS(1528,14))+INDIRECT(ADDRESS(1531,14))-INDIRECT(ADDRESS(1532,14)))</f>
        <v>0</v>
      </c>
      <c r="O1533">
        <f>IF(DAY(NOW())&lt;M3,INDIRECT(ADDRESS(1533,14))-INDIRECT(ADDRESS(1528,15))+INDIRECT(ADDRESS(1529,15))-INDIRECT(ADDRESS(1532,15)),INDIRECT(ADDRESS(1533,14))-INDIRECT(ADDRESS(1528,15))+INDIRECT(ADDRESS(1531,15))-INDIRECT(ADDRESS(1532,15)))</f>
        <v>0</v>
      </c>
      <c r="P1533">
        <f>IF(DAY(NOW())&lt;M3,INDIRECT(ADDRESS(1533,15))-INDIRECT(ADDRESS(1528,16))+INDIRECT(ADDRESS(1529,16))-INDIRECT(ADDRESS(1532,16)),INDIRECT(ADDRESS(1533,15))-INDIRECT(ADDRESS(1528,16))+INDIRECT(ADDRESS(1531,16))-INDIRECT(ADDRESS(1532,16)))</f>
        <v>0</v>
      </c>
      <c r="Q1533">
        <f>IF(DAY(NOW())&lt;M3,INDIRECT(ADDRESS(1533,16))-INDIRECT(ADDRESS(1528,17))+INDIRECT(ADDRESS(1529,17))-INDIRECT(ADDRESS(1532,17)),INDIRECT(ADDRESS(1533,16))-INDIRECT(ADDRESS(1528,17))+INDIRECT(ADDRESS(1531,17))-INDIRECT(ADDRESS(1532,17)))</f>
        <v>0</v>
      </c>
      <c r="R1533">
        <f>IF(DAY(NOW())&lt;M3,INDIRECT(ADDRESS(1533,17))-INDIRECT(ADDRESS(1528,18))+INDIRECT(ADDRESS(1529,18))-INDIRECT(ADDRESS(1532,18)),INDIRECT(ADDRESS(1533,17))-INDIRECT(ADDRESS(1528,18))+INDIRECT(ADDRESS(1531,18))-INDIRECT(ADDRESS(1532,18)))</f>
        <v>0</v>
      </c>
      <c r="S1533">
        <f>IF(DAY(NOW())&lt;M3,INDIRECT(ADDRESS(1533,18))-INDIRECT(ADDRESS(1528,19))+INDIRECT(ADDRESS(1529,19))-INDIRECT(ADDRESS(1532,19)),INDIRECT(ADDRESS(1533,18))-INDIRECT(ADDRESS(1528,19))+INDIRECT(ADDRESS(1531,19))-INDIRECT(ADDRESS(1532,19)))</f>
        <v>0</v>
      </c>
      <c r="T1533">
        <f>IF(DAY(NOW())&lt;M3,INDIRECT(ADDRESS(1533,19))-INDIRECT(ADDRESS(1528,20))+INDIRECT(ADDRESS(1529,20))-INDIRECT(ADDRESS(1532,20)),INDIRECT(ADDRESS(1533,19))-INDIRECT(ADDRESS(1528,20))+INDIRECT(ADDRESS(1531,20))-INDIRECT(ADDRESS(1532,20)))</f>
        <v>0</v>
      </c>
      <c r="U1533">
        <f>IF(DAY(NOW())&lt;M3,INDIRECT(ADDRESS(1533,20))-INDIRECT(ADDRESS(1528,21))+INDIRECT(ADDRESS(1529,21))-INDIRECT(ADDRESS(1532,21)),INDIRECT(ADDRESS(1533,20))-INDIRECT(ADDRESS(1528,21))+INDIRECT(ADDRESS(1531,21))-INDIRECT(ADDRESS(1532,21)))</f>
        <v>0</v>
      </c>
      <c r="V1533">
        <f>IF(DAY(NOW())&lt;M3,INDIRECT(ADDRESS(1533,21))-INDIRECT(ADDRESS(1528,22))+INDIRECT(ADDRESS(1529,22))-INDIRECT(ADDRESS(1532,22)),INDIRECT(ADDRESS(1533,21))-INDIRECT(ADDRESS(1528,22))+INDIRECT(ADDRESS(1531,22))-INDIRECT(ADDRESS(1532,22)))</f>
        <v>0</v>
      </c>
      <c r="W1533">
        <f>IF(DAY(NOW())&lt;M3,INDIRECT(ADDRESS(1533,22))-INDIRECT(ADDRESS(1528,23))+INDIRECT(ADDRESS(1529,23))-INDIRECT(ADDRESS(1532,23)),INDIRECT(ADDRESS(1533,22))-INDIRECT(ADDRESS(1528,23))+INDIRECT(ADDRESS(1531,23))-INDIRECT(ADDRESS(1532,23)))</f>
        <v>0</v>
      </c>
      <c r="X1533">
        <f>IF(DAY(NOW())&lt;M3,INDIRECT(ADDRESS(1533,23))-INDIRECT(ADDRESS(1528,24))+INDIRECT(ADDRESS(1529,24))-INDIRECT(ADDRESS(1532,24)),INDIRECT(ADDRESS(1533,23))-INDIRECT(ADDRESS(1528,24))+INDIRECT(ADDRESS(1531,24))-INDIRECT(ADDRESS(1532,24)))</f>
        <v>0</v>
      </c>
      <c r="Y1533">
        <f>IF(DAY(NOW())&lt;M3,INDIRECT(ADDRESS(1533,24))-INDIRECT(ADDRESS(1528,25))+INDIRECT(ADDRESS(1529,25))-INDIRECT(ADDRESS(1532,25)),INDIRECT(ADDRESS(1533,24))-INDIRECT(ADDRESS(1528,25))+INDIRECT(ADDRESS(1531,25))-INDIRECT(ADDRESS(1532,25)))</f>
        <v>0</v>
      </c>
      <c r="Z1533">
        <f>IF(DAY(NOW())&lt;M3,INDIRECT(ADDRESS(1533,25))-INDIRECT(ADDRESS(1528,26))+INDIRECT(ADDRESS(1529,26))-INDIRECT(ADDRESS(1532,26)),INDIRECT(ADDRESS(1533,25))-INDIRECT(ADDRESS(1528,26))+INDIRECT(ADDRESS(1531,26))-INDIRECT(ADDRESS(1532,26)))</f>
        <v>0</v>
      </c>
      <c r="AA1533">
        <f>IF(DAY(NOW())&lt;M3,INDIRECT(ADDRESS(1533,26))-INDIRECT(ADDRESS(1528,27))+INDIRECT(ADDRESS(1529,27))-INDIRECT(ADDRESS(1532,27)),INDIRECT(ADDRESS(1533,26))-INDIRECT(ADDRESS(1528,27))+INDIRECT(ADDRESS(1531,27))-INDIRECT(ADDRESS(1532,27)))</f>
        <v>0</v>
      </c>
      <c r="AB1533">
        <f>IF(DAY(NOW())&lt;M3,INDIRECT(ADDRESS(1533,27))-INDIRECT(ADDRESS(1528,28))+INDIRECT(ADDRESS(1529,28))-INDIRECT(ADDRESS(1532,28)),INDIRECT(ADDRESS(1533,27))-INDIRECT(ADDRESS(1528,28))+INDIRECT(ADDRESS(1531,28))-INDIRECT(ADDRESS(1532,28)))</f>
        <v>0</v>
      </c>
      <c r="AC1533">
        <f>IF(DAY(NOW())&lt;M3,INDIRECT(ADDRESS(1533,28))-INDIRECT(ADDRESS(1528,29))+INDIRECT(ADDRESS(1529,29))-INDIRECT(ADDRESS(1532,29)),INDIRECT(ADDRESS(1533,28))-INDIRECT(ADDRESS(1528,29))+INDIRECT(ADDRESS(1531,29))-INDIRECT(ADDRESS(1532,29)))</f>
        <v>0</v>
      </c>
      <c r="AD1533">
        <f>IF(DAY(NOW())&lt;M3,INDIRECT(ADDRESS(1533,29))-INDIRECT(ADDRESS(1528,30))+INDIRECT(ADDRESS(1529,30))-INDIRECT(ADDRESS(1532,30)),INDIRECT(ADDRESS(1533,29))-INDIRECT(ADDRESS(1528,30))+INDIRECT(ADDRESS(1531,30))-INDIRECT(ADDRESS(1532,30)))</f>
        <v>0</v>
      </c>
      <c r="AE1533">
        <f>IF(DAY(NOW())&lt;M3,INDIRECT(ADDRESS(1533,30))-INDIRECT(ADDRESS(1528,31))+INDIRECT(ADDRESS(1529,31))-INDIRECT(ADDRESS(1532,31)),INDIRECT(ADDRESS(1533,30))-INDIRECT(ADDRESS(1528,31))+INDIRECT(ADDRESS(1531,31))-INDIRECT(ADDRESS(1532,31)))</f>
        <v>0</v>
      </c>
      <c r="AF1533">
        <f>IF(DAY(NOW())&lt;M3,INDIRECT(ADDRESS(1533,31))-INDIRECT(ADDRESS(1528,32))+INDIRECT(ADDRESS(1529,32))-INDIRECT(ADDRESS(1532,32)),INDIRECT(ADDRESS(1533,31))-INDIRECT(ADDRESS(1528,32))+INDIRECT(ADDRESS(1531,32))-INDIRECT(ADDRESS(1532,32)))</f>
        <v>0</v>
      </c>
      <c r="AG1533">
        <f>IF(DAY(NOW())&lt;M3,INDIRECT(ADDRESS(1533,32))-INDIRECT(ADDRESS(1528,33))+INDIRECT(ADDRESS(1529,33))-INDIRECT(ADDRESS(1532,33)),INDIRECT(ADDRESS(1533,32))-INDIRECT(ADDRESS(1528,33))+INDIRECT(ADDRESS(1531,33))-INDIRECT(ADDRESS(1532,33)))</f>
        <v>0</v>
      </c>
      <c r="AH1533">
        <f>IF(DAY(NOW())&lt;M3,INDIRECT(ADDRESS(1533,33))-INDIRECT(ADDRESS(1528,34))+INDIRECT(ADDRESS(1529,34))-INDIRECT(ADDRESS(1532,34)),INDIRECT(ADDRESS(1533,33))-INDIRECT(ADDRESS(1528,34))+INDIRECT(ADDRESS(1531,34))-INDIRECT(ADDRESS(1532,34)))</f>
        <v>0</v>
      </c>
      <c r="AI1533">
        <f>IF(DAY(NOW())&lt;M3,INDIRECT(ADDRESS(1533,34))-INDIRECT(ADDRESS(1528,35))+INDIRECT(ADDRESS(1529,35))-INDIRECT(ADDRESS(1532,35)),INDIRECT(ADDRESS(1533,34))-INDIRECT(ADDRESS(1528,35))+INDIRECT(ADDRESS(1531,35))-INDIRECT(ADDRESS(1532,35)))</f>
        <v>0</v>
      </c>
      <c r="AJ1533">
        <f>IF(DAY(NOW())&lt;M3,INDIRECT(ADDRESS(1533,35))-INDIRECT(ADDRESS(1528,36))+INDIRECT(ADDRESS(1529,36))-INDIRECT(ADDRESS(1532,36)),INDIRECT(ADDRESS(1533,35))-INDIRECT(ADDRESS(1528,36))+INDIRECT(ADDRESS(1531,36))-INDIRECT(ADDRESS(1532,36)))</f>
        <v>0</v>
      </c>
      <c r="AK1533">
        <f>IF(DAY(NOW())&lt;M3,INDIRECT(ADDRESS(1533,36))-INDIRECT(ADDRESS(1528,37))+INDIRECT(ADDRESS(1529,37))-INDIRECT(ADDRESS(1532,37)),INDIRECT(ADDRESS(1533,36))-INDIRECT(ADDRESS(1528,37))+INDIRECT(ADDRESS(1531,37))-INDIRECT(ADDRESS(1532,37)))</f>
        <v>0</v>
      </c>
      <c r="AL1533">
        <f>IF(DAY(NOW())&lt;M3,INDIRECT(ADDRESS(1533,37))-INDIRECT(ADDRESS(1528,38))+INDIRECT(ADDRESS(1529,38))-INDIRECT(ADDRESS(1532,38)),INDIRECT(ADDRESS(1533,37))-INDIRECT(ADDRESS(1528,38))+INDIRECT(ADDRESS(1531,38))-INDIRECT(ADDRESS(1532,38)))</f>
        <v>0</v>
      </c>
      <c r="AM1533">
        <f>IF(DAY(NOW())&lt;M3,INDIRECT(ADDRESS(1533,38))-INDIRECT(ADDRESS(1528,39))+INDIRECT(ADDRESS(1529,39))-INDIRECT(ADDRESS(1532,39)),INDIRECT(ADDRESS(1533,38))-INDIRECT(ADDRESS(1528,39))+INDIRECT(ADDRESS(1531,39))-INDIRECT(ADDRESS(1532,39)))</f>
        <v>0</v>
      </c>
      <c r="AN1533">
        <f>IF(DAY(NOW())&lt;M3,INDIRECT(ADDRESS(1533,39))-INDIRECT(ADDRESS(1528,40))+INDIRECT(ADDRESS(1529,40))-INDIRECT(ADDRESS(1532,40)),INDIRECT(ADDRESS(1533,39))-INDIRECT(ADDRESS(1528,40))+INDIRECT(ADDRESS(1531,40))-INDIRECT(ADDRESS(1532,40)))</f>
        <v>0</v>
      </c>
      <c r="AO1533">
        <f>IF(DAY(NOW())&lt;M3,INDIRECT(ADDRESS(1533,40))-INDIRECT(ADDRESS(1528,41))+INDIRECT(ADDRESS(1529,41))-INDIRECT(ADDRESS(1532,41)),INDIRECT(ADDRESS(1533,40))-INDIRECT(ADDRESS(1528,41))+INDIRECT(ADDRESS(1531,41))-INDIRECT(ADDRESS(1532,41)))</f>
        <v>0</v>
      </c>
      <c r="AP1533">
        <f>IF(DAY(NOW())&lt;M3,INDIRECT(ADDRESS(1533,41))-INDIRECT(ADDRESS(1528,42))+INDIRECT(ADDRESS(1529,42))-INDIRECT(ADDRESS(1532,42)),INDIRECT(ADDRESS(1533,41))-INDIRECT(ADDRESS(1528,42))+INDIRECT(ADDRESS(1531,42))-INDIRECT(ADDRESS(1532,42)))</f>
        <v>0</v>
      </c>
      <c r="AQ1533">
        <f>IF(DAY(NOW())&lt;M3,INDIRECT(ADDRESS(1533,42))-INDIRECT(ADDRESS(1528,43))+INDIRECT(ADDRESS(1529,43))-INDIRECT(ADDRESS(1532,43)),INDIRECT(ADDRESS(1533,42))-INDIRECT(ADDRESS(1528,43))+INDIRECT(ADDRESS(1531,43))-INDIRECT(ADDRESS(1532,43)))</f>
        <v>0</v>
      </c>
      <c r="AR1533">
        <f>IF(DAY(NOW())&lt;M3,INDIRECT(ADDRESS(1533,43))-INDIRECT(ADDRESS(1528,44))+INDIRECT(ADDRESS(1529,44))-INDIRECT(ADDRESS(1532,44)),INDIRECT(ADDRESS(1533,43))-INDIRECT(ADDRESS(1528,44))+INDIRECT(ADDRESS(1531,44))-INDIRECT(ADDRESS(1532,44)))</f>
        <v>0</v>
      </c>
    </row>
    <row r="1534" spans="1:76">
      <c r="A1534" t="s">
        <v>14</v>
      </c>
      <c r="B1534" t="s">
        <v>545</v>
      </c>
      <c r="C1534" t="s">
        <v>546</v>
      </c>
      <c r="D1534" t="s">
        <v>547</v>
      </c>
      <c r="E1534" t="s">
        <v>444</v>
      </c>
      <c r="F1534" t="s">
        <v>608</v>
      </c>
      <c r="K1534" t="s">
        <v>590</v>
      </c>
      <c r="L1534" t="s">
        <v>21</v>
      </c>
      <c r="BX1534">
        <f>sum(j1534:an1534)</f>
        <v>0</v>
      </c>
    </row>
    <row r="1535" spans="1:76">
      <c r="A1535" t="s">
        <v>14</v>
      </c>
      <c r="B1535" t="s">
        <v>545</v>
      </c>
      <c r="C1535" t="s">
        <v>546</v>
      </c>
      <c r="D1535" t="s">
        <v>547</v>
      </c>
      <c r="E1535" t="s">
        <v>444</v>
      </c>
      <c r="F1535" t="s">
        <v>608</v>
      </c>
      <c r="K1535" t="s">
        <v>590</v>
      </c>
      <c r="L1535" t="s">
        <v>37</v>
      </c>
    </row>
    <row r="1536" spans="1:76">
      <c r="L1536" t="s">
        <v>662</v>
      </c>
    </row>
    <row r="1537" spans="1:76">
      <c r="L1537" t="s">
        <v>663</v>
      </c>
    </row>
    <row r="1538" spans="1:76">
      <c r="L1538" t="s">
        <v>664</v>
      </c>
    </row>
    <row r="1539" spans="1:76">
      <c r="L1539" t="s">
        <v>665</v>
      </c>
      <c r="M1539">
        <f>IF(DAY(NOW())&lt;M3,INDIRECT(ADDRESS(1539,7))-INDIRECT(ADDRESS(1534,13))+INDIRECT(ADDRESS(1535,13))-INDIRECT(ADDRESS(1538,13)),INDIRECT(ADDRESS(1539,7))-INDIRECT(ADDRESS(1534,13))+INDIRECT(ADDRESS(1537,13))-INDIRECT(ADDRESS(1538,13)))</f>
        <v>0</v>
      </c>
      <c r="N1539">
        <f>IF(DAY(NOW())&lt;M3,INDIRECT(ADDRESS(1539,13))-INDIRECT(ADDRESS(1534,14))+INDIRECT(ADDRESS(1535,14))-INDIRECT(ADDRESS(1538,14)),INDIRECT(ADDRESS(1539,13))-INDIRECT(ADDRESS(1534,14))+INDIRECT(ADDRESS(1537,14))-INDIRECT(ADDRESS(1538,14)))</f>
        <v>0</v>
      </c>
      <c r="O1539">
        <f>IF(DAY(NOW())&lt;M3,INDIRECT(ADDRESS(1539,14))-INDIRECT(ADDRESS(1534,15))+INDIRECT(ADDRESS(1535,15))-INDIRECT(ADDRESS(1538,15)),INDIRECT(ADDRESS(1539,14))-INDIRECT(ADDRESS(1534,15))+INDIRECT(ADDRESS(1537,15))-INDIRECT(ADDRESS(1538,15)))</f>
        <v>0</v>
      </c>
      <c r="P1539">
        <f>IF(DAY(NOW())&lt;M3,INDIRECT(ADDRESS(1539,15))-INDIRECT(ADDRESS(1534,16))+INDIRECT(ADDRESS(1535,16))-INDIRECT(ADDRESS(1538,16)),INDIRECT(ADDRESS(1539,15))-INDIRECT(ADDRESS(1534,16))+INDIRECT(ADDRESS(1537,16))-INDIRECT(ADDRESS(1538,16)))</f>
        <v>0</v>
      </c>
      <c r="Q1539">
        <f>IF(DAY(NOW())&lt;M3,INDIRECT(ADDRESS(1539,16))-INDIRECT(ADDRESS(1534,17))+INDIRECT(ADDRESS(1535,17))-INDIRECT(ADDRESS(1538,17)),INDIRECT(ADDRESS(1539,16))-INDIRECT(ADDRESS(1534,17))+INDIRECT(ADDRESS(1537,17))-INDIRECT(ADDRESS(1538,17)))</f>
        <v>0</v>
      </c>
      <c r="R1539">
        <f>IF(DAY(NOW())&lt;M3,INDIRECT(ADDRESS(1539,17))-INDIRECT(ADDRESS(1534,18))+INDIRECT(ADDRESS(1535,18))-INDIRECT(ADDRESS(1538,18)),INDIRECT(ADDRESS(1539,17))-INDIRECT(ADDRESS(1534,18))+INDIRECT(ADDRESS(1537,18))-INDIRECT(ADDRESS(1538,18)))</f>
        <v>0</v>
      </c>
      <c r="S1539">
        <f>IF(DAY(NOW())&lt;M3,INDIRECT(ADDRESS(1539,18))-INDIRECT(ADDRESS(1534,19))+INDIRECT(ADDRESS(1535,19))-INDIRECT(ADDRESS(1538,19)),INDIRECT(ADDRESS(1539,18))-INDIRECT(ADDRESS(1534,19))+INDIRECT(ADDRESS(1537,19))-INDIRECT(ADDRESS(1538,19)))</f>
        <v>0</v>
      </c>
      <c r="T1539">
        <f>IF(DAY(NOW())&lt;M3,INDIRECT(ADDRESS(1539,19))-INDIRECT(ADDRESS(1534,20))+INDIRECT(ADDRESS(1535,20))-INDIRECT(ADDRESS(1538,20)),INDIRECT(ADDRESS(1539,19))-INDIRECT(ADDRESS(1534,20))+INDIRECT(ADDRESS(1537,20))-INDIRECT(ADDRESS(1538,20)))</f>
        <v>0</v>
      </c>
      <c r="U1539">
        <f>IF(DAY(NOW())&lt;M3,INDIRECT(ADDRESS(1539,20))-INDIRECT(ADDRESS(1534,21))+INDIRECT(ADDRESS(1535,21))-INDIRECT(ADDRESS(1538,21)),INDIRECT(ADDRESS(1539,20))-INDIRECT(ADDRESS(1534,21))+INDIRECT(ADDRESS(1537,21))-INDIRECT(ADDRESS(1538,21)))</f>
        <v>0</v>
      </c>
      <c r="V1539">
        <f>IF(DAY(NOW())&lt;M3,INDIRECT(ADDRESS(1539,21))-INDIRECT(ADDRESS(1534,22))+INDIRECT(ADDRESS(1535,22))-INDIRECT(ADDRESS(1538,22)),INDIRECT(ADDRESS(1539,21))-INDIRECT(ADDRESS(1534,22))+INDIRECT(ADDRESS(1537,22))-INDIRECT(ADDRESS(1538,22)))</f>
        <v>0</v>
      </c>
      <c r="W1539">
        <f>IF(DAY(NOW())&lt;M3,INDIRECT(ADDRESS(1539,22))-INDIRECT(ADDRESS(1534,23))+INDIRECT(ADDRESS(1535,23))-INDIRECT(ADDRESS(1538,23)),INDIRECT(ADDRESS(1539,22))-INDIRECT(ADDRESS(1534,23))+INDIRECT(ADDRESS(1537,23))-INDIRECT(ADDRESS(1538,23)))</f>
        <v>0</v>
      </c>
      <c r="X1539">
        <f>IF(DAY(NOW())&lt;M3,INDIRECT(ADDRESS(1539,23))-INDIRECT(ADDRESS(1534,24))+INDIRECT(ADDRESS(1535,24))-INDIRECT(ADDRESS(1538,24)),INDIRECT(ADDRESS(1539,23))-INDIRECT(ADDRESS(1534,24))+INDIRECT(ADDRESS(1537,24))-INDIRECT(ADDRESS(1538,24)))</f>
        <v>0</v>
      </c>
      <c r="Y1539">
        <f>IF(DAY(NOW())&lt;M3,INDIRECT(ADDRESS(1539,24))-INDIRECT(ADDRESS(1534,25))+INDIRECT(ADDRESS(1535,25))-INDIRECT(ADDRESS(1538,25)),INDIRECT(ADDRESS(1539,24))-INDIRECT(ADDRESS(1534,25))+INDIRECT(ADDRESS(1537,25))-INDIRECT(ADDRESS(1538,25)))</f>
        <v>0</v>
      </c>
      <c r="Z1539">
        <f>IF(DAY(NOW())&lt;M3,INDIRECT(ADDRESS(1539,25))-INDIRECT(ADDRESS(1534,26))+INDIRECT(ADDRESS(1535,26))-INDIRECT(ADDRESS(1538,26)),INDIRECT(ADDRESS(1539,25))-INDIRECT(ADDRESS(1534,26))+INDIRECT(ADDRESS(1537,26))-INDIRECT(ADDRESS(1538,26)))</f>
        <v>0</v>
      </c>
      <c r="AA1539">
        <f>IF(DAY(NOW())&lt;M3,INDIRECT(ADDRESS(1539,26))-INDIRECT(ADDRESS(1534,27))+INDIRECT(ADDRESS(1535,27))-INDIRECT(ADDRESS(1538,27)),INDIRECT(ADDRESS(1539,26))-INDIRECT(ADDRESS(1534,27))+INDIRECT(ADDRESS(1537,27))-INDIRECT(ADDRESS(1538,27)))</f>
        <v>0</v>
      </c>
      <c r="AB1539">
        <f>IF(DAY(NOW())&lt;M3,INDIRECT(ADDRESS(1539,27))-INDIRECT(ADDRESS(1534,28))+INDIRECT(ADDRESS(1535,28))-INDIRECT(ADDRESS(1538,28)),INDIRECT(ADDRESS(1539,27))-INDIRECT(ADDRESS(1534,28))+INDIRECT(ADDRESS(1537,28))-INDIRECT(ADDRESS(1538,28)))</f>
        <v>0</v>
      </c>
      <c r="AC1539">
        <f>IF(DAY(NOW())&lt;M3,INDIRECT(ADDRESS(1539,28))-INDIRECT(ADDRESS(1534,29))+INDIRECT(ADDRESS(1535,29))-INDIRECT(ADDRESS(1538,29)),INDIRECT(ADDRESS(1539,28))-INDIRECT(ADDRESS(1534,29))+INDIRECT(ADDRESS(1537,29))-INDIRECT(ADDRESS(1538,29)))</f>
        <v>0</v>
      </c>
      <c r="AD1539">
        <f>IF(DAY(NOW())&lt;M3,INDIRECT(ADDRESS(1539,29))-INDIRECT(ADDRESS(1534,30))+INDIRECT(ADDRESS(1535,30))-INDIRECT(ADDRESS(1538,30)),INDIRECT(ADDRESS(1539,29))-INDIRECT(ADDRESS(1534,30))+INDIRECT(ADDRESS(1537,30))-INDIRECT(ADDRESS(1538,30)))</f>
        <v>0</v>
      </c>
      <c r="AE1539">
        <f>IF(DAY(NOW())&lt;M3,INDIRECT(ADDRESS(1539,30))-INDIRECT(ADDRESS(1534,31))+INDIRECT(ADDRESS(1535,31))-INDIRECT(ADDRESS(1538,31)),INDIRECT(ADDRESS(1539,30))-INDIRECT(ADDRESS(1534,31))+INDIRECT(ADDRESS(1537,31))-INDIRECT(ADDRESS(1538,31)))</f>
        <v>0</v>
      </c>
      <c r="AF1539">
        <f>IF(DAY(NOW())&lt;M3,INDIRECT(ADDRESS(1539,31))-INDIRECT(ADDRESS(1534,32))+INDIRECT(ADDRESS(1535,32))-INDIRECT(ADDRESS(1538,32)),INDIRECT(ADDRESS(1539,31))-INDIRECT(ADDRESS(1534,32))+INDIRECT(ADDRESS(1537,32))-INDIRECT(ADDRESS(1538,32)))</f>
        <v>0</v>
      </c>
      <c r="AG1539">
        <f>IF(DAY(NOW())&lt;M3,INDIRECT(ADDRESS(1539,32))-INDIRECT(ADDRESS(1534,33))+INDIRECT(ADDRESS(1535,33))-INDIRECT(ADDRESS(1538,33)),INDIRECT(ADDRESS(1539,32))-INDIRECT(ADDRESS(1534,33))+INDIRECT(ADDRESS(1537,33))-INDIRECT(ADDRESS(1538,33)))</f>
        <v>0</v>
      </c>
      <c r="AH1539">
        <f>IF(DAY(NOW())&lt;M3,INDIRECT(ADDRESS(1539,33))-INDIRECT(ADDRESS(1534,34))+INDIRECT(ADDRESS(1535,34))-INDIRECT(ADDRESS(1538,34)),INDIRECT(ADDRESS(1539,33))-INDIRECT(ADDRESS(1534,34))+INDIRECT(ADDRESS(1537,34))-INDIRECT(ADDRESS(1538,34)))</f>
        <v>0</v>
      </c>
      <c r="AI1539">
        <f>IF(DAY(NOW())&lt;M3,INDIRECT(ADDRESS(1539,34))-INDIRECT(ADDRESS(1534,35))+INDIRECT(ADDRESS(1535,35))-INDIRECT(ADDRESS(1538,35)),INDIRECT(ADDRESS(1539,34))-INDIRECT(ADDRESS(1534,35))+INDIRECT(ADDRESS(1537,35))-INDIRECT(ADDRESS(1538,35)))</f>
        <v>0</v>
      </c>
      <c r="AJ1539">
        <f>IF(DAY(NOW())&lt;M3,INDIRECT(ADDRESS(1539,35))-INDIRECT(ADDRESS(1534,36))+INDIRECT(ADDRESS(1535,36))-INDIRECT(ADDRESS(1538,36)),INDIRECT(ADDRESS(1539,35))-INDIRECT(ADDRESS(1534,36))+INDIRECT(ADDRESS(1537,36))-INDIRECT(ADDRESS(1538,36)))</f>
        <v>0</v>
      </c>
      <c r="AK1539">
        <f>IF(DAY(NOW())&lt;M3,INDIRECT(ADDRESS(1539,36))-INDIRECT(ADDRESS(1534,37))+INDIRECT(ADDRESS(1535,37))-INDIRECT(ADDRESS(1538,37)),INDIRECT(ADDRESS(1539,36))-INDIRECT(ADDRESS(1534,37))+INDIRECT(ADDRESS(1537,37))-INDIRECT(ADDRESS(1538,37)))</f>
        <v>0</v>
      </c>
      <c r="AL1539">
        <f>IF(DAY(NOW())&lt;M3,INDIRECT(ADDRESS(1539,37))-INDIRECT(ADDRESS(1534,38))+INDIRECT(ADDRESS(1535,38))-INDIRECT(ADDRESS(1538,38)),INDIRECT(ADDRESS(1539,37))-INDIRECT(ADDRESS(1534,38))+INDIRECT(ADDRESS(1537,38))-INDIRECT(ADDRESS(1538,38)))</f>
        <v>0</v>
      </c>
      <c r="AM1539">
        <f>IF(DAY(NOW())&lt;M3,INDIRECT(ADDRESS(1539,38))-INDIRECT(ADDRESS(1534,39))+INDIRECT(ADDRESS(1535,39))-INDIRECT(ADDRESS(1538,39)),INDIRECT(ADDRESS(1539,38))-INDIRECT(ADDRESS(1534,39))+INDIRECT(ADDRESS(1537,39))-INDIRECT(ADDRESS(1538,39)))</f>
        <v>0</v>
      </c>
      <c r="AN1539">
        <f>IF(DAY(NOW())&lt;M3,INDIRECT(ADDRESS(1539,39))-INDIRECT(ADDRESS(1534,40))+INDIRECT(ADDRESS(1535,40))-INDIRECT(ADDRESS(1538,40)),INDIRECT(ADDRESS(1539,39))-INDIRECT(ADDRESS(1534,40))+INDIRECT(ADDRESS(1537,40))-INDIRECT(ADDRESS(1538,40)))</f>
        <v>0</v>
      </c>
      <c r="AO1539">
        <f>IF(DAY(NOW())&lt;M3,INDIRECT(ADDRESS(1539,40))-INDIRECT(ADDRESS(1534,41))+INDIRECT(ADDRESS(1535,41))-INDIRECT(ADDRESS(1538,41)),INDIRECT(ADDRESS(1539,40))-INDIRECT(ADDRESS(1534,41))+INDIRECT(ADDRESS(1537,41))-INDIRECT(ADDRESS(1538,41)))</f>
        <v>0</v>
      </c>
      <c r="AP1539">
        <f>IF(DAY(NOW())&lt;M3,INDIRECT(ADDRESS(1539,41))-INDIRECT(ADDRESS(1534,42))+INDIRECT(ADDRESS(1535,42))-INDIRECT(ADDRESS(1538,42)),INDIRECT(ADDRESS(1539,41))-INDIRECT(ADDRESS(1534,42))+INDIRECT(ADDRESS(1537,42))-INDIRECT(ADDRESS(1538,42)))</f>
        <v>0</v>
      </c>
      <c r="AQ1539">
        <f>IF(DAY(NOW())&lt;M3,INDIRECT(ADDRESS(1539,42))-INDIRECT(ADDRESS(1534,43))+INDIRECT(ADDRESS(1535,43))-INDIRECT(ADDRESS(1538,43)),INDIRECT(ADDRESS(1539,42))-INDIRECT(ADDRESS(1534,43))+INDIRECT(ADDRESS(1537,43))-INDIRECT(ADDRESS(1538,43)))</f>
        <v>0</v>
      </c>
      <c r="AR1539">
        <f>IF(DAY(NOW())&lt;M3,INDIRECT(ADDRESS(1539,43))-INDIRECT(ADDRESS(1534,44))+INDIRECT(ADDRESS(1535,44))-INDIRECT(ADDRESS(1538,44)),INDIRECT(ADDRESS(1539,43))-INDIRECT(ADDRESS(1534,44))+INDIRECT(ADDRESS(1537,44))-INDIRECT(ADDRESS(1538,44)))</f>
        <v>0</v>
      </c>
    </row>
    <row r="1540" spans="1:76">
      <c r="A1540" t="s">
        <v>31</v>
      </c>
      <c r="B1540" t="s">
        <v>609</v>
      </c>
      <c r="C1540" t="s">
        <v>610</v>
      </c>
      <c r="E1540" t="s">
        <v>444</v>
      </c>
      <c r="F1540" t="s">
        <v>611</v>
      </c>
      <c r="K1540" t="s">
        <v>590</v>
      </c>
      <c r="L1540" t="s">
        <v>21</v>
      </c>
      <c r="M1540">
        <f>sumifs(BOM!m:m,BOM!A:A,".1",BOM!B:B,"222-172000-000")</f>
        <v>0</v>
      </c>
      <c r="N1540">
        <f>sumifs(BOM!n:n,BOM!A:A,".1",BOM!B:B,"222-172000-000")</f>
        <v>0</v>
      </c>
      <c r="O1540">
        <f>sumifs(BOM!o:o,BOM!A:A,".1",BOM!B:B,"222-172000-000")</f>
        <v>0</v>
      </c>
      <c r="P1540">
        <f>sumifs(BOM!p:p,BOM!A:A,".1",BOM!B:B,"222-172000-000")</f>
        <v>0</v>
      </c>
      <c r="Q1540">
        <f>sumifs(BOM!q:q,BOM!A:A,".1",BOM!B:B,"222-172000-000")</f>
        <v>0</v>
      </c>
      <c r="R1540">
        <f>sumifs(BOM!r:r,BOM!A:A,".1",BOM!B:B,"222-172000-000")</f>
        <v>0</v>
      </c>
      <c r="S1540">
        <f>sumifs(BOM!s:s,BOM!A:A,".1",BOM!B:B,"222-172000-000")</f>
        <v>0</v>
      </c>
      <c r="T1540">
        <f>sumifs(BOM!t:t,BOM!A:A,".1",BOM!B:B,"222-172000-000")</f>
        <v>0</v>
      </c>
      <c r="U1540">
        <f>sumifs(BOM!u:u,BOM!A:A,".1",BOM!B:B,"222-172000-000")</f>
        <v>0</v>
      </c>
      <c r="V1540">
        <f>sumifs(BOM!v:v,BOM!A:A,".1",BOM!B:B,"222-172000-000")</f>
        <v>0</v>
      </c>
      <c r="W1540">
        <f>sumifs(BOM!w:w,BOM!A:A,".1",BOM!B:B,"222-172000-000")</f>
        <v>0</v>
      </c>
      <c r="X1540">
        <f>sumifs(BOM!x:x,BOM!A:A,".1",BOM!B:B,"222-172000-000")</f>
        <v>0</v>
      </c>
      <c r="Y1540">
        <f>sumifs(BOM!y:y,BOM!A:A,".1",BOM!B:B,"222-172000-000")</f>
        <v>0</v>
      </c>
      <c r="Z1540">
        <f>sumifs(BOM!z:z,BOM!A:A,".1",BOM!B:B,"222-172000-000")</f>
        <v>0</v>
      </c>
      <c r="AA1540">
        <f>sumifs(BOM!aa:aa,BOM!A:A,".1",BOM!B:B,"222-172000-000")</f>
        <v>0</v>
      </c>
      <c r="AB1540">
        <f>sumifs(BOM!ab:ab,BOM!A:A,".1",BOM!B:B,"222-172000-000")</f>
        <v>0</v>
      </c>
      <c r="AC1540">
        <f>sumifs(BOM!ac:ac,BOM!A:A,".1",BOM!B:B,"222-172000-000")</f>
        <v>0</v>
      </c>
      <c r="AD1540">
        <f>sumifs(BOM!ad:ad,BOM!A:A,".1",BOM!B:B,"222-172000-000")</f>
        <v>0</v>
      </c>
      <c r="AE1540">
        <f>sumifs(BOM!ae:ae,BOM!A:A,".1",BOM!B:B,"222-172000-000")</f>
        <v>0</v>
      </c>
      <c r="AF1540">
        <f>sumifs(BOM!af:af,BOM!A:A,".1",BOM!B:B,"222-172000-000")</f>
        <v>0</v>
      </c>
      <c r="AG1540">
        <f>sumifs(BOM!ag:ag,BOM!A:A,".1",BOM!B:B,"222-172000-000")</f>
        <v>0</v>
      </c>
      <c r="AH1540">
        <f>sumifs(BOM!ah:ah,BOM!A:A,".1",BOM!B:B,"222-172000-000")</f>
        <v>0</v>
      </c>
      <c r="AI1540">
        <f>sumifs(BOM!ai:ai,BOM!A:A,".1",BOM!B:B,"222-172000-000")</f>
        <v>0</v>
      </c>
      <c r="AJ1540">
        <f>sumifs(BOM!aj:aj,BOM!A:A,".1",BOM!B:B,"222-172000-000")</f>
        <v>0</v>
      </c>
      <c r="AK1540">
        <f>sumifs(BOM!ak:ak,BOM!A:A,".1",BOM!B:B,"222-172000-000")</f>
        <v>0</v>
      </c>
      <c r="AL1540">
        <f>sumifs(BOM!al:al,BOM!A:A,".1",BOM!B:B,"222-172000-000")</f>
        <v>0</v>
      </c>
      <c r="AM1540">
        <f>sumifs(BOM!am:am,BOM!A:A,".1",BOM!B:B,"222-172000-000")</f>
        <v>0</v>
      </c>
      <c r="AN1540">
        <f>sumifs(BOM!an:an,BOM!A:A,".1",BOM!B:B,"222-172000-000")</f>
        <v>0</v>
      </c>
      <c r="AO1540">
        <f>sumifs(BOM!ao:ao,BOM!A:A,".1",BOM!B:B,"222-172000-000")</f>
        <v>0</v>
      </c>
      <c r="AP1540">
        <f>sumifs(BOM!ap:ap,BOM!A:A,".1",BOM!B:B,"222-172000-000")</f>
        <v>0</v>
      </c>
      <c r="AQ1540">
        <f>sumifs(BOM!aq:aq,BOM!A:A,".1",BOM!B:B,"222-172000-000")</f>
        <v>0</v>
      </c>
      <c r="AR1540">
        <f>sumifs(BOM!ar:ar,BOM!A:A,".1",BOM!B:B,"222-172000-000")</f>
        <v>0</v>
      </c>
      <c r="BX1540">
        <f>sum(j1540:an1540)</f>
        <v>0</v>
      </c>
    </row>
    <row r="1541" spans="1:76">
      <c r="A1541" t="s">
        <v>31</v>
      </c>
      <c r="B1541" t="s">
        <v>609</v>
      </c>
      <c r="C1541" t="s">
        <v>610</v>
      </c>
      <c r="E1541" t="s">
        <v>444</v>
      </c>
      <c r="F1541" t="s">
        <v>611</v>
      </c>
      <c r="K1541" t="s">
        <v>590</v>
      </c>
      <c r="L1541" t="s">
        <v>37</v>
      </c>
    </row>
    <row r="1542" spans="1:76">
      <c r="L1542" t="s">
        <v>662</v>
      </c>
    </row>
    <row r="1543" spans="1:76">
      <c r="L1543" t="s">
        <v>663</v>
      </c>
    </row>
    <row r="1544" spans="1:76">
      <c r="L1544" t="s">
        <v>664</v>
      </c>
    </row>
    <row r="1545" spans="1:76">
      <c r="L1545" t="s">
        <v>665</v>
      </c>
      <c r="M1545">
        <f>IF(DAY(NOW())&lt;M3,INDIRECT(ADDRESS(1545,7))-INDIRECT(ADDRESS(1540,13))+INDIRECT(ADDRESS(1541,13))-INDIRECT(ADDRESS(1544,13)),INDIRECT(ADDRESS(1545,7))-INDIRECT(ADDRESS(1540,13))+INDIRECT(ADDRESS(1543,13))-INDIRECT(ADDRESS(1544,13)))</f>
        <v>0</v>
      </c>
      <c r="N1545">
        <f>IF(DAY(NOW())&lt;M3,INDIRECT(ADDRESS(1545,13))-INDIRECT(ADDRESS(1540,14))+INDIRECT(ADDRESS(1541,14))-INDIRECT(ADDRESS(1544,14)),INDIRECT(ADDRESS(1545,13))-INDIRECT(ADDRESS(1540,14))+INDIRECT(ADDRESS(1543,14))-INDIRECT(ADDRESS(1544,14)))</f>
        <v>0</v>
      </c>
      <c r="O1545">
        <f>IF(DAY(NOW())&lt;M3,INDIRECT(ADDRESS(1545,14))-INDIRECT(ADDRESS(1540,15))+INDIRECT(ADDRESS(1541,15))-INDIRECT(ADDRESS(1544,15)),INDIRECT(ADDRESS(1545,14))-INDIRECT(ADDRESS(1540,15))+INDIRECT(ADDRESS(1543,15))-INDIRECT(ADDRESS(1544,15)))</f>
        <v>0</v>
      </c>
      <c r="P1545">
        <f>IF(DAY(NOW())&lt;M3,INDIRECT(ADDRESS(1545,15))-INDIRECT(ADDRESS(1540,16))+INDIRECT(ADDRESS(1541,16))-INDIRECT(ADDRESS(1544,16)),INDIRECT(ADDRESS(1545,15))-INDIRECT(ADDRESS(1540,16))+INDIRECT(ADDRESS(1543,16))-INDIRECT(ADDRESS(1544,16)))</f>
        <v>0</v>
      </c>
      <c r="Q1545">
        <f>IF(DAY(NOW())&lt;M3,INDIRECT(ADDRESS(1545,16))-INDIRECT(ADDRESS(1540,17))+INDIRECT(ADDRESS(1541,17))-INDIRECT(ADDRESS(1544,17)),INDIRECT(ADDRESS(1545,16))-INDIRECT(ADDRESS(1540,17))+INDIRECT(ADDRESS(1543,17))-INDIRECT(ADDRESS(1544,17)))</f>
        <v>0</v>
      </c>
      <c r="R1545">
        <f>IF(DAY(NOW())&lt;M3,INDIRECT(ADDRESS(1545,17))-INDIRECT(ADDRESS(1540,18))+INDIRECT(ADDRESS(1541,18))-INDIRECT(ADDRESS(1544,18)),INDIRECT(ADDRESS(1545,17))-INDIRECT(ADDRESS(1540,18))+INDIRECT(ADDRESS(1543,18))-INDIRECT(ADDRESS(1544,18)))</f>
        <v>0</v>
      </c>
      <c r="S1545">
        <f>IF(DAY(NOW())&lt;M3,INDIRECT(ADDRESS(1545,18))-INDIRECT(ADDRESS(1540,19))+INDIRECT(ADDRESS(1541,19))-INDIRECT(ADDRESS(1544,19)),INDIRECT(ADDRESS(1545,18))-INDIRECT(ADDRESS(1540,19))+INDIRECT(ADDRESS(1543,19))-INDIRECT(ADDRESS(1544,19)))</f>
        <v>0</v>
      </c>
      <c r="T1545">
        <f>IF(DAY(NOW())&lt;M3,INDIRECT(ADDRESS(1545,19))-INDIRECT(ADDRESS(1540,20))+INDIRECT(ADDRESS(1541,20))-INDIRECT(ADDRESS(1544,20)),INDIRECT(ADDRESS(1545,19))-INDIRECT(ADDRESS(1540,20))+INDIRECT(ADDRESS(1543,20))-INDIRECT(ADDRESS(1544,20)))</f>
        <v>0</v>
      </c>
      <c r="U1545">
        <f>IF(DAY(NOW())&lt;M3,INDIRECT(ADDRESS(1545,20))-INDIRECT(ADDRESS(1540,21))+INDIRECT(ADDRESS(1541,21))-INDIRECT(ADDRESS(1544,21)),INDIRECT(ADDRESS(1545,20))-INDIRECT(ADDRESS(1540,21))+INDIRECT(ADDRESS(1543,21))-INDIRECT(ADDRESS(1544,21)))</f>
        <v>0</v>
      </c>
      <c r="V1545">
        <f>IF(DAY(NOW())&lt;M3,INDIRECT(ADDRESS(1545,21))-INDIRECT(ADDRESS(1540,22))+INDIRECT(ADDRESS(1541,22))-INDIRECT(ADDRESS(1544,22)),INDIRECT(ADDRESS(1545,21))-INDIRECT(ADDRESS(1540,22))+INDIRECT(ADDRESS(1543,22))-INDIRECT(ADDRESS(1544,22)))</f>
        <v>0</v>
      </c>
      <c r="W1545">
        <f>IF(DAY(NOW())&lt;M3,INDIRECT(ADDRESS(1545,22))-INDIRECT(ADDRESS(1540,23))+INDIRECT(ADDRESS(1541,23))-INDIRECT(ADDRESS(1544,23)),INDIRECT(ADDRESS(1545,22))-INDIRECT(ADDRESS(1540,23))+INDIRECT(ADDRESS(1543,23))-INDIRECT(ADDRESS(1544,23)))</f>
        <v>0</v>
      </c>
      <c r="X1545">
        <f>IF(DAY(NOW())&lt;M3,INDIRECT(ADDRESS(1545,23))-INDIRECT(ADDRESS(1540,24))+INDIRECT(ADDRESS(1541,24))-INDIRECT(ADDRESS(1544,24)),INDIRECT(ADDRESS(1545,23))-INDIRECT(ADDRESS(1540,24))+INDIRECT(ADDRESS(1543,24))-INDIRECT(ADDRESS(1544,24)))</f>
        <v>0</v>
      </c>
      <c r="Y1545">
        <f>IF(DAY(NOW())&lt;M3,INDIRECT(ADDRESS(1545,24))-INDIRECT(ADDRESS(1540,25))+INDIRECT(ADDRESS(1541,25))-INDIRECT(ADDRESS(1544,25)),INDIRECT(ADDRESS(1545,24))-INDIRECT(ADDRESS(1540,25))+INDIRECT(ADDRESS(1543,25))-INDIRECT(ADDRESS(1544,25)))</f>
        <v>0</v>
      </c>
      <c r="Z1545">
        <f>IF(DAY(NOW())&lt;M3,INDIRECT(ADDRESS(1545,25))-INDIRECT(ADDRESS(1540,26))+INDIRECT(ADDRESS(1541,26))-INDIRECT(ADDRESS(1544,26)),INDIRECT(ADDRESS(1545,25))-INDIRECT(ADDRESS(1540,26))+INDIRECT(ADDRESS(1543,26))-INDIRECT(ADDRESS(1544,26)))</f>
        <v>0</v>
      </c>
      <c r="AA1545">
        <f>IF(DAY(NOW())&lt;M3,INDIRECT(ADDRESS(1545,26))-INDIRECT(ADDRESS(1540,27))+INDIRECT(ADDRESS(1541,27))-INDIRECT(ADDRESS(1544,27)),INDIRECT(ADDRESS(1545,26))-INDIRECT(ADDRESS(1540,27))+INDIRECT(ADDRESS(1543,27))-INDIRECT(ADDRESS(1544,27)))</f>
        <v>0</v>
      </c>
      <c r="AB1545">
        <f>IF(DAY(NOW())&lt;M3,INDIRECT(ADDRESS(1545,27))-INDIRECT(ADDRESS(1540,28))+INDIRECT(ADDRESS(1541,28))-INDIRECT(ADDRESS(1544,28)),INDIRECT(ADDRESS(1545,27))-INDIRECT(ADDRESS(1540,28))+INDIRECT(ADDRESS(1543,28))-INDIRECT(ADDRESS(1544,28)))</f>
        <v>0</v>
      </c>
      <c r="AC1545">
        <f>IF(DAY(NOW())&lt;M3,INDIRECT(ADDRESS(1545,28))-INDIRECT(ADDRESS(1540,29))+INDIRECT(ADDRESS(1541,29))-INDIRECT(ADDRESS(1544,29)),INDIRECT(ADDRESS(1545,28))-INDIRECT(ADDRESS(1540,29))+INDIRECT(ADDRESS(1543,29))-INDIRECT(ADDRESS(1544,29)))</f>
        <v>0</v>
      </c>
      <c r="AD1545">
        <f>IF(DAY(NOW())&lt;M3,INDIRECT(ADDRESS(1545,29))-INDIRECT(ADDRESS(1540,30))+INDIRECT(ADDRESS(1541,30))-INDIRECT(ADDRESS(1544,30)),INDIRECT(ADDRESS(1545,29))-INDIRECT(ADDRESS(1540,30))+INDIRECT(ADDRESS(1543,30))-INDIRECT(ADDRESS(1544,30)))</f>
        <v>0</v>
      </c>
      <c r="AE1545">
        <f>IF(DAY(NOW())&lt;M3,INDIRECT(ADDRESS(1545,30))-INDIRECT(ADDRESS(1540,31))+INDIRECT(ADDRESS(1541,31))-INDIRECT(ADDRESS(1544,31)),INDIRECT(ADDRESS(1545,30))-INDIRECT(ADDRESS(1540,31))+INDIRECT(ADDRESS(1543,31))-INDIRECT(ADDRESS(1544,31)))</f>
        <v>0</v>
      </c>
      <c r="AF1545">
        <f>IF(DAY(NOW())&lt;M3,INDIRECT(ADDRESS(1545,31))-INDIRECT(ADDRESS(1540,32))+INDIRECT(ADDRESS(1541,32))-INDIRECT(ADDRESS(1544,32)),INDIRECT(ADDRESS(1545,31))-INDIRECT(ADDRESS(1540,32))+INDIRECT(ADDRESS(1543,32))-INDIRECT(ADDRESS(1544,32)))</f>
        <v>0</v>
      </c>
      <c r="AG1545">
        <f>IF(DAY(NOW())&lt;M3,INDIRECT(ADDRESS(1545,32))-INDIRECT(ADDRESS(1540,33))+INDIRECT(ADDRESS(1541,33))-INDIRECT(ADDRESS(1544,33)),INDIRECT(ADDRESS(1545,32))-INDIRECT(ADDRESS(1540,33))+INDIRECT(ADDRESS(1543,33))-INDIRECT(ADDRESS(1544,33)))</f>
        <v>0</v>
      </c>
      <c r="AH1545">
        <f>IF(DAY(NOW())&lt;M3,INDIRECT(ADDRESS(1545,33))-INDIRECT(ADDRESS(1540,34))+INDIRECT(ADDRESS(1541,34))-INDIRECT(ADDRESS(1544,34)),INDIRECT(ADDRESS(1545,33))-INDIRECT(ADDRESS(1540,34))+INDIRECT(ADDRESS(1543,34))-INDIRECT(ADDRESS(1544,34)))</f>
        <v>0</v>
      </c>
      <c r="AI1545">
        <f>IF(DAY(NOW())&lt;M3,INDIRECT(ADDRESS(1545,34))-INDIRECT(ADDRESS(1540,35))+INDIRECT(ADDRESS(1541,35))-INDIRECT(ADDRESS(1544,35)),INDIRECT(ADDRESS(1545,34))-INDIRECT(ADDRESS(1540,35))+INDIRECT(ADDRESS(1543,35))-INDIRECT(ADDRESS(1544,35)))</f>
        <v>0</v>
      </c>
      <c r="AJ1545">
        <f>IF(DAY(NOW())&lt;M3,INDIRECT(ADDRESS(1545,35))-INDIRECT(ADDRESS(1540,36))+INDIRECT(ADDRESS(1541,36))-INDIRECT(ADDRESS(1544,36)),INDIRECT(ADDRESS(1545,35))-INDIRECT(ADDRESS(1540,36))+INDIRECT(ADDRESS(1543,36))-INDIRECT(ADDRESS(1544,36)))</f>
        <v>0</v>
      </c>
      <c r="AK1545">
        <f>IF(DAY(NOW())&lt;M3,INDIRECT(ADDRESS(1545,36))-INDIRECT(ADDRESS(1540,37))+INDIRECT(ADDRESS(1541,37))-INDIRECT(ADDRESS(1544,37)),INDIRECT(ADDRESS(1545,36))-INDIRECT(ADDRESS(1540,37))+INDIRECT(ADDRESS(1543,37))-INDIRECT(ADDRESS(1544,37)))</f>
        <v>0</v>
      </c>
      <c r="AL1545">
        <f>IF(DAY(NOW())&lt;M3,INDIRECT(ADDRESS(1545,37))-INDIRECT(ADDRESS(1540,38))+INDIRECT(ADDRESS(1541,38))-INDIRECT(ADDRESS(1544,38)),INDIRECT(ADDRESS(1545,37))-INDIRECT(ADDRESS(1540,38))+INDIRECT(ADDRESS(1543,38))-INDIRECT(ADDRESS(1544,38)))</f>
        <v>0</v>
      </c>
      <c r="AM1545">
        <f>IF(DAY(NOW())&lt;M3,INDIRECT(ADDRESS(1545,38))-INDIRECT(ADDRESS(1540,39))+INDIRECT(ADDRESS(1541,39))-INDIRECT(ADDRESS(1544,39)),INDIRECT(ADDRESS(1545,38))-INDIRECT(ADDRESS(1540,39))+INDIRECT(ADDRESS(1543,39))-INDIRECT(ADDRESS(1544,39)))</f>
        <v>0</v>
      </c>
      <c r="AN1545">
        <f>IF(DAY(NOW())&lt;M3,INDIRECT(ADDRESS(1545,39))-INDIRECT(ADDRESS(1540,40))+INDIRECT(ADDRESS(1541,40))-INDIRECT(ADDRESS(1544,40)),INDIRECT(ADDRESS(1545,39))-INDIRECT(ADDRESS(1540,40))+INDIRECT(ADDRESS(1543,40))-INDIRECT(ADDRESS(1544,40)))</f>
        <v>0</v>
      </c>
      <c r="AO1545">
        <f>IF(DAY(NOW())&lt;M3,INDIRECT(ADDRESS(1545,40))-INDIRECT(ADDRESS(1540,41))+INDIRECT(ADDRESS(1541,41))-INDIRECT(ADDRESS(1544,41)),INDIRECT(ADDRESS(1545,40))-INDIRECT(ADDRESS(1540,41))+INDIRECT(ADDRESS(1543,41))-INDIRECT(ADDRESS(1544,41)))</f>
        <v>0</v>
      </c>
      <c r="AP1545">
        <f>IF(DAY(NOW())&lt;M3,INDIRECT(ADDRESS(1545,41))-INDIRECT(ADDRESS(1540,42))+INDIRECT(ADDRESS(1541,42))-INDIRECT(ADDRESS(1544,42)),INDIRECT(ADDRESS(1545,41))-INDIRECT(ADDRESS(1540,42))+INDIRECT(ADDRESS(1543,42))-INDIRECT(ADDRESS(1544,42)))</f>
        <v>0</v>
      </c>
      <c r="AQ1545">
        <f>IF(DAY(NOW())&lt;M3,INDIRECT(ADDRESS(1545,42))-INDIRECT(ADDRESS(1540,43))+INDIRECT(ADDRESS(1541,43))-INDIRECT(ADDRESS(1544,43)),INDIRECT(ADDRESS(1545,42))-INDIRECT(ADDRESS(1540,43))+INDIRECT(ADDRESS(1543,43))-INDIRECT(ADDRESS(1544,43)))</f>
        <v>0</v>
      </c>
      <c r="AR1545">
        <f>IF(DAY(NOW())&lt;M3,INDIRECT(ADDRESS(1545,43))-INDIRECT(ADDRESS(1540,44))+INDIRECT(ADDRESS(1541,44))-INDIRECT(ADDRESS(1544,44)),INDIRECT(ADDRESS(1545,43))-INDIRECT(ADDRESS(1540,44))+INDIRECT(ADDRESS(1543,44))-INDIRECT(ADDRESS(1544,44)))</f>
        <v>0</v>
      </c>
    </row>
    <row r="1546" spans="1:76">
      <c r="A1546" t="s">
        <v>31</v>
      </c>
      <c r="B1546" t="s">
        <v>612</v>
      </c>
      <c r="C1546" t="s">
        <v>613</v>
      </c>
      <c r="F1546" t="s">
        <v>596</v>
      </c>
      <c r="K1546" t="s">
        <v>590</v>
      </c>
      <c r="L1546" t="s">
        <v>21</v>
      </c>
      <c r="M1546">
        <f>sumifs(BOM!m:m,BOM!A:A,".1",BOM!B:B,"272-029800-000")</f>
        <v>0</v>
      </c>
      <c r="N1546">
        <f>sumifs(BOM!n:n,BOM!A:A,".1",BOM!B:B,"272-029800-000")</f>
        <v>0</v>
      </c>
      <c r="O1546">
        <f>sumifs(BOM!o:o,BOM!A:A,".1",BOM!B:B,"272-029800-000")</f>
        <v>0</v>
      </c>
      <c r="P1546">
        <f>sumifs(BOM!p:p,BOM!A:A,".1",BOM!B:B,"272-029800-000")</f>
        <v>0</v>
      </c>
      <c r="Q1546">
        <f>sumifs(BOM!q:q,BOM!A:A,".1",BOM!B:B,"272-029800-000")</f>
        <v>0</v>
      </c>
      <c r="R1546">
        <f>sumifs(BOM!r:r,BOM!A:A,".1",BOM!B:B,"272-029800-000")</f>
        <v>0</v>
      </c>
      <c r="S1546">
        <f>sumifs(BOM!s:s,BOM!A:A,".1",BOM!B:B,"272-029800-000")</f>
        <v>0</v>
      </c>
      <c r="T1546">
        <f>sumifs(BOM!t:t,BOM!A:A,".1",BOM!B:B,"272-029800-000")</f>
        <v>0</v>
      </c>
      <c r="U1546">
        <f>sumifs(BOM!u:u,BOM!A:A,".1",BOM!B:B,"272-029800-000")</f>
        <v>0</v>
      </c>
      <c r="V1546">
        <f>sumifs(BOM!v:v,BOM!A:A,".1",BOM!B:B,"272-029800-000")</f>
        <v>0</v>
      </c>
      <c r="W1546">
        <f>sumifs(BOM!w:w,BOM!A:A,".1",BOM!B:B,"272-029800-000")</f>
        <v>0</v>
      </c>
      <c r="X1546">
        <f>sumifs(BOM!x:x,BOM!A:A,".1",BOM!B:B,"272-029800-000")</f>
        <v>0</v>
      </c>
      <c r="Y1546">
        <f>sumifs(BOM!y:y,BOM!A:A,".1",BOM!B:B,"272-029800-000")</f>
        <v>0</v>
      </c>
      <c r="Z1546">
        <f>sumifs(BOM!z:z,BOM!A:A,".1",BOM!B:B,"272-029800-000")</f>
        <v>0</v>
      </c>
      <c r="AA1546">
        <f>sumifs(BOM!aa:aa,BOM!A:A,".1",BOM!B:B,"272-029800-000")</f>
        <v>0</v>
      </c>
      <c r="AB1546">
        <f>sumifs(BOM!ab:ab,BOM!A:A,".1",BOM!B:B,"272-029800-000")</f>
        <v>0</v>
      </c>
      <c r="AC1546">
        <f>sumifs(BOM!ac:ac,BOM!A:A,".1",BOM!B:B,"272-029800-000")</f>
        <v>0</v>
      </c>
      <c r="AD1546">
        <f>sumifs(BOM!ad:ad,BOM!A:A,".1",BOM!B:B,"272-029800-000")</f>
        <v>0</v>
      </c>
      <c r="AE1546">
        <f>sumifs(BOM!ae:ae,BOM!A:A,".1",BOM!B:B,"272-029800-000")</f>
        <v>0</v>
      </c>
      <c r="AF1546">
        <f>sumifs(BOM!af:af,BOM!A:A,".1",BOM!B:B,"272-029800-000")</f>
        <v>0</v>
      </c>
      <c r="AG1546">
        <f>sumifs(BOM!ag:ag,BOM!A:A,".1",BOM!B:B,"272-029800-000")</f>
        <v>0</v>
      </c>
      <c r="AH1546">
        <f>sumifs(BOM!ah:ah,BOM!A:A,".1",BOM!B:B,"272-029800-000")</f>
        <v>0</v>
      </c>
      <c r="AI1546">
        <f>sumifs(BOM!ai:ai,BOM!A:A,".1",BOM!B:B,"272-029800-000")</f>
        <v>0</v>
      </c>
      <c r="AJ1546">
        <f>sumifs(BOM!aj:aj,BOM!A:A,".1",BOM!B:B,"272-029800-000")</f>
        <v>0</v>
      </c>
      <c r="AK1546">
        <f>sumifs(BOM!ak:ak,BOM!A:A,".1",BOM!B:B,"272-029800-000")</f>
        <v>0</v>
      </c>
      <c r="AL1546">
        <f>sumifs(BOM!al:al,BOM!A:A,".1",BOM!B:B,"272-029800-000")</f>
        <v>0</v>
      </c>
      <c r="AM1546">
        <f>sumifs(BOM!am:am,BOM!A:A,".1",BOM!B:B,"272-029800-000")</f>
        <v>0</v>
      </c>
      <c r="AN1546">
        <f>sumifs(BOM!an:an,BOM!A:A,".1",BOM!B:B,"272-029800-000")</f>
        <v>0</v>
      </c>
      <c r="AO1546">
        <f>sumifs(BOM!ao:ao,BOM!A:A,".1",BOM!B:B,"272-029800-000")</f>
        <v>0</v>
      </c>
      <c r="AP1546">
        <f>sumifs(BOM!ap:ap,BOM!A:A,".1",BOM!B:B,"272-029800-000")</f>
        <v>0</v>
      </c>
      <c r="AQ1546">
        <f>sumifs(BOM!aq:aq,BOM!A:A,".1",BOM!B:B,"272-029800-000")</f>
        <v>0</v>
      </c>
      <c r="AR1546">
        <f>sumifs(BOM!ar:ar,BOM!A:A,".1",BOM!B:B,"272-029800-000")</f>
        <v>0</v>
      </c>
      <c r="BX1546">
        <f>sum(j1546:an1546)</f>
        <v>0</v>
      </c>
    </row>
    <row r="1547" spans="1:76">
      <c r="A1547" t="s">
        <v>31</v>
      </c>
      <c r="B1547" t="s">
        <v>612</v>
      </c>
      <c r="C1547" t="s">
        <v>613</v>
      </c>
      <c r="F1547" t="s">
        <v>596</v>
      </c>
      <c r="K1547" t="s">
        <v>590</v>
      </c>
      <c r="L1547" t="s">
        <v>37</v>
      </c>
    </row>
    <row r="1548" spans="1:76">
      <c r="L1548" t="s">
        <v>662</v>
      </c>
    </row>
    <row r="1549" spans="1:76">
      <c r="L1549" t="s">
        <v>663</v>
      </c>
    </row>
    <row r="1550" spans="1:76">
      <c r="L1550" t="s">
        <v>664</v>
      </c>
    </row>
    <row r="1551" spans="1:76">
      <c r="L1551" t="s">
        <v>665</v>
      </c>
      <c r="M1551">
        <f>IF(DAY(NOW())&lt;M3,INDIRECT(ADDRESS(1551,7))-INDIRECT(ADDRESS(1546,13))+INDIRECT(ADDRESS(1547,13))-INDIRECT(ADDRESS(1550,13)),INDIRECT(ADDRESS(1551,7))-INDIRECT(ADDRESS(1546,13))+INDIRECT(ADDRESS(1549,13))-INDIRECT(ADDRESS(1550,13)))</f>
        <v>0</v>
      </c>
      <c r="N1551">
        <f>IF(DAY(NOW())&lt;M3,INDIRECT(ADDRESS(1551,13))-INDIRECT(ADDRESS(1546,14))+INDIRECT(ADDRESS(1547,14))-INDIRECT(ADDRESS(1550,14)),INDIRECT(ADDRESS(1551,13))-INDIRECT(ADDRESS(1546,14))+INDIRECT(ADDRESS(1549,14))-INDIRECT(ADDRESS(1550,14)))</f>
        <v>0</v>
      </c>
      <c r="O1551">
        <f>IF(DAY(NOW())&lt;M3,INDIRECT(ADDRESS(1551,14))-INDIRECT(ADDRESS(1546,15))+INDIRECT(ADDRESS(1547,15))-INDIRECT(ADDRESS(1550,15)),INDIRECT(ADDRESS(1551,14))-INDIRECT(ADDRESS(1546,15))+INDIRECT(ADDRESS(1549,15))-INDIRECT(ADDRESS(1550,15)))</f>
        <v>0</v>
      </c>
      <c r="P1551">
        <f>IF(DAY(NOW())&lt;M3,INDIRECT(ADDRESS(1551,15))-INDIRECT(ADDRESS(1546,16))+INDIRECT(ADDRESS(1547,16))-INDIRECT(ADDRESS(1550,16)),INDIRECT(ADDRESS(1551,15))-INDIRECT(ADDRESS(1546,16))+INDIRECT(ADDRESS(1549,16))-INDIRECT(ADDRESS(1550,16)))</f>
        <v>0</v>
      </c>
      <c r="Q1551">
        <f>IF(DAY(NOW())&lt;M3,INDIRECT(ADDRESS(1551,16))-INDIRECT(ADDRESS(1546,17))+INDIRECT(ADDRESS(1547,17))-INDIRECT(ADDRESS(1550,17)),INDIRECT(ADDRESS(1551,16))-INDIRECT(ADDRESS(1546,17))+INDIRECT(ADDRESS(1549,17))-INDIRECT(ADDRESS(1550,17)))</f>
        <v>0</v>
      </c>
      <c r="R1551">
        <f>IF(DAY(NOW())&lt;M3,INDIRECT(ADDRESS(1551,17))-INDIRECT(ADDRESS(1546,18))+INDIRECT(ADDRESS(1547,18))-INDIRECT(ADDRESS(1550,18)),INDIRECT(ADDRESS(1551,17))-INDIRECT(ADDRESS(1546,18))+INDIRECT(ADDRESS(1549,18))-INDIRECT(ADDRESS(1550,18)))</f>
        <v>0</v>
      </c>
      <c r="S1551">
        <f>IF(DAY(NOW())&lt;M3,INDIRECT(ADDRESS(1551,18))-INDIRECT(ADDRESS(1546,19))+INDIRECT(ADDRESS(1547,19))-INDIRECT(ADDRESS(1550,19)),INDIRECT(ADDRESS(1551,18))-INDIRECT(ADDRESS(1546,19))+INDIRECT(ADDRESS(1549,19))-INDIRECT(ADDRESS(1550,19)))</f>
        <v>0</v>
      </c>
      <c r="T1551">
        <f>IF(DAY(NOW())&lt;M3,INDIRECT(ADDRESS(1551,19))-INDIRECT(ADDRESS(1546,20))+INDIRECT(ADDRESS(1547,20))-INDIRECT(ADDRESS(1550,20)),INDIRECT(ADDRESS(1551,19))-INDIRECT(ADDRESS(1546,20))+INDIRECT(ADDRESS(1549,20))-INDIRECT(ADDRESS(1550,20)))</f>
        <v>0</v>
      </c>
      <c r="U1551">
        <f>IF(DAY(NOW())&lt;M3,INDIRECT(ADDRESS(1551,20))-INDIRECT(ADDRESS(1546,21))+INDIRECT(ADDRESS(1547,21))-INDIRECT(ADDRESS(1550,21)),INDIRECT(ADDRESS(1551,20))-INDIRECT(ADDRESS(1546,21))+INDIRECT(ADDRESS(1549,21))-INDIRECT(ADDRESS(1550,21)))</f>
        <v>0</v>
      </c>
      <c r="V1551">
        <f>IF(DAY(NOW())&lt;M3,INDIRECT(ADDRESS(1551,21))-INDIRECT(ADDRESS(1546,22))+INDIRECT(ADDRESS(1547,22))-INDIRECT(ADDRESS(1550,22)),INDIRECT(ADDRESS(1551,21))-INDIRECT(ADDRESS(1546,22))+INDIRECT(ADDRESS(1549,22))-INDIRECT(ADDRESS(1550,22)))</f>
        <v>0</v>
      </c>
      <c r="W1551">
        <f>IF(DAY(NOW())&lt;M3,INDIRECT(ADDRESS(1551,22))-INDIRECT(ADDRESS(1546,23))+INDIRECT(ADDRESS(1547,23))-INDIRECT(ADDRESS(1550,23)),INDIRECT(ADDRESS(1551,22))-INDIRECT(ADDRESS(1546,23))+INDIRECT(ADDRESS(1549,23))-INDIRECT(ADDRESS(1550,23)))</f>
        <v>0</v>
      </c>
      <c r="X1551">
        <f>IF(DAY(NOW())&lt;M3,INDIRECT(ADDRESS(1551,23))-INDIRECT(ADDRESS(1546,24))+INDIRECT(ADDRESS(1547,24))-INDIRECT(ADDRESS(1550,24)),INDIRECT(ADDRESS(1551,23))-INDIRECT(ADDRESS(1546,24))+INDIRECT(ADDRESS(1549,24))-INDIRECT(ADDRESS(1550,24)))</f>
        <v>0</v>
      </c>
      <c r="Y1551">
        <f>IF(DAY(NOW())&lt;M3,INDIRECT(ADDRESS(1551,24))-INDIRECT(ADDRESS(1546,25))+INDIRECT(ADDRESS(1547,25))-INDIRECT(ADDRESS(1550,25)),INDIRECT(ADDRESS(1551,24))-INDIRECT(ADDRESS(1546,25))+INDIRECT(ADDRESS(1549,25))-INDIRECT(ADDRESS(1550,25)))</f>
        <v>0</v>
      </c>
      <c r="Z1551">
        <f>IF(DAY(NOW())&lt;M3,INDIRECT(ADDRESS(1551,25))-INDIRECT(ADDRESS(1546,26))+INDIRECT(ADDRESS(1547,26))-INDIRECT(ADDRESS(1550,26)),INDIRECT(ADDRESS(1551,25))-INDIRECT(ADDRESS(1546,26))+INDIRECT(ADDRESS(1549,26))-INDIRECT(ADDRESS(1550,26)))</f>
        <v>0</v>
      </c>
      <c r="AA1551">
        <f>IF(DAY(NOW())&lt;M3,INDIRECT(ADDRESS(1551,26))-INDIRECT(ADDRESS(1546,27))+INDIRECT(ADDRESS(1547,27))-INDIRECT(ADDRESS(1550,27)),INDIRECT(ADDRESS(1551,26))-INDIRECT(ADDRESS(1546,27))+INDIRECT(ADDRESS(1549,27))-INDIRECT(ADDRESS(1550,27)))</f>
        <v>0</v>
      </c>
      <c r="AB1551">
        <f>IF(DAY(NOW())&lt;M3,INDIRECT(ADDRESS(1551,27))-INDIRECT(ADDRESS(1546,28))+INDIRECT(ADDRESS(1547,28))-INDIRECT(ADDRESS(1550,28)),INDIRECT(ADDRESS(1551,27))-INDIRECT(ADDRESS(1546,28))+INDIRECT(ADDRESS(1549,28))-INDIRECT(ADDRESS(1550,28)))</f>
        <v>0</v>
      </c>
      <c r="AC1551">
        <f>IF(DAY(NOW())&lt;M3,INDIRECT(ADDRESS(1551,28))-INDIRECT(ADDRESS(1546,29))+INDIRECT(ADDRESS(1547,29))-INDIRECT(ADDRESS(1550,29)),INDIRECT(ADDRESS(1551,28))-INDIRECT(ADDRESS(1546,29))+INDIRECT(ADDRESS(1549,29))-INDIRECT(ADDRESS(1550,29)))</f>
        <v>0</v>
      </c>
      <c r="AD1551">
        <f>IF(DAY(NOW())&lt;M3,INDIRECT(ADDRESS(1551,29))-INDIRECT(ADDRESS(1546,30))+INDIRECT(ADDRESS(1547,30))-INDIRECT(ADDRESS(1550,30)),INDIRECT(ADDRESS(1551,29))-INDIRECT(ADDRESS(1546,30))+INDIRECT(ADDRESS(1549,30))-INDIRECT(ADDRESS(1550,30)))</f>
        <v>0</v>
      </c>
      <c r="AE1551">
        <f>IF(DAY(NOW())&lt;M3,INDIRECT(ADDRESS(1551,30))-INDIRECT(ADDRESS(1546,31))+INDIRECT(ADDRESS(1547,31))-INDIRECT(ADDRESS(1550,31)),INDIRECT(ADDRESS(1551,30))-INDIRECT(ADDRESS(1546,31))+INDIRECT(ADDRESS(1549,31))-INDIRECT(ADDRESS(1550,31)))</f>
        <v>0</v>
      </c>
      <c r="AF1551">
        <f>IF(DAY(NOW())&lt;M3,INDIRECT(ADDRESS(1551,31))-INDIRECT(ADDRESS(1546,32))+INDIRECT(ADDRESS(1547,32))-INDIRECT(ADDRESS(1550,32)),INDIRECT(ADDRESS(1551,31))-INDIRECT(ADDRESS(1546,32))+INDIRECT(ADDRESS(1549,32))-INDIRECT(ADDRESS(1550,32)))</f>
        <v>0</v>
      </c>
      <c r="AG1551">
        <f>IF(DAY(NOW())&lt;M3,INDIRECT(ADDRESS(1551,32))-INDIRECT(ADDRESS(1546,33))+INDIRECT(ADDRESS(1547,33))-INDIRECT(ADDRESS(1550,33)),INDIRECT(ADDRESS(1551,32))-INDIRECT(ADDRESS(1546,33))+INDIRECT(ADDRESS(1549,33))-INDIRECT(ADDRESS(1550,33)))</f>
        <v>0</v>
      </c>
      <c r="AH1551">
        <f>IF(DAY(NOW())&lt;M3,INDIRECT(ADDRESS(1551,33))-INDIRECT(ADDRESS(1546,34))+INDIRECT(ADDRESS(1547,34))-INDIRECT(ADDRESS(1550,34)),INDIRECT(ADDRESS(1551,33))-INDIRECT(ADDRESS(1546,34))+INDIRECT(ADDRESS(1549,34))-INDIRECT(ADDRESS(1550,34)))</f>
        <v>0</v>
      </c>
      <c r="AI1551">
        <f>IF(DAY(NOW())&lt;M3,INDIRECT(ADDRESS(1551,34))-INDIRECT(ADDRESS(1546,35))+INDIRECT(ADDRESS(1547,35))-INDIRECT(ADDRESS(1550,35)),INDIRECT(ADDRESS(1551,34))-INDIRECT(ADDRESS(1546,35))+INDIRECT(ADDRESS(1549,35))-INDIRECT(ADDRESS(1550,35)))</f>
        <v>0</v>
      </c>
      <c r="AJ1551">
        <f>IF(DAY(NOW())&lt;M3,INDIRECT(ADDRESS(1551,35))-INDIRECT(ADDRESS(1546,36))+INDIRECT(ADDRESS(1547,36))-INDIRECT(ADDRESS(1550,36)),INDIRECT(ADDRESS(1551,35))-INDIRECT(ADDRESS(1546,36))+INDIRECT(ADDRESS(1549,36))-INDIRECT(ADDRESS(1550,36)))</f>
        <v>0</v>
      </c>
      <c r="AK1551">
        <f>IF(DAY(NOW())&lt;M3,INDIRECT(ADDRESS(1551,36))-INDIRECT(ADDRESS(1546,37))+INDIRECT(ADDRESS(1547,37))-INDIRECT(ADDRESS(1550,37)),INDIRECT(ADDRESS(1551,36))-INDIRECT(ADDRESS(1546,37))+INDIRECT(ADDRESS(1549,37))-INDIRECT(ADDRESS(1550,37)))</f>
        <v>0</v>
      </c>
      <c r="AL1551">
        <f>IF(DAY(NOW())&lt;M3,INDIRECT(ADDRESS(1551,37))-INDIRECT(ADDRESS(1546,38))+INDIRECT(ADDRESS(1547,38))-INDIRECT(ADDRESS(1550,38)),INDIRECT(ADDRESS(1551,37))-INDIRECT(ADDRESS(1546,38))+INDIRECT(ADDRESS(1549,38))-INDIRECT(ADDRESS(1550,38)))</f>
        <v>0</v>
      </c>
      <c r="AM1551">
        <f>IF(DAY(NOW())&lt;M3,INDIRECT(ADDRESS(1551,38))-INDIRECT(ADDRESS(1546,39))+INDIRECT(ADDRESS(1547,39))-INDIRECT(ADDRESS(1550,39)),INDIRECT(ADDRESS(1551,38))-INDIRECT(ADDRESS(1546,39))+INDIRECT(ADDRESS(1549,39))-INDIRECT(ADDRESS(1550,39)))</f>
        <v>0</v>
      </c>
      <c r="AN1551">
        <f>IF(DAY(NOW())&lt;M3,INDIRECT(ADDRESS(1551,39))-INDIRECT(ADDRESS(1546,40))+INDIRECT(ADDRESS(1547,40))-INDIRECT(ADDRESS(1550,40)),INDIRECT(ADDRESS(1551,39))-INDIRECT(ADDRESS(1546,40))+INDIRECT(ADDRESS(1549,40))-INDIRECT(ADDRESS(1550,40)))</f>
        <v>0</v>
      </c>
      <c r="AO1551">
        <f>IF(DAY(NOW())&lt;M3,INDIRECT(ADDRESS(1551,40))-INDIRECT(ADDRESS(1546,41))+INDIRECT(ADDRESS(1547,41))-INDIRECT(ADDRESS(1550,41)),INDIRECT(ADDRESS(1551,40))-INDIRECT(ADDRESS(1546,41))+INDIRECT(ADDRESS(1549,41))-INDIRECT(ADDRESS(1550,41)))</f>
        <v>0</v>
      </c>
      <c r="AP1551">
        <f>IF(DAY(NOW())&lt;M3,INDIRECT(ADDRESS(1551,41))-INDIRECT(ADDRESS(1546,42))+INDIRECT(ADDRESS(1547,42))-INDIRECT(ADDRESS(1550,42)),INDIRECT(ADDRESS(1551,41))-INDIRECT(ADDRESS(1546,42))+INDIRECT(ADDRESS(1549,42))-INDIRECT(ADDRESS(1550,42)))</f>
        <v>0</v>
      </c>
      <c r="AQ1551">
        <f>IF(DAY(NOW())&lt;M3,INDIRECT(ADDRESS(1551,42))-INDIRECT(ADDRESS(1546,43))+INDIRECT(ADDRESS(1547,43))-INDIRECT(ADDRESS(1550,43)),INDIRECT(ADDRESS(1551,42))-INDIRECT(ADDRESS(1546,43))+INDIRECT(ADDRESS(1549,43))-INDIRECT(ADDRESS(1550,43)))</f>
        <v>0</v>
      </c>
      <c r="AR1551">
        <f>IF(DAY(NOW())&lt;M3,INDIRECT(ADDRESS(1551,43))-INDIRECT(ADDRESS(1546,44))+INDIRECT(ADDRESS(1547,44))-INDIRECT(ADDRESS(1550,44)),INDIRECT(ADDRESS(1551,43))-INDIRECT(ADDRESS(1546,44))+INDIRECT(ADDRESS(1549,44))-INDIRECT(ADDRESS(1550,44)))</f>
        <v>0</v>
      </c>
    </row>
    <row r="1552" spans="1:76">
      <c r="A1552" t="s">
        <v>31</v>
      </c>
      <c r="B1552" t="s">
        <v>597</v>
      </c>
      <c r="C1552" t="s">
        <v>598</v>
      </c>
      <c r="E1552" t="s">
        <v>444</v>
      </c>
      <c r="F1552" t="s">
        <v>551</v>
      </c>
      <c r="K1552" t="s">
        <v>590</v>
      </c>
      <c r="L1552" t="s">
        <v>21</v>
      </c>
      <c r="M1552">
        <f>sumifs(BOM!m:m,BOM!A:A,".1",BOM!B:B,"262-002200-000")</f>
        <v>0</v>
      </c>
      <c r="N1552">
        <f>sumifs(BOM!n:n,BOM!A:A,".1",BOM!B:B,"262-002200-000")</f>
        <v>0</v>
      </c>
      <c r="O1552">
        <f>sumifs(BOM!o:o,BOM!A:A,".1",BOM!B:B,"262-002200-000")</f>
        <v>0</v>
      </c>
      <c r="P1552">
        <f>sumifs(BOM!p:p,BOM!A:A,".1",BOM!B:B,"262-002200-000")</f>
        <v>0</v>
      </c>
      <c r="Q1552">
        <f>sumifs(BOM!q:q,BOM!A:A,".1",BOM!B:B,"262-002200-000")</f>
        <v>0</v>
      </c>
      <c r="R1552">
        <f>sumifs(BOM!r:r,BOM!A:A,".1",BOM!B:B,"262-002200-000")</f>
        <v>0</v>
      </c>
      <c r="S1552">
        <f>sumifs(BOM!s:s,BOM!A:A,".1",BOM!B:B,"262-002200-000")</f>
        <v>0</v>
      </c>
      <c r="T1552">
        <f>sumifs(BOM!t:t,BOM!A:A,".1",BOM!B:B,"262-002200-000")</f>
        <v>0</v>
      </c>
      <c r="U1552">
        <f>sumifs(BOM!u:u,BOM!A:A,".1",BOM!B:B,"262-002200-000")</f>
        <v>0</v>
      </c>
      <c r="V1552">
        <f>sumifs(BOM!v:v,BOM!A:A,".1",BOM!B:B,"262-002200-000")</f>
        <v>0</v>
      </c>
      <c r="W1552">
        <f>sumifs(BOM!w:w,BOM!A:A,".1",BOM!B:B,"262-002200-000")</f>
        <v>0</v>
      </c>
      <c r="X1552">
        <f>sumifs(BOM!x:x,BOM!A:A,".1",BOM!B:B,"262-002200-000")</f>
        <v>0</v>
      </c>
      <c r="Y1552">
        <f>sumifs(BOM!y:y,BOM!A:A,".1",BOM!B:B,"262-002200-000")</f>
        <v>0</v>
      </c>
      <c r="Z1552">
        <f>sumifs(BOM!z:z,BOM!A:A,".1",BOM!B:B,"262-002200-000")</f>
        <v>0</v>
      </c>
      <c r="AA1552">
        <f>sumifs(BOM!aa:aa,BOM!A:A,".1",BOM!B:B,"262-002200-000")</f>
        <v>0</v>
      </c>
      <c r="AB1552">
        <f>sumifs(BOM!ab:ab,BOM!A:A,".1",BOM!B:B,"262-002200-000")</f>
        <v>0</v>
      </c>
      <c r="AC1552">
        <f>sumifs(BOM!ac:ac,BOM!A:A,".1",BOM!B:B,"262-002200-000")</f>
        <v>0</v>
      </c>
      <c r="AD1552">
        <f>sumifs(BOM!ad:ad,BOM!A:A,".1",BOM!B:B,"262-002200-000")</f>
        <v>0</v>
      </c>
      <c r="AE1552">
        <f>sumifs(BOM!ae:ae,BOM!A:A,".1",BOM!B:B,"262-002200-000")</f>
        <v>0</v>
      </c>
      <c r="AF1552">
        <f>sumifs(BOM!af:af,BOM!A:A,".1",BOM!B:B,"262-002200-000")</f>
        <v>0</v>
      </c>
      <c r="AG1552">
        <f>sumifs(BOM!ag:ag,BOM!A:A,".1",BOM!B:B,"262-002200-000")</f>
        <v>0</v>
      </c>
      <c r="AH1552">
        <f>sumifs(BOM!ah:ah,BOM!A:A,".1",BOM!B:B,"262-002200-000")</f>
        <v>0</v>
      </c>
      <c r="AI1552">
        <f>sumifs(BOM!ai:ai,BOM!A:A,".1",BOM!B:B,"262-002200-000")</f>
        <v>0</v>
      </c>
      <c r="AJ1552">
        <f>sumifs(BOM!aj:aj,BOM!A:A,".1",BOM!B:B,"262-002200-000")</f>
        <v>0</v>
      </c>
      <c r="AK1552">
        <f>sumifs(BOM!ak:ak,BOM!A:A,".1",BOM!B:B,"262-002200-000")</f>
        <v>0</v>
      </c>
      <c r="AL1552">
        <f>sumifs(BOM!al:al,BOM!A:A,".1",BOM!B:B,"262-002200-000")</f>
        <v>0</v>
      </c>
      <c r="AM1552">
        <f>sumifs(BOM!am:am,BOM!A:A,".1",BOM!B:B,"262-002200-000")</f>
        <v>0</v>
      </c>
      <c r="AN1552">
        <f>sumifs(BOM!an:an,BOM!A:A,".1",BOM!B:B,"262-002200-000")</f>
        <v>0</v>
      </c>
      <c r="AO1552">
        <f>sumifs(BOM!ao:ao,BOM!A:A,".1",BOM!B:B,"262-002200-000")</f>
        <v>0</v>
      </c>
      <c r="AP1552">
        <f>sumifs(BOM!ap:ap,BOM!A:A,".1",BOM!B:B,"262-002200-000")</f>
        <v>0</v>
      </c>
      <c r="AQ1552">
        <f>sumifs(BOM!aq:aq,BOM!A:A,".1",BOM!B:B,"262-002200-000")</f>
        <v>0</v>
      </c>
      <c r="AR1552">
        <f>sumifs(BOM!ar:ar,BOM!A:A,".1",BOM!B:B,"262-002200-000")</f>
        <v>0</v>
      </c>
      <c r="BX1552">
        <f>sum(j1552:an1552)</f>
        <v>0</v>
      </c>
    </row>
    <row r="1553" spans="1:76">
      <c r="A1553" t="s">
        <v>31</v>
      </c>
      <c r="B1553" t="s">
        <v>597</v>
      </c>
      <c r="C1553" t="s">
        <v>598</v>
      </c>
      <c r="E1553" t="s">
        <v>444</v>
      </c>
      <c r="F1553" t="s">
        <v>551</v>
      </c>
      <c r="K1553" t="s">
        <v>590</v>
      </c>
      <c r="L1553" t="s">
        <v>37</v>
      </c>
    </row>
    <row r="1554" spans="1:76">
      <c r="L1554" t="s">
        <v>662</v>
      </c>
    </row>
    <row r="1555" spans="1:76">
      <c r="L1555" t="s">
        <v>663</v>
      </c>
    </row>
    <row r="1556" spans="1:76">
      <c r="L1556" t="s">
        <v>664</v>
      </c>
    </row>
    <row r="1557" spans="1:76">
      <c r="L1557" t="s">
        <v>665</v>
      </c>
      <c r="M1557">
        <f>IF(DAY(NOW())&lt;M3,INDIRECT(ADDRESS(1557,7))-INDIRECT(ADDRESS(1552,13))+INDIRECT(ADDRESS(1553,13))-INDIRECT(ADDRESS(1556,13)),INDIRECT(ADDRESS(1557,7))-INDIRECT(ADDRESS(1552,13))+INDIRECT(ADDRESS(1555,13))-INDIRECT(ADDRESS(1556,13)))</f>
        <v>0</v>
      </c>
      <c r="N1557">
        <f>IF(DAY(NOW())&lt;M3,INDIRECT(ADDRESS(1557,13))-INDIRECT(ADDRESS(1552,14))+INDIRECT(ADDRESS(1553,14))-INDIRECT(ADDRESS(1556,14)),INDIRECT(ADDRESS(1557,13))-INDIRECT(ADDRESS(1552,14))+INDIRECT(ADDRESS(1555,14))-INDIRECT(ADDRESS(1556,14)))</f>
        <v>0</v>
      </c>
      <c r="O1557">
        <f>IF(DAY(NOW())&lt;M3,INDIRECT(ADDRESS(1557,14))-INDIRECT(ADDRESS(1552,15))+INDIRECT(ADDRESS(1553,15))-INDIRECT(ADDRESS(1556,15)),INDIRECT(ADDRESS(1557,14))-INDIRECT(ADDRESS(1552,15))+INDIRECT(ADDRESS(1555,15))-INDIRECT(ADDRESS(1556,15)))</f>
        <v>0</v>
      </c>
      <c r="P1557">
        <f>IF(DAY(NOW())&lt;M3,INDIRECT(ADDRESS(1557,15))-INDIRECT(ADDRESS(1552,16))+INDIRECT(ADDRESS(1553,16))-INDIRECT(ADDRESS(1556,16)),INDIRECT(ADDRESS(1557,15))-INDIRECT(ADDRESS(1552,16))+INDIRECT(ADDRESS(1555,16))-INDIRECT(ADDRESS(1556,16)))</f>
        <v>0</v>
      </c>
      <c r="Q1557">
        <f>IF(DAY(NOW())&lt;M3,INDIRECT(ADDRESS(1557,16))-INDIRECT(ADDRESS(1552,17))+INDIRECT(ADDRESS(1553,17))-INDIRECT(ADDRESS(1556,17)),INDIRECT(ADDRESS(1557,16))-INDIRECT(ADDRESS(1552,17))+INDIRECT(ADDRESS(1555,17))-INDIRECT(ADDRESS(1556,17)))</f>
        <v>0</v>
      </c>
      <c r="R1557">
        <f>IF(DAY(NOW())&lt;M3,INDIRECT(ADDRESS(1557,17))-INDIRECT(ADDRESS(1552,18))+INDIRECT(ADDRESS(1553,18))-INDIRECT(ADDRESS(1556,18)),INDIRECT(ADDRESS(1557,17))-INDIRECT(ADDRESS(1552,18))+INDIRECT(ADDRESS(1555,18))-INDIRECT(ADDRESS(1556,18)))</f>
        <v>0</v>
      </c>
      <c r="S1557">
        <f>IF(DAY(NOW())&lt;M3,INDIRECT(ADDRESS(1557,18))-INDIRECT(ADDRESS(1552,19))+INDIRECT(ADDRESS(1553,19))-INDIRECT(ADDRESS(1556,19)),INDIRECT(ADDRESS(1557,18))-INDIRECT(ADDRESS(1552,19))+INDIRECT(ADDRESS(1555,19))-INDIRECT(ADDRESS(1556,19)))</f>
        <v>0</v>
      </c>
      <c r="T1557">
        <f>IF(DAY(NOW())&lt;M3,INDIRECT(ADDRESS(1557,19))-INDIRECT(ADDRESS(1552,20))+INDIRECT(ADDRESS(1553,20))-INDIRECT(ADDRESS(1556,20)),INDIRECT(ADDRESS(1557,19))-INDIRECT(ADDRESS(1552,20))+INDIRECT(ADDRESS(1555,20))-INDIRECT(ADDRESS(1556,20)))</f>
        <v>0</v>
      </c>
      <c r="U1557">
        <f>IF(DAY(NOW())&lt;M3,INDIRECT(ADDRESS(1557,20))-INDIRECT(ADDRESS(1552,21))+INDIRECT(ADDRESS(1553,21))-INDIRECT(ADDRESS(1556,21)),INDIRECT(ADDRESS(1557,20))-INDIRECT(ADDRESS(1552,21))+INDIRECT(ADDRESS(1555,21))-INDIRECT(ADDRESS(1556,21)))</f>
        <v>0</v>
      </c>
      <c r="V1557">
        <f>IF(DAY(NOW())&lt;M3,INDIRECT(ADDRESS(1557,21))-INDIRECT(ADDRESS(1552,22))+INDIRECT(ADDRESS(1553,22))-INDIRECT(ADDRESS(1556,22)),INDIRECT(ADDRESS(1557,21))-INDIRECT(ADDRESS(1552,22))+INDIRECT(ADDRESS(1555,22))-INDIRECT(ADDRESS(1556,22)))</f>
        <v>0</v>
      </c>
      <c r="W1557">
        <f>IF(DAY(NOW())&lt;M3,INDIRECT(ADDRESS(1557,22))-INDIRECT(ADDRESS(1552,23))+INDIRECT(ADDRESS(1553,23))-INDIRECT(ADDRESS(1556,23)),INDIRECT(ADDRESS(1557,22))-INDIRECT(ADDRESS(1552,23))+INDIRECT(ADDRESS(1555,23))-INDIRECT(ADDRESS(1556,23)))</f>
        <v>0</v>
      </c>
      <c r="X1557">
        <f>IF(DAY(NOW())&lt;M3,INDIRECT(ADDRESS(1557,23))-INDIRECT(ADDRESS(1552,24))+INDIRECT(ADDRESS(1553,24))-INDIRECT(ADDRESS(1556,24)),INDIRECT(ADDRESS(1557,23))-INDIRECT(ADDRESS(1552,24))+INDIRECT(ADDRESS(1555,24))-INDIRECT(ADDRESS(1556,24)))</f>
        <v>0</v>
      </c>
      <c r="Y1557">
        <f>IF(DAY(NOW())&lt;M3,INDIRECT(ADDRESS(1557,24))-INDIRECT(ADDRESS(1552,25))+INDIRECT(ADDRESS(1553,25))-INDIRECT(ADDRESS(1556,25)),INDIRECT(ADDRESS(1557,24))-INDIRECT(ADDRESS(1552,25))+INDIRECT(ADDRESS(1555,25))-INDIRECT(ADDRESS(1556,25)))</f>
        <v>0</v>
      </c>
      <c r="Z1557">
        <f>IF(DAY(NOW())&lt;M3,INDIRECT(ADDRESS(1557,25))-INDIRECT(ADDRESS(1552,26))+INDIRECT(ADDRESS(1553,26))-INDIRECT(ADDRESS(1556,26)),INDIRECT(ADDRESS(1557,25))-INDIRECT(ADDRESS(1552,26))+INDIRECT(ADDRESS(1555,26))-INDIRECT(ADDRESS(1556,26)))</f>
        <v>0</v>
      </c>
      <c r="AA1557">
        <f>IF(DAY(NOW())&lt;M3,INDIRECT(ADDRESS(1557,26))-INDIRECT(ADDRESS(1552,27))+INDIRECT(ADDRESS(1553,27))-INDIRECT(ADDRESS(1556,27)),INDIRECT(ADDRESS(1557,26))-INDIRECT(ADDRESS(1552,27))+INDIRECT(ADDRESS(1555,27))-INDIRECT(ADDRESS(1556,27)))</f>
        <v>0</v>
      </c>
      <c r="AB1557">
        <f>IF(DAY(NOW())&lt;M3,INDIRECT(ADDRESS(1557,27))-INDIRECT(ADDRESS(1552,28))+INDIRECT(ADDRESS(1553,28))-INDIRECT(ADDRESS(1556,28)),INDIRECT(ADDRESS(1557,27))-INDIRECT(ADDRESS(1552,28))+INDIRECT(ADDRESS(1555,28))-INDIRECT(ADDRESS(1556,28)))</f>
        <v>0</v>
      </c>
      <c r="AC1557">
        <f>IF(DAY(NOW())&lt;M3,INDIRECT(ADDRESS(1557,28))-INDIRECT(ADDRESS(1552,29))+INDIRECT(ADDRESS(1553,29))-INDIRECT(ADDRESS(1556,29)),INDIRECT(ADDRESS(1557,28))-INDIRECT(ADDRESS(1552,29))+INDIRECT(ADDRESS(1555,29))-INDIRECT(ADDRESS(1556,29)))</f>
        <v>0</v>
      </c>
      <c r="AD1557">
        <f>IF(DAY(NOW())&lt;M3,INDIRECT(ADDRESS(1557,29))-INDIRECT(ADDRESS(1552,30))+INDIRECT(ADDRESS(1553,30))-INDIRECT(ADDRESS(1556,30)),INDIRECT(ADDRESS(1557,29))-INDIRECT(ADDRESS(1552,30))+INDIRECT(ADDRESS(1555,30))-INDIRECT(ADDRESS(1556,30)))</f>
        <v>0</v>
      </c>
      <c r="AE1557">
        <f>IF(DAY(NOW())&lt;M3,INDIRECT(ADDRESS(1557,30))-INDIRECT(ADDRESS(1552,31))+INDIRECT(ADDRESS(1553,31))-INDIRECT(ADDRESS(1556,31)),INDIRECT(ADDRESS(1557,30))-INDIRECT(ADDRESS(1552,31))+INDIRECT(ADDRESS(1555,31))-INDIRECT(ADDRESS(1556,31)))</f>
        <v>0</v>
      </c>
      <c r="AF1557">
        <f>IF(DAY(NOW())&lt;M3,INDIRECT(ADDRESS(1557,31))-INDIRECT(ADDRESS(1552,32))+INDIRECT(ADDRESS(1553,32))-INDIRECT(ADDRESS(1556,32)),INDIRECT(ADDRESS(1557,31))-INDIRECT(ADDRESS(1552,32))+INDIRECT(ADDRESS(1555,32))-INDIRECT(ADDRESS(1556,32)))</f>
        <v>0</v>
      </c>
      <c r="AG1557">
        <f>IF(DAY(NOW())&lt;M3,INDIRECT(ADDRESS(1557,32))-INDIRECT(ADDRESS(1552,33))+INDIRECT(ADDRESS(1553,33))-INDIRECT(ADDRESS(1556,33)),INDIRECT(ADDRESS(1557,32))-INDIRECT(ADDRESS(1552,33))+INDIRECT(ADDRESS(1555,33))-INDIRECT(ADDRESS(1556,33)))</f>
        <v>0</v>
      </c>
      <c r="AH1557">
        <f>IF(DAY(NOW())&lt;M3,INDIRECT(ADDRESS(1557,33))-INDIRECT(ADDRESS(1552,34))+INDIRECT(ADDRESS(1553,34))-INDIRECT(ADDRESS(1556,34)),INDIRECT(ADDRESS(1557,33))-INDIRECT(ADDRESS(1552,34))+INDIRECT(ADDRESS(1555,34))-INDIRECT(ADDRESS(1556,34)))</f>
        <v>0</v>
      </c>
      <c r="AI1557">
        <f>IF(DAY(NOW())&lt;M3,INDIRECT(ADDRESS(1557,34))-INDIRECT(ADDRESS(1552,35))+INDIRECT(ADDRESS(1553,35))-INDIRECT(ADDRESS(1556,35)),INDIRECT(ADDRESS(1557,34))-INDIRECT(ADDRESS(1552,35))+INDIRECT(ADDRESS(1555,35))-INDIRECT(ADDRESS(1556,35)))</f>
        <v>0</v>
      </c>
      <c r="AJ1557">
        <f>IF(DAY(NOW())&lt;M3,INDIRECT(ADDRESS(1557,35))-INDIRECT(ADDRESS(1552,36))+INDIRECT(ADDRESS(1553,36))-INDIRECT(ADDRESS(1556,36)),INDIRECT(ADDRESS(1557,35))-INDIRECT(ADDRESS(1552,36))+INDIRECT(ADDRESS(1555,36))-INDIRECT(ADDRESS(1556,36)))</f>
        <v>0</v>
      </c>
      <c r="AK1557">
        <f>IF(DAY(NOW())&lt;M3,INDIRECT(ADDRESS(1557,36))-INDIRECT(ADDRESS(1552,37))+INDIRECT(ADDRESS(1553,37))-INDIRECT(ADDRESS(1556,37)),INDIRECT(ADDRESS(1557,36))-INDIRECT(ADDRESS(1552,37))+INDIRECT(ADDRESS(1555,37))-INDIRECT(ADDRESS(1556,37)))</f>
        <v>0</v>
      </c>
      <c r="AL1557">
        <f>IF(DAY(NOW())&lt;M3,INDIRECT(ADDRESS(1557,37))-INDIRECT(ADDRESS(1552,38))+INDIRECT(ADDRESS(1553,38))-INDIRECT(ADDRESS(1556,38)),INDIRECT(ADDRESS(1557,37))-INDIRECT(ADDRESS(1552,38))+INDIRECT(ADDRESS(1555,38))-INDIRECT(ADDRESS(1556,38)))</f>
        <v>0</v>
      </c>
      <c r="AM1557">
        <f>IF(DAY(NOW())&lt;M3,INDIRECT(ADDRESS(1557,38))-INDIRECT(ADDRESS(1552,39))+INDIRECT(ADDRESS(1553,39))-INDIRECT(ADDRESS(1556,39)),INDIRECT(ADDRESS(1557,38))-INDIRECT(ADDRESS(1552,39))+INDIRECT(ADDRESS(1555,39))-INDIRECT(ADDRESS(1556,39)))</f>
        <v>0</v>
      </c>
      <c r="AN1557">
        <f>IF(DAY(NOW())&lt;M3,INDIRECT(ADDRESS(1557,39))-INDIRECT(ADDRESS(1552,40))+INDIRECT(ADDRESS(1553,40))-INDIRECT(ADDRESS(1556,40)),INDIRECT(ADDRESS(1557,39))-INDIRECT(ADDRESS(1552,40))+INDIRECT(ADDRESS(1555,40))-INDIRECT(ADDRESS(1556,40)))</f>
        <v>0</v>
      </c>
      <c r="AO1557">
        <f>IF(DAY(NOW())&lt;M3,INDIRECT(ADDRESS(1557,40))-INDIRECT(ADDRESS(1552,41))+INDIRECT(ADDRESS(1553,41))-INDIRECT(ADDRESS(1556,41)),INDIRECT(ADDRESS(1557,40))-INDIRECT(ADDRESS(1552,41))+INDIRECT(ADDRESS(1555,41))-INDIRECT(ADDRESS(1556,41)))</f>
        <v>0</v>
      </c>
      <c r="AP1557">
        <f>IF(DAY(NOW())&lt;M3,INDIRECT(ADDRESS(1557,41))-INDIRECT(ADDRESS(1552,42))+INDIRECT(ADDRESS(1553,42))-INDIRECT(ADDRESS(1556,42)),INDIRECT(ADDRESS(1557,41))-INDIRECT(ADDRESS(1552,42))+INDIRECT(ADDRESS(1555,42))-INDIRECT(ADDRESS(1556,42)))</f>
        <v>0</v>
      </c>
      <c r="AQ1557">
        <f>IF(DAY(NOW())&lt;M3,INDIRECT(ADDRESS(1557,42))-INDIRECT(ADDRESS(1552,43))+INDIRECT(ADDRESS(1553,43))-INDIRECT(ADDRESS(1556,43)),INDIRECT(ADDRESS(1557,42))-INDIRECT(ADDRESS(1552,43))+INDIRECT(ADDRESS(1555,43))-INDIRECT(ADDRESS(1556,43)))</f>
        <v>0</v>
      </c>
      <c r="AR1557">
        <f>IF(DAY(NOW())&lt;M3,INDIRECT(ADDRESS(1557,43))-INDIRECT(ADDRESS(1552,44))+INDIRECT(ADDRESS(1553,44))-INDIRECT(ADDRESS(1556,44)),INDIRECT(ADDRESS(1557,43))-INDIRECT(ADDRESS(1552,44))+INDIRECT(ADDRESS(1555,44))-INDIRECT(ADDRESS(1556,44)))</f>
        <v>0</v>
      </c>
    </row>
    <row r="1558" spans="1:76">
      <c r="A1558" t="s">
        <v>14</v>
      </c>
      <c r="B1558" t="s">
        <v>549</v>
      </c>
      <c r="C1558" t="s">
        <v>550</v>
      </c>
      <c r="E1558" t="s">
        <v>444</v>
      </c>
      <c r="F1558" t="s">
        <v>555</v>
      </c>
      <c r="K1558" t="s">
        <v>590</v>
      </c>
      <c r="L1558" t="s">
        <v>21</v>
      </c>
      <c r="BX1558">
        <f>sum(j1558:an1558)</f>
        <v>0</v>
      </c>
    </row>
    <row r="1559" spans="1:76">
      <c r="A1559" t="s">
        <v>14</v>
      </c>
      <c r="B1559" t="s">
        <v>549</v>
      </c>
      <c r="C1559" t="s">
        <v>550</v>
      </c>
      <c r="E1559" t="s">
        <v>444</v>
      </c>
      <c r="F1559" t="s">
        <v>555</v>
      </c>
      <c r="K1559" t="s">
        <v>590</v>
      </c>
      <c r="L1559" t="s">
        <v>37</v>
      </c>
    </row>
    <row r="1560" spans="1:76">
      <c r="L1560" t="s">
        <v>662</v>
      </c>
    </row>
    <row r="1561" spans="1:76">
      <c r="L1561" t="s">
        <v>663</v>
      </c>
    </row>
    <row r="1562" spans="1:76">
      <c r="L1562" t="s">
        <v>664</v>
      </c>
    </row>
    <row r="1563" spans="1:76">
      <c r="L1563" t="s">
        <v>665</v>
      </c>
      <c r="M1563">
        <f>IF(DAY(NOW())&lt;M3,INDIRECT(ADDRESS(1563,7))-INDIRECT(ADDRESS(1558,13))+INDIRECT(ADDRESS(1559,13))-INDIRECT(ADDRESS(1562,13)),INDIRECT(ADDRESS(1563,7))-INDIRECT(ADDRESS(1558,13))+INDIRECT(ADDRESS(1561,13))-INDIRECT(ADDRESS(1562,13)))</f>
        <v>0</v>
      </c>
      <c r="N1563">
        <f>IF(DAY(NOW())&lt;M3,INDIRECT(ADDRESS(1563,13))-INDIRECT(ADDRESS(1558,14))+INDIRECT(ADDRESS(1559,14))-INDIRECT(ADDRESS(1562,14)),INDIRECT(ADDRESS(1563,13))-INDIRECT(ADDRESS(1558,14))+INDIRECT(ADDRESS(1561,14))-INDIRECT(ADDRESS(1562,14)))</f>
        <v>0</v>
      </c>
      <c r="O1563">
        <f>IF(DAY(NOW())&lt;M3,INDIRECT(ADDRESS(1563,14))-INDIRECT(ADDRESS(1558,15))+INDIRECT(ADDRESS(1559,15))-INDIRECT(ADDRESS(1562,15)),INDIRECT(ADDRESS(1563,14))-INDIRECT(ADDRESS(1558,15))+INDIRECT(ADDRESS(1561,15))-INDIRECT(ADDRESS(1562,15)))</f>
        <v>0</v>
      </c>
      <c r="P1563">
        <f>IF(DAY(NOW())&lt;M3,INDIRECT(ADDRESS(1563,15))-INDIRECT(ADDRESS(1558,16))+INDIRECT(ADDRESS(1559,16))-INDIRECT(ADDRESS(1562,16)),INDIRECT(ADDRESS(1563,15))-INDIRECT(ADDRESS(1558,16))+INDIRECT(ADDRESS(1561,16))-INDIRECT(ADDRESS(1562,16)))</f>
        <v>0</v>
      </c>
      <c r="Q1563">
        <f>IF(DAY(NOW())&lt;M3,INDIRECT(ADDRESS(1563,16))-INDIRECT(ADDRESS(1558,17))+INDIRECT(ADDRESS(1559,17))-INDIRECT(ADDRESS(1562,17)),INDIRECT(ADDRESS(1563,16))-INDIRECT(ADDRESS(1558,17))+INDIRECT(ADDRESS(1561,17))-INDIRECT(ADDRESS(1562,17)))</f>
        <v>0</v>
      </c>
      <c r="R1563">
        <f>IF(DAY(NOW())&lt;M3,INDIRECT(ADDRESS(1563,17))-INDIRECT(ADDRESS(1558,18))+INDIRECT(ADDRESS(1559,18))-INDIRECT(ADDRESS(1562,18)),INDIRECT(ADDRESS(1563,17))-INDIRECT(ADDRESS(1558,18))+INDIRECT(ADDRESS(1561,18))-INDIRECT(ADDRESS(1562,18)))</f>
        <v>0</v>
      </c>
      <c r="S1563">
        <f>IF(DAY(NOW())&lt;M3,INDIRECT(ADDRESS(1563,18))-INDIRECT(ADDRESS(1558,19))+INDIRECT(ADDRESS(1559,19))-INDIRECT(ADDRESS(1562,19)),INDIRECT(ADDRESS(1563,18))-INDIRECT(ADDRESS(1558,19))+INDIRECT(ADDRESS(1561,19))-INDIRECT(ADDRESS(1562,19)))</f>
        <v>0</v>
      </c>
      <c r="T1563">
        <f>IF(DAY(NOW())&lt;M3,INDIRECT(ADDRESS(1563,19))-INDIRECT(ADDRESS(1558,20))+INDIRECT(ADDRESS(1559,20))-INDIRECT(ADDRESS(1562,20)),INDIRECT(ADDRESS(1563,19))-INDIRECT(ADDRESS(1558,20))+INDIRECT(ADDRESS(1561,20))-INDIRECT(ADDRESS(1562,20)))</f>
        <v>0</v>
      </c>
      <c r="U1563">
        <f>IF(DAY(NOW())&lt;M3,INDIRECT(ADDRESS(1563,20))-INDIRECT(ADDRESS(1558,21))+INDIRECT(ADDRESS(1559,21))-INDIRECT(ADDRESS(1562,21)),INDIRECT(ADDRESS(1563,20))-INDIRECT(ADDRESS(1558,21))+INDIRECT(ADDRESS(1561,21))-INDIRECT(ADDRESS(1562,21)))</f>
        <v>0</v>
      </c>
      <c r="V1563">
        <f>IF(DAY(NOW())&lt;M3,INDIRECT(ADDRESS(1563,21))-INDIRECT(ADDRESS(1558,22))+INDIRECT(ADDRESS(1559,22))-INDIRECT(ADDRESS(1562,22)),INDIRECT(ADDRESS(1563,21))-INDIRECT(ADDRESS(1558,22))+INDIRECT(ADDRESS(1561,22))-INDIRECT(ADDRESS(1562,22)))</f>
        <v>0</v>
      </c>
      <c r="W1563">
        <f>IF(DAY(NOW())&lt;M3,INDIRECT(ADDRESS(1563,22))-INDIRECT(ADDRESS(1558,23))+INDIRECT(ADDRESS(1559,23))-INDIRECT(ADDRESS(1562,23)),INDIRECT(ADDRESS(1563,22))-INDIRECT(ADDRESS(1558,23))+INDIRECT(ADDRESS(1561,23))-INDIRECT(ADDRESS(1562,23)))</f>
        <v>0</v>
      </c>
      <c r="X1563">
        <f>IF(DAY(NOW())&lt;M3,INDIRECT(ADDRESS(1563,23))-INDIRECT(ADDRESS(1558,24))+INDIRECT(ADDRESS(1559,24))-INDIRECT(ADDRESS(1562,24)),INDIRECT(ADDRESS(1563,23))-INDIRECT(ADDRESS(1558,24))+INDIRECT(ADDRESS(1561,24))-INDIRECT(ADDRESS(1562,24)))</f>
        <v>0</v>
      </c>
      <c r="Y1563">
        <f>IF(DAY(NOW())&lt;M3,INDIRECT(ADDRESS(1563,24))-INDIRECT(ADDRESS(1558,25))+INDIRECT(ADDRESS(1559,25))-INDIRECT(ADDRESS(1562,25)),INDIRECT(ADDRESS(1563,24))-INDIRECT(ADDRESS(1558,25))+INDIRECT(ADDRESS(1561,25))-INDIRECT(ADDRESS(1562,25)))</f>
        <v>0</v>
      </c>
      <c r="Z1563">
        <f>IF(DAY(NOW())&lt;M3,INDIRECT(ADDRESS(1563,25))-INDIRECT(ADDRESS(1558,26))+INDIRECT(ADDRESS(1559,26))-INDIRECT(ADDRESS(1562,26)),INDIRECT(ADDRESS(1563,25))-INDIRECT(ADDRESS(1558,26))+INDIRECT(ADDRESS(1561,26))-INDIRECT(ADDRESS(1562,26)))</f>
        <v>0</v>
      </c>
      <c r="AA1563">
        <f>IF(DAY(NOW())&lt;M3,INDIRECT(ADDRESS(1563,26))-INDIRECT(ADDRESS(1558,27))+INDIRECT(ADDRESS(1559,27))-INDIRECT(ADDRESS(1562,27)),INDIRECT(ADDRESS(1563,26))-INDIRECT(ADDRESS(1558,27))+INDIRECT(ADDRESS(1561,27))-INDIRECT(ADDRESS(1562,27)))</f>
        <v>0</v>
      </c>
      <c r="AB1563">
        <f>IF(DAY(NOW())&lt;M3,INDIRECT(ADDRESS(1563,27))-INDIRECT(ADDRESS(1558,28))+INDIRECT(ADDRESS(1559,28))-INDIRECT(ADDRESS(1562,28)),INDIRECT(ADDRESS(1563,27))-INDIRECT(ADDRESS(1558,28))+INDIRECT(ADDRESS(1561,28))-INDIRECT(ADDRESS(1562,28)))</f>
        <v>0</v>
      </c>
      <c r="AC1563">
        <f>IF(DAY(NOW())&lt;M3,INDIRECT(ADDRESS(1563,28))-INDIRECT(ADDRESS(1558,29))+INDIRECT(ADDRESS(1559,29))-INDIRECT(ADDRESS(1562,29)),INDIRECT(ADDRESS(1563,28))-INDIRECT(ADDRESS(1558,29))+INDIRECT(ADDRESS(1561,29))-INDIRECT(ADDRESS(1562,29)))</f>
        <v>0</v>
      </c>
      <c r="AD1563">
        <f>IF(DAY(NOW())&lt;M3,INDIRECT(ADDRESS(1563,29))-INDIRECT(ADDRESS(1558,30))+INDIRECT(ADDRESS(1559,30))-INDIRECT(ADDRESS(1562,30)),INDIRECT(ADDRESS(1563,29))-INDIRECT(ADDRESS(1558,30))+INDIRECT(ADDRESS(1561,30))-INDIRECT(ADDRESS(1562,30)))</f>
        <v>0</v>
      </c>
      <c r="AE1563">
        <f>IF(DAY(NOW())&lt;M3,INDIRECT(ADDRESS(1563,30))-INDIRECT(ADDRESS(1558,31))+INDIRECT(ADDRESS(1559,31))-INDIRECT(ADDRESS(1562,31)),INDIRECT(ADDRESS(1563,30))-INDIRECT(ADDRESS(1558,31))+INDIRECT(ADDRESS(1561,31))-INDIRECT(ADDRESS(1562,31)))</f>
        <v>0</v>
      </c>
      <c r="AF1563">
        <f>IF(DAY(NOW())&lt;M3,INDIRECT(ADDRESS(1563,31))-INDIRECT(ADDRESS(1558,32))+INDIRECT(ADDRESS(1559,32))-INDIRECT(ADDRESS(1562,32)),INDIRECT(ADDRESS(1563,31))-INDIRECT(ADDRESS(1558,32))+INDIRECT(ADDRESS(1561,32))-INDIRECT(ADDRESS(1562,32)))</f>
        <v>0</v>
      </c>
      <c r="AG1563">
        <f>IF(DAY(NOW())&lt;M3,INDIRECT(ADDRESS(1563,32))-INDIRECT(ADDRESS(1558,33))+INDIRECT(ADDRESS(1559,33))-INDIRECT(ADDRESS(1562,33)),INDIRECT(ADDRESS(1563,32))-INDIRECT(ADDRESS(1558,33))+INDIRECT(ADDRESS(1561,33))-INDIRECT(ADDRESS(1562,33)))</f>
        <v>0</v>
      </c>
      <c r="AH1563">
        <f>IF(DAY(NOW())&lt;M3,INDIRECT(ADDRESS(1563,33))-INDIRECT(ADDRESS(1558,34))+INDIRECT(ADDRESS(1559,34))-INDIRECT(ADDRESS(1562,34)),INDIRECT(ADDRESS(1563,33))-INDIRECT(ADDRESS(1558,34))+INDIRECT(ADDRESS(1561,34))-INDIRECT(ADDRESS(1562,34)))</f>
        <v>0</v>
      </c>
      <c r="AI1563">
        <f>IF(DAY(NOW())&lt;M3,INDIRECT(ADDRESS(1563,34))-INDIRECT(ADDRESS(1558,35))+INDIRECT(ADDRESS(1559,35))-INDIRECT(ADDRESS(1562,35)),INDIRECT(ADDRESS(1563,34))-INDIRECT(ADDRESS(1558,35))+INDIRECT(ADDRESS(1561,35))-INDIRECT(ADDRESS(1562,35)))</f>
        <v>0</v>
      </c>
      <c r="AJ1563">
        <f>IF(DAY(NOW())&lt;M3,INDIRECT(ADDRESS(1563,35))-INDIRECT(ADDRESS(1558,36))+INDIRECT(ADDRESS(1559,36))-INDIRECT(ADDRESS(1562,36)),INDIRECT(ADDRESS(1563,35))-INDIRECT(ADDRESS(1558,36))+INDIRECT(ADDRESS(1561,36))-INDIRECT(ADDRESS(1562,36)))</f>
        <v>0</v>
      </c>
      <c r="AK1563">
        <f>IF(DAY(NOW())&lt;M3,INDIRECT(ADDRESS(1563,36))-INDIRECT(ADDRESS(1558,37))+INDIRECT(ADDRESS(1559,37))-INDIRECT(ADDRESS(1562,37)),INDIRECT(ADDRESS(1563,36))-INDIRECT(ADDRESS(1558,37))+INDIRECT(ADDRESS(1561,37))-INDIRECT(ADDRESS(1562,37)))</f>
        <v>0</v>
      </c>
      <c r="AL1563">
        <f>IF(DAY(NOW())&lt;M3,INDIRECT(ADDRESS(1563,37))-INDIRECT(ADDRESS(1558,38))+INDIRECT(ADDRESS(1559,38))-INDIRECT(ADDRESS(1562,38)),INDIRECT(ADDRESS(1563,37))-INDIRECT(ADDRESS(1558,38))+INDIRECT(ADDRESS(1561,38))-INDIRECT(ADDRESS(1562,38)))</f>
        <v>0</v>
      </c>
      <c r="AM1563">
        <f>IF(DAY(NOW())&lt;M3,INDIRECT(ADDRESS(1563,38))-INDIRECT(ADDRESS(1558,39))+INDIRECT(ADDRESS(1559,39))-INDIRECT(ADDRESS(1562,39)),INDIRECT(ADDRESS(1563,38))-INDIRECT(ADDRESS(1558,39))+INDIRECT(ADDRESS(1561,39))-INDIRECT(ADDRESS(1562,39)))</f>
        <v>0</v>
      </c>
      <c r="AN1563">
        <f>IF(DAY(NOW())&lt;M3,INDIRECT(ADDRESS(1563,39))-INDIRECT(ADDRESS(1558,40))+INDIRECT(ADDRESS(1559,40))-INDIRECT(ADDRESS(1562,40)),INDIRECT(ADDRESS(1563,39))-INDIRECT(ADDRESS(1558,40))+INDIRECT(ADDRESS(1561,40))-INDIRECT(ADDRESS(1562,40)))</f>
        <v>0</v>
      </c>
      <c r="AO1563">
        <f>IF(DAY(NOW())&lt;M3,INDIRECT(ADDRESS(1563,40))-INDIRECT(ADDRESS(1558,41))+INDIRECT(ADDRESS(1559,41))-INDIRECT(ADDRESS(1562,41)),INDIRECT(ADDRESS(1563,40))-INDIRECT(ADDRESS(1558,41))+INDIRECT(ADDRESS(1561,41))-INDIRECT(ADDRESS(1562,41)))</f>
        <v>0</v>
      </c>
      <c r="AP1563">
        <f>IF(DAY(NOW())&lt;M3,INDIRECT(ADDRESS(1563,41))-INDIRECT(ADDRESS(1558,42))+INDIRECT(ADDRESS(1559,42))-INDIRECT(ADDRESS(1562,42)),INDIRECT(ADDRESS(1563,41))-INDIRECT(ADDRESS(1558,42))+INDIRECT(ADDRESS(1561,42))-INDIRECT(ADDRESS(1562,42)))</f>
        <v>0</v>
      </c>
      <c r="AQ1563">
        <f>IF(DAY(NOW())&lt;M3,INDIRECT(ADDRESS(1563,42))-INDIRECT(ADDRESS(1558,43))+INDIRECT(ADDRESS(1559,43))-INDIRECT(ADDRESS(1562,43)),INDIRECT(ADDRESS(1563,42))-INDIRECT(ADDRESS(1558,43))+INDIRECT(ADDRESS(1561,43))-INDIRECT(ADDRESS(1562,43)))</f>
        <v>0</v>
      </c>
      <c r="AR1563">
        <f>IF(DAY(NOW())&lt;M3,INDIRECT(ADDRESS(1563,43))-INDIRECT(ADDRESS(1558,44))+INDIRECT(ADDRESS(1559,44))-INDIRECT(ADDRESS(1562,44)),INDIRECT(ADDRESS(1563,43))-INDIRECT(ADDRESS(1558,44))+INDIRECT(ADDRESS(1561,44))-INDIRECT(ADDRESS(1562,44)))</f>
        <v>0</v>
      </c>
    </row>
    <row r="1564" spans="1:76">
      <c r="A1564" t="s">
        <v>14</v>
      </c>
      <c r="B1564" t="s">
        <v>552</v>
      </c>
      <c r="C1564" t="s">
        <v>553</v>
      </c>
      <c r="D1564" t="s">
        <v>554</v>
      </c>
      <c r="E1564" t="s">
        <v>444</v>
      </c>
      <c r="F1564" t="s">
        <v>558</v>
      </c>
      <c r="K1564" t="s">
        <v>590</v>
      </c>
      <c r="L1564" t="s">
        <v>21</v>
      </c>
      <c r="BX1564">
        <f>sum(j1564:an1564)</f>
        <v>0</v>
      </c>
    </row>
    <row r="1565" spans="1:76">
      <c r="A1565" t="s">
        <v>14</v>
      </c>
      <c r="B1565" t="s">
        <v>552</v>
      </c>
      <c r="C1565" t="s">
        <v>553</v>
      </c>
      <c r="D1565" t="s">
        <v>554</v>
      </c>
      <c r="E1565" t="s">
        <v>444</v>
      </c>
      <c r="F1565" t="s">
        <v>558</v>
      </c>
      <c r="K1565" t="s">
        <v>590</v>
      </c>
      <c r="L1565" t="s">
        <v>37</v>
      </c>
    </row>
    <row r="1566" spans="1:76">
      <c r="L1566" t="s">
        <v>662</v>
      </c>
    </row>
    <row r="1567" spans="1:76">
      <c r="L1567" t="s">
        <v>663</v>
      </c>
    </row>
    <row r="1568" spans="1:76">
      <c r="L1568" t="s">
        <v>664</v>
      </c>
    </row>
    <row r="1569" spans="1:76">
      <c r="L1569" t="s">
        <v>665</v>
      </c>
      <c r="M1569">
        <f>IF(DAY(NOW())&lt;M3,INDIRECT(ADDRESS(1569,7))-INDIRECT(ADDRESS(1564,13))+INDIRECT(ADDRESS(1565,13))-INDIRECT(ADDRESS(1568,13)),INDIRECT(ADDRESS(1569,7))-INDIRECT(ADDRESS(1564,13))+INDIRECT(ADDRESS(1567,13))-INDIRECT(ADDRESS(1568,13)))</f>
        <v>0</v>
      </c>
      <c r="N1569">
        <f>IF(DAY(NOW())&lt;M3,INDIRECT(ADDRESS(1569,13))-INDIRECT(ADDRESS(1564,14))+INDIRECT(ADDRESS(1565,14))-INDIRECT(ADDRESS(1568,14)),INDIRECT(ADDRESS(1569,13))-INDIRECT(ADDRESS(1564,14))+INDIRECT(ADDRESS(1567,14))-INDIRECT(ADDRESS(1568,14)))</f>
        <v>0</v>
      </c>
      <c r="O1569">
        <f>IF(DAY(NOW())&lt;M3,INDIRECT(ADDRESS(1569,14))-INDIRECT(ADDRESS(1564,15))+INDIRECT(ADDRESS(1565,15))-INDIRECT(ADDRESS(1568,15)),INDIRECT(ADDRESS(1569,14))-INDIRECT(ADDRESS(1564,15))+INDIRECT(ADDRESS(1567,15))-INDIRECT(ADDRESS(1568,15)))</f>
        <v>0</v>
      </c>
      <c r="P1569">
        <f>IF(DAY(NOW())&lt;M3,INDIRECT(ADDRESS(1569,15))-INDIRECT(ADDRESS(1564,16))+INDIRECT(ADDRESS(1565,16))-INDIRECT(ADDRESS(1568,16)),INDIRECT(ADDRESS(1569,15))-INDIRECT(ADDRESS(1564,16))+INDIRECT(ADDRESS(1567,16))-INDIRECT(ADDRESS(1568,16)))</f>
        <v>0</v>
      </c>
      <c r="Q1569">
        <f>IF(DAY(NOW())&lt;M3,INDIRECT(ADDRESS(1569,16))-INDIRECT(ADDRESS(1564,17))+INDIRECT(ADDRESS(1565,17))-INDIRECT(ADDRESS(1568,17)),INDIRECT(ADDRESS(1569,16))-INDIRECT(ADDRESS(1564,17))+INDIRECT(ADDRESS(1567,17))-INDIRECT(ADDRESS(1568,17)))</f>
        <v>0</v>
      </c>
      <c r="R1569">
        <f>IF(DAY(NOW())&lt;M3,INDIRECT(ADDRESS(1569,17))-INDIRECT(ADDRESS(1564,18))+INDIRECT(ADDRESS(1565,18))-INDIRECT(ADDRESS(1568,18)),INDIRECT(ADDRESS(1569,17))-INDIRECT(ADDRESS(1564,18))+INDIRECT(ADDRESS(1567,18))-INDIRECT(ADDRESS(1568,18)))</f>
        <v>0</v>
      </c>
      <c r="S1569">
        <f>IF(DAY(NOW())&lt;M3,INDIRECT(ADDRESS(1569,18))-INDIRECT(ADDRESS(1564,19))+INDIRECT(ADDRESS(1565,19))-INDIRECT(ADDRESS(1568,19)),INDIRECT(ADDRESS(1569,18))-INDIRECT(ADDRESS(1564,19))+INDIRECT(ADDRESS(1567,19))-INDIRECT(ADDRESS(1568,19)))</f>
        <v>0</v>
      </c>
      <c r="T1569">
        <f>IF(DAY(NOW())&lt;M3,INDIRECT(ADDRESS(1569,19))-INDIRECT(ADDRESS(1564,20))+INDIRECT(ADDRESS(1565,20))-INDIRECT(ADDRESS(1568,20)),INDIRECT(ADDRESS(1569,19))-INDIRECT(ADDRESS(1564,20))+INDIRECT(ADDRESS(1567,20))-INDIRECT(ADDRESS(1568,20)))</f>
        <v>0</v>
      </c>
      <c r="U1569">
        <f>IF(DAY(NOW())&lt;M3,INDIRECT(ADDRESS(1569,20))-INDIRECT(ADDRESS(1564,21))+INDIRECT(ADDRESS(1565,21))-INDIRECT(ADDRESS(1568,21)),INDIRECT(ADDRESS(1569,20))-INDIRECT(ADDRESS(1564,21))+INDIRECT(ADDRESS(1567,21))-INDIRECT(ADDRESS(1568,21)))</f>
        <v>0</v>
      </c>
      <c r="V1569">
        <f>IF(DAY(NOW())&lt;M3,INDIRECT(ADDRESS(1569,21))-INDIRECT(ADDRESS(1564,22))+INDIRECT(ADDRESS(1565,22))-INDIRECT(ADDRESS(1568,22)),INDIRECT(ADDRESS(1569,21))-INDIRECT(ADDRESS(1564,22))+INDIRECT(ADDRESS(1567,22))-INDIRECT(ADDRESS(1568,22)))</f>
        <v>0</v>
      </c>
      <c r="W1569">
        <f>IF(DAY(NOW())&lt;M3,INDIRECT(ADDRESS(1569,22))-INDIRECT(ADDRESS(1564,23))+INDIRECT(ADDRESS(1565,23))-INDIRECT(ADDRESS(1568,23)),INDIRECT(ADDRESS(1569,22))-INDIRECT(ADDRESS(1564,23))+INDIRECT(ADDRESS(1567,23))-INDIRECT(ADDRESS(1568,23)))</f>
        <v>0</v>
      </c>
      <c r="X1569">
        <f>IF(DAY(NOW())&lt;M3,INDIRECT(ADDRESS(1569,23))-INDIRECT(ADDRESS(1564,24))+INDIRECT(ADDRESS(1565,24))-INDIRECT(ADDRESS(1568,24)),INDIRECT(ADDRESS(1569,23))-INDIRECT(ADDRESS(1564,24))+INDIRECT(ADDRESS(1567,24))-INDIRECT(ADDRESS(1568,24)))</f>
        <v>0</v>
      </c>
      <c r="Y1569">
        <f>IF(DAY(NOW())&lt;M3,INDIRECT(ADDRESS(1569,24))-INDIRECT(ADDRESS(1564,25))+INDIRECT(ADDRESS(1565,25))-INDIRECT(ADDRESS(1568,25)),INDIRECT(ADDRESS(1569,24))-INDIRECT(ADDRESS(1564,25))+INDIRECT(ADDRESS(1567,25))-INDIRECT(ADDRESS(1568,25)))</f>
        <v>0</v>
      </c>
      <c r="Z1569">
        <f>IF(DAY(NOW())&lt;M3,INDIRECT(ADDRESS(1569,25))-INDIRECT(ADDRESS(1564,26))+INDIRECT(ADDRESS(1565,26))-INDIRECT(ADDRESS(1568,26)),INDIRECT(ADDRESS(1569,25))-INDIRECT(ADDRESS(1564,26))+INDIRECT(ADDRESS(1567,26))-INDIRECT(ADDRESS(1568,26)))</f>
        <v>0</v>
      </c>
      <c r="AA1569">
        <f>IF(DAY(NOW())&lt;M3,INDIRECT(ADDRESS(1569,26))-INDIRECT(ADDRESS(1564,27))+INDIRECT(ADDRESS(1565,27))-INDIRECT(ADDRESS(1568,27)),INDIRECT(ADDRESS(1569,26))-INDIRECT(ADDRESS(1564,27))+INDIRECT(ADDRESS(1567,27))-INDIRECT(ADDRESS(1568,27)))</f>
        <v>0</v>
      </c>
      <c r="AB1569">
        <f>IF(DAY(NOW())&lt;M3,INDIRECT(ADDRESS(1569,27))-INDIRECT(ADDRESS(1564,28))+INDIRECT(ADDRESS(1565,28))-INDIRECT(ADDRESS(1568,28)),INDIRECT(ADDRESS(1569,27))-INDIRECT(ADDRESS(1564,28))+INDIRECT(ADDRESS(1567,28))-INDIRECT(ADDRESS(1568,28)))</f>
        <v>0</v>
      </c>
      <c r="AC1569">
        <f>IF(DAY(NOW())&lt;M3,INDIRECT(ADDRESS(1569,28))-INDIRECT(ADDRESS(1564,29))+INDIRECT(ADDRESS(1565,29))-INDIRECT(ADDRESS(1568,29)),INDIRECT(ADDRESS(1569,28))-INDIRECT(ADDRESS(1564,29))+INDIRECT(ADDRESS(1567,29))-INDIRECT(ADDRESS(1568,29)))</f>
        <v>0</v>
      </c>
      <c r="AD1569">
        <f>IF(DAY(NOW())&lt;M3,INDIRECT(ADDRESS(1569,29))-INDIRECT(ADDRESS(1564,30))+INDIRECT(ADDRESS(1565,30))-INDIRECT(ADDRESS(1568,30)),INDIRECT(ADDRESS(1569,29))-INDIRECT(ADDRESS(1564,30))+INDIRECT(ADDRESS(1567,30))-INDIRECT(ADDRESS(1568,30)))</f>
        <v>0</v>
      </c>
      <c r="AE1569">
        <f>IF(DAY(NOW())&lt;M3,INDIRECT(ADDRESS(1569,30))-INDIRECT(ADDRESS(1564,31))+INDIRECT(ADDRESS(1565,31))-INDIRECT(ADDRESS(1568,31)),INDIRECT(ADDRESS(1569,30))-INDIRECT(ADDRESS(1564,31))+INDIRECT(ADDRESS(1567,31))-INDIRECT(ADDRESS(1568,31)))</f>
        <v>0</v>
      </c>
      <c r="AF1569">
        <f>IF(DAY(NOW())&lt;M3,INDIRECT(ADDRESS(1569,31))-INDIRECT(ADDRESS(1564,32))+INDIRECT(ADDRESS(1565,32))-INDIRECT(ADDRESS(1568,32)),INDIRECT(ADDRESS(1569,31))-INDIRECT(ADDRESS(1564,32))+INDIRECT(ADDRESS(1567,32))-INDIRECT(ADDRESS(1568,32)))</f>
        <v>0</v>
      </c>
      <c r="AG1569">
        <f>IF(DAY(NOW())&lt;M3,INDIRECT(ADDRESS(1569,32))-INDIRECT(ADDRESS(1564,33))+INDIRECT(ADDRESS(1565,33))-INDIRECT(ADDRESS(1568,33)),INDIRECT(ADDRESS(1569,32))-INDIRECT(ADDRESS(1564,33))+INDIRECT(ADDRESS(1567,33))-INDIRECT(ADDRESS(1568,33)))</f>
        <v>0</v>
      </c>
      <c r="AH1569">
        <f>IF(DAY(NOW())&lt;M3,INDIRECT(ADDRESS(1569,33))-INDIRECT(ADDRESS(1564,34))+INDIRECT(ADDRESS(1565,34))-INDIRECT(ADDRESS(1568,34)),INDIRECT(ADDRESS(1569,33))-INDIRECT(ADDRESS(1564,34))+INDIRECT(ADDRESS(1567,34))-INDIRECT(ADDRESS(1568,34)))</f>
        <v>0</v>
      </c>
      <c r="AI1569">
        <f>IF(DAY(NOW())&lt;M3,INDIRECT(ADDRESS(1569,34))-INDIRECT(ADDRESS(1564,35))+INDIRECT(ADDRESS(1565,35))-INDIRECT(ADDRESS(1568,35)),INDIRECT(ADDRESS(1569,34))-INDIRECT(ADDRESS(1564,35))+INDIRECT(ADDRESS(1567,35))-INDIRECT(ADDRESS(1568,35)))</f>
        <v>0</v>
      </c>
      <c r="AJ1569">
        <f>IF(DAY(NOW())&lt;M3,INDIRECT(ADDRESS(1569,35))-INDIRECT(ADDRESS(1564,36))+INDIRECT(ADDRESS(1565,36))-INDIRECT(ADDRESS(1568,36)),INDIRECT(ADDRESS(1569,35))-INDIRECT(ADDRESS(1564,36))+INDIRECT(ADDRESS(1567,36))-INDIRECT(ADDRESS(1568,36)))</f>
        <v>0</v>
      </c>
      <c r="AK1569">
        <f>IF(DAY(NOW())&lt;M3,INDIRECT(ADDRESS(1569,36))-INDIRECT(ADDRESS(1564,37))+INDIRECT(ADDRESS(1565,37))-INDIRECT(ADDRESS(1568,37)),INDIRECT(ADDRESS(1569,36))-INDIRECT(ADDRESS(1564,37))+INDIRECT(ADDRESS(1567,37))-INDIRECT(ADDRESS(1568,37)))</f>
        <v>0</v>
      </c>
      <c r="AL1569">
        <f>IF(DAY(NOW())&lt;M3,INDIRECT(ADDRESS(1569,37))-INDIRECT(ADDRESS(1564,38))+INDIRECT(ADDRESS(1565,38))-INDIRECT(ADDRESS(1568,38)),INDIRECT(ADDRESS(1569,37))-INDIRECT(ADDRESS(1564,38))+INDIRECT(ADDRESS(1567,38))-INDIRECT(ADDRESS(1568,38)))</f>
        <v>0</v>
      </c>
      <c r="AM1569">
        <f>IF(DAY(NOW())&lt;M3,INDIRECT(ADDRESS(1569,38))-INDIRECT(ADDRESS(1564,39))+INDIRECT(ADDRESS(1565,39))-INDIRECT(ADDRESS(1568,39)),INDIRECT(ADDRESS(1569,38))-INDIRECT(ADDRESS(1564,39))+INDIRECT(ADDRESS(1567,39))-INDIRECT(ADDRESS(1568,39)))</f>
        <v>0</v>
      </c>
      <c r="AN1569">
        <f>IF(DAY(NOW())&lt;M3,INDIRECT(ADDRESS(1569,39))-INDIRECT(ADDRESS(1564,40))+INDIRECT(ADDRESS(1565,40))-INDIRECT(ADDRESS(1568,40)),INDIRECT(ADDRESS(1569,39))-INDIRECT(ADDRESS(1564,40))+INDIRECT(ADDRESS(1567,40))-INDIRECT(ADDRESS(1568,40)))</f>
        <v>0</v>
      </c>
      <c r="AO1569">
        <f>IF(DAY(NOW())&lt;M3,INDIRECT(ADDRESS(1569,40))-INDIRECT(ADDRESS(1564,41))+INDIRECT(ADDRESS(1565,41))-INDIRECT(ADDRESS(1568,41)),INDIRECT(ADDRESS(1569,40))-INDIRECT(ADDRESS(1564,41))+INDIRECT(ADDRESS(1567,41))-INDIRECT(ADDRESS(1568,41)))</f>
        <v>0</v>
      </c>
      <c r="AP1569">
        <f>IF(DAY(NOW())&lt;M3,INDIRECT(ADDRESS(1569,41))-INDIRECT(ADDRESS(1564,42))+INDIRECT(ADDRESS(1565,42))-INDIRECT(ADDRESS(1568,42)),INDIRECT(ADDRESS(1569,41))-INDIRECT(ADDRESS(1564,42))+INDIRECT(ADDRESS(1567,42))-INDIRECT(ADDRESS(1568,42)))</f>
        <v>0</v>
      </c>
      <c r="AQ1569">
        <f>IF(DAY(NOW())&lt;M3,INDIRECT(ADDRESS(1569,42))-INDIRECT(ADDRESS(1564,43))+INDIRECT(ADDRESS(1565,43))-INDIRECT(ADDRESS(1568,43)),INDIRECT(ADDRESS(1569,42))-INDIRECT(ADDRESS(1564,43))+INDIRECT(ADDRESS(1567,43))-INDIRECT(ADDRESS(1568,43)))</f>
        <v>0</v>
      </c>
      <c r="AR1569">
        <f>IF(DAY(NOW())&lt;M3,INDIRECT(ADDRESS(1569,43))-INDIRECT(ADDRESS(1564,44))+INDIRECT(ADDRESS(1565,44))-INDIRECT(ADDRESS(1568,44)),INDIRECT(ADDRESS(1569,43))-INDIRECT(ADDRESS(1564,44))+INDIRECT(ADDRESS(1567,44))-INDIRECT(ADDRESS(1568,44)))</f>
        <v>0</v>
      </c>
    </row>
    <row r="1570" spans="1:76">
      <c r="A1570" t="s">
        <v>14</v>
      </c>
      <c r="B1570" t="s">
        <v>556</v>
      </c>
      <c r="C1570" t="s">
        <v>557</v>
      </c>
      <c r="D1570" t="s">
        <v>554</v>
      </c>
      <c r="E1570">
        <v>1</v>
      </c>
      <c r="F1570" t="s">
        <v>561</v>
      </c>
      <c r="K1570" t="s">
        <v>590</v>
      </c>
      <c r="L1570" t="s">
        <v>21</v>
      </c>
      <c r="BX1570">
        <f>sum(j1570:an1570)</f>
        <v>0</v>
      </c>
    </row>
    <row r="1571" spans="1:76">
      <c r="A1571" t="s">
        <v>14</v>
      </c>
      <c r="B1571" t="s">
        <v>556</v>
      </c>
      <c r="C1571" t="s">
        <v>557</v>
      </c>
      <c r="D1571" t="s">
        <v>554</v>
      </c>
      <c r="E1571">
        <v>1</v>
      </c>
      <c r="F1571" t="s">
        <v>561</v>
      </c>
      <c r="K1571" t="s">
        <v>590</v>
      </c>
      <c r="L1571" t="s">
        <v>37</v>
      </c>
    </row>
    <row r="1572" spans="1:76">
      <c r="L1572" t="s">
        <v>662</v>
      </c>
    </row>
    <row r="1573" spans="1:76">
      <c r="L1573" t="s">
        <v>663</v>
      </c>
    </row>
    <row r="1574" spans="1:76">
      <c r="L1574" t="s">
        <v>664</v>
      </c>
    </row>
    <row r="1575" spans="1:76">
      <c r="L1575" t="s">
        <v>665</v>
      </c>
      <c r="M1575">
        <f>IF(DAY(NOW())&lt;M3,INDIRECT(ADDRESS(1575,7))-INDIRECT(ADDRESS(1570,13))+INDIRECT(ADDRESS(1571,13))-INDIRECT(ADDRESS(1574,13)),INDIRECT(ADDRESS(1575,7))-INDIRECT(ADDRESS(1570,13))+INDIRECT(ADDRESS(1573,13))-INDIRECT(ADDRESS(1574,13)))</f>
        <v>0</v>
      </c>
      <c r="N1575">
        <f>IF(DAY(NOW())&lt;M3,INDIRECT(ADDRESS(1575,13))-INDIRECT(ADDRESS(1570,14))+INDIRECT(ADDRESS(1571,14))-INDIRECT(ADDRESS(1574,14)),INDIRECT(ADDRESS(1575,13))-INDIRECT(ADDRESS(1570,14))+INDIRECT(ADDRESS(1573,14))-INDIRECT(ADDRESS(1574,14)))</f>
        <v>0</v>
      </c>
      <c r="O1575">
        <f>IF(DAY(NOW())&lt;M3,INDIRECT(ADDRESS(1575,14))-INDIRECT(ADDRESS(1570,15))+INDIRECT(ADDRESS(1571,15))-INDIRECT(ADDRESS(1574,15)),INDIRECT(ADDRESS(1575,14))-INDIRECT(ADDRESS(1570,15))+INDIRECT(ADDRESS(1573,15))-INDIRECT(ADDRESS(1574,15)))</f>
        <v>0</v>
      </c>
      <c r="P1575">
        <f>IF(DAY(NOW())&lt;M3,INDIRECT(ADDRESS(1575,15))-INDIRECT(ADDRESS(1570,16))+INDIRECT(ADDRESS(1571,16))-INDIRECT(ADDRESS(1574,16)),INDIRECT(ADDRESS(1575,15))-INDIRECT(ADDRESS(1570,16))+INDIRECT(ADDRESS(1573,16))-INDIRECT(ADDRESS(1574,16)))</f>
        <v>0</v>
      </c>
      <c r="Q1575">
        <f>IF(DAY(NOW())&lt;M3,INDIRECT(ADDRESS(1575,16))-INDIRECT(ADDRESS(1570,17))+INDIRECT(ADDRESS(1571,17))-INDIRECT(ADDRESS(1574,17)),INDIRECT(ADDRESS(1575,16))-INDIRECT(ADDRESS(1570,17))+INDIRECT(ADDRESS(1573,17))-INDIRECT(ADDRESS(1574,17)))</f>
        <v>0</v>
      </c>
      <c r="R1575">
        <f>IF(DAY(NOW())&lt;M3,INDIRECT(ADDRESS(1575,17))-INDIRECT(ADDRESS(1570,18))+INDIRECT(ADDRESS(1571,18))-INDIRECT(ADDRESS(1574,18)),INDIRECT(ADDRESS(1575,17))-INDIRECT(ADDRESS(1570,18))+INDIRECT(ADDRESS(1573,18))-INDIRECT(ADDRESS(1574,18)))</f>
        <v>0</v>
      </c>
      <c r="S1575">
        <f>IF(DAY(NOW())&lt;M3,INDIRECT(ADDRESS(1575,18))-INDIRECT(ADDRESS(1570,19))+INDIRECT(ADDRESS(1571,19))-INDIRECT(ADDRESS(1574,19)),INDIRECT(ADDRESS(1575,18))-INDIRECT(ADDRESS(1570,19))+INDIRECT(ADDRESS(1573,19))-INDIRECT(ADDRESS(1574,19)))</f>
        <v>0</v>
      </c>
      <c r="T1575">
        <f>IF(DAY(NOW())&lt;M3,INDIRECT(ADDRESS(1575,19))-INDIRECT(ADDRESS(1570,20))+INDIRECT(ADDRESS(1571,20))-INDIRECT(ADDRESS(1574,20)),INDIRECT(ADDRESS(1575,19))-INDIRECT(ADDRESS(1570,20))+INDIRECT(ADDRESS(1573,20))-INDIRECT(ADDRESS(1574,20)))</f>
        <v>0</v>
      </c>
      <c r="U1575">
        <f>IF(DAY(NOW())&lt;M3,INDIRECT(ADDRESS(1575,20))-INDIRECT(ADDRESS(1570,21))+INDIRECT(ADDRESS(1571,21))-INDIRECT(ADDRESS(1574,21)),INDIRECT(ADDRESS(1575,20))-INDIRECT(ADDRESS(1570,21))+INDIRECT(ADDRESS(1573,21))-INDIRECT(ADDRESS(1574,21)))</f>
        <v>0</v>
      </c>
      <c r="V1575">
        <f>IF(DAY(NOW())&lt;M3,INDIRECT(ADDRESS(1575,21))-INDIRECT(ADDRESS(1570,22))+INDIRECT(ADDRESS(1571,22))-INDIRECT(ADDRESS(1574,22)),INDIRECT(ADDRESS(1575,21))-INDIRECT(ADDRESS(1570,22))+INDIRECT(ADDRESS(1573,22))-INDIRECT(ADDRESS(1574,22)))</f>
        <v>0</v>
      </c>
      <c r="W1575">
        <f>IF(DAY(NOW())&lt;M3,INDIRECT(ADDRESS(1575,22))-INDIRECT(ADDRESS(1570,23))+INDIRECT(ADDRESS(1571,23))-INDIRECT(ADDRESS(1574,23)),INDIRECT(ADDRESS(1575,22))-INDIRECT(ADDRESS(1570,23))+INDIRECT(ADDRESS(1573,23))-INDIRECT(ADDRESS(1574,23)))</f>
        <v>0</v>
      </c>
      <c r="X1575">
        <f>IF(DAY(NOW())&lt;M3,INDIRECT(ADDRESS(1575,23))-INDIRECT(ADDRESS(1570,24))+INDIRECT(ADDRESS(1571,24))-INDIRECT(ADDRESS(1574,24)),INDIRECT(ADDRESS(1575,23))-INDIRECT(ADDRESS(1570,24))+INDIRECT(ADDRESS(1573,24))-INDIRECT(ADDRESS(1574,24)))</f>
        <v>0</v>
      </c>
      <c r="Y1575">
        <f>IF(DAY(NOW())&lt;M3,INDIRECT(ADDRESS(1575,24))-INDIRECT(ADDRESS(1570,25))+INDIRECT(ADDRESS(1571,25))-INDIRECT(ADDRESS(1574,25)),INDIRECT(ADDRESS(1575,24))-INDIRECT(ADDRESS(1570,25))+INDIRECT(ADDRESS(1573,25))-INDIRECT(ADDRESS(1574,25)))</f>
        <v>0</v>
      </c>
      <c r="Z1575">
        <f>IF(DAY(NOW())&lt;M3,INDIRECT(ADDRESS(1575,25))-INDIRECT(ADDRESS(1570,26))+INDIRECT(ADDRESS(1571,26))-INDIRECT(ADDRESS(1574,26)),INDIRECT(ADDRESS(1575,25))-INDIRECT(ADDRESS(1570,26))+INDIRECT(ADDRESS(1573,26))-INDIRECT(ADDRESS(1574,26)))</f>
        <v>0</v>
      </c>
      <c r="AA1575">
        <f>IF(DAY(NOW())&lt;M3,INDIRECT(ADDRESS(1575,26))-INDIRECT(ADDRESS(1570,27))+INDIRECT(ADDRESS(1571,27))-INDIRECT(ADDRESS(1574,27)),INDIRECT(ADDRESS(1575,26))-INDIRECT(ADDRESS(1570,27))+INDIRECT(ADDRESS(1573,27))-INDIRECT(ADDRESS(1574,27)))</f>
        <v>0</v>
      </c>
      <c r="AB1575">
        <f>IF(DAY(NOW())&lt;M3,INDIRECT(ADDRESS(1575,27))-INDIRECT(ADDRESS(1570,28))+INDIRECT(ADDRESS(1571,28))-INDIRECT(ADDRESS(1574,28)),INDIRECT(ADDRESS(1575,27))-INDIRECT(ADDRESS(1570,28))+INDIRECT(ADDRESS(1573,28))-INDIRECT(ADDRESS(1574,28)))</f>
        <v>0</v>
      </c>
      <c r="AC1575">
        <f>IF(DAY(NOW())&lt;M3,INDIRECT(ADDRESS(1575,28))-INDIRECT(ADDRESS(1570,29))+INDIRECT(ADDRESS(1571,29))-INDIRECT(ADDRESS(1574,29)),INDIRECT(ADDRESS(1575,28))-INDIRECT(ADDRESS(1570,29))+INDIRECT(ADDRESS(1573,29))-INDIRECT(ADDRESS(1574,29)))</f>
        <v>0</v>
      </c>
      <c r="AD1575">
        <f>IF(DAY(NOW())&lt;M3,INDIRECT(ADDRESS(1575,29))-INDIRECT(ADDRESS(1570,30))+INDIRECT(ADDRESS(1571,30))-INDIRECT(ADDRESS(1574,30)),INDIRECT(ADDRESS(1575,29))-INDIRECT(ADDRESS(1570,30))+INDIRECT(ADDRESS(1573,30))-INDIRECT(ADDRESS(1574,30)))</f>
        <v>0</v>
      </c>
      <c r="AE1575">
        <f>IF(DAY(NOW())&lt;M3,INDIRECT(ADDRESS(1575,30))-INDIRECT(ADDRESS(1570,31))+INDIRECT(ADDRESS(1571,31))-INDIRECT(ADDRESS(1574,31)),INDIRECT(ADDRESS(1575,30))-INDIRECT(ADDRESS(1570,31))+INDIRECT(ADDRESS(1573,31))-INDIRECT(ADDRESS(1574,31)))</f>
        <v>0</v>
      </c>
      <c r="AF1575">
        <f>IF(DAY(NOW())&lt;M3,INDIRECT(ADDRESS(1575,31))-INDIRECT(ADDRESS(1570,32))+INDIRECT(ADDRESS(1571,32))-INDIRECT(ADDRESS(1574,32)),INDIRECT(ADDRESS(1575,31))-INDIRECT(ADDRESS(1570,32))+INDIRECT(ADDRESS(1573,32))-INDIRECT(ADDRESS(1574,32)))</f>
        <v>0</v>
      </c>
      <c r="AG1575">
        <f>IF(DAY(NOW())&lt;M3,INDIRECT(ADDRESS(1575,32))-INDIRECT(ADDRESS(1570,33))+INDIRECT(ADDRESS(1571,33))-INDIRECT(ADDRESS(1574,33)),INDIRECT(ADDRESS(1575,32))-INDIRECT(ADDRESS(1570,33))+INDIRECT(ADDRESS(1573,33))-INDIRECT(ADDRESS(1574,33)))</f>
        <v>0</v>
      </c>
      <c r="AH1575">
        <f>IF(DAY(NOW())&lt;M3,INDIRECT(ADDRESS(1575,33))-INDIRECT(ADDRESS(1570,34))+INDIRECT(ADDRESS(1571,34))-INDIRECT(ADDRESS(1574,34)),INDIRECT(ADDRESS(1575,33))-INDIRECT(ADDRESS(1570,34))+INDIRECT(ADDRESS(1573,34))-INDIRECT(ADDRESS(1574,34)))</f>
        <v>0</v>
      </c>
      <c r="AI1575">
        <f>IF(DAY(NOW())&lt;M3,INDIRECT(ADDRESS(1575,34))-INDIRECT(ADDRESS(1570,35))+INDIRECT(ADDRESS(1571,35))-INDIRECT(ADDRESS(1574,35)),INDIRECT(ADDRESS(1575,34))-INDIRECT(ADDRESS(1570,35))+INDIRECT(ADDRESS(1573,35))-INDIRECT(ADDRESS(1574,35)))</f>
        <v>0</v>
      </c>
      <c r="AJ1575">
        <f>IF(DAY(NOW())&lt;M3,INDIRECT(ADDRESS(1575,35))-INDIRECT(ADDRESS(1570,36))+INDIRECT(ADDRESS(1571,36))-INDIRECT(ADDRESS(1574,36)),INDIRECT(ADDRESS(1575,35))-INDIRECT(ADDRESS(1570,36))+INDIRECT(ADDRESS(1573,36))-INDIRECT(ADDRESS(1574,36)))</f>
        <v>0</v>
      </c>
      <c r="AK1575">
        <f>IF(DAY(NOW())&lt;M3,INDIRECT(ADDRESS(1575,36))-INDIRECT(ADDRESS(1570,37))+INDIRECT(ADDRESS(1571,37))-INDIRECT(ADDRESS(1574,37)),INDIRECT(ADDRESS(1575,36))-INDIRECT(ADDRESS(1570,37))+INDIRECT(ADDRESS(1573,37))-INDIRECT(ADDRESS(1574,37)))</f>
        <v>0</v>
      </c>
      <c r="AL1575">
        <f>IF(DAY(NOW())&lt;M3,INDIRECT(ADDRESS(1575,37))-INDIRECT(ADDRESS(1570,38))+INDIRECT(ADDRESS(1571,38))-INDIRECT(ADDRESS(1574,38)),INDIRECT(ADDRESS(1575,37))-INDIRECT(ADDRESS(1570,38))+INDIRECT(ADDRESS(1573,38))-INDIRECT(ADDRESS(1574,38)))</f>
        <v>0</v>
      </c>
      <c r="AM1575">
        <f>IF(DAY(NOW())&lt;M3,INDIRECT(ADDRESS(1575,38))-INDIRECT(ADDRESS(1570,39))+INDIRECT(ADDRESS(1571,39))-INDIRECT(ADDRESS(1574,39)),INDIRECT(ADDRESS(1575,38))-INDIRECT(ADDRESS(1570,39))+INDIRECT(ADDRESS(1573,39))-INDIRECT(ADDRESS(1574,39)))</f>
        <v>0</v>
      </c>
      <c r="AN1575">
        <f>IF(DAY(NOW())&lt;M3,INDIRECT(ADDRESS(1575,39))-INDIRECT(ADDRESS(1570,40))+INDIRECT(ADDRESS(1571,40))-INDIRECT(ADDRESS(1574,40)),INDIRECT(ADDRESS(1575,39))-INDIRECT(ADDRESS(1570,40))+INDIRECT(ADDRESS(1573,40))-INDIRECT(ADDRESS(1574,40)))</f>
        <v>0</v>
      </c>
      <c r="AO1575">
        <f>IF(DAY(NOW())&lt;M3,INDIRECT(ADDRESS(1575,40))-INDIRECT(ADDRESS(1570,41))+INDIRECT(ADDRESS(1571,41))-INDIRECT(ADDRESS(1574,41)),INDIRECT(ADDRESS(1575,40))-INDIRECT(ADDRESS(1570,41))+INDIRECT(ADDRESS(1573,41))-INDIRECT(ADDRESS(1574,41)))</f>
        <v>0</v>
      </c>
      <c r="AP1575">
        <f>IF(DAY(NOW())&lt;M3,INDIRECT(ADDRESS(1575,41))-INDIRECT(ADDRESS(1570,42))+INDIRECT(ADDRESS(1571,42))-INDIRECT(ADDRESS(1574,42)),INDIRECT(ADDRESS(1575,41))-INDIRECT(ADDRESS(1570,42))+INDIRECT(ADDRESS(1573,42))-INDIRECT(ADDRESS(1574,42)))</f>
        <v>0</v>
      </c>
      <c r="AQ1575">
        <f>IF(DAY(NOW())&lt;M3,INDIRECT(ADDRESS(1575,42))-INDIRECT(ADDRESS(1570,43))+INDIRECT(ADDRESS(1571,43))-INDIRECT(ADDRESS(1574,43)),INDIRECT(ADDRESS(1575,42))-INDIRECT(ADDRESS(1570,43))+INDIRECT(ADDRESS(1573,43))-INDIRECT(ADDRESS(1574,43)))</f>
        <v>0</v>
      </c>
      <c r="AR1575">
        <f>IF(DAY(NOW())&lt;M3,INDIRECT(ADDRESS(1575,43))-INDIRECT(ADDRESS(1570,44))+INDIRECT(ADDRESS(1571,44))-INDIRECT(ADDRESS(1574,44)),INDIRECT(ADDRESS(1575,43))-INDIRECT(ADDRESS(1570,44))+INDIRECT(ADDRESS(1573,44))-INDIRECT(ADDRESS(1574,44)))</f>
        <v>0</v>
      </c>
    </row>
    <row r="1576" spans="1:76">
      <c r="A1576" t="s">
        <v>14</v>
      </c>
      <c r="B1576" t="s">
        <v>559</v>
      </c>
      <c r="C1576" t="s">
        <v>560</v>
      </c>
      <c r="D1576" t="s">
        <v>547</v>
      </c>
      <c r="E1576" t="s">
        <v>444</v>
      </c>
      <c r="F1576" t="s">
        <v>614</v>
      </c>
      <c r="K1576" t="s">
        <v>590</v>
      </c>
      <c r="L1576" t="s">
        <v>21</v>
      </c>
      <c r="BX1576">
        <f>sum(j1576:an1576)</f>
        <v>0</v>
      </c>
    </row>
    <row r="1577" spans="1:76">
      <c r="A1577" t="s">
        <v>14</v>
      </c>
      <c r="B1577" t="s">
        <v>559</v>
      </c>
      <c r="C1577" t="s">
        <v>560</v>
      </c>
      <c r="D1577" t="s">
        <v>547</v>
      </c>
      <c r="E1577" t="s">
        <v>444</v>
      </c>
      <c r="F1577" t="s">
        <v>614</v>
      </c>
      <c r="K1577" t="s">
        <v>590</v>
      </c>
      <c r="L1577" t="s">
        <v>37</v>
      </c>
    </row>
    <row r="1578" spans="1:76">
      <c r="L1578" t="s">
        <v>662</v>
      </c>
    </row>
    <row r="1579" spans="1:76">
      <c r="L1579" t="s">
        <v>663</v>
      </c>
    </row>
    <row r="1580" spans="1:76">
      <c r="L1580" t="s">
        <v>664</v>
      </c>
    </row>
    <row r="1581" spans="1:76">
      <c r="L1581" t="s">
        <v>665</v>
      </c>
      <c r="M1581">
        <f>IF(DAY(NOW())&lt;M3,INDIRECT(ADDRESS(1581,7))-INDIRECT(ADDRESS(1576,13))+INDIRECT(ADDRESS(1577,13))-INDIRECT(ADDRESS(1580,13)),INDIRECT(ADDRESS(1581,7))-INDIRECT(ADDRESS(1576,13))+INDIRECT(ADDRESS(1579,13))-INDIRECT(ADDRESS(1580,13)))</f>
        <v>0</v>
      </c>
      <c r="N1581">
        <f>IF(DAY(NOW())&lt;M3,INDIRECT(ADDRESS(1581,13))-INDIRECT(ADDRESS(1576,14))+INDIRECT(ADDRESS(1577,14))-INDIRECT(ADDRESS(1580,14)),INDIRECT(ADDRESS(1581,13))-INDIRECT(ADDRESS(1576,14))+INDIRECT(ADDRESS(1579,14))-INDIRECT(ADDRESS(1580,14)))</f>
        <v>0</v>
      </c>
      <c r="O1581">
        <f>IF(DAY(NOW())&lt;M3,INDIRECT(ADDRESS(1581,14))-INDIRECT(ADDRESS(1576,15))+INDIRECT(ADDRESS(1577,15))-INDIRECT(ADDRESS(1580,15)),INDIRECT(ADDRESS(1581,14))-INDIRECT(ADDRESS(1576,15))+INDIRECT(ADDRESS(1579,15))-INDIRECT(ADDRESS(1580,15)))</f>
        <v>0</v>
      </c>
      <c r="P1581">
        <f>IF(DAY(NOW())&lt;M3,INDIRECT(ADDRESS(1581,15))-INDIRECT(ADDRESS(1576,16))+INDIRECT(ADDRESS(1577,16))-INDIRECT(ADDRESS(1580,16)),INDIRECT(ADDRESS(1581,15))-INDIRECT(ADDRESS(1576,16))+INDIRECT(ADDRESS(1579,16))-INDIRECT(ADDRESS(1580,16)))</f>
        <v>0</v>
      </c>
      <c r="Q1581">
        <f>IF(DAY(NOW())&lt;M3,INDIRECT(ADDRESS(1581,16))-INDIRECT(ADDRESS(1576,17))+INDIRECT(ADDRESS(1577,17))-INDIRECT(ADDRESS(1580,17)),INDIRECT(ADDRESS(1581,16))-INDIRECT(ADDRESS(1576,17))+INDIRECT(ADDRESS(1579,17))-INDIRECT(ADDRESS(1580,17)))</f>
        <v>0</v>
      </c>
      <c r="R1581">
        <f>IF(DAY(NOW())&lt;M3,INDIRECT(ADDRESS(1581,17))-INDIRECT(ADDRESS(1576,18))+INDIRECT(ADDRESS(1577,18))-INDIRECT(ADDRESS(1580,18)),INDIRECT(ADDRESS(1581,17))-INDIRECT(ADDRESS(1576,18))+INDIRECT(ADDRESS(1579,18))-INDIRECT(ADDRESS(1580,18)))</f>
        <v>0</v>
      </c>
      <c r="S1581">
        <f>IF(DAY(NOW())&lt;M3,INDIRECT(ADDRESS(1581,18))-INDIRECT(ADDRESS(1576,19))+INDIRECT(ADDRESS(1577,19))-INDIRECT(ADDRESS(1580,19)),INDIRECT(ADDRESS(1581,18))-INDIRECT(ADDRESS(1576,19))+INDIRECT(ADDRESS(1579,19))-INDIRECT(ADDRESS(1580,19)))</f>
        <v>0</v>
      </c>
      <c r="T1581">
        <f>IF(DAY(NOW())&lt;M3,INDIRECT(ADDRESS(1581,19))-INDIRECT(ADDRESS(1576,20))+INDIRECT(ADDRESS(1577,20))-INDIRECT(ADDRESS(1580,20)),INDIRECT(ADDRESS(1581,19))-INDIRECT(ADDRESS(1576,20))+INDIRECT(ADDRESS(1579,20))-INDIRECT(ADDRESS(1580,20)))</f>
        <v>0</v>
      </c>
      <c r="U1581">
        <f>IF(DAY(NOW())&lt;M3,INDIRECT(ADDRESS(1581,20))-INDIRECT(ADDRESS(1576,21))+INDIRECT(ADDRESS(1577,21))-INDIRECT(ADDRESS(1580,21)),INDIRECT(ADDRESS(1581,20))-INDIRECT(ADDRESS(1576,21))+INDIRECT(ADDRESS(1579,21))-INDIRECT(ADDRESS(1580,21)))</f>
        <v>0</v>
      </c>
      <c r="V1581">
        <f>IF(DAY(NOW())&lt;M3,INDIRECT(ADDRESS(1581,21))-INDIRECT(ADDRESS(1576,22))+INDIRECT(ADDRESS(1577,22))-INDIRECT(ADDRESS(1580,22)),INDIRECT(ADDRESS(1581,21))-INDIRECT(ADDRESS(1576,22))+INDIRECT(ADDRESS(1579,22))-INDIRECT(ADDRESS(1580,22)))</f>
        <v>0</v>
      </c>
      <c r="W1581">
        <f>IF(DAY(NOW())&lt;M3,INDIRECT(ADDRESS(1581,22))-INDIRECT(ADDRESS(1576,23))+INDIRECT(ADDRESS(1577,23))-INDIRECT(ADDRESS(1580,23)),INDIRECT(ADDRESS(1581,22))-INDIRECT(ADDRESS(1576,23))+INDIRECT(ADDRESS(1579,23))-INDIRECT(ADDRESS(1580,23)))</f>
        <v>0</v>
      </c>
      <c r="X1581">
        <f>IF(DAY(NOW())&lt;M3,INDIRECT(ADDRESS(1581,23))-INDIRECT(ADDRESS(1576,24))+INDIRECT(ADDRESS(1577,24))-INDIRECT(ADDRESS(1580,24)),INDIRECT(ADDRESS(1581,23))-INDIRECT(ADDRESS(1576,24))+INDIRECT(ADDRESS(1579,24))-INDIRECT(ADDRESS(1580,24)))</f>
        <v>0</v>
      </c>
      <c r="Y1581">
        <f>IF(DAY(NOW())&lt;M3,INDIRECT(ADDRESS(1581,24))-INDIRECT(ADDRESS(1576,25))+INDIRECT(ADDRESS(1577,25))-INDIRECT(ADDRESS(1580,25)),INDIRECT(ADDRESS(1581,24))-INDIRECT(ADDRESS(1576,25))+INDIRECT(ADDRESS(1579,25))-INDIRECT(ADDRESS(1580,25)))</f>
        <v>0</v>
      </c>
      <c r="Z1581">
        <f>IF(DAY(NOW())&lt;M3,INDIRECT(ADDRESS(1581,25))-INDIRECT(ADDRESS(1576,26))+INDIRECT(ADDRESS(1577,26))-INDIRECT(ADDRESS(1580,26)),INDIRECT(ADDRESS(1581,25))-INDIRECT(ADDRESS(1576,26))+INDIRECT(ADDRESS(1579,26))-INDIRECT(ADDRESS(1580,26)))</f>
        <v>0</v>
      </c>
      <c r="AA1581">
        <f>IF(DAY(NOW())&lt;M3,INDIRECT(ADDRESS(1581,26))-INDIRECT(ADDRESS(1576,27))+INDIRECT(ADDRESS(1577,27))-INDIRECT(ADDRESS(1580,27)),INDIRECT(ADDRESS(1581,26))-INDIRECT(ADDRESS(1576,27))+INDIRECT(ADDRESS(1579,27))-INDIRECT(ADDRESS(1580,27)))</f>
        <v>0</v>
      </c>
      <c r="AB1581">
        <f>IF(DAY(NOW())&lt;M3,INDIRECT(ADDRESS(1581,27))-INDIRECT(ADDRESS(1576,28))+INDIRECT(ADDRESS(1577,28))-INDIRECT(ADDRESS(1580,28)),INDIRECT(ADDRESS(1581,27))-INDIRECT(ADDRESS(1576,28))+INDIRECT(ADDRESS(1579,28))-INDIRECT(ADDRESS(1580,28)))</f>
        <v>0</v>
      </c>
      <c r="AC1581">
        <f>IF(DAY(NOW())&lt;M3,INDIRECT(ADDRESS(1581,28))-INDIRECT(ADDRESS(1576,29))+INDIRECT(ADDRESS(1577,29))-INDIRECT(ADDRESS(1580,29)),INDIRECT(ADDRESS(1581,28))-INDIRECT(ADDRESS(1576,29))+INDIRECT(ADDRESS(1579,29))-INDIRECT(ADDRESS(1580,29)))</f>
        <v>0</v>
      </c>
      <c r="AD1581">
        <f>IF(DAY(NOW())&lt;M3,INDIRECT(ADDRESS(1581,29))-INDIRECT(ADDRESS(1576,30))+INDIRECT(ADDRESS(1577,30))-INDIRECT(ADDRESS(1580,30)),INDIRECT(ADDRESS(1581,29))-INDIRECT(ADDRESS(1576,30))+INDIRECT(ADDRESS(1579,30))-INDIRECT(ADDRESS(1580,30)))</f>
        <v>0</v>
      </c>
      <c r="AE1581">
        <f>IF(DAY(NOW())&lt;M3,INDIRECT(ADDRESS(1581,30))-INDIRECT(ADDRESS(1576,31))+INDIRECT(ADDRESS(1577,31))-INDIRECT(ADDRESS(1580,31)),INDIRECT(ADDRESS(1581,30))-INDIRECT(ADDRESS(1576,31))+INDIRECT(ADDRESS(1579,31))-INDIRECT(ADDRESS(1580,31)))</f>
        <v>0</v>
      </c>
      <c r="AF1581">
        <f>IF(DAY(NOW())&lt;M3,INDIRECT(ADDRESS(1581,31))-INDIRECT(ADDRESS(1576,32))+INDIRECT(ADDRESS(1577,32))-INDIRECT(ADDRESS(1580,32)),INDIRECT(ADDRESS(1581,31))-INDIRECT(ADDRESS(1576,32))+INDIRECT(ADDRESS(1579,32))-INDIRECT(ADDRESS(1580,32)))</f>
        <v>0</v>
      </c>
      <c r="AG1581">
        <f>IF(DAY(NOW())&lt;M3,INDIRECT(ADDRESS(1581,32))-INDIRECT(ADDRESS(1576,33))+INDIRECT(ADDRESS(1577,33))-INDIRECT(ADDRESS(1580,33)),INDIRECT(ADDRESS(1581,32))-INDIRECT(ADDRESS(1576,33))+INDIRECT(ADDRESS(1579,33))-INDIRECT(ADDRESS(1580,33)))</f>
        <v>0</v>
      </c>
      <c r="AH1581">
        <f>IF(DAY(NOW())&lt;M3,INDIRECT(ADDRESS(1581,33))-INDIRECT(ADDRESS(1576,34))+INDIRECT(ADDRESS(1577,34))-INDIRECT(ADDRESS(1580,34)),INDIRECT(ADDRESS(1581,33))-INDIRECT(ADDRESS(1576,34))+INDIRECT(ADDRESS(1579,34))-INDIRECT(ADDRESS(1580,34)))</f>
        <v>0</v>
      </c>
      <c r="AI1581">
        <f>IF(DAY(NOW())&lt;M3,INDIRECT(ADDRESS(1581,34))-INDIRECT(ADDRESS(1576,35))+INDIRECT(ADDRESS(1577,35))-INDIRECT(ADDRESS(1580,35)),INDIRECT(ADDRESS(1581,34))-INDIRECT(ADDRESS(1576,35))+INDIRECT(ADDRESS(1579,35))-INDIRECT(ADDRESS(1580,35)))</f>
        <v>0</v>
      </c>
      <c r="AJ1581">
        <f>IF(DAY(NOW())&lt;M3,INDIRECT(ADDRESS(1581,35))-INDIRECT(ADDRESS(1576,36))+INDIRECT(ADDRESS(1577,36))-INDIRECT(ADDRESS(1580,36)),INDIRECT(ADDRESS(1581,35))-INDIRECT(ADDRESS(1576,36))+INDIRECT(ADDRESS(1579,36))-INDIRECT(ADDRESS(1580,36)))</f>
        <v>0</v>
      </c>
      <c r="AK1581">
        <f>IF(DAY(NOW())&lt;M3,INDIRECT(ADDRESS(1581,36))-INDIRECT(ADDRESS(1576,37))+INDIRECT(ADDRESS(1577,37))-INDIRECT(ADDRESS(1580,37)),INDIRECT(ADDRESS(1581,36))-INDIRECT(ADDRESS(1576,37))+INDIRECT(ADDRESS(1579,37))-INDIRECT(ADDRESS(1580,37)))</f>
        <v>0</v>
      </c>
      <c r="AL1581">
        <f>IF(DAY(NOW())&lt;M3,INDIRECT(ADDRESS(1581,37))-INDIRECT(ADDRESS(1576,38))+INDIRECT(ADDRESS(1577,38))-INDIRECT(ADDRESS(1580,38)),INDIRECT(ADDRESS(1581,37))-INDIRECT(ADDRESS(1576,38))+INDIRECT(ADDRESS(1579,38))-INDIRECT(ADDRESS(1580,38)))</f>
        <v>0</v>
      </c>
      <c r="AM1581">
        <f>IF(DAY(NOW())&lt;M3,INDIRECT(ADDRESS(1581,38))-INDIRECT(ADDRESS(1576,39))+INDIRECT(ADDRESS(1577,39))-INDIRECT(ADDRESS(1580,39)),INDIRECT(ADDRESS(1581,38))-INDIRECT(ADDRESS(1576,39))+INDIRECT(ADDRESS(1579,39))-INDIRECT(ADDRESS(1580,39)))</f>
        <v>0</v>
      </c>
      <c r="AN1581">
        <f>IF(DAY(NOW())&lt;M3,INDIRECT(ADDRESS(1581,39))-INDIRECT(ADDRESS(1576,40))+INDIRECT(ADDRESS(1577,40))-INDIRECT(ADDRESS(1580,40)),INDIRECT(ADDRESS(1581,39))-INDIRECT(ADDRESS(1576,40))+INDIRECT(ADDRESS(1579,40))-INDIRECT(ADDRESS(1580,40)))</f>
        <v>0</v>
      </c>
      <c r="AO1581">
        <f>IF(DAY(NOW())&lt;M3,INDIRECT(ADDRESS(1581,40))-INDIRECT(ADDRESS(1576,41))+INDIRECT(ADDRESS(1577,41))-INDIRECT(ADDRESS(1580,41)),INDIRECT(ADDRESS(1581,40))-INDIRECT(ADDRESS(1576,41))+INDIRECT(ADDRESS(1579,41))-INDIRECT(ADDRESS(1580,41)))</f>
        <v>0</v>
      </c>
      <c r="AP1581">
        <f>IF(DAY(NOW())&lt;M3,INDIRECT(ADDRESS(1581,41))-INDIRECT(ADDRESS(1576,42))+INDIRECT(ADDRESS(1577,42))-INDIRECT(ADDRESS(1580,42)),INDIRECT(ADDRESS(1581,41))-INDIRECT(ADDRESS(1576,42))+INDIRECT(ADDRESS(1579,42))-INDIRECT(ADDRESS(1580,42)))</f>
        <v>0</v>
      </c>
      <c r="AQ1581">
        <f>IF(DAY(NOW())&lt;M3,INDIRECT(ADDRESS(1581,42))-INDIRECT(ADDRESS(1576,43))+INDIRECT(ADDRESS(1577,43))-INDIRECT(ADDRESS(1580,43)),INDIRECT(ADDRESS(1581,42))-INDIRECT(ADDRESS(1576,43))+INDIRECT(ADDRESS(1579,43))-INDIRECT(ADDRESS(1580,43)))</f>
        <v>0</v>
      </c>
      <c r="AR1581">
        <f>IF(DAY(NOW())&lt;M3,INDIRECT(ADDRESS(1581,43))-INDIRECT(ADDRESS(1576,44))+INDIRECT(ADDRESS(1577,44))-INDIRECT(ADDRESS(1580,44)),INDIRECT(ADDRESS(1581,43))-INDIRECT(ADDRESS(1576,44))+INDIRECT(ADDRESS(1579,44))-INDIRECT(ADDRESS(1580,44)))</f>
        <v>0</v>
      </c>
    </row>
    <row r="1582" spans="1:76">
      <c r="A1582" t="s">
        <v>31</v>
      </c>
      <c r="B1582" t="s">
        <v>615</v>
      </c>
      <c r="C1582" t="s">
        <v>616</v>
      </c>
      <c r="E1582" t="s">
        <v>444</v>
      </c>
      <c r="F1582" t="s">
        <v>617</v>
      </c>
      <c r="K1582" t="s">
        <v>590</v>
      </c>
      <c r="L1582" t="s">
        <v>21</v>
      </c>
      <c r="M1582">
        <f>sumifs(BOM!m:m,BOM!A:A,".1",BOM!B:B,"222-176000-000")</f>
        <v>0</v>
      </c>
      <c r="N1582">
        <f>sumifs(BOM!n:n,BOM!A:A,".1",BOM!B:B,"222-176000-000")</f>
        <v>0</v>
      </c>
      <c r="O1582">
        <f>sumifs(BOM!o:o,BOM!A:A,".1",BOM!B:B,"222-176000-000")</f>
        <v>0</v>
      </c>
      <c r="P1582">
        <f>sumifs(BOM!p:p,BOM!A:A,".1",BOM!B:B,"222-176000-000")</f>
        <v>0</v>
      </c>
      <c r="Q1582">
        <f>sumifs(BOM!q:q,BOM!A:A,".1",BOM!B:B,"222-176000-000")</f>
        <v>0</v>
      </c>
      <c r="R1582">
        <f>sumifs(BOM!r:r,BOM!A:A,".1",BOM!B:B,"222-176000-000")</f>
        <v>0</v>
      </c>
      <c r="S1582">
        <f>sumifs(BOM!s:s,BOM!A:A,".1",BOM!B:B,"222-176000-000")</f>
        <v>0</v>
      </c>
      <c r="T1582">
        <f>sumifs(BOM!t:t,BOM!A:A,".1",BOM!B:B,"222-176000-000")</f>
        <v>0</v>
      </c>
      <c r="U1582">
        <f>sumifs(BOM!u:u,BOM!A:A,".1",BOM!B:B,"222-176000-000")</f>
        <v>0</v>
      </c>
      <c r="V1582">
        <f>sumifs(BOM!v:v,BOM!A:A,".1",BOM!B:B,"222-176000-000")</f>
        <v>0</v>
      </c>
      <c r="W1582">
        <f>sumifs(BOM!w:w,BOM!A:A,".1",BOM!B:B,"222-176000-000")</f>
        <v>0</v>
      </c>
      <c r="X1582">
        <f>sumifs(BOM!x:x,BOM!A:A,".1",BOM!B:B,"222-176000-000")</f>
        <v>0</v>
      </c>
      <c r="Y1582">
        <f>sumifs(BOM!y:y,BOM!A:A,".1",BOM!B:B,"222-176000-000")</f>
        <v>0</v>
      </c>
      <c r="Z1582">
        <f>sumifs(BOM!z:z,BOM!A:A,".1",BOM!B:B,"222-176000-000")</f>
        <v>0</v>
      </c>
      <c r="AA1582">
        <f>sumifs(BOM!aa:aa,BOM!A:A,".1",BOM!B:B,"222-176000-000")</f>
        <v>0</v>
      </c>
      <c r="AB1582">
        <f>sumifs(BOM!ab:ab,BOM!A:A,".1",BOM!B:B,"222-176000-000")</f>
        <v>0</v>
      </c>
      <c r="AC1582">
        <f>sumifs(BOM!ac:ac,BOM!A:A,".1",BOM!B:B,"222-176000-000")</f>
        <v>0</v>
      </c>
      <c r="AD1582">
        <f>sumifs(BOM!ad:ad,BOM!A:A,".1",BOM!B:B,"222-176000-000")</f>
        <v>0</v>
      </c>
      <c r="AE1582">
        <f>sumifs(BOM!ae:ae,BOM!A:A,".1",BOM!B:B,"222-176000-000")</f>
        <v>0</v>
      </c>
      <c r="AF1582">
        <f>sumifs(BOM!af:af,BOM!A:A,".1",BOM!B:B,"222-176000-000")</f>
        <v>0</v>
      </c>
      <c r="AG1582">
        <f>sumifs(BOM!ag:ag,BOM!A:A,".1",BOM!B:B,"222-176000-000")</f>
        <v>0</v>
      </c>
      <c r="AH1582">
        <f>sumifs(BOM!ah:ah,BOM!A:A,".1",BOM!B:B,"222-176000-000")</f>
        <v>0</v>
      </c>
      <c r="AI1582">
        <f>sumifs(BOM!ai:ai,BOM!A:A,".1",BOM!B:B,"222-176000-000")</f>
        <v>0</v>
      </c>
      <c r="AJ1582">
        <f>sumifs(BOM!aj:aj,BOM!A:A,".1",BOM!B:B,"222-176000-000")</f>
        <v>0</v>
      </c>
      <c r="AK1582">
        <f>sumifs(BOM!ak:ak,BOM!A:A,".1",BOM!B:B,"222-176000-000")</f>
        <v>0</v>
      </c>
      <c r="AL1582">
        <f>sumifs(BOM!al:al,BOM!A:A,".1",BOM!B:B,"222-176000-000")</f>
        <v>0</v>
      </c>
      <c r="AM1582">
        <f>sumifs(BOM!am:am,BOM!A:A,".1",BOM!B:B,"222-176000-000")</f>
        <v>0</v>
      </c>
      <c r="AN1582">
        <f>sumifs(BOM!an:an,BOM!A:A,".1",BOM!B:B,"222-176000-000")</f>
        <v>0</v>
      </c>
      <c r="AO1582">
        <f>sumifs(BOM!ao:ao,BOM!A:A,".1",BOM!B:B,"222-176000-000")</f>
        <v>0</v>
      </c>
      <c r="AP1582">
        <f>sumifs(BOM!ap:ap,BOM!A:A,".1",BOM!B:B,"222-176000-000")</f>
        <v>0</v>
      </c>
      <c r="AQ1582">
        <f>sumifs(BOM!aq:aq,BOM!A:A,".1",BOM!B:B,"222-176000-000")</f>
        <v>0</v>
      </c>
      <c r="AR1582">
        <f>sumifs(BOM!ar:ar,BOM!A:A,".1",BOM!B:B,"222-176000-000")</f>
        <v>0</v>
      </c>
      <c r="BX1582">
        <f>sum(j1582:an1582)</f>
        <v>0</v>
      </c>
    </row>
    <row r="1583" spans="1:76">
      <c r="A1583" t="s">
        <v>31</v>
      </c>
      <c r="B1583" t="s">
        <v>615</v>
      </c>
      <c r="C1583" t="s">
        <v>616</v>
      </c>
      <c r="E1583" t="s">
        <v>444</v>
      </c>
      <c r="F1583" t="s">
        <v>617</v>
      </c>
      <c r="K1583" t="s">
        <v>590</v>
      </c>
      <c r="L1583" t="s">
        <v>37</v>
      </c>
    </row>
    <row r="1584" spans="1:76">
      <c r="L1584" t="s">
        <v>662</v>
      </c>
    </row>
    <row r="1585" spans="1:76">
      <c r="L1585" t="s">
        <v>663</v>
      </c>
    </row>
    <row r="1586" spans="1:76">
      <c r="L1586" t="s">
        <v>664</v>
      </c>
    </row>
    <row r="1587" spans="1:76">
      <c r="L1587" t="s">
        <v>665</v>
      </c>
      <c r="M1587">
        <f>IF(DAY(NOW())&lt;M3,INDIRECT(ADDRESS(1587,7))-INDIRECT(ADDRESS(1582,13))+INDIRECT(ADDRESS(1583,13))-INDIRECT(ADDRESS(1586,13)),INDIRECT(ADDRESS(1587,7))-INDIRECT(ADDRESS(1582,13))+INDIRECT(ADDRESS(1585,13))-INDIRECT(ADDRESS(1586,13)))</f>
        <v>0</v>
      </c>
      <c r="N1587">
        <f>IF(DAY(NOW())&lt;M3,INDIRECT(ADDRESS(1587,13))-INDIRECT(ADDRESS(1582,14))+INDIRECT(ADDRESS(1583,14))-INDIRECT(ADDRESS(1586,14)),INDIRECT(ADDRESS(1587,13))-INDIRECT(ADDRESS(1582,14))+INDIRECT(ADDRESS(1585,14))-INDIRECT(ADDRESS(1586,14)))</f>
        <v>0</v>
      </c>
      <c r="O1587">
        <f>IF(DAY(NOW())&lt;M3,INDIRECT(ADDRESS(1587,14))-INDIRECT(ADDRESS(1582,15))+INDIRECT(ADDRESS(1583,15))-INDIRECT(ADDRESS(1586,15)),INDIRECT(ADDRESS(1587,14))-INDIRECT(ADDRESS(1582,15))+INDIRECT(ADDRESS(1585,15))-INDIRECT(ADDRESS(1586,15)))</f>
        <v>0</v>
      </c>
      <c r="P1587">
        <f>IF(DAY(NOW())&lt;M3,INDIRECT(ADDRESS(1587,15))-INDIRECT(ADDRESS(1582,16))+INDIRECT(ADDRESS(1583,16))-INDIRECT(ADDRESS(1586,16)),INDIRECT(ADDRESS(1587,15))-INDIRECT(ADDRESS(1582,16))+INDIRECT(ADDRESS(1585,16))-INDIRECT(ADDRESS(1586,16)))</f>
        <v>0</v>
      </c>
      <c r="Q1587">
        <f>IF(DAY(NOW())&lt;M3,INDIRECT(ADDRESS(1587,16))-INDIRECT(ADDRESS(1582,17))+INDIRECT(ADDRESS(1583,17))-INDIRECT(ADDRESS(1586,17)),INDIRECT(ADDRESS(1587,16))-INDIRECT(ADDRESS(1582,17))+INDIRECT(ADDRESS(1585,17))-INDIRECT(ADDRESS(1586,17)))</f>
        <v>0</v>
      </c>
      <c r="R1587">
        <f>IF(DAY(NOW())&lt;M3,INDIRECT(ADDRESS(1587,17))-INDIRECT(ADDRESS(1582,18))+INDIRECT(ADDRESS(1583,18))-INDIRECT(ADDRESS(1586,18)),INDIRECT(ADDRESS(1587,17))-INDIRECT(ADDRESS(1582,18))+INDIRECT(ADDRESS(1585,18))-INDIRECT(ADDRESS(1586,18)))</f>
        <v>0</v>
      </c>
      <c r="S1587">
        <f>IF(DAY(NOW())&lt;M3,INDIRECT(ADDRESS(1587,18))-INDIRECT(ADDRESS(1582,19))+INDIRECT(ADDRESS(1583,19))-INDIRECT(ADDRESS(1586,19)),INDIRECT(ADDRESS(1587,18))-INDIRECT(ADDRESS(1582,19))+INDIRECT(ADDRESS(1585,19))-INDIRECT(ADDRESS(1586,19)))</f>
        <v>0</v>
      </c>
      <c r="T1587">
        <f>IF(DAY(NOW())&lt;M3,INDIRECT(ADDRESS(1587,19))-INDIRECT(ADDRESS(1582,20))+INDIRECT(ADDRESS(1583,20))-INDIRECT(ADDRESS(1586,20)),INDIRECT(ADDRESS(1587,19))-INDIRECT(ADDRESS(1582,20))+INDIRECT(ADDRESS(1585,20))-INDIRECT(ADDRESS(1586,20)))</f>
        <v>0</v>
      </c>
      <c r="U1587">
        <f>IF(DAY(NOW())&lt;M3,INDIRECT(ADDRESS(1587,20))-INDIRECT(ADDRESS(1582,21))+INDIRECT(ADDRESS(1583,21))-INDIRECT(ADDRESS(1586,21)),INDIRECT(ADDRESS(1587,20))-INDIRECT(ADDRESS(1582,21))+INDIRECT(ADDRESS(1585,21))-INDIRECT(ADDRESS(1586,21)))</f>
        <v>0</v>
      </c>
      <c r="V1587">
        <f>IF(DAY(NOW())&lt;M3,INDIRECT(ADDRESS(1587,21))-INDIRECT(ADDRESS(1582,22))+INDIRECT(ADDRESS(1583,22))-INDIRECT(ADDRESS(1586,22)),INDIRECT(ADDRESS(1587,21))-INDIRECT(ADDRESS(1582,22))+INDIRECT(ADDRESS(1585,22))-INDIRECT(ADDRESS(1586,22)))</f>
        <v>0</v>
      </c>
      <c r="W1587">
        <f>IF(DAY(NOW())&lt;M3,INDIRECT(ADDRESS(1587,22))-INDIRECT(ADDRESS(1582,23))+INDIRECT(ADDRESS(1583,23))-INDIRECT(ADDRESS(1586,23)),INDIRECT(ADDRESS(1587,22))-INDIRECT(ADDRESS(1582,23))+INDIRECT(ADDRESS(1585,23))-INDIRECT(ADDRESS(1586,23)))</f>
        <v>0</v>
      </c>
      <c r="X1587">
        <f>IF(DAY(NOW())&lt;M3,INDIRECT(ADDRESS(1587,23))-INDIRECT(ADDRESS(1582,24))+INDIRECT(ADDRESS(1583,24))-INDIRECT(ADDRESS(1586,24)),INDIRECT(ADDRESS(1587,23))-INDIRECT(ADDRESS(1582,24))+INDIRECT(ADDRESS(1585,24))-INDIRECT(ADDRESS(1586,24)))</f>
        <v>0</v>
      </c>
      <c r="Y1587">
        <f>IF(DAY(NOW())&lt;M3,INDIRECT(ADDRESS(1587,24))-INDIRECT(ADDRESS(1582,25))+INDIRECT(ADDRESS(1583,25))-INDIRECT(ADDRESS(1586,25)),INDIRECT(ADDRESS(1587,24))-INDIRECT(ADDRESS(1582,25))+INDIRECT(ADDRESS(1585,25))-INDIRECT(ADDRESS(1586,25)))</f>
        <v>0</v>
      </c>
      <c r="Z1587">
        <f>IF(DAY(NOW())&lt;M3,INDIRECT(ADDRESS(1587,25))-INDIRECT(ADDRESS(1582,26))+INDIRECT(ADDRESS(1583,26))-INDIRECT(ADDRESS(1586,26)),INDIRECT(ADDRESS(1587,25))-INDIRECT(ADDRESS(1582,26))+INDIRECT(ADDRESS(1585,26))-INDIRECT(ADDRESS(1586,26)))</f>
        <v>0</v>
      </c>
      <c r="AA1587">
        <f>IF(DAY(NOW())&lt;M3,INDIRECT(ADDRESS(1587,26))-INDIRECT(ADDRESS(1582,27))+INDIRECT(ADDRESS(1583,27))-INDIRECT(ADDRESS(1586,27)),INDIRECT(ADDRESS(1587,26))-INDIRECT(ADDRESS(1582,27))+INDIRECT(ADDRESS(1585,27))-INDIRECT(ADDRESS(1586,27)))</f>
        <v>0</v>
      </c>
      <c r="AB1587">
        <f>IF(DAY(NOW())&lt;M3,INDIRECT(ADDRESS(1587,27))-INDIRECT(ADDRESS(1582,28))+INDIRECT(ADDRESS(1583,28))-INDIRECT(ADDRESS(1586,28)),INDIRECT(ADDRESS(1587,27))-INDIRECT(ADDRESS(1582,28))+INDIRECT(ADDRESS(1585,28))-INDIRECT(ADDRESS(1586,28)))</f>
        <v>0</v>
      </c>
      <c r="AC1587">
        <f>IF(DAY(NOW())&lt;M3,INDIRECT(ADDRESS(1587,28))-INDIRECT(ADDRESS(1582,29))+INDIRECT(ADDRESS(1583,29))-INDIRECT(ADDRESS(1586,29)),INDIRECT(ADDRESS(1587,28))-INDIRECT(ADDRESS(1582,29))+INDIRECT(ADDRESS(1585,29))-INDIRECT(ADDRESS(1586,29)))</f>
        <v>0</v>
      </c>
      <c r="AD1587">
        <f>IF(DAY(NOW())&lt;M3,INDIRECT(ADDRESS(1587,29))-INDIRECT(ADDRESS(1582,30))+INDIRECT(ADDRESS(1583,30))-INDIRECT(ADDRESS(1586,30)),INDIRECT(ADDRESS(1587,29))-INDIRECT(ADDRESS(1582,30))+INDIRECT(ADDRESS(1585,30))-INDIRECT(ADDRESS(1586,30)))</f>
        <v>0</v>
      </c>
      <c r="AE1587">
        <f>IF(DAY(NOW())&lt;M3,INDIRECT(ADDRESS(1587,30))-INDIRECT(ADDRESS(1582,31))+INDIRECT(ADDRESS(1583,31))-INDIRECT(ADDRESS(1586,31)),INDIRECT(ADDRESS(1587,30))-INDIRECT(ADDRESS(1582,31))+INDIRECT(ADDRESS(1585,31))-INDIRECT(ADDRESS(1586,31)))</f>
        <v>0</v>
      </c>
      <c r="AF1587">
        <f>IF(DAY(NOW())&lt;M3,INDIRECT(ADDRESS(1587,31))-INDIRECT(ADDRESS(1582,32))+INDIRECT(ADDRESS(1583,32))-INDIRECT(ADDRESS(1586,32)),INDIRECT(ADDRESS(1587,31))-INDIRECT(ADDRESS(1582,32))+INDIRECT(ADDRESS(1585,32))-INDIRECT(ADDRESS(1586,32)))</f>
        <v>0</v>
      </c>
      <c r="AG1587">
        <f>IF(DAY(NOW())&lt;M3,INDIRECT(ADDRESS(1587,32))-INDIRECT(ADDRESS(1582,33))+INDIRECT(ADDRESS(1583,33))-INDIRECT(ADDRESS(1586,33)),INDIRECT(ADDRESS(1587,32))-INDIRECT(ADDRESS(1582,33))+INDIRECT(ADDRESS(1585,33))-INDIRECT(ADDRESS(1586,33)))</f>
        <v>0</v>
      </c>
      <c r="AH1587">
        <f>IF(DAY(NOW())&lt;M3,INDIRECT(ADDRESS(1587,33))-INDIRECT(ADDRESS(1582,34))+INDIRECT(ADDRESS(1583,34))-INDIRECT(ADDRESS(1586,34)),INDIRECT(ADDRESS(1587,33))-INDIRECT(ADDRESS(1582,34))+INDIRECT(ADDRESS(1585,34))-INDIRECT(ADDRESS(1586,34)))</f>
        <v>0</v>
      </c>
      <c r="AI1587">
        <f>IF(DAY(NOW())&lt;M3,INDIRECT(ADDRESS(1587,34))-INDIRECT(ADDRESS(1582,35))+INDIRECT(ADDRESS(1583,35))-INDIRECT(ADDRESS(1586,35)),INDIRECT(ADDRESS(1587,34))-INDIRECT(ADDRESS(1582,35))+INDIRECT(ADDRESS(1585,35))-INDIRECT(ADDRESS(1586,35)))</f>
        <v>0</v>
      </c>
      <c r="AJ1587">
        <f>IF(DAY(NOW())&lt;M3,INDIRECT(ADDRESS(1587,35))-INDIRECT(ADDRESS(1582,36))+INDIRECT(ADDRESS(1583,36))-INDIRECT(ADDRESS(1586,36)),INDIRECT(ADDRESS(1587,35))-INDIRECT(ADDRESS(1582,36))+INDIRECT(ADDRESS(1585,36))-INDIRECT(ADDRESS(1586,36)))</f>
        <v>0</v>
      </c>
      <c r="AK1587">
        <f>IF(DAY(NOW())&lt;M3,INDIRECT(ADDRESS(1587,36))-INDIRECT(ADDRESS(1582,37))+INDIRECT(ADDRESS(1583,37))-INDIRECT(ADDRESS(1586,37)),INDIRECT(ADDRESS(1587,36))-INDIRECT(ADDRESS(1582,37))+INDIRECT(ADDRESS(1585,37))-INDIRECT(ADDRESS(1586,37)))</f>
        <v>0</v>
      </c>
      <c r="AL1587">
        <f>IF(DAY(NOW())&lt;M3,INDIRECT(ADDRESS(1587,37))-INDIRECT(ADDRESS(1582,38))+INDIRECT(ADDRESS(1583,38))-INDIRECT(ADDRESS(1586,38)),INDIRECT(ADDRESS(1587,37))-INDIRECT(ADDRESS(1582,38))+INDIRECT(ADDRESS(1585,38))-INDIRECT(ADDRESS(1586,38)))</f>
        <v>0</v>
      </c>
      <c r="AM1587">
        <f>IF(DAY(NOW())&lt;M3,INDIRECT(ADDRESS(1587,38))-INDIRECT(ADDRESS(1582,39))+INDIRECT(ADDRESS(1583,39))-INDIRECT(ADDRESS(1586,39)),INDIRECT(ADDRESS(1587,38))-INDIRECT(ADDRESS(1582,39))+INDIRECT(ADDRESS(1585,39))-INDIRECT(ADDRESS(1586,39)))</f>
        <v>0</v>
      </c>
      <c r="AN1587">
        <f>IF(DAY(NOW())&lt;M3,INDIRECT(ADDRESS(1587,39))-INDIRECT(ADDRESS(1582,40))+INDIRECT(ADDRESS(1583,40))-INDIRECT(ADDRESS(1586,40)),INDIRECT(ADDRESS(1587,39))-INDIRECT(ADDRESS(1582,40))+INDIRECT(ADDRESS(1585,40))-INDIRECT(ADDRESS(1586,40)))</f>
        <v>0</v>
      </c>
      <c r="AO1587">
        <f>IF(DAY(NOW())&lt;M3,INDIRECT(ADDRESS(1587,40))-INDIRECT(ADDRESS(1582,41))+INDIRECT(ADDRESS(1583,41))-INDIRECT(ADDRESS(1586,41)),INDIRECT(ADDRESS(1587,40))-INDIRECT(ADDRESS(1582,41))+INDIRECT(ADDRESS(1585,41))-INDIRECT(ADDRESS(1586,41)))</f>
        <v>0</v>
      </c>
      <c r="AP1587">
        <f>IF(DAY(NOW())&lt;M3,INDIRECT(ADDRESS(1587,41))-INDIRECT(ADDRESS(1582,42))+INDIRECT(ADDRESS(1583,42))-INDIRECT(ADDRESS(1586,42)),INDIRECT(ADDRESS(1587,41))-INDIRECT(ADDRESS(1582,42))+INDIRECT(ADDRESS(1585,42))-INDIRECT(ADDRESS(1586,42)))</f>
        <v>0</v>
      </c>
      <c r="AQ1587">
        <f>IF(DAY(NOW())&lt;M3,INDIRECT(ADDRESS(1587,42))-INDIRECT(ADDRESS(1582,43))+INDIRECT(ADDRESS(1583,43))-INDIRECT(ADDRESS(1586,43)),INDIRECT(ADDRESS(1587,42))-INDIRECT(ADDRESS(1582,43))+INDIRECT(ADDRESS(1585,43))-INDIRECT(ADDRESS(1586,43)))</f>
        <v>0</v>
      </c>
      <c r="AR1587">
        <f>IF(DAY(NOW())&lt;M3,INDIRECT(ADDRESS(1587,43))-INDIRECT(ADDRESS(1582,44))+INDIRECT(ADDRESS(1583,44))-INDIRECT(ADDRESS(1586,44)),INDIRECT(ADDRESS(1587,43))-INDIRECT(ADDRESS(1582,44))+INDIRECT(ADDRESS(1585,44))-INDIRECT(ADDRESS(1586,44)))</f>
        <v>0</v>
      </c>
    </row>
    <row r="1588" spans="1:76">
      <c r="A1588" t="s">
        <v>31</v>
      </c>
      <c r="B1588" t="s">
        <v>618</v>
      </c>
      <c r="C1588" t="s">
        <v>619</v>
      </c>
      <c r="E1588" t="s">
        <v>620</v>
      </c>
      <c r="F1588" t="s">
        <v>621</v>
      </c>
      <c r="K1588" t="s">
        <v>590</v>
      </c>
      <c r="L1588" t="s">
        <v>21</v>
      </c>
      <c r="M1588">
        <f>sumifs(BOM!m:m,BOM!A:A,".1",BOM!B:B,"222-177000-000")</f>
        <v>0</v>
      </c>
      <c r="N1588">
        <f>sumifs(BOM!n:n,BOM!A:A,".1",BOM!B:B,"222-177000-000")</f>
        <v>0</v>
      </c>
      <c r="O1588">
        <f>sumifs(BOM!o:o,BOM!A:A,".1",BOM!B:B,"222-177000-000")</f>
        <v>0</v>
      </c>
      <c r="P1588">
        <f>sumifs(BOM!p:p,BOM!A:A,".1",BOM!B:B,"222-177000-000")</f>
        <v>0</v>
      </c>
      <c r="Q1588">
        <f>sumifs(BOM!q:q,BOM!A:A,".1",BOM!B:B,"222-177000-000")</f>
        <v>0</v>
      </c>
      <c r="R1588">
        <f>sumifs(BOM!r:r,BOM!A:A,".1",BOM!B:B,"222-177000-000")</f>
        <v>0</v>
      </c>
      <c r="S1588">
        <f>sumifs(BOM!s:s,BOM!A:A,".1",BOM!B:B,"222-177000-000")</f>
        <v>0</v>
      </c>
      <c r="T1588">
        <f>sumifs(BOM!t:t,BOM!A:A,".1",BOM!B:B,"222-177000-000")</f>
        <v>0</v>
      </c>
      <c r="U1588">
        <f>sumifs(BOM!u:u,BOM!A:A,".1",BOM!B:B,"222-177000-000")</f>
        <v>0</v>
      </c>
      <c r="V1588">
        <f>sumifs(BOM!v:v,BOM!A:A,".1",BOM!B:B,"222-177000-000")</f>
        <v>0</v>
      </c>
      <c r="W1588">
        <f>sumifs(BOM!w:w,BOM!A:A,".1",BOM!B:B,"222-177000-000")</f>
        <v>0</v>
      </c>
      <c r="X1588">
        <f>sumifs(BOM!x:x,BOM!A:A,".1",BOM!B:B,"222-177000-000")</f>
        <v>0</v>
      </c>
      <c r="Y1588">
        <f>sumifs(BOM!y:y,BOM!A:A,".1",BOM!B:B,"222-177000-000")</f>
        <v>0</v>
      </c>
      <c r="Z1588">
        <f>sumifs(BOM!z:z,BOM!A:A,".1",BOM!B:B,"222-177000-000")</f>
        <v>0</v>
      </c>
      <c r="AA1588">
        <f>sumifs(BOM!aa:aa,BOM!A:A,".1",BOM!B:B,"222-177000-000")</f>
        <v>0</v>
      </c>
      <c r="AB1588">
        <f>sumifs(BOM!ab:ab,BOM!A:A,".1",BOM!B:B,"222-177000-000")</f>
        <v>0</v>
      </c>
      <c r="AC1588">
        <f>sumifs(BOM!ac:ac,BOM!A:A,".1",BOM!B:B,"222-177000-000")</f>
        <v>0</v>
      </c>
      <c r="AD1588">
        <f>sumifs(BOM!ad:ad,BOM!A:A,".1",BOM!B:B,"222-177000-000")</f>
        <v>0</v>
      </c>
      <c r="AE1588">
        <f>sumifs(BOM!ae:ae,BOM!A:A,".1",BOM!B:B,"222-177000-000")</f>
        <v>0</v>
      </c>
      <c r="AF1588">
        <f>sumifs(BOM!af:af,BOM!A:A,".1",BOM!B:B,"222-177000-000")</f>
        <v>0</v>
      </c>
      <c r="AG1588">
        <f>sumifs(BOM!ag:ag,BOM!A:A,".1",BOM!B:B,"222-177000-000")</f>
        <v>0</v>
      </c>
      <c r="AH1588">
        <f>sumifs(BOM!ah:ah,BOM!A:A,".1",BOM!B:B,"222-177000-000")</f>
        <v>0</v>
      </c>
      <c r="AI1588">
        <f>sumifs(BOM!ai:ai,BOM!A:A,".1",BOM!B:B,"222-177000-000")</f>
        <v>0</v>
      </c>
      <c r="AJ1588">
        <f>sumifs(BOM!aj:aj,BOM!A:A,".1",BOM!B:B,"222-177000-000")</f>
        <v>0</v>
      </c>
      <c r="AK1588">
        <f>sumifs(BOM!ak:ak,BOM!A:A,".1",BOM!B:B,"222-177000-000")</f>
        <v>0</v>
      </c>
      <c r="AL1588">
        <f>sumifs(BOM!al:al,BOM!A:A,".1",BOM!B:B,"222-177000-000")</f>
        <v>0</v>
      </c>
      <c r="AM1588">
        <f>sumifs(BOM!am:am,BOM!A:A,".1",BOM!B:B,"222-177000-000")</f>
        <v>0</v>
      </c>
      <c r="AN1588">
        <f>sumifs(BOM!an:an,BOM!A:A,".1",BOM!B:B,"222-177000-000")</f>
        <v>0</v>
      </c>
      <c r="AO1588">
        <f>sumifs(BOM!ao:ao,BOM!A:A,".1",BOM!B:B,"222-177000-000")</f>
        <v>0</v>
      </c>
      <c r="AP1588">
        <f>sumifs(BOM!ap:ap,BOM!A:A,".1",BOM!B:B,"222-177000-000")</f>
        <v>0</v>
      </c>
      <c r="AQ1588">
        <f>sumifs(BOM!aq:aq,BOM!A:A,".1",BOM!B:B,"222-177000-000")</f>
        <v>0</v>
      </c>
      <c r="AR1588">
        <f>sumifs(BOM!ar:ar,BOM!A:A,".1",BOM!B:B,"222-177000-000")</f>
        <v>0</v>
      </c>
      <c r="BX1588">
        <f>sum(j1588:an1588)</f>
        <v>0</v>
      </c>
    </row>
    <row r="1589" spans="1:76">
      <c r="A1589" t="s">
        <v>31</v>
      </c>
      <c r="B1589" t="s">
        <v>618</v>
      </c>
      <c r="C1589" t="s">
        <v>619</v>
      </c>
      <c r="E1589" t="s">
        <v>620</v>
      </c>
      <c r="F1589" t="s">
        <v>621</v>
      </c>
      <c r="K1589" t="s">
        <v>590</v>
      </c>
      <c r="L1589" t="s">
        <v>37</v>
      </c>
    </row>
    <row r="1590" spans="1:76">
      <c r="L1590" t="s">
        <v>662</v>
      </c>
    </row>
    <row r="1591" spans="1:76">
      <c r="L1591" t="s">
        <v>663</v>
      </c>
    </row>
    <row r="1592" spans="1:76">
      <c r="L1592" t="s">
        <v>664</v>
      </c>
    </row>
    <row r="1593" spans="1:76">
      <c r="L1593" t="s">
        <v>665</v>
      </c>
      <c r="M1593">
        <f>IF(DAY(NOW())&lt;M3,INDIRECT(ADDRESS(1593,7))-INDIRECT(ADDRESS(1588,13))+INDIRECT(ADDRESS(1589,13))-INDIRECT(ADDRESS(1592,13)),INDIRECT(ADDRESS(1593,7))-INDIRECT(ADDRESS(1588,13))+INDIRECT(ADDRESS(1591,13))-INDIRECT(ADDRESS(1592,13)))</f>
        <v>0</v>
      </c>
      <c r="N1593">
        <f>IF(DAY(NOW())&lt;M3,INDIRECT(ADDRESS(1593,13))-INDIRECT(ADDRESS(1588,14))+INDIRECT(ADDRESS(1589,14))-INDIRECT(ADDRESS(1592,14)),INDIRECT(ADDRESS(1593,13))-INDIRECT(ADDRESS(1588,14))+INDIRECT(ADDRESS(1591,14))-INDIRECT(ADDRESS(1592,14)))</f>
        <v>0</v>
      </c>
      <c r="O1593">
        <f>IF(DAY(NOW())&lt;M3,INDIRECT(ADDRESS(1593,14))-INDIRECT(ADDRESS(1588,15))+INDIRECT(ADDRESS(1589,15))-INDIRECT(ADDRESS(1592,15)),INDIRECT(ADDRESS(1593,14))-INDIRECT(ADDRESS(1588,15))+INDIRECT(ADDRESS(1591,15))-INDIRECT(ADDRESS(1592,15)))</f>
        <v>0</v>
      </c>
      <c r="P1593">
        <f>IF(DAY(NOW())&lt;M3,INDIRECT(ADDRESS(1593,15))-INDIRECT(ADDRESS(1588,16))+INDIRECT(ADDRESS(1589,16))-INDIRECT(ADDRESS(1592,16)),INDIRECT(ADDRESS(1593,15))-INDIRECT(ADDRESS(1588,16))+INDIRECT(ADDRESS(1591,16))-INDIRECT(ADDRESS(1592,16)))</f>
        <v>0</v>
      </c>
      <c r="Q1593">
        <f>IF(DAY(NOW())&lt;M3,INDIRECT(ADDRESS(1593,16))-INDIRECT(ADDRESS(1588,17))+INDIRECT(ADDRESS(1589,17))-INDIRECT(ADDRESS(1592,17)),INDIRECT(ADDRESS(1593,16))-INDIRECT(ADDRESS(1588,17))+INDIRECT(ADDRESS(1591,17))-INDIRECT(ADDRESS(1592,17)))</f>
        <v>0</v>
      </c>
      <c r="R1593">
        <f>IF(DAY(NOW())&lt;M3,INDIRECT(ADDRESS(1593,17))-INDIRECT(ADDRESS(1588,18))+INDIRECT(ADDRESS(1589,18))-INDIRECT(ADDRESS(1592,18)),INDIRECT(ADDRESS(1593,17))-INDIRECT(ADDRESS(1588,18))+INDIRECT(ADDRESS(1591,18))-INDIRECT(ADDRESS(1592,18)))</f>
        <v>0</v>
      </c>
      <c r="S1593">
        <f>IF(DAY(NOW())&lt;M3,INDIRECT(ADDRESS(1593,18))-INDIRECT(ADDRESS(1588,19))+INDIRECT(ADDRESS(1589,19))-INDIRECT(ADDRESS(1592,19)),INDIRECT(ADDRESS(1593,18))-INDIRECT(ADDRESS(1588,19))+INDIRECT(ADDRESS(1591,19))-INDIRECT(ADDRESS(1592,19)))</f>
        <v>0</v>
      </c>
      <c r="T1593">
        <f>IF(DAY(NOW())&lt;M3,INDIRECT(ADDRESS(1593,19))-INDIRECT(ADDRESS(1588,20))+INDIRECT(ADDRESS(1589,20))-INDIRECT(ADDRESS(1592,20)),INDIRECT(ADDRESS(1593,19))-INDIRECT(ADDRESS(1588,20))+INDIRECT(ADDRESS(1591,20))-INDIRECT(ADDRESS(1592,20)))</f>
        <v>0</v>
      </c>
      <c r="U1593">
        <f>IF(DAY(NOW())&lt;M3,INDIRECT(ADDRESS(1593,20))-INDIRECT(ADDRESS(1588,21))+INDIRECT(ADDRESS(1589,21))-INDIRECT(ADDRESS(1592,21)),INDIRECT(ADDRESS(1593,20))-INDIRECT(ADDRESS(1588,21))+INDIRECT(ADDRESS(1591,21))-INDIRECT(ADDRESS(1592,21)))</f>
        <v>0</v>
      </c>
      <c r="V1593">
        <f>IF(DAY(NOW())&lt;M3,INDIRECT(ADDRESS(1593,21))-INDIRECT(ADDRESS(1588,22))+INDIRECT(ADDRESS(1589,22))-INDIRECT(ADDRESS(1592,22)),INDIRECT(ADDRESS(1593,21))-INDIRECT(ADDRESS(1588,22))+INDIRECT(ADDRESS(1591,22))-INDIRECT(ADDRESS(1592,22)))</f>
        <v>0</v>
      </c>
      <c r="W1593">
        <f>IF(DAY(NOW())&lt;M3,INDIRECT(ADDRESS(1593,22))-INDIRECT(ADDRESS(1588,23))+INDIRECT(ADDRESS(1589,23))-INDIRECT(ADDRESS(1592,23)),INDIRECT(ADDRESS(1593,22))-INDIRECT(ADDRESS(1588,23))+INDIRECT(ADDRESS(1591,23))-INDIRECT(ADDRESS(1592,23)))</f>
        <v>0</v>
      </c>
      <c r="X1593">
        <f>IF(DAY(NOW())&lt;M3,INDIRECT(ADDRESS(1593,23))-INDIRECT(ADDRESS(1588,24))+INDIRECT(ADDRESS(1589,24))-INDIRECT(ADDRESS(1592,24)),INDIRECT(ADDRESS(1593,23))-INDIRECT(ADDRESS(1588,24))+INDIRECT(ADDRESS(1591,24))-INDIRECT(ADDRESS(1592,24)))</f>
        <v>0</v>
      </c>
      <c r="Y1593">
        <f>IF(DAY(NOW())&lt;M3,INDIRECT(ADDRESS(1593,24))-INDIRECT(ADDRESS(1588,25))+INDIRECT(ADDRESS(1589,25))-INDIRECT(ADDRESS(1592,25)),INDIRECT(ADDRESS(1593,24))-INDIRECT(ADDRESS(1588,25))+INDIRECT(ADDRESS(1591,25))-INDIRECT(ADDRESS(1592,25)))</f>
        <v>0</v>
      </c>
      <c r="Z1593">
        <f>IF(DAY(NOW())&lt;M3,INDIRECT(ADDRESS(1593,25))-INDIRECT(ADDRESS(1588,26))+INDIRECT(ADDRESS(1589,26))-INDIRECT(ADDRESS(1592,26)),INDIRECT(ADDRESS(1593,25))-INDIRECT(ADDRESS(1588,26))+INDIRECT(ADDRESS(1591,26))-INDIRECT(ADDRESS(1592,26)))</f>
        <v>0</v>
      </c>
      <c r="AA1593">
        <f>IF(DAY(NOW())&lt;M3,INDIRECT(ADDRESS(1593,26))-INDIRECT(ADDRESS(1588,27))+INDIRECT(ADDRESS(1589,27))-INDIRECT(ADDRESS(1592,27)),INDIRECT(ADDRESS(1593,26))-INDIRECT(ADDRESS(1588,27))+INDIRECT(ADDRESS(1591,27))-INDIRECT(ADDRESS(1592,27)))</f>
        <v>0</v>
      </c>
      <c r="AB1593">
        <f>IF(DAY(NOW())&lt;M3,INDIRECT(ADDRESS(1593,27))-INDIRECT(ADDRESS(1588,28))+INDIRECT(ADDRESS(1589,28))-INDIRECT(ADDRESS(1592,28)),INDIRECT(ADDRESS(1593,27))-INDIRECT(ADDRESS(1588,28))+INDIRECT(ADDRESS(1591,28))-INDIRECT(ADDRESS(1592,28)))</f>
        <v>0</v>
      </c>
      <c r="AC1593">
        <f>IF(DAY(NOW())&lt;M3,INDIRECT(ADDRESS(1593,28))-INDIRECT(ADDRESS(1588,29))+INDIRECT(ADDRESS(1589,29))-INDIRECT(ADDRESS(1592,29)),INDIRECT(ADDRESS(1593,28))-INDIRECT(ADDRESS(1588,29))+INDIRECT(ADDRESS(1591,29))-INDIRECT(ADDRESS(1592,29)))</f>
        <v>0</v>
      </c>
      <c r="AD1593">
        <f>IF(DAY(NOW())&lt;M3,INDIRECT(ADDRESS(1593,29))-INDIRECT(ADDRESS(1588,30))+INDIRECT(ADDRESS(1589,30))-INDIRECT(ADDRESS(1592,30)),INDIRECT(ADDRESS(1593,29))-INDIRECT(ADDRESS(1588,30))+INDIRECT(ADDRESS(1591,30))-INDIRECT(ADDRESS(1592,30)))</f>
        <v>0</v>
      </c>
      <c r="AE1593">
        <f>IF(DAY(NOW())&lt;M3,INDIRECT(ADDRESS(1593,30))-INDIRECT(ADDRESS(1588,31))+INDIRECT(ADDRESS(1589,31))-INDIRECT(ADDRESS(1592,31)),INDIRECT(ADDRESS(1593,30))-INDIRECT(ADDRESS(1588,31))+INDIRECT(ADDRESS(1591,31))-INDIRECT(ADDRESS(1592,31)))</f>
        <v>0</v>
      </c>
      <c r="AF1593">
        <f>IF(DAY(NOW())&lt;M3,INDIRECT(ADDRESS(1593,31))-INDIRECT(ADDRESS(1588,32))+INDIRECT(ADDRESS(1589,32))-INDIRECT(ADDRESS(1592,32)),INDIRECT(ADDRESS(1593,31))-INDIRECT(ADDRESS(1588,32))+INDIRECT(ADDRESS(1591,32))-INDIRECT(ADDRESS(1592,32)))</f>
        <v>0</v>
      </c>
      <c r="AG1593">
        <f>IF(DAY(NOW())&lt;M3,INDIRECT(ADDRESS(1593,32))-INDIRECT(ADDRESS(1588,33))+INDIRECT(ADDRESS(1589,33))-INDIRECT(ADDRESS(1592,33)),INDIRECT(ADDRESS(1593,32))-INDIRECT(ADDRESS(1588,33))+INDIRECT(ADDRESS(1591,33))-INDIRECT(ADDRESS(1592,33)))</f>
        <v>0</v>
      </c>
      <c r="AH1593">
        <f>IF(DAY(NOW())&lt;M3,INDIRECT(ADDRESS(1593,33))-INDIRECT(ADDRESS(1588,34))+INDIRECT(ADDRESS(1589,34))-INDIRECT(ADDRESS(1592,34)),INDIRECT(ADDRESS(1593,33))-INDIRECT(ADDRESS(1588,34))+INDIRECT(ADDRESS(1591,34))-INDIRECT(ADDRESS(1592,34)))</f>
        <v>0</v>
      </c>
      <c r="AI1593">
        <f>IF(DAY(NOW())&lt;M3,INDIRECT(ADDRESS(1593,34))-INDIRECT(ADDRESS(1588,35))+INDIRECT(ADDRESS(1589,35))-INDIRECT(ADDRESS(1592,35)),INDIRECT(ADDRESS(1593,34))-INDIRECT(ADDRESS(1588,35))+INDIRECT(ADDRESS(1591,35))-INDIRECT(ADDRESS(1592,35)))</f>
        <v>0</v>
      </c>
      <c r="AJ1593">
        <f>IF(DAY(NOW())&lt;M3,INDIRECT(ADDRESS(1593,35))-INDIRECT(ADDRESS(1588,36))+INDIRECT(ADDRESS(1589,36))-INDIRECT(ADDRESS(1592,36)),INDIRECT(ADDRESS(1593,35))-INDIRECT(ADDRESS(1588,36))+INDIRECT(ADDRESS(1591,36))-INDIRECT(ADDRESS(1592,36)))</f>
        <v>0</v>
      </c>
      <c r="AK1593">
        <f>IF(DAY(NOW())&lt;M3,INDIRECT(ADDRESS(1593,36))-INDIRECT(ADDRESS(1588,37))+INDIRECT(ADDRESS(1589,37))-INDIRECT(ADDRESS(1592,37)),INDIRECT(ADDRESS(1593,36))-INDIRECT(ADDRESS(1588,37))+INDIRECT(ADDRESS(1591,37))-INDIRECT(ADDRESS(1592,37)))</f>
        <v>0</v>
      </c>
      <c r="AL1593">
        <f>IF(DAY(NOW())&lt;M3,INDIRECT(ADDRESS(1593,37))-INDIRECT(ADDRESS(1588,38))+INDIRECT(ADDRESS(1589,38))-INDIRECT(ADDRESS(1592,38)),INDIRECT(ADDRESS(1593,37))-INDIRECT(ADDRESS(1588,38))+INDIRECT(ADDRESS(1591,38))-INDIRECT(ADDRESS(1592,38)))</f>
        <v>0</v>
      </c>
      <c r="AM1593">
        <f>IF(DAY(NOW())&lt;M3,INDIRECT(ADDRESS(1593,38))-INDIRECT(ADDRESS(1588,39))+INDIRECT(ADDRESS(1589,39))-INDIRECT(ADDRESS(1592,39)),INDIRECT(ADDRESS(1593,38))-INDIRECT(ADDRESS(1588,39))+INDIRECT(ADDRESS(1591,39))-INDIRECT(ADDRESS(1592,39)))</f>
        <v>0</v>
      </c>
      <c r="AN1593">
        <f>IF(DAY(NOW())&lt;M3,INDIRECT(ADDRESS(1593,39))-INDIRECT(ADDRESS(1588,40))+INDIRECT(ADDRESS(1589,40))-INDIRECT(ADDRESS(1592,40)),INDIRECT(ADDRESS(1593,39))-INDIRECT(ADDRESS(1588,40))+INDIRECT(ADDRESS(1591,40))-INDIRECT(ADDRESS(1592,40)))</f>
        <v>0</v>
      </c>
      <c r="AO1593">
        <f>IF(DAY(NOW())&lt;M3,INDIRECT(ADDRESS(1593,40))-INDIRECT(ADDRESS(1588,41))+INDIRECT(ADDRESS(1589,41))-INDIRECT(ADDRESS(1592,41)),INDIRECT(ADDRESS(1593,40))-INDIRECT(ADDRESS(1588,41))+INDIRECT(ADDRESS(1591,41))-INDIRECT(ADDRESS(1592,41)))</f>
        <v>0</v>
      </c>
      <c r="AP1593">
        <f>IF(DAY(NOW())&lt;M3,INDIRECT(ADDRESS(1593,41))-INDIRECT(ADDRESS(1588,42))+INDIRECT(ADDRESS(1589,42))-INDIRECT(ADDRESS(1592,42)),INDIRECT(ADDRESS(1593,41))-INDIRECT(ADDRESS(1588,42))+INDIRECT(ADDRESS(1591,42))-INDIRECT(ADDRESS(1592,42)))</f>
        <v>0</v>
      </c>
      <c r="AQ1593">
        <f>IF(DAY(NOW())&lt;M3,INDIRECT(ADDRESS(1593,42))-INDIRECT(ADDRESS(1588,43))+INDIRECT(ADDRESS(1589,43))-INDIRECT(ADDRESS(1592,43)),INDIRECT(ADDRESS(1593,42))-INDIRECT(ADDRESS(1588,43))+INDIRECT(ADDRESS(1591,43))-INDIRECT(ADDRESS(1592,43)))</f>
        <v>0</v>
      </c>
      <c r="AR1593">
        <f>IF(DAY(NOW())&lt;M3,INDIRECT(ADDRESS(1593,43))-INDIRECT(ADDRESS(1588,44))+INDIRECT(ADDRESS(1589,44))-INDIRECT(ADDRESS(1592,44)),INDIRECT(ADDRESS(1593,43))-INDIRECT(ADDRESS(1588,44))+INDIRECT(ADDRESS(1591,44))-INDIRECT(ADDRESS(1592,44)))</f>
        <v>0</v>
      </c>
    </row>
    <row r="1594" spans="1:76">
      <c r="A1594" t="s">
        <v>31</v>
      </c>
      <c r="B1594" t="s">
        <v>352</v>
      </c>
      <c r="C1594" t="s">
        <v>353</v>
      </c>
      <c r="E1594">
        <v>1</v>
      </c>
      <c r="F1594" t="s">
        <v>622</v>
      </c>
      <c r="K1594" t="s">
        <v>590</v>
      </c>
      <c r="L1594" t="s">
        <v>21</v>
      </c>
      <c r="M1594">
        <f>sumifs(BOM!m:m,BOM!A:A,".1",BOM!B:B,"262-000200-000")</f>
        <v>0</v>
      </c>
      <c r="N1594">
        <f>sumifs(BOM!n:n,BOM!A:A,".1",BOM!B:B,"262-000200-000")</f>
        <v>0</v>
      </c>
      <c r="O1594">
        <f>sumifs(BOM!o:o,BOM!A:A,".1",BOM!B:B,"262-000200-000")</f>
        <v>0</v>
      </c>
      <c r="P1594">
        <f>sumifs(BOM!p:p,BOM!A:A,".1",BOM!B:B,"262-000200-000")</f>
        <v>0</v>
      </c>
      <c r="Q1594">
        <f>sumifs(BOM!q:q,BOM!A:A,".1",BOM!B:B,"262-000200-000")</f>
        <v>0</v>
      </c>
      <c r="R1594">
        <f>sumifs(BOM!r:r,BOM!A:A,".1",BOM!B:B,"262-000200-000")</f>
        <v>0</v>
      </c>
      <c r="S1594">
        <f>sumifs(BOM!s:s,BOM!A:A,".1",BOM!B:B,"262-000200-000")</f>
        <v>0</v>
      </c>
      <c r="T1594">
        <f>sumifs(BOM!t:t,BOM!A:A,".1",BOM!B:B,"262-000200-000")</f>
        <v>0</v>
      </c>
      <c r="U1594">
        <f>sumifs(BOM!u:u,BOM!A:A,".1",BOM!B:B,"262-000200-000")</f>
        <v>0</v>
      </c>
      <c r="V1594">
        <f>sumifs(BOM!v:v,BOM!A:A,".1",BOM!B:B,"262-000200-000")</f>
        <v>0</v>
      </c>
      <c r="W1594">
        <f>sumifs(BOM!w:w,BOM!A:A,".1",BOM!B:B,"262-000200-000")</f>
        <v>0</v>
      </c>
      <c r="X1594">
        <f>sumifs(BOM!x:x,BOM!A:A,".1",BOM!B:B,"262-000200-000")</f>
        <v>0</v>
      </c>
      <c r="Y1594">
        <f>sumifs(BOM!y:y,BOM!A:A,".1",BOM!B:B,"262-000200-000")</f>
        <v>0</v>
      </c>
      <c r="Z1594">
        <f>sumifs(BOM!z:z,BOM!A:A,".1",BOM!B:B,"262-000200-000")</f>
        <v>0</v>
      </c>
      <c r="AA1594">
        <f>sumifs(BOM!aa:aa,BOM!A:A,".1",BOM!B:B,"262-000200-000")</f>
        <v>0</v>
      </c>
      <c r="AB1594">
        <f>sumifs(BOM!ab:ab,BOM!A:A,".1",BOM!B:B,"262-000200-000")</f>
        <v>0</v>
      </c>
      <c r="AC1594">
        <f>sumifs(BOM!ac:ac,BOM!A:A,".1",BOM!B:B,"262-000200-000")</f>
        <v>0</v>
      </c>
      <c r="AD1594">
        <f>sumifs(BOM!ad:ad,BOM!A:A,".1",BOM!B:B,"262-000200-000")</f>
        <v>0</v>
      </c>
      <c r="AE1594">
        <f>sumifs(BOM!ae:ae,BOM!A:A,".1",BOM!B:B,"262-000200-000")</f>
        <v>0</v>
      </c>
      <c r="AF1594">
        <f>sumifs(BOM!af:af,BOM!A:A,".1",BOM!B:B,"262-000200-000")</f>
        <v>0</v>
      </c>
      <c r="AG1594">
        <f>sumifs(BOM!ag:ag,BOM!A:A,".1",BOM!B:B,"262-000200-000")</f>
        <v>0</v>
      </c>
      <c r="AH1594">
        <f>sumifs(BOM!ah:ah,BOM!A:A,".1",BOM!B:B,"262-000200-000")</f>
        <v>0</v>
      </c>
      <c r="AI1594">
        <f>sumifs(BOM!ai:ai,BOM!A:A,".1",BOM!B:B,"262-000200-000")</f>
        <v>0</v>
      </c>
      <c r="AJ1594">
        <f>sumifs(BOM!aj:aj,BOM!A:A,".1",BOM!B:B,"262-000200-000")</f>
        <v>0</v>
      </c>
      <c r="AK1594">
        <f>sumifs(BOM!ak:ak,BOM!A:A,".1",BOM!B:B,"262-000200-000")</f>
        <v>0</v>
      </c>
      <c r="AL1594">
        <f>sumifs(BOM!al:al,BOM!A:A,".1",BOM!B:B,"262-000200-000")</f>
        <v>0</v>
      </c>
      <c r="AM1594">
        <f>sumifs(BOM!am:am,BOM!A:A,".1",BOM!B:B,"262-000200-000")</f>
        <v>0</v>
      </c>
      <c r="AN1594">
        <f>sumifs(BOM!an:an,BOM!A:A,".1",BOM!B:B,"262-000200-000")</f>
        <v>0</v>
      </c>
      <c r="AO1594">
        <f>sumifs(BOM!ao:ao,BOM!A:A,".1",BOM!B:B,"262-000200-000")</f>
        <v>0</v>
      </c>
      <c r="AP1594">
        <f>sumifs(BOM!ap:ap,BOM!A:A,".1",BOM!B:B,"262-000200-000")</f>
        <v>0</v>
      </c>
      <c r="AQ1594">
        <f>sumifs(BOM!aq:aq,BOM!A:A,".1",BOM!B:B,"262-000200-000")</f>
        <v>0</v>
      </c>
      <c r="AR1594">
        <f>sumifs(BOM!ar:ar,BOM!A:A,".1",BOM!B:B,"262-000200-000")</f>
        <v>0</v>
      </c>
      <c r="BX1594">
        <f>sum(j1594:an1594)</f>
        <v>0</v>
      </c>
    </row>
    <row r="1595" spans="1:76">
      <c r="A1595" t="s">
        <v>31</v>
      </c>
      <c r="B1595" t="s">
        <v>352</v>
      </c>
      <c r="C1595" t="s">
        <v>353</v>
      </c>
      <c r="E1595">
        <v>1</v>
      </c>
      <c r="F1595" t="s">
        <v>622</v>
      </c>
      <c r="K1595" t="s">
        <v>590</v>
      </c>
      <c r="L1595" t="s">
        <v>37</v>
      </c>
    </row>
    <row r="1596" spans="1:76">
      <c r="L1596" t="s">
        <v>662</v>
      </c>
    </row>
    <row r="1597" spans="1:76">
      <c r="L1597" t="s">
        <v>663</v>
      </c>
    </row>
    <row r="1598" spans="1:76">
      <c r="L1598" t="s">
        <v>664</v>
      </c>
    </row>
    <row r="1599" spans="1:76">
      <c r="L1599" t="s">
        <v>665</v>
      </c>
      <c r="M1599">
        <f>IF(DAY(NOW())&lt;M3,INDIRECT(ADDRESS(1599,7))-INDIRECT(ADDRESS(1594,13))+INDIRECT(ADDRESS(1595,13))-INDIRECT(ADDRESS(1598,13)),INDIRECT(ADDRESS(1599,7))-INDIRECT(ADDRESS(1594,13))+INDIRECT(ADDRESS(1597,13))-INDIRECT(ADDRESS(1598,13)))</f>
        <v>0</v>
      </c>
      <c r="N1599">
        <f>IF(DAY(NOW())&lt;M3,INDIRECT(ADDRESS(1599,13))-INDIRECT(ADDRESS(1594,14))+INDIRECT(ADDRESS(1595,14))-INDIRECT(ADDRESS(1598,14)),INDIRECT(ADDRESS(1599,13))-INDIRECT(ADDRESS(1594,14))+INDIRECT(ADDRESS(1597,14))-INDIRECT(ADDRESS(1598,14)))</f>
        <v>0</v>
      </c>
      <c r="O1599">
        <f>IF(DAY(NOW())&lt;M3,INDIRECT(ADDRESS(1599,14))-INDIRECT(ADDRESS(1594,15))+INDIRECT(ADDRESS(1595,15))-INDIRECT(ADDRESS(1598,15)),INDIRECT(ADDRESS(1599,14))-INDIRECT(ADDRESS(1594,15))+INDIRECT(ADDRESS(1597,15))-INDIRECT(ADDRESS(1598,15)))</f>
        <v>0</v>
      </c>
      <c r="P1599">
        <f>IF(DAY(NOW())&lt;M3,INDIRECT(ADDRESS(1599,15))-INDIRECT(ADDRESS(1594,16))+INDIRECT(ADDRESS(1595,16))-INDIRECT(ADDRESS(1598,16)),INDIRECT(ADDRESS(1599,15))-INDIRECT(ADDRESS(1594,16))+INDIRECT(ADDRESS(1597,16))-INDIRECT(ADDRESS(1598,16)))</f>
        <v>0</v>
      </c>
      <c r="Q1599">
        <f>IF(DAY(NOW())&lt;M3,INDIRECT(ADDRESS(1599,16))-INDIRECT(ADDRESS(1594,17))+INDIRECT(ADDRESS(1595,17))-INDIRECT(ADDRESS(1598,17)),INDIRECT(ADDRESS(1599,16))-INDIRECT(ADDRESS(1594,17))+INDIRECT(ADDRESS(1597,17))-INDIRECT(ADDRESS(1598,17)))</f>
        <v>0</v>
      </c>
      <c r="R1599">
        <f>IF(DAY(NOW())&lt;M3,INDIRECT(ADDRESS(1599,17))-INDIRECT(ADDRESS(1594,18))+INDIRECT(ADDRESS(1595,18))-INDIRECT(ADDRESS(1598,18)),INDIRECT(ADDRESS(1599,17))-INDIRECT(ADDRESS(1594,18))+INDIRECT(ADDRESS(1597,18))-INDIRECT(ADDRESS(1598,18)))</f>
        <v>0</v>
      </c>
      <c r="S1599">
        <f>IF(DAY(NOW())&lt;M3,INDIRECT(ADDRESS(1599,18))-INDIRECT(ADDRESS(1594,19))+INDIRECT(ADDRESS(1595,19))-INDIRECT(ADDRESS(1598,19)),INDIRECT(ADDRESS(1599,18))-INDIRECT(ADDRESS(1594,19))+INDIRECT(ADDRESS(1597,19))-INDIRECT(ADDRESS(1598,19)))</f>
        <v>0</v>
      </c>
      <c r="T1599">
        <f>IF(DAY(NOW())&lt;M3,INDIRECT(ADDRESS(1599,19))-INDIRECT(ADDRESS(1594,20))+INDIRECT(ADDRESS(1595,20))-INDIRECT(ADDRESS(1598,20)),INDIRECT(ADDRESS(1599,19))-INDIRECT(ADDRESS(1594,20))+INDIRECT(ADDRESS(1597,20))-INDIRECT(ADDRESS(1598,20)))</f>
        <v>0</v>
      </c>
      <c r="U1599">
        <f>IF(DAY(NOW())&lt;M3,INDIRECT(ADDRESS(1599,20))-INDIRECT(ADDRESS(1594,21))+INDIRECT(ADDRESS(1595,21))-INDIRECT(ADDRESS(1598,21)),INDIRECT(ADDRESS(1599,20))-INDIRECT(ADDRESS(1594,21))+INDIRECT(ADDRESS(1597,21))-INDIRECT(ADDRESS(1598,21)))</f>
        <v>0</v>
      </c>
      <c r="V1599">
        <f>IF(DAY(NOW())&lt;M3,INDIRECT(ADDRESS(1599,21))-INDIRECT(ADDRESS(1594,22))+INDIRECT(ADDRESS(1595,22))-INDIRECT(ADDRESS(1598,22)),INDIRECT(ADDRESS(1599,21))-INDIRECT(ADDRESS(1594,22))+INDIRECT(ADDRESS(1597,22))-INDIRECT(ADDRESS(1598,22)))</f>
        <v>0</v>
      </c>
      <c r="W1599">
        <f>IF(DAY(NOW())&lt;M3,INDIRECT(ADDRESS(1599,22))-INDIRECT(ADDRESS(1594,23))+INDIRECT(ADDRESS(1595,23))-INDIRECT(ADDRESS(1598,23)),INDIRECT(ADDRESS(1599,22))-INDIRECT(ADDRESS(1594,23))+INDIRECT(ADDRESS(1597,23))-INDIRECT(ADDRESS(1598,23)))</f>
        <v>0</v>
      </c>
      <c r="X1599">
        <f>IF(DAY(NOW())&lt;M3,INDIRECT(ADDRESS(1599,23))-INDIRECT(ADDRESS(1594,24))+INDIRECT(ADDRESS(1595,24))-INDIRECT(ADDRESS(1598,24)),INDIRECT(ADDRESS(1599,23))-INDIRECT(ADDRESS(1594,24))+INDIRECT(ADDRESS(1597,24))-INDIRECT(ADDRESS(1598,24)))</f>
        <v>0</v>
      </c>
      <c r="Y1599">
        <f>IF(DAY(NOW())&lt;M3,INDIRECT(ADDRESS(1599,24))-INDIRECT(ADDRESS(1594,25))+INDIRECT(ADDRESS(1595,25))-INDIRECT(ADDRESS(1598,25)),INDIRECT(ADDRESS(1599,24))-INDIRECT(ADDRESS(1594,25))+INDIRECT(ADDRESS(1597,25))-INDIRECT(ADDRESS(1598,25)))</f>
        <v>0</v>
      </c>
      <c r="Z1599">
        <f>IF(DAY(NOW())&lt;M3,INDIRECT(ADDRESS(1599,25))-INDIRECT(ADDRESS(1594,26))+INDIRECT(ADDRESS(1595,26))-INDIRECT(ADDRESS(1598,26)),INDIRECT(ADDRESS(1599,25))-INDIRECT(ADDRESS(1594,26))+INDIRECT(ADDRESS(1597,26))-INDIRECT(ADDRESS(1598,26)))</f>
        <v>0</v>
      </c>
      <c r="AA1599">
        <f>IF(DAY(NOW())&lt;M3,INDIRECT(ADDRESS(1599,26))-INDIRECT(ADDRESS(1594,27))+INDIRECT(ADDRESS(1595,27))-INDIRECT(ADDRESS(1598,27)),INDIRECT(ADDRESS(1599,26))-INDIRECT(ADDRESS(1594,27))+INDIRECT(ADDRESS(1597,27))-INDIRECT(ADDRESS(1598,27)))</f>
        <v>0</v>
      </c>
      <c r="AB1599">
        <f>IF(DAY(NOW())&lt;M3,INDIRECT(ADDRESS(1599,27))-INDIRECT(ADDRESS(1594,28))+INDIRECT(ADDRESS(1595,28))-INDIRECT(ADDRESS(1598,28)),INDIRECT(ADDRESS(1599,27))-INDIRECT(ADDRESS(1594,28))+INDIRECT(ADDRESS(1597,28))-INDIRECT(ADDRESS(1598,28)))</f>
        <v>0</v>
      </c>
      <c r="AC1599">
        <f>IF(DAY(NOW())&lt;M3,INDIRECT(ADDRESS(1599,28))-INDIRECT(ADDRESS(1594,29))+INDIRECT(ADDRESS(1595,29))-INDIRECT(ADDRESS(1598,29)),INDIRECT(ADDRESS(1599,28))-INDIRECT(ADDRESS(1594,29))+INDIRECT(ADDRESS(1597,29))-INDIRECT(ADDRESS(1598,29)))</f>
        <v>0</v>
      </c>
      <c r="AD1599">
        <f>IF(DAY(NOW())&lt;M3,INDIRECT(ADDRESS(1599,29))-INDIRECT(ADDRESS(1594,30))+INDIRECT(ADDRESS(1595,30))-INDIRECT(ADDRESS(1598,30)),INDIRECT(ADDRESS(1599,29))-INDIRECT(ADDRESS(1594,30))+INDIRECT(ADDRESS(1597,30))-INDIRECT(ADDRESS(1598,30)))</f>
        <v>0</v>
      </c>
      <c r="AE1599">
        <f>IF(DAY(NOW())&lt;M3,INDIRECT(ADDRESS(1599,30))-INDIRECT(ADDRESS(1594,31))+INDIRECT(ADDRESS(1595,31))-INDIRECT(ADDRESS(1598,31)),INDIRECT(ADDRESS(1599,30))-INDIRECT(ADDRESS(1594,31))+INDIRECT(ADDRESS(1597,31))-INDIRECT(ADDRESS(1598,31)))</f>
        <v>0</v>
      </c>
      <c r="AF1599">
        <f>IF(DAY(NOW())&lt;M3,INDIRECT(ADDRESS(1599,31))-INDIRECT(ADDRESS(1594,32))+INDIRECT(ADDRESS(1595,32))-INDIRECT(ADDRESS(1598,32)),INDIRECT(ADDRESS(1599,31))-INDIRECT(ADDRESS(1594,32))+INDIRECT(ADDRESS(1597,32))-INDIRECT(ADDRESS(1598,32)))</f>
        <v>0</v>
      </c>
      <c r="AG1599">
        <f>IF(DAY(NOW())&lt;M3,INDIRECT(ADDRESS(1599,32))-INDIRECT(ADDRESS(1594,33))+INDIRECT(ADDRESS(1595,33))-INDIRECT(ADDRESS(1598,33)),INDIRECT(ADDRESS(1599,32))-INDIRECT(ADDRESS(1594,33))+INDIRECT(ADDRESS(1597,33))-INDIRECT(ADDRESS(1598,33)))</f>
        <v>0</v>
      </c>
      <c r="AH1599">
        <f>IF(DAY(NOW())&lt;M3,INDIRECT(ADDRESS(1599,33))-INDIRECT(ADDRESS(1594,34))+INDIRECT(ADDRESS(1595,34))-INDIRECT(ADDRESS(1598,34)),INDIRECT(ADDRESS(1599,33))-INDIRECT(ADDRESS(1594,34))+INDIRECT(ADDRESS(1597,34))-INDIRECT(ADDRESS(1598,34)))</f>
        <v>0</v>
      </c>
      <c r="AI1599">
        <f>IF(DAY(NOW())&lt;M3,INDIRECT(ADDRESS(1599,34))-INDIRECT(ADDRESS(1594,35))+INDIRECT(ADDRESS(1595,35))-INDIRECT(ADDRESS(1598,35)),INDIRECT(ADDRESS(1599,34))-INDIRECT(ADDRESS(1594,35))+INDIRECT(ADDRESS(1597,35))-INDIRECT(ADDRESS(1598,35)))</f>
        <v>0</v>
      </c>
      <c r="AJ1599">
        <f>IF(DAY(NOW())&lt;M3,INDIRECT(ADDRESS(1599,35))-INDIRECT(ADDRESS(1594,36))+INDIRECT(ADDRESS(1595,36))-INDIRECT(ADDRESS(1598,36)),INDIRECT(ADDRESS(1599,35))-INDIRECT(ADDRESS(1594,36))+INDIRECT(ADDRESS(1597,36))-INDIRECT(ADDRESS(1598,36)))</f>
        <v>0</v>
      </c>
      <c r="AK1599">
        <f>IF(DAY(NOW())&lt;M3,INDIRECT(ADDRESS(1599,36))-INDIRECT(ADDRESS(1594,37))+INDIRECT(ADDRESS(1595,37))-INDIRECT(ADDRESS(1598,37)),INDIRECT(ADDRESS(1599,36))-INDIRECT(ADDRESS(1594,37))+INDIRECT(ADDRESS(1597,37))-INDIRECT(ADDRESS(1598,37)))</f>
        <v>0</v>
      </c>
      <c r="AL1599">
        <f>IF(DAY(NOW())&lt;M3,INDIRECT(ADDRESS(1599,37))-INDIRECT(ADDRESS(1594,38))+INDIRECT(ADDRESS(1595,38))-INDIRECT(ADDRESS(1598,38)),INDIRECT(ADDRESS(1599,37))-INDIRECT(ADDRESS(1594,38))+INDIRECT(ADDRESS(1597,38))-INDIRECT(ADDRESS(1598,38)))</f>
        <v>0</v>
      </c>
      <c r="AM1599">
        <f>IF(DAY(NOW())&lt;M3,INDIRECT(ADDRESS(1599,38))-INDIRECT(ADDRESS(1594,39))+INDIRECT(ADDRESS(1595,39))-INDIRECT(ADDRESS(1598,39)),INDIRECT(ADDRESS(1599,38))-INDIRECT(ADDRESS(1594,39))+INDIRECT(ADDRESS(1597,39))-INDIRECT(ADDRESS(1598,39)))</f>
        <v>0</v>
      </c>
      <c r="AN1599">
        <f>IF(DAY(NOW())&lt;M3,INDIRECT(ADDRESS(1599,39))-INDIRECT(ADDRESS(1594,40))+INDIRECT(ADDRESS(1595,40))-INDIRECT(ADDRESS(1598,40)),INDIRECT(ADDRESS(1599,39))-INDIRECT(ADDRESS(1594,40))+INDIRECT(ADDRESS(1597,40))-INDIRECT(ADDRESS(1598,40)))</f>
        <v>0</v>
      </c>
      <c r="AO1599">
        <f>IF(DAY(NOW())&lt;M3,INDIRECT(ADDRESS(1599,40))-INDIRECT(ADDRESS(1594,41))+INDIRECT(ADDRESS(1595,41))-INDIRECT(ADDRESS(1598,41)),INDIRECT(ADDRESS(1599,40))-INDIRECT(ADDRESS(1594,41))+INDIRECT(ADDRESS(1597,41))-INDIRECT(ADDRESS(1598,41)))</f>
        <v>0</v>
      </c>
      <c r="AP1599">
        <f>IF(DAY(NOW())&lt;M3,INDIRECT(ADDRESS(1599,41))-INDIRECT(ADDRESS(1594,42))+INDIRECT(ADDRESS(1595,42))-INDIRECT(ADDRESS(1598,42)),INDIRECT(ADDRESS(1599,41))-INDIRECT(ADDRESS(1594,42))+INDIRECT(ADDRESS(1597,42))-INDIRECT(ADDRESS(1598,42)))</f>
        <v>0</v>
      </c>
      <c r="AQ1599">
        <f>IF(DAY(NOW())&lt;M3,INDIRECT(ADDRESS(1599,42))-INDIRECT(ADDRESS(1594,43))+INDIRECT(ADDRESS(1595,43))-INDIRECT(ADDRESS(1598,43)),INDIRECT(ADDRESS(1599,42))-INDIRECT(ADDRESS(1594,43))+INDIRECT(ADDRESS(1597,43))-INDIRECT(ADDRESS(1598,43)))</f>
        <v>0</v>
      </c>
      <c r="AR1599">
        <f>IF(DAY(NOW())&lt;M3,INDIRECT(ADDRESS(1599,43))-INDIRECT(ADDRESS(1594,44))+INDIRECT(ADDRESS(1595,44))-INDIRECT(ADDRESS(1598,44)),INDIRECT(ADDRESS(1599,43))-INDIRECT(ADDRESS(1594,44))+INDIRECT(ADDRESS(1597,44))-INDIRECT(ADDRESS(1598,44)))</f>
        <v>0</v>
      </c>
    </row>
    <row r="1600" spans="1:76">
      <c r="A1600" t="s">
        <v>31</v>
      </c>
      <c r="B1600" t="s">
        <v>623</v>
      </c>
      <c r="C1600" t="s">
        <v>624</v>
      </c>
      <c r="E1600">
        <v>1</v>
      </c>
      <c r="F1600" t="s">
        <v>565</v>
      </c>
      <c r="K1600" t="s">
        <v>590</v>
      </c>
      <c r="L1600" t="s">
        <v>21</v>
      </c>
      <c r="M1600">
        <f>sumifs(BOM!m:m,BOM!A:A,".1",BOM!B:B,"272-064000-000")</f>
        <v>0</v>
      </c>
      <c r="N1600">
        <f>sumifs(BOM!n:n,BOM!A:A,".1",BOM!B:B,"272-064000-000")</f>
        <v>0</v>
      </c>
      <c r="O1600">
        <f>sumifs(BOM!o:o,BOM!A:A,".1",BOM!B:B,"272-064000-000")</f>
        <v>0</v>
      </c>
      <c r="P1600">
        <f>sumifs(BOM!p:p,BOM!A:A,".1",BOM!B:B,"272-064000-000")</f>
        <v>0</v>
      </c>
      <c r="Q1600">
        <f>sumifs(BOM!q:q,BOM!A:A,".1",BOM!B:B,"272-064000-000")</f>
        <v>0</v>
      </c>
      <c r="R1600">
        <f>sumifs(BOM!r:r,BOM!A:A,".1",BOM!B:B,"272-064000-000")</f>
        <v>0</v>
      </c>
      <c r="S1600">
        <f>sumifs(BOM!s:s,BOM!A:A,".1",BOM!B:B,"272-064000-000")</f>
        <v>0</v>
      </c>
      <c r="T1600">
        <f>sumifs(BOM!t:t,BOM!A:A,".1",BOM!B:B,"272-064000-000")</f>
        <v>0</v>
      </c>
      <c r="U1600">
        <f>sumifs(BOM!u:u,BOM!A:A,".1",BOM!B:B,"272-064000-000")</f>
        <v>0</v>
      </c>
      <c r="V1600">
        <f>sumifs(BOM!v:v,BOM!A:A,".1",BOM!B:B,"272-064000-000")</f>
        <v>0</v>
      </c>
      <c r="W1600">
        <f>sumifs(BOM!w:w,BOM!A:A,".1",BOM!B:B,"272-064000-000")</f>
        <v>0</v>
      </c>
      <c r="X1600">
        <f>sumifs(BOM!x:x,BOM!A:A,".1",BOM!B:B,"272-064000-000")</f>
        <v>0</v>
      </c>
      <c r="Y1600">
        <f>sumifs(BOM!y:y,BOM!A:A,".1",BOM!B:B,"272-064000-000")</f>
        <v>0</v>
      </c>
      <c r="Z1600">
        <f>sumifs(BOM!z:z,BOM!A:A,".1",BOM!B:B,"272-064000-000")</f>
        <v>0</v>
      </c>
      <c r="AA1600">
        <f>sumifs(BOM!aa:aa,BOM!A:A,".1",BOM!B:B,"272-064000-000")</f>
        <v>0</v>
      </c>
      <c r="AB1600">
        <f>sumifs(BOM!ab:ab,BOM!A:A,".1",BOM!B:B,"272-064000-000")</f>
        <v>0</v>
      </c>
      <c r="AC1600">
        <f>sumifs(BOM!ac:ac,BOM!A:A,".1",BOM!B:B,"272-064000-000")</f>
        <v>0</v>
      </c>
      <c r="AD1600">
        <f>sumifs(BOM!ad:ad,BOM!A:A,".1",BOM!B:B,"272-064000-000")</f>
        <v>0</v>
      </c>
      <c r="AE1600">
        <f>sumifs(BOM!ae:ae,BOM!A:A,".1",BOM!B:B,"272-064000-000")</f>
        <v>0</v>
      </c>
      <c r="AF1600">
        <f>sumifs(BOM!af:af,BOM!A:A,".1",BOM!B:B,"272-064000-000")</f>
        <v>0</v>
      </c>
      <c r="AG1600">
        <f>sumifs(BOM!ag:ag,BOM!A:A,".1",BOM!B:B,"272-064000-000")</f>
        <v>0</v>
      </c>
      <c r="AH1600">
        <f>sumifs(BOM!ah:ah,BOM!A:A,".1",BOM!B:B,"272-064000-000")</f>
        <v>0</v>
      </c>
      <c r="AI1600">
        <f>sumifs(BOM!ai:ai,BOM!A:A,".1",BOM!B:B,"272-064000-000")</f>
        <v>0</v>
      </c>
      <c r="AJ1600">
        <f>sumifs(BOM!aj:aj,BOM!A:A,".1",BOM!B:B,"272-064000-000")</f>
        <v>0</v>
      </c>
      <c r="AK1600">
        <f>sumifs(BOM!ak:ak,BOM!A:A,".1",BOM!B:B,"272-064000-000")</f>
        <v>0</v>
      </c>
      <c r="AL1600">
        <f>sumifs(BOM!al:al,BOM!A:A,".1",BOM!B:B,"272-064000-000")</f>
        <v>0</v>
      </c>
      <c r="AM1600">
        <f>sumifs(BOM!am:am,BOM!A:A,".1",BOM!B:B,"272-064000-000")</f>
        <v>0</v>
      </c>
      <c r="AN1600">
        <f>sumifs(BOM!an:an,BOM!A:A,".1",BOM!B:B,"272-064000-000")</f>
        <v>0</v>
      </c>
      <c r="AO1600">
        <f>sumifs(BOM!ao:ao,BOM!A:A,".1",BOM!B:B,"272-064000-000")</f>
        <v>0</v>
      </c>
      <c r="AP1600">
        <f>sumifs(BOM!ap:ap,BOM!A:A,".1",BOM!B:B,"272-064000-000")</f>
        <v>0</v>
      </c>
      <c r="AQ1600">
        <f>sumifs(BOM!aq:aq,BOM!A:A,".1",BOM!B:B,"272-064000-000")</f>
        <v>0</v>
      </c>
      <c r="AR1600">
        <f>sumifs(BOM!ar:ar,BOM!A:A,".1",BOM!B:B,"272-064000-000")</f>
        <v>0</v>
      </c>
      <c r="BX1600">
        <f>sum(j1600:an1600)</f>
        <v>0</v>
      </c>
    </row>
    <row r="1601" spans="1:76">
      <c r="A1601" t="s">
        <v>31</v>
      </c>
      <c r="B1601" t="s">
        <v>623</v>
      </c>
      <c r="C1601" t="s">
        <v>624</v>
      </c>
      <c r="E1601">
        <v>1</v>
      </c>
      <c r="F1601" t="s">
        <v>565</v>
      </c>
      <c r="K1601" t="s">
        <v>590</v>
      </c>
      <c r="L1601" t="s">
        <v>37</v>
      </c>
    </row>
    <row r="1602" spans="1:76">
      <c r="L1602" t="s">
        <v>662</v>
      </c>
    </row>
    <row r="1603" spans="1:76">
      <c r="L1603" t="s">
        <v>663</v>
      </c>
    </row>
    <row r="1604" spans="1:76">
      <c r="L1604" t="s">
        <v>664</v>
      </c>
    </row>
    <row r="1605" spans="1:76">
      <c r="L1605" t="s">
        <v>665</v>
      </c>
      <c r="M1605">
        <f>IF(DAY(NOW())&lt;M3,INDIRECT(ADDRESS(1605,7))-INDIRECT(ADDRESS(1600,13))+INDIRECT(ADDRESS(1601,13))-INDIRECT(ADDRESS(1604,13)),INDIRECT(ADDRESS(1605,7))-INDIRECT(ADDRESS(1600,13))+INDIRECT(ADDRESS(1603,13))-INDIRECT(ADDRESS(1604,13)))</f>
        <v>0</v>
      </c>
      <c r="N1605">
        <f>IF(DAY(NOW())&lt;M3,INDIRECT(ADDRESS(1605,13))-INDIRECT(ADDRESS(1600,14))+INDIRECT(ADDRESS(1601,14))-INDIRECT(ADDRESS(1604,14)),INDIRECT(ADDRESS(1605,13))-INDIRECT(ADDRESS(1600,14))+INDIRECT(ADDRESS(1603,14))-INDIRECT(ADDRESS(1604,14)))</f>
        <v>0</v>
      </c>
      <c r="O1605">
        <f>IF(DAY(NOW())&lt;M3,INDIRECT(ADDRESS(1605,14))-INDIRECT(ADDRESS(1600,15))+INDIRECT(ADDRESS(1601,15))-INDIRECT(ADDRESS(1604,15)),INDIRECT(ADDRESS(1605,14))-INDIRECT(ADDRESS(1600,15))+INDIRECT(ADDRESS(1603,15))-INDIRECT(ADDRESS(1604,15)))</f>
        <v>0</v>
      </c>
      <c r="P1605">
        <f>IF(DAY(NOW())&lt;M3,INDIRECT(ADDRESS(1605,15))-INDIRECT(ADDRESS(1600,16))+INDIRECT(ADDRESS(1601,16))-INDIRECT(ADDRESS(1604,16)),INDIRECT(ADDRESS(1605,15))-INDIRECT(ADDRESS(1600,16))+INDIRECT(ADDRESS(1603,16))-INDIRECT(ADDRESS(1604,16)))</f>
        <v>0</v>
      </c>
      <c r="Q1605">
        <f>IF(DAY(NOW())&lt;M3,INDIRECT(ADDRESS(1605,16))-INDIRECT(ADDRESS(1600,17))+INDIRECT(ADDRESS(1601,17))-INDIRECT(ADDRESS(1604,17)),INDIRECT(ADDRESS(1605,16))-INDIRECT(ADDRESS(1600,17))+INDIRECT(ADDRESS(1603,17))-INDIRECT(ADDRESS(1604,17)))</f>
        <v>0</v>
      </c>
      <c r="R1605">
        <f>IF(DAY(NOW())&lt;M3,INDIRECT(ADDRESS(1605,17))-INDIRECT(ADDRESS(1600,18))+INDIRECT(ADDRESS(1601,18))-INDIRECT(ADDRESS(1604,18)),INDIRECT(ADDRESS(1605,17))-INDIRECT(ADDRESS(1600,18))+INDIRECT(ADDRESS(1603,18))-INDIRECT(ADDRESS(1604,18)))</f>
        <v>0</v>
      </c>
      <c r="S1605">
        <f>IF(DAY(NOW())&lt;M3,INDIRECT(ADDRESS(1605,18))-INDIRECT(ADDRESS(1600,19))+INDIRECT(ADDRESS(1601,19))-INDIRECT(ADDRESS(1604,19)),INDIRECT(ADDRESS(1605,18))-INDIRECT(ADDRESS(1600,19))+INDIRECT(ADDRESS(1603,19))-INDIRECT(ADDRESS(1604,19)))</f>
        <v>0</v>
      </c>
      <c r="T1605">
        <f>IF(DAY(NOW())&lt;M3,INDIRECT(ADDRESS(1605,19))-INDIRECT(ADDRESS(1600,20))+INDIRECT(ADDRESS(1601,20))-INDIRECT(ADDRESS(1604,20)),INDIRECT(ADDRESS(1605,19))-INDIRECT(ADDRESS(1600,20))+INDIRECT(ADDRESS(1603,20))-INDIRECT(ADDRESS(1604,20)))</f>
        <v>0</v>
      </c>
      <c r="U1605">
        <f>IF(DAY(NOW())&lt;M3,INDIRECT(ADDRESS(1605,20))-INDIRECT(ADDRESS(1600,21))+INDIRECT(ADDRESS(1601,21))-INDIRECT(ADDRESS(1604,21)),INDIRECT(ADDRESS(1605,20))-INDIRECT(ADDRESS(1600,21))+INDIRECT(ADDRESS(1603,21))-INDIRECT(ADDRESS(1604,21)))</f>
        <v>0</v>
      </c>
      <c r="V1605">
        <f>IF(DAY(NOW())&lt;M3,INDIRECT(ADDRESS(1605,21))-INDIRECT(ADDRESS(1600,22))+INDIRECT(ADDRESS(1601,22))-INDIRECT(ADDRESS(1604,22)),INDIRECT(ADDRESS(1605,21))-INDIRECT(ADDRESS(1600,22))+INDIRECT(ADDRESS(1603,22))-INDIRECT(ADDRESS(1604,22)))</f>
        <v>0</v>
      </c>
      <c r="W1605">
        <f>IF(DAY(NOW())&lt;M3,INDIRECT(ADDRESS(1605,22))-INDIRECT(ADDRESS(1600,23))+INDIRECT(ADDRESS(1601,23))-INDIRECT(ADDRESS(1604,23)),INDIRECT(ADDRESS(1605,22))-INDIRECT(ADDRESS(1600,23))+INDIRECT(ADDRESS(1603,23))-INDIRECT(ADDRESS(1604,23)))</f>
        <v>0</v>
      </c>
      <c r="X1605">
        <f>IF(DAY(NOW())&lt;M3,INDIRECT(ADDRESS(1605,23))-INDIRECT(ADDRESS(1600,24))+INDIRECT(ADDRESS(1601,24))-INDIRECT(ADDRESS(1604,24)),INDIRECT(ADDRESS(1605,23))-INDIRECT(ADDRESS(1600,24))+INDIRECT(ADDRESS(1603,24))-INDIRECT(ADDRESS(1604,24)))</f>
        <v>0</v>
      </c>
      <c r="Y1605">
        <f>IF(DAY(NOW())&lt;M3,INDIRECT(ADDRESS(1605,24))-INDIRECT(ADDRESS(1600,25))+INDIRECT(ADDRESS(1601,25))-INDIRECT(ADDRESS(1604,25)),INDIRECT(ADDRESS(1605,24))-INDIRECT(ADDRESS(1600,25))+INDIRECT(ADDRESS(1603,25))-INDIRECT(ADDRESS(1604,25)))</f>
        <v>0</v>
      </c>
      <c r="Z1605">
        <f>IF(DAY(NOW())&lt;M3,INDIRECT(ADDRESS(1605,25))-INDIRECT(ADDRESS(1600,26))+INDIRECT(ADDRESS(1601,26))-INDIRECT(ADDRESS(1604,26)),INDIRECT(ADDRESS(1605,25))-INDIRECT(ADDRESS(1600,26))+INDIRECT(ADDRESS(1603,26))-INDIRECT(ADDRESS(1604,26)))</f>
        <v>0</v>
      </c>
      <c r="AA1605">
        <f>IF(DAY(NOW())&lt;M3,INDIRECT(ADDRESS(1605,26))-INDIRECT(ADDRESS(1600,27))+INDIRECT(ADDRESS(1601,27))-INDIRECT(ADDRESS(1604,27)),INDIRECT(ADDRESS(1605,26))-INDIRECT(ADDRESS(1600,27))+INDIRECT(ADDRESS(1603,27))-INDIRECT(ADDRESS(1604,27)))</f>
        <v>0</v>
      </c>
      <c r="AB1605">
        <f>IF(DAY(NOW())&lt;M3,INDIRECT(ADDRESS(1605,27))-INDIRECT(ADDRESS(1600,28))+INDIRECT(ADDRESS(1601,28))-INDIRECT(ADDRESS(1604,28)),INDIRECT(ADDRESS(1605,27))-INDIRECT(ADDRESS(1600,28))+INDIRECT(ADDRESS(1603,28))-INDIRECT(ADDRESS(1604,28)))</f>
        <v>0</v>
      </c>
      <c r="AC1605">
        <f>IF(DAY(NOW())&lt;M3,INDIRECT(ADDRESS(1605,28))-INDIRECT(ADDRESS(1600,29))+INDIRECT(ADDRESS(1601,29))-INDIRECT(ADDRESS(1604,29)),INDIRECT(ADDRESS(1605,28))-INDIRECT(ADDRESS(1600,29))+INDIRECT(ADDRESS(1603,29))-INDIRECT(ADDRESS(1604,29)))</f>
        <v>0</v>
      </c>
      <c r="AD1605">
        <f>IF(DAY(NOW())&lt;M3,INDIRECT(ADDRESS(1605,29))-INDIRECT(ADDRESS(1600,30))+INDIRECT(ADDRESS(1601,30))-INDIRECT(ADDRESS(1604,30)),INDIRECT(ADDRESS(1605,29))-INDIRECT(ADDRESS(1600,30))+INDIRECT(ADDRESS(1603,30))-INDIRECT(ADDRESS(1604,30)))</f>
        <v>0</v>
      </c>
      <c r="AE1605">
        <f>IF(DAY(NOW())&lt;M3,INDIRECT(ADDRESS(1605,30))-INDIRECT(ADDRESS(1600,31))+INDIRECT(ADDRESS(1601,31))-INDIRECT(ADDRESS(1604,31)),INDIRECT(ADDRESS(1605,30))-INDIRECT(ADDRESS(1600,31))+INDIRECT(ADDRESS(1603,31))-INDIRECT(ADDRESS(1604,31)))</f>
        <v>0</v>
      </c>
      <c r="AF1605">
        <f>IF(DAY(NOW())&lt;M3,INDIRECT(ADDRESS(1605,31))-INDIRECT(ADDRESS(1600,32))+INDIRECT(ADDRESS(1601,32))-INDIRECT(ADDRESS(1604,32)),INDIRECT(ADDRESS(1605,31))-INDIRECT(ADDRESS(1600,32))+INDIRECT(ADDRESS(1603,32))-INDIRECT(ADDRESS(1604,32)))</f>
        <v>0</v>
      </c>
      <c r="AG1605">
        <f>IF(DAY(NOW())&lt;M3,INDIRECT(ADDRESS(1605,32))-INDIRECT(ADDRESS(1600,33))+INDIRECT(ADDRESS(1601,33))-INDIRECT(ADDRESS(1604,33)),INDIRECT(ADDRESS(1605,32))-INDIRECT(ADDRESS(1600,33))+INDIRECT(ADDRESS(1603,33))-INDIRECT(ADDRESS(1604,33)))</f>
        <v>0</v>
      </c>
      <c r="AH1605">
        <f>IF(DAY(NOW())&lt;M3,INDIRECT(ADDRESS(1605,33))-INDIRECT(ADDRESS(1600,34))+INDIRECT(ADDRESS(1601,34))-INDIRECT(ADDRESS(1604,34)),INDIRECT(ADDRESS(1605,33))-INDIRECT(ADDRESS(1600,34))+INDIRECT(ADDRESS(1603,34))-INDIRECT(ADDRESS(1604,34)))</f>
        <v>0</v>
      </c>
      <c r="AI1605">
        <f>IF(DAY(NOW())&lt;M3,INDIRECT(ADDRESS(1605,34))-INDIRECT(ADDRESS(1600,35))+INDIRECT(ADDRESS(1601,35))-INDIRECT(ADDRESS(1604,35)),INDIRECT(ADDRESS(1605,34))-INDIRECT(ADDRESS(1600,35))+INDIRECT(ADDRESS(1603,35))-INDIRECT(ADDRESS(1604,35)))</f>
        <v>0</v>
      </c>
      <c r="AJ1605">
        <f>IF(DAY(NOW())&lt;M3,INDIRECT(ADDRESS(1605,35))-INDIRECT(ADDRESS(1600,36))+INDIRECT(ADDRESS(1601,36))-INDIRECT(ADDRESS(1604,36)),INDIRECT(ADDRESS(1605,35))-INDIRECT(ADDRESS(1600,36))+INDIRECT(ADDRESS(1603,36))-INDIRECT(ADDRESS(1604,36)))</f>
        <v>0</v>
      </c>
      <c r="AK1605">
        <f>IF(DAY(NOW())&lt;M3,INDIRECT(ADDRESS(1605,36))-INDIRECT(ADDRESS(1600,37))+INDIRECT(ADDRESS(1601,37))-INDIRECT(ADDRESS(1604,37)),INDIRECT(ADDRESS(1605,36))-INDIRECT(ADDRESS(1600,37))+INDIRECT(ADDRESS(1603,37))-INDIRECT(ADDRESS(1604,37)))</f>
        <v>0</v>
      </c>
      <c r="AL1605">
        <f>IF(DAY(NOW())&lt;M3,INDIRECT(ADDRESS(1605,37))-INDIRECT(ADDRESS(1600,38))+INDIRECT(ADDRESS(1601,38))-INDIRECT(ADDRESS(1604,38)),INDIRECT(ADDRESS(1605,37))-INDIRECT(ADDRESS(1600,38))+INDIRECT(ADDRESS(1603,38))-INDIRECT(ADDRESS(1604,38)))</f>
        <v>0</v>
      </c>
      <c r="AM1605">
        <f>IF(DAY(NOW())&lt;M3,INDIRECT(ADDRESS(1605,38))-INDIRECT(ADDRESS(1600,39))+INDIRECT(ADDRESS(1601,39))-INDIRECT(ADDRESS(1604,39)),INDIRECT(ADDRESS(1605,38))-INDIRECT(ADDRESS(1600,39))+INDIRECT(ADDRESS(1603,39))-INDIRECT(ADDRESS(1604,39)))</f>
        <v>0</v>
      </c>
      <c r="AN1605">
        <f>IF(DAY(NOW())&lt;M3,INDIRECT(ADDRESS(1605,39))-INDIRECT(ADDRESS(1600,40))+INDIRECT(ADDRESS(1601,40))-INDIRECT(ADDRESS(1604,40)),INDIRECT(ADDRESS(1605,39))-INDIRECT(ADDRESS(1600,40))+INDIRECT(ADDRESS(1603,40))-INDIRECT(ADDRESS(1604,40)))</f>
        <v>0</v>
      </c>
      <c r="AO1605">
        <f>IF(DAY(NOW())&lt;M3,INDIRECT(ADDRESS(1605,40))-INDIRECT(ADDRESS(1600,41))+INDIRECT(ADDRESS(1601,41))-INDIRECT(ADDRESS(1604,41)),INDIRECT(ADDRESS(1605,40))-INDIRECT(ADDRESS(1600,41))+INDIRECT(ADDRESS(1603,41))-INDIRECT(ADDRESS(1604,41)))</f>
        <v>0</v>
      </c>
      <c r="AP1605">
        <f>IF(DAY(NOW())&lt;M3,INDIRECT(ADDRESS(1605,41))-INDIRECT(ADDRESS(1600,42))+INDIRECT(ADDRESS(1601,42))-INDIRECT(ADDRESS(1604,42)),INDIRECT(ADDRESS(1605,41))-INDIRECT(ADDRESS(1600,42))+INDIRECT(ADDRESS(1603,42))-INDIRECT(ADDRESS(1604,42)))</f>
        <v>0</v>
      </c>
      <c r="AQ1605">
        <f>IF(DAY(NOW())&lt;M3,INDIRECT(ADDRESS(1605,42))-INDIRECT(ADDRESS(1600,43))+INDIRECT(ADDRESS(1601,43))-INDIRECT(ADDRESS(1604,43)),INDIRECT(ADDRESS(1605,42))-INDIRECT(ADDRESS(1600,43))+INDIRECT(ADDRESS(1603,43))-INDIRECT(ADDRESS(1604,43)))</f>
        <v>0</v>
      </c>
      <c r="AR1605">
        <f>IF(DAY(NOW())&lt;M3,INDIRECT(ADDRESS(1605,43))-INDIRECT(ADDRESS(1600,44))+INDIRECT(ADDRESS(1601,44))-INDIRECT(ADDRESS(1604,44)),INDIRECT(ADDRESS(1605,43))-INDIRECT(ADDRESS(1600,44))+INDIRECT(ADDRESS(1603,44))-INDIRECT(ADDRESS(1604,44)))</f>
        <v>0</v>
      </c>
    </row>
    <row r="1606" spans="1:76">
      <c r="A1606" t="s">
        <v>14</v>
      </c>
      <c r="B1606" t="s">
        <v>562</v>
      </c>
      <c r="C1606" t="s">
        <v>563</v>
      </c>
      <c r="D1606" t="s">
        <v>564</v>
      </c>
      <c r="E1606" t="s">
        <v>444</v>
      </c>
      <c r="F1606" t="s">
        <v>568</v>
      </c>
      <c r="K1606" t="s">
        <v>590</v>
      </c>
      <c r="L1606" t="s">
        <v>21</v>
      </c>
      <c r="BX1606">
        <f>sum(j1606:an1606)</f>
        <v>0</v>
      </c>
    </row>
    <row r="1607" spans="1:76">
      <c r="A1607" t="s">
        <v>14</v>
      </c>
      <c r="B1607" t="s">
        <v>562</v>
      </c>
      <c r="C1607" t="s">
        <v>563</v>
      </c>
      <c r="D1607" t="s">
        <v>564</v>
      </c>
      <c r="E1607" t="s">
        <v>444</v>
      </c>
      <c r="F1607" t="s">
        <v>568</v>
      </c>
      <c r="K1607" t="s">
        <v>590</v>
      </c>
      <c r="L1607" t="s">
        <v>37</v>
      </c>
    </row>
    <row r="1608" spans="1:76">
      <c r="L1608" t="s">
        <v>662</v>
      </c>
    </row>
    <row r="1609" spans="1:76">
      <c r="L1609" t="s">
        <v>663</v>
      </c>
    </row>
    <row r="1610" spans="1:76">
      <c r="L1610" t="s">
        <v>664</v>
      </c>
    </row>
    <row r="1611" spans="1:76">
      <c r="L1611" t="s">
        <v>665</v>
      </c>
      <c r="M1611">
        <f>IF(DAY(NOW())&lt;M3,INDIRECT(ADDRESS(1611,7))-INDIRECT(ADDRESS(1606,13))+INDIRECT(ADDRESS(1607,13))-INDIRECT(ADDRESS(1610,13)),INDIRECT(ADDRESS(1611,7))-INDIRECT(ADDRESS(1606,13))+INDIRECT(ADDRESS(1609,13))-INDIRECT(ADDRESS(1610,13)))</f>
        <v>0</v>
      </c>
      <c r="N1611">
        <f>IF(DAY(NOW())&lt;M3,INDIRECT(ADDRESS(1611,13))-INDIRECT(ADDRESS(1606,14))+INDIRECT(ADDRESS(1607,14))-INDIRECT(ADDRESS(1610,14)),INDIRECT(ADDRESS(1611,13))-INDIRECT(ADDRESS(1606,14))+INDIRECT(ADDRESS(1609,14))-INDIRECT(ADDRESS(1610,14)))</f>
        <v>0</v>
      </c>
      <c r="O1611">
        <f>IF(DAY(NOW())&lt;M3,INDIRECT(ADDRESS(1611,14))-INDIRECT(ADDRESS(1606,15))+INDIRECT(ADDRESS(1607,15))-INDIRECT(ADDRESS(1610,15)),INDIRECT(ADDRESS(1611,14))-INDIRECT(ADDRESS(1606,15))+INDIRECT(ADDRESS(1609,15))-INDIRECT(ADDRESS(1610,15)))</f>
        <v>0</v>
      </c>
      <c r="P1611">
        <f>IF(DAY(NOW())&lt;M3,INDIRECT(ADDRESS(1611,15))-INDIRECT(ADDRESS(1606,16))+INDIRECT(ADDRESS(1607,16))-INDIRECT(ADDRESS(1610,16)),INDIRECT(ADDRESS(1611,15))-INDIRECT(ADDRESS(1606,16))+INDIRECT(ADDRESS(1609,16))-INDIRECT(ADDRESS(1610,16)))</f>
        <v>0</v>
      </c>
      <c r="Q1611">
        <f>IF(DAY(NOW())&lt;M3,INDIRECT(ADDRESS(1611,16))-INDIRECT(ADDRESS(1606,17))+INDIRECT(ADDRESS(1607,17))-INDIRECT(ADDRESS(1610,17)),INDIRECT(ADDRESS(1611,16))-INDIRECT(ADDRESS(1606,17))+INDIRECT(ADDRESS(1609,17))-INDIRECT(ADDRESS(1610,17)))</f>
        <v>0</v>
      </c>
      <c r="R1611">
        <f>IF(DAY(NOW())&lt;M3,INDIRECT(ADDRESS(1611,17))-INDIRECT(ADDRESS(1606,18))+INDIRECT(ADDRESS(1607,18))-INDIRECT(ADDRESS(1610,18)),INDIRECT(ADDRESS(1611,17))-INDIRECT(ADDRESS(1606,18))+INDIRECT(ADDRESS(1609,18))-INDIRECT(ADDRESS(1610,18)))</f>
        <v>0</v>
      </c>
      <c r="S1611">
        <f>IF(DAY(NOW())&lt;M3,INDIRECT(ADDRESS(1611,18))-INDIRECT(ADDRESS(1606,19))+INDIRECT(ADDRESS(1607,19))-INDIRECT(ADDRESS(1610,19)),INDIRECT(ADDRESS(1611,18))-INDIRECT(ADDRESS(1606,19))+INDIRECT(ADDRESS(1609,19))-INDIRECT(ADDRESS(1610,19)))</f>
        <v>0</v>
      </c>
      <c r="T1611">
        <f>IF(DAY(NOW())&lt;M3,INDIRECT(ADDRESS(1611,19))-INDIRECT(ADDRESS(1606,20))+INDIRECT(ADDRESS(1607,20))-INDIRECT(ADDRESS(1610,20)),INDIRECT(ADDRESS(1611,19))-INDIRECT(ADDRESS(1606,20))+INDIRECT(ADDRESS(1609,20))-INDIRECT(ADDRESS(1610,20)))</f>
        <v>0</v>
      </c>
      <c r="U1611">
        <f>IF(DAY(NOW())&lt;M3,INDIRECT(ADDRESS(1611,20))-INDIRECT(ADDRESS(1606,21))+INDIRECT(ADDRESS(1607,21))-INDIRECT(ADDRESS(1610,21)),INDIRECT(ADDRESS(1611,20))-INDIRECT(ADDRESS(1606,21))+INDIRECT(ADDRESS(1609,21))-INDIRECT(ADDRESS(1610,21)))</f>
        <v>0</v>
      </c>
      <c r="V1611">
        <f>IF(DAY(NOW())&lt;M3,INDIRECT(ADDRESS(1611,21))-INDIRECT(ADDRESS(1606,22))+INDIRECT(ADDRESS(1607,22))-INDIRECT(ADDRESS(1610,22)),INDIRECT(ADDRESS(1611,21))-INDIRECT(ADDRESS(1606,22))+INDIRECT(ADDRESS(1609,22))-INDIRECT(ADDRESS(1610,22)))</f>
        <v>0</v>
      </c>
      <c r="W1611">
        <f>IF(DAY(NOW())&lt;M3,INDIRECT(ADDRESS(1611,22))-INDIRECT(ADDRESS(1606,23))+INDIRECT(ADDRESS(1607,23))-INDIRECT(ADDRESS(1610,23)),INDIRECT(ADDRESS(1611,22))-INDIRECT(ADDRESS(1606,23))+INDIRECT(ADDRESS(1609,23))-INDIRECT(ADDRESS(1610,23)))</f>
        <v>0</v>
      </c>
      <c r="X1611">
        <f>IF(DAY(NOW())&lt;M3,INDIRECT(ADDRESS(1611,23))-INDIRECT(ADDRESS(1606,24))+INDIRECT(ADDRESS(1607,24))-INDIRECT(ADDRESS(1610,24)),INDIRECT(ADDRESS(1611,23))-INDIRECT(ADDRESS(1606,24))+INDIRECT(ADDRESS(1609,24))-INDIRECT(ADDRESS(1610,24)))</f>
        <v>0</v>
      </c>
      <c r="Y1611">
        <f>IF(DAY(NOW())&lt;M3,INDIRECT(ADDRESS(1611,24))-INDIRECT(ADDRESS(1606,25))+INDIRECT(ADDRESS(1607,25))-INDIRECT(ADDRESS(1610,25)),INDIRECT(ADDRESS(1611,24))-INDIRECT(ADDRESS(1606,25))+INDIRECT(ADDRESS(1609,25))-INDIRECT(ADDRESS(1610,25)))</f>
        <v>0</v>
      </c>
      <c r="Z1611">
        <f>IF(DAY(NOW())&lt;M3,INDIRECT(ADDRESS(1611,25))-INDIRECT(ADDRESS(1606,26))+INDIRECT(ADDRESS(1607,26))-INDIRECT(ADDRESS(1610,26)),INDIRECT(ADDRESS(1611,25))-INDIRECT(ADDRESS(1606,26))+INDIRECT(ADDRESS(1609,26))-INDIRECT(ADDRESS(1610,26)))</f>
        <v>0</v>
      </c>
      <c r="AA1611">
        <f>IF(DAY(NOW())&lt;M3,INDIRECT(ADDRESS(1611,26))-INDIRECT(ADDRESS(1606,27))+INDIRECT(ADDRESS(1607,27))-INDIRECT(ADDRESS(1610,27)),INDIRECT(ADDRESS(1611,26))-INDIRECT(ADDRESS(1606,27))+INDIRECT(ADDRESS(1609,27))-INDIRECT(ADDRESS(1610,27)))</f>
        <v>0</v>
      </c>
      <c r="AB1611">
        <f>IF(DAY(NOW())&lt;M3,INDIRECT(ADDRESS(1611,27))-INDIRECT(ADDRESS(1606,28))+INDIRECT(ADDRESS(1607,28))-INDIRECT(ADDRESS(1610,28)),INDIRECT(ADDRESS(1611,27))-INDIRECT(ADDRESS(1606,28))+INDIRECT(ADDRESS(1609,28))-INDIRECT(ADDRESS(1610,28)))</f>
        <v>0</v>
      </c>
      <c r="AC1611">
        <f>IF(DAY(NOW())&lt;M3,INDIRECT(ADDRESS(1611,28))-INDIRECT(ADDRESS(1606,29))+INDIRECT(ADDRESS(1607,29))-INDIRECT(ADDRESS(1610,29)),INDIRECT(ADDRESS(1611,28))-INDIRECT(ADDRESS(1606,29))+INDIRECT(ADDRESS(1609,29))-INDIRECT(ADDRESS(1610,29)))</f>
        <v>0</v>
      </c>
      <c r="AD1611">
        <f>IF(DAY(NOW())&lt;M3,INDIRECT(ADDRESS(1611,29))-INDIRECT(ADDRESS(1606,30))+INDIRECT(ADDRESS(1607,30))-INDIRECT(ADDRESS(1610,30)),INDIRECT(ADDRESS(1611,29))-INDIRECT(ADDRESS(1606,30))+INDIRECT(ADDRESS(1609,30))-INDIRECT(ADDRESS(1610,30)))</f>
        <v>0</v>
      </c>
      <c r="AE1611">
        <f>IF(DAY(NOW())&lt;M3,INDIRECT(ADDRESS(1611,30))-INDIRECT(ADDRESS(1606,31))+INDIRECT(ADDRESS(1607,31))-INDIRECT(ADDRESS(1610,31)),INDIRECT(ADDRESS(1611,30))-INDIRECT(ADDRESS(1606,31))+INDIRECT(ADDRESS(1609,31))-INDIRECT(ADDRESS(1610,31)))</f>
        <v>0</v>
      </c>
      <c r="AF1611">
        <f>IF(DAY(NOW())&lt;M3,INDIRECT(ADDRESS(1611,31))-INDIRECT(ADDRESS(1606,32))+INDIRECT(ADDRESS(1607,32))-INDIRECT(ADDRESS(1610,32)),INDIRECT(ADDRESS(1611,31))-INDIRECT(ADDRESS(1606,32))+INDIRECT(ADDRESS(1609,32))-INDIRECT(ADDRESS(1610,32)))</f>
        <v>0</v>
      </c>
      <c r="AG1611">
        <f>IF(DAY(NOW())&lt;M3,INDIRECT(ADDRESS(1611,32))-INDIRECT(ADDRESS(1606,33))+INDIRECT(ADDRESS(1607,33))-INDIRECT(ADDRESS(1610,33)),INDIRECT(ADDRESS(1611,32))-INDIRECT(ADDRESS(1606,33))+INDIRECT(ADDRESS(1609,33))-INDIRECT(ADDRESS(1610,33)))</f>
        <v>0</v>
      </c>
      <c r="AH1611">
        <f>IF(DAY(NOW())&lt;M3,INDIRECT(ADDRESS(1611,33))-INDIRECT(ADDRESS(1606,34))+INDIRECT(ADDRESS(1607,34))-INDIRECT(ADDRESS(1610,34)),INDIRECT(ADDRESS(1611,33))-INDIRECT(ADDRESS(1606,34))+INDIRECT(ADDRESS(1609,34))-INDIRECT(ADDRESS(1610,34)))</f>
        <v>0</v>
      </c>
      <c r="AI1611">
        <f>IF(DAY(NOW())&lt;M3,INDIRECT(ADDRESS(1611,34))-INDIRECT(ADDRESS(1606,35))+INDIRECT(ADDRESS(1607,35))-INDIRECT(ADDRESS(1610,35)),INDIRECT(ADDRESS(1611,34))-INDIRECT(ADDRESS(1606,35))+INDIRECT(ADDRESS(1609,35))-INDIRECT(ADDRESS(1610,35)))</f>
        <v>0</v>
      </c>
      <c r="AJ1611">
        <f>IF(DAY(NOW())&lt;M3,INDIRECT(ADDRESS(1611,35))-INDIRECT(ADDRESS(1606,36))+INDIRECT(ADDRESS(1607,36))-INDIRECT(ADDRESS(1610,36)),INDIRECT(ADDRESS(1611,35))-INDIRECT(ADDRESS(1606,36))+INDIRECT(ADDRESS(1609,36))-INDIRECT(ADDRESS(1610,36)))</f>
        <v>0</v>
      </c>
      <c r="AK1611">
        <f>IF(DAY(NOW())&lt;M3,INDIRECT(ADDRESS(1611,36))-INDIRECT(ADDRESS(1606,37))+INDIRECT(ADDRESS(1607,37))-INDIRECT(ADDRESS(1610,37)),INDIRECT(ADDRESS(1611,36))-INDIRECT(ADDRESS(1606,37))+INDIRECT(ADDRESS(1609,37))-INDIRECT(ADDRESS(1610,37)))</f>
        <v>0</v>
      </c>
      <c r="AL1611">
        <f>IF(DAY(NOW())&lt;M3,INDIRECT(ADDRESS(1611,37))-INDIRECT(ADDRESS(1606,38))+INDIRECT(ADDRESS(1607,38))-INDIRECT(ADDRESS(1610,38)),INDIRECT(ADDRESS(1611,37))-INDIRECT(ADDRESS(1606,38))+INDIRECT(ADDRESS(1609,38))-INDIRECT(ADDRESS(1610,38)))</f>
        <v>0</v>
      </c>
      <c r="AM1611">
        <f>IF(DAY(NOW())&lt;M3,INDIRECT(ADDRESS(1611,38))-INDIRECT(ADDRESS(1606,39))+INDIRECT(ADDRESS(1607,39))-INDIRECT(ADDRESS(1610,39)),INDIRECT(ADDRESS(1611,38))-INDIRECT(ADDRESS(1606,39))+INDIRECT(ADDRESS(1609,39))-INDIRECT(ADDRESS(1610,39)))</f>
        <v>0</v>
      </c>
      <c r="AN1611">
        <f>IF(DAY(NOW())&lt;M3,INDIRECT(ADDRESS(1611,39))-INDIRECT(ADDRESS(1606,40))+INDIRECT(ADDRESS(1607,40))-INDIRECT(ADDRESS(1610,40)),INDIRECT(ADDRESS(1611,39))-INDIRECT(ADDRESS(1606,40))+INDIRECT(ADDRESS(1609,40))-INDIRECT(ADDRESS(1610,40)))</f>
        <v>0</v>
      </c>
      <c r="AO1611">
        <f>IF(DAY(NOW())&lt;M3,INDIRECT(ADDRESS(1611,40))-INDIRECT(ADDRESS(1606,41))+INDIRECT(ADDRESS(1607,41))-INDIRECT(ADDRESS(1610,41)),INDIRECT(ADDRESS(1611,40))-INDIRECT(ADDRESS(1606,41))+INDIRECT(ADDRESS(1609,41))-INDIRECT(ADDRESS(1610,41)))</f>
        <v>0</v>
      </c>
      <c r="AP1611">
        <f>IF(DAY(NOW())&lt;M3,INDIRECT(ADDRESS(1611,41))-INDIRECT(ADDRESS(1606,42))+INDIRECT(ADDRESS(1607,42))-INDIRECT(ADDRESS(1610,42)),INDIRECT(ADDRESS(1611,41))-INDIRECT(ADDRESS(1606,42))+INDIRECT(ADDRESS(1609,42))-INDIRECT(ADDRESS(1610,42)))</f>
        <v>0</v>
      </c>
      <c r="AQ1611">
        <f>IF(DAY(NOW())&lt;M3,INDIRECT(ADDRESS(1611,42))-INDIRECT(ADDRESS(1606,43))+INDIRECT(ADDRESS(1607,43))-INDIRECT(ADDRESS(1610,43)),INDIRECT(ADDRESS(1611,42))-INDIRECT(ADDRESS(1606,43))+INDIRECT(ADDRESS(1609,43))-INDIRECT(ADDRESS(1610,43)))</f>
        <v>0</v>
      </c>
      <c r="AR1611">
        <f>IF(DAY(NOW())&lt;M3,INDIRECT(ADDRESS(1611,43))-INDIRECT(ADDRESS(1606,44))+INDIRECT(ADDRESS(1607,44))-INDIRECT(ADDRESS(1610,44)),INDIRECT(ADDRESS(1611,43))-INDIRECT(ADDRESS(1606,44))+INDIRECT(ADDRESS(1609,44))-INDIRECT(ADDRESS(1610,44)))</f>
        <v>0</v>
      </c>
    </row>
    <row r="1612" spans="1:76">
      <c r="A1612" t="s">
        <v>14</v>
      </c>
      <c r="B1612" t="s">
        <v>566</v>
      </c>
      <c r="C1612" t="s">
        <v>567</v>
      </c>
      <c r="E1612" t="s">
        <v>444</v>
      </c>
      <c r="F1612" t="s">
        <v>571</v>
      </c>
      <c r="K1612" t="s">
        <v>590</v>
      </c>
      <c r="L1612" t="s">
        <v>21</v>
      </c>
      <c r="BX1612">
        <f>sum(j1612:an1612)</f>
        <v>0</v>
      </c>
    </row>
    <row r="1613" spans="1:76">
      <c r="A1613" t="s">
        <v>14</v>
      </c>
      <c r="B1613" t="s">
        <v>566</v>
      </c>
      <c r="C1613" t="s">
        <v>567</v>
      </c>
      <c r="E1613" t="s">
        <v>444</v>
      </c>
      <c r="F1613" t="s">
        <v>571</v>
      </c>
      <c r="K1613" t="s">
        <v>590</v>
      </c>
      <c r="L1613" t="s">
        <v>37</v>
      </c>
    </row>
    <row r="1614" spans="1:76">
      <c r="L1614" t="s">
        <v>662</v>
      </c>
    </row>
    <row r="1615" spans="1:76">
      <c r="L1615" t="s">
        <v>663</v>
      </c>
    </row>
    <row r="1616" spans="1:76">
      <c r="L1616" t="s">
        <v>664</v>
      </c>
    </row>
    <row r="1617" spans="1:76">
      <c r="L1617" t="s">
        <v>665</v>
      </c>
      <c r="M1617">
        <f>IF(DAY(NOW())&lt;M3,INDIRECT(ADDRESS(1617,7))-INDIRECT(ADDRESS(1612,13))+INDIRECT(ADDRESS(1613,13))-INDIRECT(ADDRESS(1616,13)),INDIRECT(ADDRESS(1617,7))-INDIRECT(ADDRESS(1612,13))+INDIRECT(ADDRESS(1615,13))-INDIRECT(ADDRESS(1616,13)))</f>
        <v>0</v>
      </c>
      <c r="N1617">
        <f>IF(DAY(NOW())&lt;M3,INDIRECT(ADDRESS(1617,13))-INDIRECT(ADDRESS(1612,14))+INDIRECT(ADDRESS(1613,14))-INDIRECT(ADDRESS(1616,14)),INDIRECT(ADDRESS(1617,13))-INDIRECT(ADDRESS(1612,14))+INDIRECT(ADDRESS(1615,14))-INDIRECT(ADDRESS(1616,14)))</f>
        <v>0</v>
      </c>
      <c r="O1617">
        <f>IF(DAY(NOW())&lt;M3,INDIRECT(ADDRESS(1617,14))-INDIRECT(ADDRESS(1612,15))+INDIRECT(ADDRESS(1613,15))-INDIRECT(ADDRESS(1616,15)),INDIRECT(ADDRESS(1617,14))-INDIRECT(ADDRESS(1612,15))+INDIRECT(ADDRESS(1615,15))-INDIRECT(ADDRESS(1616,15)))</f>
        <v>0</v>
      </c>
      <c r="P1617">
        <f>IF(DAY(NOW())&lt;M3,INDIRECT(ADDRESS(1617,15))-INDIRECT(ADDRESS(1612,16))+INDIRECT(ADDRESS(1613,16))-INDIRECT(ADDRESS(1616,16)),INDIRECT(ADDRESS(1617,15))-INDIRECT(ADDRESS(1612,16))+INDIRECT(ADDRESS(1615,16))-INDIRECT(ADDRESS(1616,16)))</f>
        <v>0</v>
      </c>
      <c r="Q1617">
        <f>IF(DAY(NOW())&lt;M3,INDIRECT(ADDRESS(1617,16))-INDIRECT(ADDRESS(1612,17))+INDIRECT(ADDRESS(1613,17))-INDIRECT(ADDRESS(1616,17)),INDIRECT(ADDRESS(1617,16))-INDIRECT(ADDRESS(1612,17))+INDIRECT(ADDRESS(1615,17))-INDIRECT(ADDRESS(1616,17)))</f>
        <v>0</v>
      </c>
      <c r="R1617">
        <f>IF(DAY(NOW())&lt;M3,INDIRECT(ADDRESS(1617,17))-INDIRECT(ADDRESS(1612,18))+INDIRECT(ADDRESS(1613,18))-INDIRECT(ADDRESS(1616,18)),INDIRECT(ADDRESS(1617,17))-INDIRECT(ADDRESS(1612,18))+INDIRECT(ADDRESS(1615,18))-INDIRECT(ADDRESS(1616,18)))</f>
        <v>0</v>
      </c>
      <c r="S1617">
        <f>IF(DAY(NOW())&lt;M3,INDIRECT(ADDRESS(1617,18))-INDIRECT(ADDRESS(1612,19))+INDIRECT(ADDRESS(1613,19))-INDIRECT(ADDRESS(1616,19)),INDIRECT(ADDRESS(1617,18))-INDIRECT(ADDRESS(1612,19))+INDIRECT(ADDRESS(1615,19))-INDIRECT(ADDRESS(1616,19)))</f>
        <v>0</v>
      </c>
      <c r="T1617">
        <f>IF(DAY(NOW())&lt;M3,INDIRECT(ADDRESS(1617,19))-INDIRECT(ADDRESS(1612,20))+INDIRECT(ADDRESS(1613,20))-INDIRECT(ADDRESS(1616,20)),INDIRECT(ADDRESS(1617,19))-INDIRECT(ADDRESS(1612,20))+INDIRECT(ADDRESS(1615,20))-INDIRECT(ADDRESS(1616,20)))</f>
        <v>0</v>
      </c>
      <c r="U1617">
        <f>IF(DAY(NOW())&lt;M3,INDIRECT(ADDRESS(1617,20))-INDIRECT(ADDRESS(1612,21))+INDIRECT(ADDRESS(1613,21))-INDIRECT(ADDRESS(1616,21)),INDIRECT(ADDRESS(1617,20))-INDIRECT(ADDRESS(1612,21))+INDIRECT(ADDRESS(1615,21))-INDIRECT(ADDRESS(1616,21)))</f>
        <v>0</v>
      </c>
      <c r="V1617">
        <f>IF(DAY(NOW())&lt;M3,INDIRECT(ADDRESS(1617,21))-INDIRECT(ADDRESS(1612,22))+INDIRECT(ADDRESS(1613,22))-INDIRECT(ADDRESS(1616,22)),INDIRECT(ADDRESS(1617,21))-INDIRECT(ADDRESS(1612,22))+INDIRECT(ADDRESS(1615,22))-INDIRECT(ADDRESS(1616,22)))</f>
        <v>0</v>
      </c>
      <c r="W1617">
        <f>IF(DAY(NOW())&lt;M3,INDIRECT(ADDRESS(1617,22))-INDIRECT(ADDRESS(1612,23))+INDIRECT(ADDRESS(1613,23))-INDIRECT(ADDRESS(1616,23)),INDIRECT(ADDRESS(1617,22))-INDIRECT(ADDRESS(1612,23))+INDIRECT(ADDRESS(1615,23))-INDIRECT(ADDRESS(1616,23)))</f>
        <v>0</v>
      </c>
      <c r="X1617">
        <f>IF(DAY(NOW())&lt;M3,INDIRECT(ADDRESS(1617,23))-INDIRECT(ADDRESS(1612,24))+INDIRECT(ADDRESS(1613,24))-INDIRECT(ADDRESS(1616,24)),INDIRECT(ADDRESS(1617,23))-INDIRECT(ADDRESS(1612,24))+INDIRECT(ADDRESS(1615,24))-INDIRECT(ADDRESS(1616,24)))</f>
        <v>0</v>
      </c>
      <c r="Y1617">
        <f>IF(DAY(NOW())&lt;M3,INDIRECT(ADDRESS(1617,24))-INDIRECT(ADDRESS(1612,25))+INDIRECT(ADDRESS(1613,25))-INDIRECT(ADDRESS(1616,25)),INDIRECT(ADDRESS(1617,24))-INDIRECT(ADDRESS(1612,25))+INDIRECT(ADDRESS(1615,25))-INDIRECT(ADDRESS(1616,25)))</f>
        <v>0</v>
      </c>
      <c r="Z1617">
        <f>IF(DAY(NOW())&lt;M3,INDIRECT(ADDRESS(1617,25))-INDIRECT(ADDRESS(1612,26))+INDIRECT(ADDRESS(1613,26))-INDIRECT(ADDRESS(1616,26)),INDIRECT(ADDRESS(1617,25))-INDIRECT(ADDRESS(1612,26))+INDIRECT(ADDRESS(1615,26))-INDIRECT(ADDRESS(1616,26)))</f>
        <v>0</v>
      </c>
      <c r="AA1617">
        <f>IF(DAY(NOW())&lt;M3,INDIRECT(ADDRESS(1617,26))-INDIRECT(ADDRESS(1612,27))+INDIRECT(ADDRESS(1613,27))-INDIRECT(ADDRESS(1616,27)),INDIRECT(ADDRESS(1617,26))-INDIRECT(ADDRESS(1612,27))+INDIRECT(ADDRESS(1615,27))-INDIRECT(ADDRESS(1616,27)))</f>
        <v>0</v>
      </c>
      <c r="AB1617">
        <f>IF(DAY(NOW())&lt;M3,INDIRECT(ADDRESS(1617,27))-INDIRECT(ADDRESS(1612,28))+INDIRECT(ADDRESS(1613,28))-INDIRECT(ADDRESS(1616,28)),INDIRECT(ADDRESS(1617,27))-INDIRECT(ADDRESS(1612,28))+INDIRECT(ADDRESS(1615,28))-INDIRECT(ADDRESS(1616,28)))</f>
        <v>0</v>
      </c>
      <c r="AC1617">
        <f>IF(DAY(NOW())&lt;M3,INDIRECT(ADDRESS(1617,28))-INDIRECT(ADDRESS(1612,29))+INDIRECT(ADDRESS(1613,29))-INDIRECT(ADDRESS(1616,29)),INDIRECT(ADDRESS(1617,28))-INDIRECT(ADDRESS(1612,29))+INDIRECT(ADDRESS(1615,29))-INDIRECT(ADDRESS(1616,29)))</f>
        <v>0</v>
      </c>
      <c r="AD1617">
        <f>IF(DAY(NOW())&lt;M3,INDIRECT(ADDRESS(1617,29))-INDIRECT(ADDRESS(1612,30))+INDIRECT(ADDRESS(1613,30))-INDIRECT(ADDRESS(1616,30)),INDIRECT(ADDRESS(1617,29))-INDIRECT(ADDRESS(1612,30))+INDIRECT(ADDRESS(1615,30))-INDIRECT(ADDRESS(1616,30)))</f>
        <v>0</v>
      </c>
      <c r="AE1617">
        <f>IF(DAY(NOW())&lt;M3,INDIRECT(ADDRESS(1617,30))-INDIRECT(ADDRESS(1612,31))+INDIRECT(ADDRESS(1613,31))-INDIRECT(ADDRESS(1616,31)),INDIRECT(ADDRESS(1617,30))-INDIRECT(ADDRESS(1612,31))+INDIRECT(ADDRESS(1615,31))-INDIRECT(ADDRESS(1616,31)))</f>
        <v>0</v>
      </c>
      <c r="AF1617">
        <f>IF(DAY(NOW())&lt;M3,INDIRECT(ADDRESS(1617,31))-INDIRECT(ADDRESS(1612,32))+INDIRECT(ADDRESS(1613,32))-INDIRECT(ADDRESS(1616,32)),INDIRECT(ADDRESS(1617,31))-INDIRECT(ADDRESS(1612,32))+INDIRECT(ADDRESS(1615,32))-INDIRECT(ADDRESS(1616,32)))</f>
        <v>0</v>
      </c>
      <c r="AG1617">
        <f>IF(DAY(NOW())&lt;M3,INDIRECT(ADDRESS(1617,32))-INDIRECT(ADDRESS(1612,33))+INDIRECT(ADDRESS(1613,33))-INDIRECT(ADDRESS(1616,33)),INDIRECT(ADDRESS(1617,32))-INDIRECT(ADDRESS(1612,33))+INDIRECT(ADDRESS(1615,33))-INDIRECT(ADDRESS(1616,33)))</f>
        <v>0</v>
      </c>
      <c r="AH1617">
        <f>IF(DAY(NOW())&lt;M3,INDIRECT(ADDRESS(1617,33))-INDIRECT(ADDRESS(1612,34))+INDIRECT(ADDRESS(1613,34))-INDIRECT(ADDRESS(1616,34)),INDIRECT(ADDRESS(1617,33))-INDIRECT(ADDRESS(1612,34))+INDIRECT(ADDRESS(1615,34))-INDIRECT(ADDRESS(1616,34)))</f>
        <v>0</v>
      </c>
      <c r="AI1617">
        <f>IF(DAY(NOW())&lt;M3,INDIRECT(ADDRESS(1617,34))-INDIRECT(ADDRESS(1612,35))+INDIRECT(ADDRESS(1613,35))-INDIRECT(ADDRESS(1616,35)),INDIRECT(ADDRESS(1617,34))-INDIRECT(ADDRESS(1612,35))+INDIRECT(ADDRESS(1615,35))-INDIRECT(ADDRESS(1616,35)))</f>
        <v>0</v>
      </c>
      <c r="AJ1617">
        <f>IF(DAY(NOW())&lt;M3,INDIRECT(ADDRESS(1617,35))-INDIRECT(ADDRESS(1612,36))+INDIRECT(ADDRESS(1613,36))-INDIRECT(ADDRESS(1616,36)),INDIRECT(ADDRESS(1617,35))-INDIRECT(ADDRESS(1612,36))+INDIRECT(ADDRESS(1615,36))-INDIRECT(ADDRESS(1616,36)))</f>
        <v>0</v>
      </c>
      <c r="AK1617">
        <f>IF(DAY(NOW())&lt;M3,INDIRECT(ADDRESS(1617,36))-INDIRECT(ADDRESS(1612,37))+INDIRECT(ADDRESS(1613,37))-INDIRECT(ADDRESS(1616,37)),INDIRECT(ADDRESS(1617,36))-INDIRECT(ADDRESS(1612,37))+INDIRECT(ADDRESS(1615,37))-INDIRECT(ADDRESS(1616,37)))</f>
        <v>0</v>
      </c>
      <c r="AL1617">
        <f>IF(DAY(NOW())&lt;M3,INDIRECT(ADDRESS(1617,37))-INDIRECT(ADDRESS(1612,38))+INDIRECT(ADDRESS(1613,38))-INDIRECT(ADDRESS(1616,38)),INDIRECT(ADDRESS(1617,37))-INDIRECT(ADDRESS(1612,38))+INDIRECT(ADDRESS(1615,38))-INDIRECT(ADDRESS(1616,38)))</f>
        <v>0</v>
      </c>
      <c r="AM1617">
        <f>IF(DAY(NOW())&lt;M3,INDIRECT(ADDRESS(1617,38))-INDIRECT(ADDRESS(1612,39))+INDIRECT(ADDRESS(1613,39))-INDIRECT(ADDRESS(1616,39)),INDIRECT(ADDRESS(1617,38))-INDIRECT(ADDRESS(1612,39))+INDIRECT(ADDRESS(1615,39))-INDIRECT(ADDRESS(1616,39)))</f>
        <v>0</v>
      </c>
      <c r="AN1617">
        <f>IF(DAY(NOW())&lt;M3,INDIRECT(ADDRESS(1617,39))-INDIRECT(ADDRESS(1612,40))+INDIRECT(ADDRESS(1613,40))-INDIRECT(ADDRESS(1616,40)),INDIRECT(ADDRESS(1617,39))-INDIRECT(ADDRESS(1612,40))+INDIRECT(ADDRESS(1615,40))-INDIRECT(ADDRESS(1616,40)))</f>
        <v>0</v>
      </c>
      <c r="AO1617">
        <f>IF(DAY(NOW())&lt;M3,INDIRECT(ADDRESS(1617,40))-INDIRECT(ADDRESS(1612,41))+INDIRECT(ADDRESS(1613,41))-INDIRECT(ADDRESS(1616,41)),INDIRECT(ADDRESS(1617,40))-INDIRECT(ADDRESS(1612,41))+INDIRECT(ADDRESS(1615,41))-INDIRECT(ADDRESS(1616,41)))</f>
        <v>0</v>
      </c>
      <c r="AP1617">
        <f>IF(DAY(NOW())&lt;M3,INDIRECT(ADDRESS(1617,41))-INDIRECT(ADDRESS(1612,42))+INDIRECT(ADDRESS(1613,42))-INDIRECT(ADDRESS(1616,42)),INDIRECT(ADDRESS(1617,41))-INDIRECT(ADDRESS(1612,42))+INDIRECT(ADDRESS(1615,42))-INDIRECT(ADDRESS(1616,42)))</f>
        <v>0</v>
      </c>
      <c r="AQ1617">
        <f>IF(DAY(NOW())&lt;M3,INDIRECT(ADDRESS(1617,42))-INDIRECT(ADDRESS(1612,43))+INDIRECT(ADDRESS(1613,43))-INDIRECT(ADDRESS(1616,43)),INDIRECT(ADDRESS(1617,42))-INDIRECT(ADDRESS(1612,43))+INDIRECT(ADDRESS(1615,43))-INDIRECT(ADDRESS(1616,43)))</f>
        <v>0</v>
      </c>
      <c r="AR1617">
        <f>IF(DAY(NOW())&lt;M3,INDIRECT(ADDRESS(1617,43))-INDIRECT(ADDRESS(1612,44))+INDIRECT(ADDRESS(1613,44))-INDIRECT(ADDRESS(1616,44)),INDIRECT(ADDRESS(1617,43))-INDIRECT(ADDRESS(1612,44))+INDIRECT(ADDRESS(1615,44))-INDIRECT(ADDRESS(1616,44)))</f>
        <v>0</v>
      </c>
    </row>
    <row r="1618" spans="1:76">
      <c r="A1618" t="s">
        <v>14</v>
      </c>
      <c r="B1618" t="s">
        <v>569</v>
      </c>
      <c r="C1618" t="s">
        <v>570</v>
      </c>
      <c r="D1618" t="s">
        <v>480</v>
      </c>
      <c r="E1618" t="s">
        <v>444</v>
      </c>
      <c r="F1618" t="s">
        <v>574</v>
      </c>
      <c r="K1618" t="s">
        <v>590</v>
      </c>
      <c r="L1618" t="s">
        <v>21</v>
      </c>
      <c r="BX1618">
        <f>sum(j1618:an1618)</f>
        <v>0</v>
      </c>
    </row>
    <row r="1619" spans="1:76">
      <c r="A1619" t="s">
        <v>14</v>
      </c>
      <c r="B1619" t="s">
        <v>569</v>
      </c>
      <c r="C1619" t="s">
        <v>570</v>
      </c>
      <c r="D1619" t="s">
        <v>480</v>
      </c>
      <c r="E1619" t="s">
        <v>444</v>
      </c>
      <c r="F1619" t="s">
        <v>574</v>
      </c>
      <c r="K1619" t="s">
        <v>590</v>
      </c>
      <c r="L1619" t="s">
        <v>37</v>
      </c>
    </row>
    <row r="1620" spans="1:76">
      <c r="L1620" t="s">
        <v>662</v>
      </c>
    </row>
    <row r="1621" spans="1:76">
      <c r="L1621" t="s">
        <v>663</v>
      </c>
    </row>
    <row r="1622" spans="1:76">
      <c r="L1622" t="s">
        <v>664</v>
      </c>
    </row>
    <row r="1623" spans="1:76">
      <c r="L1623" t="s">
        <v>665</v>
      </c>
      <c r="M1623">
        <f>IF(DAY(NOW())&lt;M3,INDIRECT(ADDRESS(1623,7))-INDIRECT(ADDRESS(1618,13))+INDIRECT(ADDRESS(1619,13))-INDIRECT(ADDRESS(1622,13)),INDIRECT(ADDRESS(1623,7))-INDIRECT(ADDRESS(1618,13))+INDIRECT(ADDRESS(1621,13))-INDIRECT(ADDRESS(1622,13)))</f>
        <v>0</v>
      </c>
      <c r="N1623">
        <f>IF(DAY(NOW())&lt;M3,INDIRECT(ADDRESS(1623,13))-INDIRECT(ADDRESS(1618,14))+INDIRECT(ADDRESS(1619,14))-INDIRECT(ADDRESS(1622,14)),INDIRECT(ADDRESS(1623,13))-INDIRECT(ADDRESS(1618,14))+INDIRECT(ADDRESS(1621,14))-INDIRECT(ADDRESS(1622,14)))</f>
        <v>0</v>
      </c>
      <c r="O1623">
        <f>IF(DAY(NOW())&lt;M3,INDIRECT(ADDRESS(1623,14))-INDIRECT(ADDRESS(1618,15))+INDIRECT(ADDRESS(1619,15))-INDIRECT(ADDRESS(1622,15)),INDIRECT(ADDRESS(1623,14))-INDIRECT(ADDRESS(1618,15))+INDIRECT(ADDRESS(1621,15))-INDIRECT(ADDRESS(1622,15)))</f>
        <v>0</v>
      </c>
      <c r="P1623">
        <f>IF(DAY(NOW())&lt;M3,INDIRECT(ADDRESS(1623,15))-INDIRECT(ADDRESS(1618,16))+INDIRECT(ADDRESS(1619,16))-INDIRECT(ADDRESS(1622,16)),INDIRECT(ADDRESS(1623,15))-INDIRECT(ADDRESS(1618,16))+INDIRECT(ADDRESS(1621,16))-INDIRECT(ADDRESS(1622,16)))</f>
        <v>0</v>
      </c>
      <c r="Q1623">
        <f>IF(DAY(NOW())&lt;M3,INDIRECT(ADDRESS(1623,16))-INDIRECT(ADDRESS(1618,17))+INDIRECT(ADDRESS(1619,17))-INDIRECT(ADDRESS(1622,17)),INDIRECT(ADDRESS(1623,16))-INDIRECT(ADDRESS(1618,17))+INDIRECT(ADDRESS(1621,17))-INDIRECT(ADDRESS(1622,17)))</f>
        <v>0</v>
      </c>
      <c r="R1623">
        <f>IF(DAY(NOW())&lt;M3,INDIRECT(ADDRESS(1623,17))-INDIRECT(ADDRESS(1618,18))+INDIRECT(ADDRESS(1619,18))-INDIRECT(ADDRESS(1622,18)),INDIRECT(ADDRESS(1623,17))-INDIRECT(ADDRESS(1618,18))+INDIRECT(ADDRESS(1621,18))-INDIRECT(ADDRESS(1622,18)))</f>
        <v>0</v>
      </c>
      <c r="S1623">
        <f>IF(DAY(NOW())&lt;M3,INDIRECT(ADDRESS(1623,18))-INDIRECT(ADDRESS(1618,19))+INDIRECT(ADDRESS(1619,19))-INDIRECT(ADDRESS(1622,19)),INDIRECT(ADDRESS(1623,18))-INDIRECT(ADDRESS(1618,19))+INDIRECT(ADDRESS(1621,19))-INDIRECT(ADDRESS(1622,19)))</f>
        <v>0</v>
      </c>
      <c r="T1623">
        <f>IF(DAY(NOW())&lt;M3,INDIRECT(ADDRESS(1623,19))-INDIRECT(ADDRESS(1618,20))+INDIRECT(ADDRESS(1619,20))-INDIRECT(ADDRESS(1622,20)),INDIRECT(ADDRESS(1623,19))-INDIRECT(ADDRESS(1618,20))+INDIRECT(ADDRESS(1621,20))-INDIRECT(ADDRESS(1622,20)))</f>
        <v>0</v>
      </c>
      <c r="U1623">
        <f>IF(DAY(NOW())&lt;M3,INDIRECT(ADDRESS(1623,20))-INDIRECT(ADDRESS(1618,21))+INDIRECT(ADDRESS(1619,21))-INDIRECT(ADDRESS(1622,21)),INDIRECT(ADDRESS(1623,20))-INDIRECT(ADDRESS(1618,21))+INDIRECT(ADDRESS(1621,21))-INDIRECT(ADDRESS(1622,21)))</f>
        <v>0</v>
      </c>
      <c r="V1623">
        <f>IF(DAY(NOW())&lt;M3,INDIRECT(ADDRESS(1623,21))-INDIRECT(ADDRESS(1618,22))+INDIRECT(ADDRESS(1619,22))-INDIRECT(ADDRESS(1622,22)),INDIRECT(ADDRESS(1623,21))-INDIRECT(ADDRESS(1618,22))+INDIRECT(ADDRESS(1621,22))-INDIRECT(ADDRESS(1622,22)))</f>
        <v>0</v>
      </c>
      <c r="W1623">
        <f>IF(DAY(NOW())&lt;M3,INDIRECT(ADDRESS(1623,22))-INDIRECT(ADDRESS(1618,23))+INDIRECT(ADDRESS(1619,23))-INDIRECT(ADDRESS(1622,23)),INDIRECT(ADDRESS(1623,22))-INDIRECT(ADDRESS(1618,23))+INDIRECT(ADDRESS(1621,23))-INDIRECT(ADDRESS(1622,23)))</f>
        <v>0</v>
      </c>
      <c r="X1623">
        <f>IF(DAY(NOW())&lt;M3,INDIRECT(ADDRESS(1623,23))-INDIRECT(ADDRESS(1618,24))+INDIRECT(ADDRESS(1619,24))-INDIRECT(ADDRESS(1622,24)),INDIRECT(ADDRESS(1623,23))-INDIRECT(ADDRESS(1618,24))+INDIRECT(ADDRESS(1621,24))-INDIRECT(ADDRESS(1622,24)))</f>
        <v>0</v>
      </c>
      <c r="Y1623">
        <f>IF(DAY(NOW())&lt;M3,INDIRECT(ADDRESS(1623,24))-INDIRECT(ADDRESS(1618,25))+INDIRECT(ADDRESS(1619,25))-INDIRECT(ADDRESS(1622,25)),INDIRECT(ADDRESS(1623,24))-INDIRECT(ADDRESS(1618,25))+INDIRECT(ADDRESS(1621,25))-INDIRECT(ADDRESS(1622,25)))</f>
        <v>0</v>
      </c>
      <c r="Z1623">
        <f>IF(DAY(NOW())&lt;M3,INDIRECT(ADDRESS(1623,25))-INDIRECT(ADDRESS(1618,26))+INDIRECT(ADDRESS(1619,26))-INDIRECT(ADDRESS(1622,26)),INDIRECT(ADDRESS(1623,25))-INDIRECT(ADDRESS(1618,26))+INDIRECT(ADDRESS(1621,26))-INDIRECT(ADDRESS(1622,26)))</f>
        <v>0</v>
      </c>
      <c r="AA1623">
        <f>IF(DAY(NOW())&lt;M3,INDIRECT(ADDRESS(1623,26))-INDIRECT(ADDRESS(1618,27))+INDIRECT(ADDRESS(1619,27))-INDIRECT(ADDRESS(1622,27)),INDIRECT(ADDRESS(1623,26))-INDIRECT(ADDRESS(1618,27))+INDIRECT(ADDRESS(1621,27))-INDIRECT(ADDRESS(1622,27)))</f>
        <v>0</v>
      </c>
      <c r="AB1623">
        <f>IF(DAY(NOW())&lt;M3,INDIRECT(ADDRESS(1623,27))-INDIRECT(ADDRESS(1618,28))+INDIRECT(ADDRESS(1619,28))-INDIRECT(ADDRESS(1622,28)),INDIRECT(ADDRESS(1623,27))-INDIRECT(ADDRESS(1618,28))+INDIRECT(ADDRESS(1621,28))-INDIRECT(ADDRESS(1622,28)))</f>
        <v>0</v>
      </c>
      <c r="AC1623">
        <f>IF(DAY(NOW())&lt;M3,INDIRECT(ADDRESS(1623,28))-INDIRECT(ADDRESS(1618,29))+INDIRECT(ADDRESS(1619,29))-INDIRECT(ADDRESS(1622,29)),INDIRECT(ADDRESS(1623,28))-INDIRECT(ADDRESS(1618,29))+INDIRECT(ADDRESS(1621,29))-INDIRECT(ADDRESS(1622,29)))</f>
        <v>0</v>
      </c>
      <c r="AD1623">
        <f>IF(DAY(NOW())&lt;M3,INDIRECT(ADDRESS(1623,29))-INDIRECT(ADDRESS(1618,30))+INDIRECT(ADDRESS(1619,30))-INDIRECT(ADDRESS(1622,30)),INDIRECT(ADDRESS(1623,29))-INDIRECT(ADDRESS(1618,30))+INDIRECT(ADDRESS(1621,30))-INDIRECT(ADDRESS(1622,30)))</f>
        <v>0</v>
      </c>
      <c r="AE1623">
        <f>IF(DAY(NOW())&lt;M3,INDIRECT(ADDRESS(1623,30))-INDIRECT(ADDRESS(1618,31))+INDIRECT(ADDRESS(1619,31))-INDIRECT(ADDRESS(1622,31)),INDIRECT(ADDRESS(1623,30))-INDIRECT(ADDRESS(1618,31))+INDIRECT(ADDRESS(1621,31))-INDIRECT(ADDRESS(1622,31)))</f>
        <v>0</v>
      </c>
      <c r="AF1623">
        <f>IF(DAY(NOW())&lt;M3,INDIRECT(ADDRESS(1623,31))-INDIRECT(ADDRESS(1618,32))+INDIRECT(ADDRESS(1619,32))-INDIRECT(ADDRESS(1622,32)),INDIRECT(ADDRESS(1623,31))-INDIRECT(ADDRESS(1618,32))+INDIRECT(ADDRESS(1621,32))-INDIRECT(ADDRESS(1622,32)))</f>
        <v>0</v>
      </c>
      <c r="AG1623">
        <f>IF(DAY(NOW())&lt;M3,INDIRECT(ADDRESS(1623,32))-INDIRECT(ADDRESS(1618,33))+INDIRECT(ADDRESS(1619,33))-INDIRECT(ADDRESS(1622,33)),INDIRECT(ADDRESS(1623,32))-INDIRECT(ADDRESS(1618,33))+INDIRECT(ADDRESS(1621,33))-INDIRECT(ADDRESS(1622,33)))</f>
        <v>0</v>
      </c>
      <c r="AH1623">
        <f>IF(DAY(NOW())&lt;M3,INDIRECT(ADDRESS(1623,33))-INDIRECT(ADDRESS(1618,34))+INDIRECT(ADDRESS(1619,34))-INDIRECT(ADDRESS(1622,34)),INDIRECT(ADDRESS(1623,33))-INDIRECT(ADDRESS(1618,34))+INDIRECT(ADDRESS(1621,34))-INDIRECT(ADDRESS(1622,34)))</f>
        <v>0</v>
      </c>
      <c r="AI1623">
        <f>IF(DAY(NOW())&lt;M3,INDIRECT(ADDRESS(1623,34))-INDIRECT(ADDRESS(1618,35))+INDIRECT(ADDRESS(1619,35))-INDIRECT(ADDRESS(1622,35)),INDIRECT(ADDRESS(1623,34))-INDIRECT(ADDRESS(1618,35))+INDIRECT(ADDRESS(1621,35))-INDIRECT(ADDRESS(1622,35)))</f>
        <v>0</v>
      </c>
      <c r="AJ1623">
        <f>IF(DAY(NOW())&lt;M3,INDIRECT(ADDRESS(1623,35))-INDIRECT(ADDRESS(1618,36))+INDIRECT(ADDRESS(1619,36))-INDIRECT(ADDRESS(1622,36)),INDIRECT(ADDRESS(1623,35))-INDIRECT(ADDRESS(1618,36))+INDIRECT(ADDRESS(1621,36))-INDIRECT(ADDRESS(1622,36)))</f>
        <v>0</v>
      </c>
      <c r="AK1623">
        <f>IF(DAY(NOW())&lt;M3,INDIRECT(ADDRESS(1623,36))-INDIRECT(ADDRESS(1618,37))+INDIRECT(ADDRESS(1619,37))-INDIRECT(ADDRESS(1622,37)),INDIRECT(ADDRESS(1623,36))-INDIRECT(ADDRESS(1618,37))+INDIRECT(ADDRESS(1621,37))-INDIRECT(ADDRESS(1622,37)))</f>
        <v>0</v>
      </c>
      <c r="AL1623">
        <f>IF(DAY(NOW())&lt;M3,INDIRECT(ADDRESS(1623,37))-INDIRECT(ADDRESS(1618,38))+INDIRECT(ADDRESS(1619,38))-INDIRECT(ADDRESS(1622,38)),INDIRECT(ADDRESS(1623,37))-INDIRECT(ADDRESS(1618,38))+INDIRECT(ADDRESS(1621,38))-INDIRECT(ADDRESS(1622,38)))</f>
        <v>0</v>
      </c>
      <c r="AM1623">
        <f>IF(DAY(NOW())&lt;M3,INDIRECT(ADDRESS(1623,38))-INDIRECT(ADDRESS(1618,39))+INDIRECT(ADDRESS(1619,39))-INDIRECT(ADDRESS(1622,39)),INDIRECT(ADDRESS(1623,38))-INDIRECT(ADDRESS(1618,39))+INDIRECT(ADDRESS(1621,39))-INDIRECT(ADDRESS(1622,39)))</f>
        <v>0</v>
      </c>
      <c r="AN1623">
        <f>IF(DAY(NOW())&lt;M3,INDIRECT(ADDRESS(1623,39))-INDIRECT(ADDRESS(1618,40))+INDIRECT(ADDRESS(1619,40))-INDIRECT(ADDRESS(1622,40)),INDIRECT(ADDRESS(1623,39))-INDIRECT(ADDRESS(1618,40))+INDIRECT(ADDRESS(1621,40))-INDIRECT(ADDRESS(1622,40)))</f>
        <v>0</v>
      </c>
      <c r="AO1623">
        <f>IF(DAY(NOW())&lt;M3,INDIRECT(ADDRESS(1623,40))-INDIRECT(ADDRESS(1618,41))+INDIRECT(ADDRESS(1619,41))-INDIRECT(ADDRESS(1622,41)),INDIRECT(ADDRESS(1623,40))-INDIRECT(ADDRESS(1618,41))+INDIRECT(ADDRESS(1621,41))-INDIRECT(ADDRESS(1622,41)))</f>
        <v>0</v>
      </c>
      <c r="AP1623">
        <f>IF(DAY(NOW())&lt;M3,INDIRECT(ADDRESS(1623,41))-INDIRECT(ADDRESS(1618,42))+INDIRECT(ADDRESS(1619,42))-INDIRECT(ADDRESS(1622,42)),INDIRECT(ADDRESS(1623,41))-INDIRECT(ADDRESS(1618,42))+INDIRECT(ADDRESS(1621,42))-INDIRECT(ADDRESS(1622,42)))</f>
        <v>0</v>
      </c>
      <c r="AQ1623">
        <f>IF(DAY(NOW())&lt;M3,INDIRECT(ADDRESS(1623,42))-INDIRECT(ADDRESS(1618,43))+INDIRECT(ADDRESS(1619,43))-INDIRECT(ADDRESS(1622,43)),INDIRECT(ADDRESS(1623,42))-INDIRECT(ADDRESS(1618,43))+INDIRECT(ADDRESS(1621,43))-INDIRECT(ADDRESS(1622,43)))</f>
        <v>0</v>
      </c>
      <c r="AR1623">
        <f>IF(DAY(NOW())&lt;M3,INDIRECT(ADDRESS(1623,43))-INDIRECT(ADDRESS(1618,44))+INDIRECT(ADDRESS(1619,44))-INDIRECT(ADDRESS(1622,44)),INDIRECT(ADDRESS(1623,43))-INDIRECT(ADDRESS(1618,44))+INDIRECT(ADDRESS(1621,44))-INDIRECT(ADDRESS(1622,44)))</f>
        <v>0</v>
      </c>
    </row>
    <row r="1624" spans="1:76">
      <c r="A1624" t="s">
        <v>14</v>
      </c>
      <c r="B1624" t="s">
        <v>572</v>
      </c>
      <c r="C1624" t="s">
        <v>573</v>
      </c>
      <c r="D1624" t="s">
        <v>480</v>
      </c>
      <c r="E1624" t="s">
        <v>625</v>
      </c>
      <c r="F1624" t="s">
        <v>626</v>
      </c>
      <c r="K1624" t="s">
        <v>590</v>
      </c>
      <c r="L1624" t="s">
        <v>21</v>
      </c>
      <c r="BX1624">
        <f>sum(j1624:an1624)</f>
        <v>0</v>
      </c>
    </row>
    <row r="1625" spans="1:76">
      <c r="A1625" t="s">
        <v>14</v>
      </c>
      <c r="B1625" t="s">
        <v>572</v>
      </c>
      <c r="C1625" t="s">
        <v>573</v>
      </c>
      <c r="D1625" t="s">
        <v>480</v>
      </c>
      <c r="E1625" t="s">
        <v>625</v>
      </c>
      <c r="F1625" t="s">
        <v>626</v>
      </c>
      <c r="K1625" t="s">
        <v>590</v>
      </c>
      <c r="L1625" t="s">
        <v>37</v>
      </c>
    </row>
    <row r="1626" spans="1:76">
      <c r="L1626" t="s">
        <v>662</v>
      </c>
    </row>
    <row r="1627" spans="1:76">
      <c r="L1627" t="s">
        <v>663</v>
      </c>
    </row>
    <row r="1628" spans="1:76">
      <c r="L1628" t="s">
        <v>664</v>
      </c>
    </row>
    <row r="1629" spans="1:76">
      <c r="L1629" t="s">
        <v>665</v>
      </c>
      <c r="M1629">
        <f>IF(DAY(NOW())&lt;M3,INDIRECT(ADDRESS(1629,7))-INDIRECT(ADDRESS(1624,13))+INDIRECT(ADDRESS(1625,13))-INDIRECT(ADDRESS(1628,13)),INDIRECT(ADDRESS(1629,7))-INDIRECT(ADDRESS(1624,13))+INDIRECT(ADDRESS(1627,13))-INDIRECT(ADDRESS(1628,13)))</f>
        <v>0</v>
      </c>
      <c r="N1629">
        <f>IF(DAY(NOW())&lt;M3,INDIRECT(ADDRESS(1629,13))-INDIRECT(ADDRESS(1624,14))+INDIRECT(ADDRESS(1625,14))-INDIRECT(ADDRESS(1628,14)),INDIRECT(ADDRESS(1629,13))-INDIRECT(ADDRESS(1624,14))+INDIRECT(ADDRESS(1627,14))-INDIRECT(ADDRESS(1628,14)))</f>
        <v>0</v>
      </c>
      <c r="O1629">
        <f>IF(DAY(NOW())&lt;M3,INDIRECT(ADDRESS(1629,14))-INDIRECT(ADDRESS(1624,15))+INDIRECT(ADDRESS(1625,15))-INDIRECT(ADDRESS(1628,15)),INDIRECT(ADDRESS(1629,14))-INDIRECT(ADDRESS(1624,15))+INDIRECT(ADDRESS(1627,15))-INDIRECT(ADDRESS(1628,15)))</f>
        <v>0</v>
      </c>
      <c r="P1629">
        <f>IF(DAY(NOW())&lt;M3,INDIRECT(ADDRESS(1629,15))-INDIRECT(ADDRESS(1624,16))+INDIRECT(ADDRESS(1625,16))-INDIRECT(ADDRESS(1628,16)),INDIRECT(ADDRESS(1629,15))-INDIRECT(ADDRESS(1624,16))+INDIRECT(ADDRESS(1627,16))-INDIRECT(ADDRESS(1628,16)))</f>
        <v>0</v>
      </c>
      <c r="Q1629">
        <f>IF(DAY(NOW())&lt;M3,INDIRECT(ADDRESS(1629,16))-INDIRECT(ADDRESS(1624,17))+INDIRECT(ADDRESS(1625,17))-INDIRECT(ADDRESS(1628,17)),INDIRECT(ADDRESS(1629,16))-INDIRECT(ADDRESS(1624,17))+INDIRECT(ADDRESS(1627,17))-INDIRECT(ADDRESS(1628,17)))</f>
        <v>0</v>
      </c>
      <c r="R1629">
        <f>IF(DAY(NOW())&lt;M3,INDIRECT(ADDRESS(1629,17))-INDIRECT(ADDRESS(1624,18))+INDIRECT(ADDRESS(1625,18))-INDIRECT(ADDRESS(1628,18)),INDIRECT(ADDRESS(1629,17))-INDIRECT(ADDRESS(1624,18))+INDIRECT(ADDRESS(1627,18))-INDIRECT(ADDRESS(1628,18)))</f>
        <v>0</v>
      </c>
      <c r="S1629">
        <f>IF(DAY(NOW())&lt;M3,INDIRECT(ADDRESS(1629,18))-INDIRECT(ADDRESS(1624,19))+INDIRECT(ADDRESS(1625,19))-INDIRECT(ADDRESS(1628,19)),INDIRECT(ADDRESS(1629,18))-INDIRECT(ADDRESS(1624,19))+INDIRECT(ADDRESS(1627,19))-INDIRECT(ADDRESS(1628,19)))</f>
        <v>0</v>
      </c>
      <c r="T1629">
        <f>IF(DAY(NOW())&lt;M3,INDIRECT(ADDRESS(1629,19))-INDIRECT(ADDRESS(1624,20))+INDIRECT(ADDRESS(1625,20))-INDIRECT(ADDRESS(1628,20)),INDIRECT(ADDRESS(1629,19))-INDIRECT(ADDRESS(1624,20))+INDIRECT(ADDRESS(1627,20))-INDIRECT(ADDRESS(1628,20)))</f>
        <v>0</v>
      </c>
      <c r="U1629">
        <f>IF(DAY(NOW())&lt;M3,INDIRECT(ADDRESS(1629,20))-INDIRECT(ADDRESS(1624,21))+INDIRECT(ADDRESS(1625,21))-INDIRECT(ADDRESS(1628,21)),INDIRECT(ADDRESS(1629,20))-INDIRECT(ADDRESS(1624,21))+INDIRECT(ADDRESS(1627,21))-INDIRECT(ADDRESS(1628,21)))</f>
        <v>0</v>
      </c>
      <c r="V1629">
        <f>IF(DAY(NOW())&lt;M3,INDIRECT(ADDRESS(1629,21))-INDIRECT(ADDRESS(1624,22))+INDIRECT(ADDRESS(1625,22))-INDIRECT(ADDRESS(1628,22)),INDIRECT(ADDRESS(1629,21))-INDIRECT(ADDRESS(1624,22))+INDIRECT(ADDRESS(1627,22))-INDIRECT(ADDRESS(1628,22)))</f>
        <v>0</v>
      </c>
      <c r="W1629">
        <f>IF(DAY(NOW())&lt;M3,INDIRECT(ADDRESS(1629,22))-INDIRECT(ADDRESS(1624,23))+INDIRECT(ADDRESS(1625,23))-INDIRECT(ADDRESS(1628,23)),INDIRECT(ADDRESS(1629,22))-INDIRECT(ADDRESS(1624,23))+INDIRECT(ADDRESS(1627,23))-INDIRECT(ADDRESS(1628,23)))</f>
        <v>0</v>
      </c>
      <c r="X1629">
        <f>IF(DAY(NOW())&lt;M3,INDIRECT(ADDRESS(1629,23))-INDIRECT(ADDRESS(1624,24))+INDIRECT(ADDRESS(1625,24))-INDIRECT(ADDRESS(1628,24)),INDIRECT(ADDRESS(1629,23))-INDIRECT(ADDRESS(1624,24))+INDIRECT(ADDRESS(1627,24))-INDIRECT(ADDRESS(1628,24)))</f>
        <v>0</v>
      </c>
      <c r="Y1629">
        <f>IF(DAY(NOW())&lt;M3,INDIRECT(ADDRESS(1629,24))-INDIRECT(ADDRESS(1624,25))+INDIRECT(ADDRESS(1625,25))-INDIRECT(ADDRESS(1628,25)),INDIRECT(ADDRESS(1629,24))-INDIRECT(ADDRESS(1624,25))+INDIRECT(ADDRESS(1627,25))-INDIRECT(ADDRESS(1628,25)))</f>
        <v>0</v>
      </c>
      <c r="Z1629">
        <f>IF(DAY(NOW())&lt;M3,INDIRECT(ADDRESS(1629,25))-INDIRECT(ADDRESS(1624,26))+INDIRECT(ADDRESS(1625,26))-INDIRECT(ADDRESS(1628,26)),INDIRECT(ADDRESS(1629,25))-INDIRECT(ADDRESS(1624,26))+INDIRECT(ADDRESS(1627,26))-INDIRECT(ADDRESS(1628,26)))</f>
        <v>0</v>
      </c>
      <c r="AA1629">
        <f>IF(DAY(NOW())&lt;M3,INDIRECT(ADDRESS(1629,26))-INDIRECT(ADDRESS(1624,27))+INDIRECT(ADDRESS(1625,27))-INDIRECT(ADDRESS(1628,27)),INDIRECT(ADDRESS(1629,26))-INDIRECT(ADDRESS(1624,27))+INDIRECT(ADDRESS(1627,27))-INDIRECT(ADDRESS(1628,27)))</f>
        <v>0</v>
      </c>
      <c r="AB1629">
        <f>IF(DAY(NOW())&lt;M3,INDIRECT(ADDRESS(1629,27))-INDIRECT(ADDRESS(1624,28))+INDIRECT(ADDRESS(1625,28))-INDIRECT(ADDRESS(1628,28)),INDIRECT(ADDRESS(1629,27))-INDIRECT(ADDRESS(1624,28))+INDIRECT(ADDRESS(1627,28))-INDIRECT(ADDRESS(1628,28)))</f>
        <v>0</v>
      </c>
      <c r="AC1629">
        <f>IF(DAY(NOW())&lt;M3,INDIRECT(ADDRESS(1629,28))-INDIRECT(ADDRESS(1624,29))+INDIRECT(ADDRESS(1625,29))-INDIRECT(ADDRESS(1628,29)),INDIRECT(ADDRESS(1629,28))-INDIRECT(ADDRESS(1624,29))+INDIRECT(ADDRESS(1627,29))-INDIRECT(ADDRESS(1628,29)))</f>
        <v>0</v>
      </c>
      <c r="AD1629">
        <f>IF(DAY(NOW())&lt;M3,INDIRECT(ADDRESS(1629,29))-INDIRECT(ADDRESS(1624,30))+INDIRECT(ADDRESS(1625,30))-INDIRECT(ADDRESS(1628,30)),INDIRECT(ADDRESS(1629,29))-INDIRECT(ADDRESS(1624,30))+INDIRECT(ADDRESS(1627,30))-INDIRECT(ADDRESS(1628,30)))</f>
        <v>0</v>
      </c>
      <c r="AE1629">
        <f>IF(DAY(NOW())&lt;M3,INDIRECT(ADDRESS(1629,30))-INDIRECT(ADDRESS(1624,31))+INDIRECT(ADDRESS(1625,31))-INDIRECT(ADDRESS(1628,31)),INDIRECT(ADDRESS(1629,30))-INDIRECT(ADDRESS(1624,31))+INDIRECT(ADDRESS(1627,31))-INDIRECT(ADDRESS(1628,31)))</f>
        <v>0</v>
      </c>
      <c r="AF1629">
        <f>IF(DAY(NOW())&lt;M3,INDIRECT(ADDRESS(1629,31))-INDIRECT(ADDRESS(1624,32))+INDIRECT(ADDRESS(1625,32))-INDIRECT(ADDRESS(1628,32)),INDIRECT(ADDRESS(1629,31))-INDIRECT(ADDRESS(1624,32))+INDIRECT(ADDRESS(1627,32))-INDIRECT(ADDRESS(1628,32)))</f>
        <v>0</v>
      </c>
      <c r="AG1629">
        <f>IF(DAY(NOW())&lt;M3,INDIRECT(ADDRESS(1629,32))-INDIRECT(ADDRESS(1624,33))+INDIRECT(ADDRESS(1625,33))-INDIRECT(ADDRESS(1628,33)),INDIRECT(ADDRESS(1629,32))-INDIRECT(ADDRESS(1624,33))+INDIRECT(ADDRESS(1627,33))-INDIRECT(ADDRESS(1628,33)))</f>
        <v>0</v>
      </c>
      <c r="AH1629">
        <f>IF(DAY(NOW())&lt;M3,INDIRECT(ADDRESS(1629,33))-INDIRECT(ADDRESS(1624,34))+INDIRECT(ADDRESS(1625,34))-INDIRECT(ADDRESS(1628,34)),INDIRECT(ADDRESS(1629,33))-INDIRECT(ADDRESS(1624,34))+INDIRECT(ADDRESS(1627,34))-INDIRECT(ADDRESS(1628,34)))</f>
        <v>0</v>
      </c>
      <c r="AI1629">
        <f>IF(DAY(NOW())&lt;M3,INDIRECT(ADDRESS(1629,34))-INDIRECT(ADDRESS(1624,35))+INDIRECT(ADDRESS(1625,35))-INDIRECT(ADDRESS(1628,35)),INDIRECT(ADDRESS(1629,34))-INDIRECT(ADDRESS(1624,35))+INDIRECT(ADDRESS(1627,35))-INDIRECT(ADDRESS(1628,35)))</f>
        <v>0</v>
      </c>
      <c r="AJ1629">
        <f>IF(DAY(NOW())&lt;M3,INDIRECT(ADDRESS(1629,35))-INDIRECT(ADDRESS(1624,36))+INDIRECT(ADDRESS(1625,36))-INDIRECT(ADDRESS(1628,36)),INDIRECT(ADDRESS(1629,35))-INDIRECT(ADDRESS(1624,36))+INDIRECT(ADDRESS(1627,36))-INDIRECT(ADDRESS(1628,36)))</f>
        <v>0</v>
      </c>
      <c r="AK1629">
        <f>IF(DAY(NOW())&lt;M3,INDIRECT(ADDRESS(1629,36))-INDIRECT(ADDRESS(1624,37))+INDIRECT(ADDRESS(1625,37))-INDIRECT(ADDRESS(1628,37)),INDIRECT(ADDRESS(1629,36))-INDIRECT(ADDRESS(1624,37))+INDIRECT(ADDRESS(1627,37))-INDIRECT(ADDRESS(1628,37)))</f>
        <v>0</v>
      </c>
      <c r="AL1629">
        <f>IF(DAY(NOW())&lt;M3,INDIRECT(ADDRESS(1629,37))-INDIRECT(ADDRESS(1624,38))+INDIRECT(ADDRESS(1625,38))-INDIRECT(ADDRESS(1628,38)),INDIRECT(ADDRESS(1629,37))-INDIRECT(ADDRESS(1624,38))+INDIRECT(ADDRESS(1627,38))-INDIRECT(ADDRESS(1628,38)))</f>
        <v>0</v>
      </c>
      <c r="AM1629">
        <f>IF(DAY(NOW())&lt;M3,INDIRECT(ADDRESS(1629,38))-INDIRECT(ADDRESS(1624,39))+INDIRECT(ADDRESS(1625,39))-INDIRECT(ADDRESS(1628,39)),INDIRECT(ADDRESS(1629,38))-INDIRECT(ADDRESS(1624,39))+INDIRECT(ADDRESS(1627,39))-INDIRECT(ADDRESS(1628,39)))</f>
        <v>0</v>
      </c>
      <c r="AN1629">
        <f>IF(DAY(NOW())&lt;M3,INDIRECT(ADDRESS(1629,39))-INDIRECT(ADDRESS(1624,40))+INDIRECT(ADDRESS(1625,40))-INDIRECT(ADDRESS(1628,40)),INDIRECT(ADDRESS(1629,39))-INDIRECT(ADDRESS(1624,40))+INDIRECT(ADDRESS(1627,40))-INDIRECT(ADDRESS(1628,40)))</f>
        <v>0</v>
      </c>
      <c r="AO1629">
        <f>IF(DAY(NOW())&lt;M3,INDIRECT(ADDRESS(1629,40))-INDIRECT(ADDRESS(1624,41))+INDIRECT(ADDRESS(1625,41))-INDIRECT(ADDRESS(1628,41)),INDIRECT(ADDRESS(1629,40))-INDIRECT(ADDRESS(1624,41))+INDIRECT(ADDRESS(1627,41))-INDIRECT(ADDRESS(1628,41)))</f>
        <v>0</v>
      </c>
      <c r="AP1629">
        <f>IF(DAY(NOW())&lt;M3,INDIRECT(ADDRESS(1629,41))-INDIRECT(ADDRESS(1624,42))+INDIRECT(ADDRESS(1625,42))-INDIRECT(ADDRESS(1628,42)),INDIRECT(ADDRESS(1629,41))-INDIRECT(ADDRESS(1624,42))+INDIRECT(ADDRESS(1627,42))-INDIRECT(ADDRESS(1628,42)))</f>
        <v>0</v>
      </c>
      <c r="AQ1629">
        <f>IF(DAY(NOW())&lt;M3,INDIRECT(ADDRESS(1629,42))-INDIRECT(ADDRESS(1624,43))+INDIRECT(ADDRESS(1625,43))-INDIRECT(ADDRESS(1628,43)),INDIRECT(ADDRESS(1629,42))-INDIRECT(ADDRESS(1624,43))+INDIRECT(ADDRESS(1627,43))-INDIRECT(ADDRESS(1628,43)))</f>
        <v>0</v>
      </c>
      <c r="AR1629">
        <f>IF(DAY(NOW())&lt;M3,INDIRECT(ADDRESS(1629,43))-INDIRECT(ADDRESS(1624,44))+INDIRECT(ADDRESS(1625,44))-INDIRECT(ADDRESS(1628,44)),INDIRECT(ADDRESS(1629,43))-INDIRECT(ADDRESS(1624,44))+INDIRECT(ADDRESS(1627,44))-INDIRECT(ADDRESS(1628,44)))</f>
        <v>0</v>
      </c>
    </row>
    <row r="1630" spans="1:76">
      <c r="A1630" t="s">
        <v>31</v>
      </c>
      <c r="B1630" t="s">
        <v>627</v>
      </c>
      <c r="C1630" t="s">
        <v>628</v>
      </c>
      <c r="E1630" t="s">
        <v>30</v>
      </c>
      <c r="F1630" t="s">
        <v>323</v>
      </c>
      <c r="K1630" t="s">
        <v>590</v>
      </c>
      <c r="L1630" t="s">
        <v>21</v>
      </c>
      <c r="M1630">
        <f>sumifs(BOM!m:m,BOM!A:A,".1",BOM!B:B,"232-006500-000")</f>
        <v>0</v>
      </c>
      <c r="N1630">
        <f>sumifs(BOM!n:n,BOM!A:A,".1",BOM!B:B,"232-006500-000")</f>
        <v>0</v>
      </c>
      <c r="O1630">
        <f>sumifs(BOM!o:o,BOM!A:A,".1",BOM!B:B,"232-006500-000")</f>
        <v>0</v>
      </c>
      <c r="P1630">
        <f>sumifs(BOM!p:p,BOM!A:A,".1",BOM!B:B,"232-006500-000")</f>
        <v>0</v>
      </c>
      <c r="Q1630">
        <f>sumifs(BOM!q:q,BOM!A:A,".1",BOM!B:B,"232-006500-000")</f>
        <v>0</v>
      </c>
      <c r="R1630">
        <f>sumifs(BOM!r:r,BOM!A:A,".1",BOM!B:B,"232-006500-000")</f>
        <v>0</v>
      </c>
      <c r="S1630">
        <f>sumifs(BOM!s:s,BOM!A:A,".1",BOM!B:B,"232-006500-000")</f>
        <v>0</v>
      </c>
      <c r="T1630">
        <f>sumifs(BOM!t:t,BOM!A:A,".1",BOM!B:B,"232-006500-000")</f>
        <v>0</v>
      </c>
      <c r="U1630">
        <f>sumifs(BOM!u:u,BOM!A:A,".1",BOM!B:B,"232-006500-000")</f>
        <v>0</v>
      </c>
      <c r="V1630">
        <f>sumifs(BOM!v:v,BOM!A:A,".1",BOM!B:B,"232-006500-000")</f>
        <v>0</v>
      </c>
      <c r="W1630">
        <f>sumifs(BOM!w:w,BOM!A:A,".1",BOM!B:B,"232-006500-000")</f>
        <v>0</v>
      </c>
      <c r="X1630">
        <f>sumifs(BOM!x:x,BOM!A:A,".1",BOM!B:B,"232-006500-000")</f>
        <v>0</v>
      </c>
      <c r="Y1630">
        <f>sumifs(BOM!y:y,BOM!A:A,".1",BOM!B:B,"232-006500-000")</f>
        <v>0</v>
      </c>
      <c r="Z1630">
        <f>sumifs(BOM!z:z,BOM!A:A,".1",BOM!B:B,"232-006500-000")</f>
        <v>0</v>
      </c>
      <c r="AA1630">
        <f>sumifs(BOM!aa:aa,BOM!A:A,".1",BOM!B:B,"232-006500-000")</f>
        <v>0</v>
      </c>
      <c r="AB1630">
        <f>sumifs(BOM!ab:ab,BOM!A:A,".1",BOM!B:B,"232-006500-000")</f>
        <v>0</v>
      </c>
      <c r="AC1630">
        <f>sumifs(BOM!ac:ac,BOM!A:A,".1",BOM!B:B,"232-006500-000")</f>
        <v>0</v>
      </c>
      <c r="AD1630">
        <f>sumifs(BOM!ad:ad,BOM!A:A,".1",BOM!B:B,"232-006500-000")</f>
        <v>0</v>
      </c>
      <c r="AE1630">
        <f>sumifs(BOM!ae:ae,BOM!A:A,".1",BOM!B:B,"232-006500-000")</f>
        <v>0</v>
      </c>
      <c r="AF1630">
        <f>sumifs(BOM!af:af,BOM!A:A,".1",BOM!B:B,"232-006500-000")</f>
        <v>0</v>
      </c>
      <c r="AG1630">
        <f>sumifs(BOM!ag:ag,BOM!A:A,".1",BOM!B:B,"232-006500-000")</f>
        <v>0</v>
      </c>
      <c r="AH1630">
        <f>sumifs(BOM!ah:ah,BOM!A:A,".1",BOM!B:B,"232-006500-000")</f>
        <v>0</v>
      </c>
      <c r="AI1630">
        <f>sumifs(BOM!ai:ai,BOM!A:A,".1",BOM!B:B,"232-006500-000")</f>
        <v>0</v>
      </c>
      <c r="AJ1630">
        <f>sumifs(BOM!aj:aj,BOM!A:A,".1",BOM!B:B,"232-006500-000")</f>
        <v>0</v>
      </c>
      <c r="AK1630">
        <f>sumifs(BOM!ak:ak,BOM!A:A,".1",BOM!B:B,"232-006500-000")</f>
        <v>0</v>
      </c>
      <c r="AL1630">
        <f>sumifs(BOM!al:al,BOM!A:A,".1",BOM!B:B,"232-006500-000")</f>
        <v>0</v>
      </c>
      <c r="AM1630">
        <f>sumifs(BOM!am:am,BOM!A:A,".1",BOM!B:B,"232-006500-000")</f>
        <v>0</v>
      </c>
      <c r="AN1630">
        <f>sumifs(BOM!an:an,BOM!A:A,".1",BOM!B:B,"232-006500-000")</f>
        <v>0</v>
      </c>
      <c r="AO1630">
        <f>sumifs(BOM!ao:ao,BOM!A:A,".1",BOM!B:B,"232-006500-000")</f>
        <v>0</v>
      </c>
      <c r="AP1630">
        <f>sumifs(BOM!ap:ap,BOM!A:A,".1",BOM!B:B,"232-006500-000")</f>
        <v>0</v>
      </c>
      <c r="AQ1630">
        <f>sumifs(BOM!aq:aq,BOM!A:A,".1",BOM!B:B,"232-006500-000")</f>
        <v>0</v>
      </c>
      <c r="AR1630">
        <f>sumifs(BOM!ar:ar,BOM!A:A,".1",BOM!B:B,"232-006500-000")</f>
        <v>0</v>
      </c>
      <c r="BX1630">
        <f>sum(j1630:an1630)</f>
        <v>0</v>
      </c>
    </row>
    <row r="1631" spans="1:76">
      <c r="A1631" t="s">
        <v>31</v>
      </c>
      <c r="B1631" t="s">
        <v>627</v>
      </c>
      <c r="C1631" t="s">
        <v>628</v>
      </c>
      <c r="E1631" t="s">
        <v>30</v>
      </c>
      <c r="F1631" t="s">
        <v>323</v>
      </c>
      <c r="K1631" t="s">
        <v>590</v>
      </c>
      <c r="L1631" t="s">
        <v>37</v>
      </c>
    </row>
    <row r="1632" spans="1:76">
      <c r="L1632" t="s">
        <v>662</v>
      </c>
    </row>
    <row r="1633" spans="1:76">
      <c r="L1633" t="s">
        <v>663</v>
      </c>
    </row>
    <row r="1634" spans="1:76">
      <c r="L1634" t="s">
        <v>664</v>
      </c>
    </row>
    <row r="1635" spans="1:76">
      <c r="L1635" t="s">
        <v>665</v>
      </c>
      <c r="M1635">
        <f>IF(DAY(NOW())&lt;M3,INDIRECT(ADDRESS(1635,7))-INDIRECT(ADDRESS(1630,13))+INDIRECT(ADDRESS(1631,13))-INDIRECT(ADDRESS(1634,13)),INDIRECT(ADDRESS(1635,7))-INDIRECT(ADDRESS(1630,13))+INDIRECT(ADDRESS(1633,13))-INDIRECT(ADDRESS(1634,13)))</f>
        <v>0</v>
      </c>
      <c r="N1635">
        <f>IF(DAY(NOW())&lt;M3,INDIRECT(ADDRESS(1635,13))-INDIRECT(ADDRESS(1630,14))+INDIRECT(ADDRESS(1631,14))-INDIRECT(ADDRESS(1634,14)),INDIRECT(ADDRESS(1635,13))-INDIRECT(ADDRESS(1630,14))+INDIRECT(ADDRESS(1633,14))-INDIRECT(ADDRESS(1634,14)))</f>
        <v>0</v>
      </c>
      <c r="O1635">
        <f>IF(DAY(NOW())&lt;M3,INDIRECT(ADDRESS(1635,14))-INDIRECT(ADDRESS(1630,15))+INDIRECT(ADDRESS(1631,15))-INDIRECT(ADDRESS(1634,15)),INDIRECT(ADDRESS(1635,14))-INDIRECT(ADDRESS(1630,15))+INDIRECT(ADDRESS(1633,15))-INDIRECT(ADDRESS(1634,15)))</f>
        <v>0</v>
      </c>
      <c r="P1635">
        <f>IF(DAY(NOW())&lt;M3,INDIRECT(ADDRESS(1635,15))-INDIRECT(ADDRESS(1630,16))+INDIRECT(ADDRESS(1631,16))-INDIRECT(ADDRESS(1634,16)),INDIRECT(ADDRESS(1635,15))-INDIRECT(ADDRESS(1630,16))+INDIRECT(ADDRESS(1633,16))-INDIRECT(ADDRESS(1634,16)))</f>
        <v>0</v>
      </c>
      <c r="Q1635">
        <f>IF(DAY(NOW())&lt;M3,INDIRECT(ADDRESS(1635,16))-INDIRECT(ADDRESS(1630,17))+INDIRECT(ADDRESS(1631,17))-INDIRECT(ADDRESS(1634,17)),INDIRECT(ADDRESS(1635,16))-INDIRECT(ADDRESS(1630,17))+INDIRECT(ADDRESS(1633,17))-INDIRECT(ADDRESS(1634,17)))</f>
        <v>0</v>
      </c>
      <c r="R1635">
        <f>IF(DAY(NOW())&lt;M3,INDIRECT(ADDRESS(1635,17))-INDIRECT(ADDRESS(1630,18))+INDIRECT(ADDRESS(1631,18))-INDIRECT(ADDRESS(1634,18)),INDIRECT(ADDRESS(1635,17))-INDIRECT(ADDRESS(1630,18))+INDIRECT(ADDRESS(1633,18))-INDIRECT(ADDRESS(1634,18)))</f>
        <v>0</v>
      </c>
      <c r="S1635">
        <f>IF(DAY(NOW())&lt;M3,INDIRECT(ADDRESS(1635,18))-INDIRECT(ADDRESS(1630,19))+INDIRECT(ADDRESS(1631,19))-INDIRECT(ADDRESS(1634,19)),INDIRECT(ADDRESS(1635,18))-INDIRECT(ADDRESS(1630,19))+INDIRECT(ADDRESS(1633,19))-INDIRECT(ADDRESS(1634,19)))</f>
        <v>0</v>
      </c>
      <c r="T1635">
        <f>IF(DAY(NOW())&lt;M3,INDIRECT(ADDRESS(1635,19))-INDIRECT(ADDRESS(1630,20))+INDIRECT(ADDRESS(1631,20))-INDIRECT(ADDRESS(1634,20)),INDIRECT(ADDRESS(1635,19))-INDIRECT(ADDRESS(1630,20))+INDIRECT(ADDRESS(1633,20))-INDIRECT(ADDRESS(1634,20)))</f>
        <v>0</v>
      </c>
      <c r="U1635">
        <f>IF(DAY(NOW())&lt;M3,INDIRECT(ADDRESS(1635,20))-INDIRECT(ADDRESS(1630,21))+INDIRECT(ADDRESS(1631,21))-INDIRECT(ADDRESS(1634,21)),INDIRECT(ADDRESS(1635,20))-INDIRECT(ADDRESS(1630,21))+INDIRECT(ADDRESS(1633,21))-INDIRECT(ADDRESS(1634,21)))</f>
        <v>0</v>
      </c>
      <c r="V1635">
        <f>IF(DAY(NOW())&lt;M3,INDIRECT(ADDRESS(1635,21))-INDIRECT(ADDRESS(1630,22))+INDIRECT(ADDRESS(1631,22))-INDIRECT(ADDRESS(1634,22)),INDIRECT(ADDRESS(1635,21))-INDIRECT(ADDRESS(1630,22))+INDIRECT(ADDRESS(1633,22))-INDIRECT(ADDRESS(1634,22)))</f>
        <v>0</v>
      </c>
      <c r="W1635">
        <f>IF(DAY(NOW())&lt;M3,INDIRECT(ADDRESS(1635,22))-INDIRECT(ADDRESS(1630,23))+INDIRECT(ADDRESS(1631,23))-INDIRECT(ADDRESS(1634,23)),INDIRECT(ADDRESS(1635,22))-INDIRECT(ADDRESS(1630,23))+INDIRECT(ADDRESS(1633,23))-INDIRECT(ADDRESS(1634,23)))</f>
        <v>0</v>
      </c>
      <c r="X1635">
        <f>IF(DAY(NOW())&lt;M3,INDIRECT(ADDRESS(1635,23))-INDIRECT(ADDRESS(1630,24))+INDIRECT(ADDRESS(1631,24))-INDIRECT(ADDRESS(1634,24)),INDIRECT(ADDRESS(1635,23))-INDIRECT(ADDRESS(1630,24))+INDIRECT(ADDRESS(1633,24))-INDIRECT(ADDRESS(1634,24)))</f>
        <v>0</v>
      </c>
      <c r="Y1635">
        <f>IF(DAY(NOW())&lt;M3,INDIRECT(ADDRESS(1635,24))-INDIRECT(ADDRESS(1630,25))+INDIRECT(ADDRESS(1631,25))-INDIRECT(ADDRESS(1634,25)),INDIRECT(ADDRESS(1635,24))-INDIRECT(ADDRESS(1630,25))+INDIRECT(ADDRESS(1633,25))-INDIRECT(ADDRESS(1634,25)))</f>
        <v>0</v>
      </c>
      <c r="Z1635">
        <f>IF(DAY(NOW())&lt;M3,INDIRECT(ADDRESS(1635,25))-INDIRECT(ADDRESS(1630,26))+INDIRECT(ADDRESS(1631,26))-INDIRECT(ADDRESS(1634,26)),INDIRECT(ADDRESS(1635,25))-INDIRECT(ADDRESS(1630,26))+INDIRECT(ADDRESS(1633,26))-INDIRECT(ADDRESS(1634,26)))</f>
        <v>0</v>
      </c>
      <c r="AA1635">
        <f>IF(DAY(NOW())&lt;M3,INDIRECT(ADDRESS(1635,26))-INDIRECT(ADDRESS(1630,27))+INDIRECT(ADDRESS(1631,27))-INDIRECT(ADDRESS(1634,27)),INDIRECT(ADDRESS(1635,26))-INDIRECT(ADDRESS(1630,27))+INDIRECT(ADDRESS(1633,27))-INDIRECT(ADDRESS(1634,27)))</f>
        <v>0</v>
      </c>
      <c r="AB1635">
        <f>IF(DAY(NOW())&lt;M3,INDIRECT(ADDRESS(1635,27))-INDIRECT(ADDRESS(1630,28))+INDIRECT(ADDRESS(1631,28))-INDIRECT(ADDRESS(1634,28)),INDIRECT(ADDRESS(1635,27))-INDIRECT(ADDRESS(1630,28))+INDIRECT(ADDRESS(1633,28))-INDIRECT(ADDRESS(1634,28)))</f>
        <v>0</v>
      </c>
      <c r="AC1635">
        <f>IF(DAY(NOW())&lt;M3,INDIRECT(ADDRESS(1635,28))-INDIRECT(ADDRESS(1630,29))+INDIRECT(ADDRESS(1631,29))-INDIRECT(ADDRESS(1634,29)),INDIRECT(ADDRESS(1635,28))-INDIRECT(ADDRESS(1630,29))+INDIRECT(ADDRESS(1633,29))-INDIRECT(ADDRESS(1634,29)))</f>
        <v>0</v>
      </c>
      <c r="AD1635">
        <f>IF(DAY(NOW())&lt;M3,INDIRECT(ADDRESS(1635,29))-INDIRECT(ADDRESS(1630,30))+INDIRECT(ADDRESS(1631,30))-INDIRECT(ADDRESS(1634,30)),INDIRECT(ADDRESS(1635,29))-INDIRECT(ADDRESS(1630,30))+INDIRECT(ADDRESS(1633,30))-INDIRECT(ADDRESS(1634,30)))</f>
        <v>0</v>
      </c>
      <c r="AE1635">
        <f>IF(DAY(NOW())&lt;M3,INDIRECT(ADDRESS(1635,30))-INDIRECT(ADDRESS(1630,31))+INDIRECT(ADDRESS(1631,31))-INDIRECT(ADDRESS(1634,31)),INDIRECT(ADDRESS(1635,30))-INDIRECT(ADDRESS(1630,31))+INDIRECT(ADDRESS(1633,31))-INDIRECT(ADDRESS(1634,31)))</f>
        <v>0</v>
      </c>
      <c r="AF1635">
        <f>IF(DAY(NOW())&lt;M3,INDIRECT(ADDRESS(1635,31))-INDIRECT(ADDRESS(1630,32))+INDIRECT(ADDRESS(1631,32))-INDIRECT(ADDRESS(1634,32)),INDIRECT(ADDRESS(1635,31))-INDIRECT(ADDRESS(1630,32))+INDIRECT(ADDRESS(1633,32))-INDIRECT(ADDRESS(1634,32)))</f>
        <v>0</v>
      </c>
      <c r="AG1635">
        <f>IF(DAY(NOW())&lt;M3,INDIRECT(ADDRESS(1635,32))-INDIRECT(ADDRESS(1630,33))+INDIRECT(ADDRESS(1631,33))-INDIRECT(ADDRESS(1634,33)),INDIRECT(ADDRESS(1635,32))-INDIRECT(ADDRESS(1630,33))+INDIRECT(ADDRESS(1633,33))-INDIRECT(ADDRESS(1634,33)))</f>
        <v>0</v>
      </c>
      <c r="AH1635">
        <f>IF(DAY(NOW())&lt;M3,INDIRECT(ADDRESS(1635,33))-INDIRECT(ADDRESS(1630,34))+INDIRECT(ADDRESS(1631,34))-INDIRECT(ADDRESS(1634,34)),INDIRECT(ADDRESS(1635,33))-INDIRECT(ADDRESS(1630,34))+INDIRECT(ADDRESS(1633,34))-INDIRECT(ADDRESS(1634,34)))</f>
        <v>0</v>
      </c>
      <c r="AI1635">
        <f>IF(DAY(NOW())&lt;M3,INDIRECT(ADDRESS(1635,34))-INDIRECT(ADDRESS(1630,35))+INDIRECT(ADDRESS(1631,35))-INDIRECT(ADDRESS(1634,35)),INDIRECT(ADDRESS(1635,34))-INDIRECT(ADDRESS(1630,35))+INDIRECT(ADDRESS(1633,35))-INDIRECT(ADDRESS(1634,35)))</f>
        <v>0</v>
      </c>
      <c r="AJ1635">
        <f>IF(DAY(NOW())&lt;M3,INDIRECT(ADDRESS(1635,35))-INDIRECT(ADDRESS(1630,36))+INDIRECT(ADDRESS(1631,36))-INDIRECT(ADDRESS(1634,36)),INDIRECT(ADDRESS(1635,35))-INDIRECT(ADDRESS(1630,36))+INDIRECT(ADDRESS(1633,36))-INDIRECT(ADDRESS(1634,36)))</f>
        <v>0</v>
      </c>
      <c r="AK1635">
        <f>IF(DAY(NOW())&lt;M3,INDIRECT(ADDRESS(1635,36))-INDIRECT(ADDRESS(1630,37))+INDIRECT(ADDRESS(1631,37))-INDIRECT(ADDRESS(1634,37)),INDIRECT(ADDRESS(1635,36))-INDIRECT(ADDRESS(1630,37))+INDIRECT(ADDRESS(1633,37))-INDIRECT(ADDRESS(1634,37)))</f>
        <v>0</v>
      </c>
      <c r="AL1635">
        <f>IF(DAY(NOW())&lt;M3,INDIRECT(ADDRESS(1635,37))-INDIRECT(ADDRESS(1630,38))+INDIRECT(ADDRESS(1631,38))-INDIRECT(ADDRESS(1634,38)),INDIRECT(ADDRESS(1635,37))-INDIRECT(ADDRESS(1630,38))+INDIRECT(ADDRESS(1633,38))-INDIRECT(ADDRESS(1634,38)))</f>
        <v>0</v>
      </c>
      <c r="AM1635">
        <f>IF(DAY(NOW())&lt;M3,INDIRECT(ADDRESS(1635,38))-INDIRECT(ADDRESS(1630,39))+INDIRECT(ADDRESS(1631,39))-INDIRECT(ADDRESS(1634,39)),INDIRECT(ADDRESS(1635,38))-INDIRECT(ADDRESS(1630,39))+INDIRECT(ADDRESS(1633,39))-INDIRECT(ADDRESS(1634,39)))</f>
        <v>0</v>
      </c>
      <c r="AN1635">
        <f>IF(DAY(NOW())&lt;M3,INDIRECT(ADDRESS(1635,39))-INDIRECT(ADDRESS(1630,40))+INDIRECT(ADDRESS(1631,40))-INDIRECT(ADDRESS(1634,40)),INDIRECT(ADDRESS(1635,39))-INDIRECT(ADDRESS(1630,40))+INDIRECT(ADDRESS(1633,40))-INDIRECT(ADDRESS(1634,40)))</f>
        <v>0</v>
      </c>
      <c r="AO1635">
        <f>IF(DAY(NOW())&lt;M3,INDIRECT(ADDRESS(1635,40))-INDIRECT(ADDRESS(1630,41))+INDIRECT(ADDRESS(1631,41))-INDIRECT(ADDRESS(1634,41)),INDIRECT(ADDRESS(1635,40))-INDIRECT(ADDRESS(1630,41))+INDIRECT(ADDRESS(1633,41))-INDIRECT(ADDRESS(1634,41)))</f>
        <v>0</v>
      </c>
      <c r="AP1635">
        <f>IF(DAY(NOW())&lt;M3,INDIRECT(ADDRESS(1635,41))-INDIRECT(ADDRESS(1630,42))+INDIRECT(ADDRESS(1631,42))-INDIRECT(ADDRESS(1634,42)),INDIRECT(ADDRESS(1635,41))-INDIRECT(ADDRESS(1630,42))+INDIRECT(ADDRESS(1633,42))-INDIRECT(ADDRESS(1634,42)))</f>
        <v>0</v>
      </c>
      <c r="AQ1635">
        <f>IF(DAY(NOW())&lt;M3,INDIRECT(ADDRESS(1635,42))-INDIRECT(ADDRESS(1630,43))+INDIRECT(ADDRESS(1631,43))-INDIRECT(ADDRESS(1634,43)),INDIRECT(ADDRESS(1635,42))-INDIRECT(ADDRESS(1630,43))+INDIRECT(ADDRESS(1633,43))-INDIRECT(ADDRESS(1634,43)))</f>
        <v>0</v>
      </c>
      <c r="AR1635">
        <f>IF(DAY(NOW())&lt;M3,INDIRECT(ADDRESS(1635,43))-INDIRECT(ADDRESS(1630,44))+INDIRECT(ADDRESS(1631,44))-INDIRECT(ADDRESS(1634,44)),INDIRECT(ADDRESS(1635,43))-INDIRECT(ADDRESS(1630,44))+INDIRECT(ADDRESS(1633,44))-INDIRECT(ADDRESS(1634,44)))</f>
        <v>0</v>
      </c>
    </row>
    <row r="1636" spans="1:76">
      <c r="A1636" t="s">
        <v>31</v>
      </c>
      <c r="B1636" t="s">
        <v>321</v>
      </c>
      <c r="C1636" t="s">
        <v>629</v>
      </c>
      <c r="E1636" t="s">
        <v>238</v>
      </c>
      <c r="F1636" t="s">
        <v>630</v>
      </c>
      <c r="K1636" t="s">
        <v>590</v>
      </c>
      <c r="L1636" t="s">
        <v>21</v>
      </c>
      <c r="M1636">
        <f>sumifs(BOM!m:m,BOM!A:A,".1",BOM!B:B,"222-014500-000")</f>
        <v>0</v>
      </c>
      <c r="N1636">
        <f>sumifs(BOM!n:n,BOM!A:A,".1",BOM!B:B,"222-014500-000")</f>
        <v>0</v>
      </c>
      <c r="O1636">
        <f>sumifs(BOM!o:o,BOM!A:A,".1",BOM!B:B,"222-014500-000")</f>
        <v>0</v>
      </c>
      <c r="P1636">
        <f>sumifs(BOM!p:p,BOM!A:A,".1",BOM!B:B,"222-014500-000")</f>
        <v>0</v>
      </c>
      <c r="Q1636">
        <f>sumifs(BOM!q:q,BOM!A:A,".1",BOM!B:B,"222-014500-000")</f>
        <v>0</v>
      </c>
      <c r="R1636">
        <f>sumifs(BOM!r:r,BOM!A:A,".1",BOM!B:B,"222-014500-000")</f>
        <v>0</v>
      </c>
      <c r="S1636">
        <f>sumifs(BOM!s:s,BOM!A:A,".1",BOM!B:B,"222-014500-000")</f>
        <v>0</v>
      </c>
      <c r="T1636">
        <f>sumifs(BOM!t:t,BOM!A:A,".1",BOM!B:B,"222-014500-000")</f>
        <v>0</v>
      </c>
      <c r="U1636">
        <f>sumifs(BOM!u:u,BOM!A:A,".1",BOM!B:B,"222-014500-000")</f>
        <v>0</v>
      </c>
      <c r="V1636">
        <f>sumifs(BOM!v:v,BOM!A:A,".1",BOM!B:B,"222-014500-000")</f>
        <v>0</v>
      </c>
      <c r="W1636">
        <f>sumifs(BOM!w:w,BOM!A:A,".1",BOM!B:B,"222-014500-000")</f>
        <v>0</v>
      </c>
      <c r="X1636">
        <f>sumifs(BOM!x:x,BOM!A:A,".1",BOM!B:B,"222-014500-000")</f>
        <v>0</v>
      </c>
      <c r="Y1636">
        <f>sumifs(BOM!y:y,BOM!A:A,".1",BOM!B:B,"222-014500-000")</f>
        <v>0</v>
      </c>
      <c r="Z1636">
        <f>sumifs(BOM!z:z,BOM!A:A,".1",BOM!B:B,"222-014500-000")</f>
        <v>0</v>
      </c>
      <c r="AA1636">
        <f>sumifs(BOM!aa:aa,BOM!A:A,".1",BOM!B:B,"222-014500-000")</f>
        <v>0</v>
      </c>
      <c r="AB1636">
        <f>sumifs(BOM!ab:ab,BOM!A:A,".1",BOM!B:B,"222-014500-000")</f>
        <v>0</v>
      </c>
      <c r="AC1636">
        <f>sumifs(BOM!ac:ac,BOM!A:A,".1",BOM!B:B,"222-014500-000")</f>
        <v>0</v>
      </c>
      <c r="AD1636">
        <f>sumifs(BOM!ad:ad,BOM!A:A,".1",BOM!B:B,"222-014500-000")</f>
        <v>0</v>
      </c>
      <c r="AE1636">
        <f>sumifs(BOM!ae:ae,BOM!A:A,".1",BOM!B:B,"222-014500-000")</f>
        <v>0</v>
      </c>
      <c r="AF1636">
        <f>sumifs(BOM!af:af,BOM!A:A,".1",BOM!B:B,"222-014500-000")</f>
        <v>0</v>
      </c>
      <c r="AG1636">
        <f>sumifs(BOM!ag:ag,BOM!A:A,".1",BOM!B:B,"222-014500-000")</f>
        <v>0</v>
      </c>
      <c r="AH1636">
        <f>sumifs(BOM!ah:ah,BOM!A:A,".1",BOM!B:B,"222-014500-000")</f>
        <v>0</v>
      </c>
      <c r="AI1636">
        <f>sumifs(BOM!ai:ai,BOM!A:A,".1",BOM!B:B,"222-014500-000")</f>
        <v>0</v>
      </c>
      <c r="AJ1636">
        <f>sumifs(BOM!aj:aj,BOM!A:A,".1",BOM!B:B,"222-014500-000")</f>
        <v>0</v>
      </c>
      <c r="AK1636">
        <f>sumifs(BOM!ak:ak,BOM!A:A,".1",BOM!B:B,"222-014500-000")</f>
        <v>0</v>
      </c>
      <c r="AL1636">
        <f>sumifs(BOM!al:al,BOM!A:A,".1",BOM!B:B,"222-014500-000")</f>
        <v>0</v>
      </c>
      <c r="AM1636">
        <f>sumifs(BOM!am:am,BOM!A:A,".1",BOM!B:B,"222-014500-000")</f>
        <v>0</v>
      </c>
      <c r="AN1636">
        <f>sumifs(BOM!an:an,BOM!A:A,".1",BOM!B:B,"222-014500-000")</f>
        <v>0</v>
      </c>
      <c r="AO1636">
        <f>sumifs(BOM!ao:ao,BOM!A:A,".1",BOM!B:B,"222-014500-000")</f>
        <v>0</v>
      </c>
      <c r="AP1636">
        <f>sumifs(BOM!ap:ap,BOM!A:A,".1",BOM!B:B,"222-014500-000")</f>
        <v>0</v>
      </c>
      <c r="AQ1636">
        <f>sumifs(BOM!aq:aq,BOM!A:A,".1",BOM!B:B,"222-014500-000")</f>
        <v>0</v>
      </c>
      <c r="AR1636">
        <f>sumifs(BOM!ar:ar,BOM!A:A,".1",BOM!B:B,"222-014500-000")</f>
        <v>0</v>
      </c>
      <c r="BX1636">
        <f>sum(j1636:an1636)</f>
        <v>0</v>
      </c>
    </row>
    <row r="1637" spans="1:76">
      <c r="A1637" t="s">
        <v>31</v>
      </c>
      <c r="B1637" t="s">
        <v>321</v>
      </c>
      <c r="C1637" t="s">
        <v>629</v>
      </c>
      <c r="E1637" t="s">
        <v>238</v>
      </c>
      <c r="F1637" t="s">
        <v>630</v>
      </c>
      <c r="K1637" t="s">
        <v>590</v>
      </c>
      <c r="L1637" t="s">
        <v>37</v>
      </c>
    </row>
    <row r="1638" spans="1:76">
      <c r="L1638" t="s">
        <v>662</v>
      </c>
    </row>
    <row r="1639" spans="1:76">
      <c r="L1639" t="s">
        <v>663</v>
      </c>
    </row>
    <row r="1640" spans="1:76">
      <c r="L1640" t="s">
        <v>664</v>
      </c>
    </row>
    <row r="1641" spans="1:76">
      <c r="L1641" t="s">
        <v>665</v>
      </c>
      <c r="M1641">
        <f>IF(DAY(NOW())&lt;M3,INDIRECT(ADDRESS(1641,7))-INDIRECT(ADDRESS(1636,13))+INDIRECT(ADDRESS(1637,13))-INDIRECT(ADDRESS(1640,13)),INDIRECT(ADDRESS(1641,7))-INDIRECT(ADDRESS(1636,13))+INDIRECT(ADDRESS(1639,13))-INDIRECT(ADDRESS(1640,13)))</f>
        <v>0</v>
      </c>
      <c r="N1641">
        <f>IF(DAY(NOW())&lt;M3,INDIRECT(ADDRESS(1641,13))-INDIRECT(ADDRESS(1636,14))+INDIRECT(ADDRESS(1637,14))-INDIRECT(ADDRESS(1640,14)),INDIRECT(ADDRESS(1641,13))-INDIRECT(ADDRESS(1636,14))+INDIRECT(ADDRESS(1639,14))-INDIRECT(ADDRESS(1640,14)))</f>
        <v>0</v>
      </c>
      <c r="O1641">
        <f>IF(DAY(NOW())&lt;M3,INDIRECT(ADDRESS(1641,14))-INDIRECT(ADDRESS(1636,15))+INDIRECT(ADDRESS(1637,15))-INDIRECT(ADDRESS(1640,15)),INDIRECT(ADDRESS(1641,14))-INDIRECT(ADDRESS(1636,15))+INDIRECT(ADDRESS(1639,15))-INDIRECT(ADDRESS(1640,15)))</f>
        <v>0</v>
      </c>
      <c r="P1641">
        <f>IF(DAY(NOW())&lt;M3,INDIRECT(ADDRESS(1641,15))-INDIRECT(ADDRESS(1636,16))+INDIRECT(ADDRESS(1637,16))-INDIRECT(ADDRESS(1640,16)),INDIRECT(ADDRESS(1641,15))-INDIRECT(ADDRESS(1636,16))+INDIRECT(ADDRESS(1639,16))-INDIRECT(ADDRESS(1640,16)))</f>
        <v>0</v>
      </c>
      <c r="Q1641">
        <f>IF(DAY(NOW())&lt;M3,INDIRECT(ADDRESS(1641,16))-INDIRECT(ADDRESS(1636,17))+INDIRECT(ADDRESS(1637,17))-INDIRECT(ADDRESS(1640,17)),INDIRECT(ADDRESS(1641,16))-INDIRECT(ADDRESS(1636,17))+INDIRECT(ADDRESS(1639,17))-INDIRECT(ADDRESS(1640,17)))</f>
        <v>0</v>
      </c>
      <c r="R1641">
        <f>IF(DAY(NOW())&lt;M3,INDIRECT(ADDRESS(1641,17))-INDIRECT(ADDRESS(1636,18))+INDIRECT(ADDRESS(1637,18))-INDIRECT(ADDRESS(1640,18)),INDIRECT(ADDRESS(1641,17))-INDIRECT(ADDRESS(1636,18))+INDIRECT(ADDRESS(1639,18))-INDIRECT(ADDRESS(1640,18)))</f>
        <v>0</v>
      </c>
      <c r="S1641">
        <f>IF(DAY(NOW())&lt;M3,INDIRECT(ADDRESS(1641,18))-INDIRECT(ADDRESS(1636,19))+INDIRECT(ADDRESS(1637,19))-INDIRECT(ADDRESS(1640,19)),INDIRECT(ADDRESS(1641,18))-INDIRECT(ADDRESS(1636,19))+INDIRECT(ADDRESS(1639,19))-INDIRECT(ADDRESS(1640,19)))</f>
        <v>0</v>
      </c>
      <c r="T1641">
        <f>IF(DAY(NOW())&lt;M3,INDIRECT(ADDRESS(1641,19))-INDIRECT(ADDRESS(1636,20))+INDIRECT(ADDRESS(1637,20))-INDIRECT(ADDRESS(1640,20)),INDIRECT(ADDRESS(1641,19))-INDIRECT(ADDRESS(1636,20))+INDIRECT(ADDRESS(1639,20))-INDIRECT(ADDRESS(1640,20)))</f>
        <v>0</v>
      </c>
      <c r="U1641">
        <f>IF(DAY(NOW())&lt;M3,INDIRECT(ADDRESS(1641,20))-INDIRECT(ADDRESS(1636,21))+INDIRECT(ADDRESS(1637,21))-INDIRECT(ADDRESS(1640,21)),INDIRECT(ADDRESS(1641,20))-INDIRECT(ADDRESS(1636,21))+INDIRECT(ADDRESS(1639,21))-INDIRECT(ADDRESS(1640,21)))</f>
        <v>0</v>
      </c>
      <c r="V1641">
        <f>IF(DAY(NOW())&lt;M3,INDIRECT(ADDRESS(1641,21))-INDIRECT(ADDRESS(1636,22))+INDIRECT(ADDRESS(1637,22))-INDIRECT(ADDRESS(1640,22)),INDIRECT(ADDRESS(1641,21))-INDIRECT(ADDRESS(1636,22))+INDIRECT(ADDRESS(1639,22))-INDIRECT(ADDRESS(1640,22)))</f>
        <v>0</v>
      </c>
      <c r="W1641">
        <f>IF(DAY(NOW())&lt;M3,INDIRECT(ADDRESS(1641,22))-INDIRECT(ADDRESS(1636,23))+INDIRECT(ADDRESS(1637,23))-INDIRECT(ADDRESS(1640,23)),INDIRECT(ADDRESS(1641,22))-INDIRECT(ADDRESS(1636,23))+INDIRECT(ADDRESS(1639,23))-INDIRECT(ADDRESS(1640,23)))</f>
        <v>0</v>
      </c>
      <c r="X1641">
        <f>IF(DAY(NOW())&lt;M3,INDIRECT(ADDRESS(1641,23))-INDIRECT(ADDRESS(1636,24))+INDIRECT(ADDRESS(1637,24))-INDIRECT(ADDRESS(1640,24)),INDIRECT(ADDRESS(1641,23))-INDIRECT(ADDRESS(1636,24))+INDIRECT(ADDRESS(1639,24))-INDIRECT(ADDRESS(1640,24)))</f>
        <v>0</v>
      </c>
      <c r="Y1641">
        <f>IF(DAY(NOW())&lt;M3,INDIRECT(ADDRESS(1641,24))-INDIRECT(ADDRESS(1636,25))+INDIRECT(ADDRESS(1637,25))-INDIRECT(ADDRESS(1640,25)),INDIRECT(ADDRESS(1641,24))-INDIRECT(ADDRESS(1636,25))+INDIRECT(ADDRESS(1639,25))-INDIRECT(ADDRESS(1640,25)))</f>
        <v>0</v>
      </c>
      <c r="Z1641">
        <f>IF(DAY(NOW())&lt;M3,INDIRECT(ADDRESS(1641,25))-INDIRECT(ADDRESS(1636,26))+INDIRECT(ADDRESS(1637,26))-INDIRECT(ADDRESS(1640,26)),INDIRECT(ADDRESS(1641,25))-INDIRECT(ADDRESS(1636,26))+INDIRECT(ADDRESS(1639,26))-INDIRECT(ADDRESS(1640,26)))</f>
        <v>0</v>
      </c>
      <c r="AA1641">
        <f>IF(DAY(NOW())&lt;M3,INDIRECT(ADDRESS(1641,26))-INDIRECT(ADDRESS(1636,27))+INDIRECT(ADDRESS(1637,27))-INDIRECT(ADDRESS(1640,27)),INDIRECT(ADDRESS(1641,26))-INDIRECT(ADDRESS(1636,27))+INDIRECT(ADDRESS(1639,27))-INDIRECT(ADDRESS(1640,27)))</f>
        <v>0</v>
      </c>
      <c r="AB1641">
        <f>IF(DAY(NOW())&lt;M3,INDIRECT(ADDRESS(1641,27))-INDIRECT(ADDRESS(1636,28))+INDIRECT(ADDRESS(1637,28))-INDIRECT(ADDRESS(1640,28)),INDIRECT(ADDRESS(1641,27))-INDIRECT(ADDRESS(1636,28))+INDIRECT(ADDRESS(1639,28))-INDIRECT(ADDRESS(1640,28)))</f>
        <v>0</v>
      </c>
      <c r="AC1641">
        <f>IF(DAY(NOW())&lt;M3,INDIRECT(ADDRESS(1641,28))-INDIRECT(ADDRESS(1636,29))+INDIRECT(ADDRESS(1637,29))-INDIRECT(ADDRESS(1640,29)),INDIRECT(ADDRESS(1641,28))-INDIRECT(ADDRESS(1636,29))+INDIRECT(ADDRESS(1639,29))-INDIRECT(ADDRESS(1640,29)))</f>
        <v>0</v>
      </c>
      <c r="AD1641">
        <f>IF(DAY(NOW())&lt;M3,INDIRECT(ADDRESS(1641,29))-INDIRECT(ADDRESS(1636,30))+INDIRECT(ADDRESS(1637,30))-INDIRECT(ADDRESS(1640,30)),INDIRECT(ADDRESS(1641,29))-INDIRECT(ADDRESS(1636,30))+INDIRECT(ADDRESS(1639,30))-INDIRECT(ADDRESS(1640,30)))</f>
        <v>0</v>
      </c>
      <c r="AE1641">
        <f>IF(DAY(NOW())&lt;M3,INDIRECT(ADDRESS(1641,30))-INDIRECT(ADDRESS(1636,31))+INDIRECT(ADDRESS(1637,31))-INDIRECT(ADDRESS(1640,31)),INDIRECT(ADDRESS(1641,30))-INDIRECT(ADDRESS(1636,31))+INDIRECT(ADDRESS(1639,31))-INDIRECT(ADDRESS(1640,31)))</f>
        <v>0</v>
      </c>
      <c r="AF1641">
        <f>IF(DAY(NOW())&lt;M3,INDIRECT(ADDRESS(1641,31))-INDIRECT(ADDRESS(1636,32))+INDIRECT(ADDRESS(1637,32))-INDIRECT(ADDRESS(1640,32)),INDIRECT(ADDRESS(1641,31))-INDIRECT(ADDRESS(1636,32))+INDIRECT(ADDRESS(1639,32))-INDIRECT(ADDRESS(1640,32)))</f>
        <v>0</v>
      </c>
      <c r="AG1641">
        <f>IF(DAY(NOW())&lt;M3,INDIRECT(ADDRESS(1641,32))-INDIRECT(ADDRESS(1636,33))+INDIRECT(ADDRESS(1637,33))-INDIRECT(ADDRESS(1640,33)),INDIRECT(ADDRESS(1641,32))-INDIRECT(ADDRESS(1636,33))+INDIRECT(ADDRESS(1639,33))-INDIRECT(ADDRESS(1640,33)))</f>
        <v>0</v>
      </c>
      <c r="AH1641">
        <f>IF(DAY(NOW())&lt;M3,INDIRECT(ADDRESS(1641,33))-INDIRECT(ADDRESS(1636,34))+INDIRECT(ADDRESS(1637,34))-INDIRECT(ADDRESS(1640,34)),INDIRECT(ADDRESS(1641,33))-INDIRECT(ADDRESS(1636,34))+INDIRECT(ADDRESS(1639,34))-INDIRECT(ADDRESS(1640,34)))</f>
        <v>0</v>
      </c>
      <c r="AI1641">
        <f>IF(DAY(NOW())&lt;M3,INDIRECT(ADDRESS(1641,34))-INDIRECT(ADDRESS(1636,35))+INDIRECT(ADDRESS(1637,35))-INDIRECT(ADDRESS(1640,35)),INDIRECT(ADDRESS(1641,34))-INDIRECT(ADDRESS(1636,35))+INDIRECT(ADDRESS(1639,35))-INDIRECT(ADDRESS(1640,35)))</f>
        <v>0</v>
      </c>
      <c r="AJ1641">
        <f>IF(DAY(NOW())&lt;M3,INDIRECT(ADDRESS(1641,35))-INDIRECT(ADDRESS(1636,36))+INDIRECT(ADDRESS(1637,36))-INDIRECT(ADDRESS(1640,36)),INDIRECT(ADDRESS(1641,35))-INDIRECT(ADDRESS(1636,36))+INDIRECT(ADDRESS(1639,36))-INDIRECT(ADDRESS(1640,36)))</f>
        <v>0</v>
      </c>
      <c r="AK1641">
        <f>IF(DAY(NOW())&lt;M3,INDIRECT(ADDRESS(1641,36))-INDIRECT(ADDRESS(1636,37))+INDIRECT(ADDRESS(1637,37))-INDIRECT(ADDRESS(1640,37)),INDIRECT(ADDRESS(1641,36))-INDIRECT(ADDRESS(1636,37))+INDIRECT(ADDRESS(1639,37))-INDIRECT(ADDRESS(1640,37)))</f>
        <v>0</v>
      </c>
      <c r="AL1641">
        <f>IF(DAY(NOW())&lt;M3,INDIRECT(ADDRESS(1641,37))-INDIRECT(ADDRESS(1636,38))+INDIRECT(ADDRESS(1637,38))-INDIRECT(ADDRESS(1640,38)),INDIRECT(ADDRESS(1641,37))-INDIRECT(ADDRESS(1636,38))+INDIRECT(ADDRESS(1639,38))-INDIRECT(ADDRESS(1640,38)))</f>
        <v>0</v>
      </c>
      <c r="AM1641">
        <f>IF(DAY(NOW())&lt;M3,INDIRECT(ADDRESS(1641,38))-INDIRECT(ADDRESS(1636,39))+INDIRECT(ADDRESS(1637,39))-INDIRECT(ADDRESS(1640,39)),INDIRECT(ADDRESS(1641,38))-INDIRECT(ADDRESS(1636,39))+INDIRECT(ADDRESS(1639,39))-INDIRECT(ADDRESS(1640,39)))</f>
        <v>0</v>
      </c>
      <c r="AN1641">
        <f>IF(DAY(NOW())&lt;M3,INDIRECT(ADDRESS(1641,39))-INDIRECT(ADDRESS(1636,40))+INDIRECT(ADDRESS(1637,40))-INDIRECT(ADDRESS(1640,40)),INDIRECT(ADDRESS(1641,39))-INDIRECT(ADDRESS(1636,40))+INDIRECT(ADDRESS(1639,40))-INDIRECT(ADDRESS(1640,40)))</f>
        <v>0</v>
      </c>
      <c r="AO1641">
        <f>IF(DAY(NOW())&lt;M3,INDIRECT(ADDRESS(1641,40))-INDIRECT(ADDRESS(1636,41))+INDIRECT(ADDRESS(1637,41))-INDIRECT(ADDRESS(1640,41)),INDIRECT(ADDRESS(1641,40))-INDIRECT(ADDRESS(1636,41))+INDIRECT(ADDRESS(1639,41))-INDIRECT(ADDRESS(1640,41)))</f>
        <v>0</v>
      </c>
      <c r="AP1641">
        <f>IF(DAY(NOW())&lt;M3,INDIRECT(ADDRESS(1641,41))-INDIRECT(ADDRESS(1636,42))+INDIRECT(ADDRESS(1637,42))-INDIRECT(ADDRESS(1640,42)),INDIRECT(ADDRESS(1641,41))-INDIRECT(ADDRESS(1636,42))+INDIRECT(ADDRESS(1639,42))-INDIRECT(ADDRESS(1640,42)))</f>
        <v>0</v>
      </c>
      <c r="AQ1641">
        <f>IF(DAY(NOW())&lt;M3,INDIRECT(ADDRESS(1641,42))-INDIRECT(ADDRESS(1636,43))+INDIRECT(ADDRESS(1637,43))-INDIRECT(ADDRESS(1640,43)),INDIRECT(ADDRESS(1641,42))-INDIRECT(ADDRESS(1636,43))+INDIRECT(ADDRESS(1639,43))-INDIRECT(ADDRESS(1640,43)))</f>
        <v>0</v>
      </c>
      <c r="AR1641">
        <f>IF(DAY(NOW())&lt;M3,INDIRECT(ADDRESS(1641,43))-INDIRECT(ADDRESS(1636,44))+INDIRECT(ADDRESS(1637,44))-INDIRECT(ADDRESS(1640,44)),INDIRECT(ADDRESS(1641,43))-INDIRECT(ADDRESS(1636,44))+INDIRECT(ADDRESS(1639,44))-INDIRECT(ADDRESS(1640,44)))</f>
        <v>0</v>
      </c>
    </row>
    <row r="1642" spans="1:76">
      <c r="A1642" t="s">
        <v>31</v>
      </c>
      <c r="B1642" t="s">
        <v>631</v>
      </c>
      <c r="C1642" t="s">
        <v>632</v>
      </c>
      <c r="E1642" t="s">
        <v>444</v>
      </c>
      <c r="F1642" t="s">
        <v>633</v>
      </c>
      <c r="K1642" t="s">
        <v>590</v>
      </c>
      <c r="L1642" t="s">
        <v>21</v>
      </c>
      <c r="M1642">
        <f>sumifs(BOM!m:m,BOM!A:A,".1",BOM!B:B,"211-016500-000")</f>
        <v>0</v>
      </c>
      <c r="N1642">
        <f>sumifs(BOM!n:n,BOM!A:A,".1",BOM!B:B,"211-016500-000")</f>
        <v>0</v>
      </c>
      <c r="O1642">
        <f>sumifs(BOM!o:o,BOM!A:A,".1",BOM!B:B,"211-016500-000")</f>
        <v>0</v>
      </c>
      <c r="P1642">
        <f>sumifs(BOM!p:p,BOM!A:A,".1",BOM!B:B,"211-016500-000")</f>
        <v>0</v>
      </c>
      <c r="Q1642">
        <f>sumifs(BOM!q:q,BOM!A:A,".1",BOM!B:B,"211-016500-000")</f>
        <v>0</v>
      </c>
      <c r="R1642">
        <f>sumifs(BOM!r:r,BOM!A:A,".1",BOM!B:B,"211-016500-000")</f>
        <v>0</v>
      </c>
      <c r="S1642">
        <f>sumifs(BOM!s:s,BOM!A:A,".1",BOM!B:B,"211-016500-000")</f>
        <v>0</v>
      </c>
      <c r="T1642">
        <f>sumifs(BOM!t:t,BOM!A:A,".1",BOM!B:B,"211-016500-000")</f>
        <v>0</v>
      </c>
      <c r="U1642">
        <f>sumifs(BOM!u:u,BOM!A:A,".1",BOM!B:B,"211-016500-000")</f>
        <v>0</v>
      </c>
      <c r="V1642">
        <f>sumifs(BOM!v:v,BOM!A:A,".1",BOM!B:B,"211-016500-000")</f>
        <v>0</v>
      </c>
      <c r="W1642">
        <f>sumifs(BOM!w:w,BOM!A:A,".1",BOM!B:B,"211-016500-000")</f>
        <v>0</v>
      </c>
      <c r="X1642">
        <f>sumifs(BOM!x:x,BOM!A:A,".1",BOM!B:B,"211-016500-000")</f>
        <v>0</v>
      </c>
      <c r="Y1642">
        <f>sumifs(BOM!y:y,BOM!A:A,".1",BOM!B:B,"211-016500-000")</f>
        <v>0</v>
      </c>
      <c r="Z1642">
        <f>sumifs(BOM!z:z,BOM!A:A,".1",BOM!B:B,"211-016500-000")</f>
        <v>0</v>
      </c>
      <c r="AA1642">
        <f>sumifs(BOM!aa:aa,BOM!A:A,".1",BOM!B:B,"211-016500-000")</f>
        <v>0</v>
      </c>
      <c r="AB1642">
        <f>sumifs(BOM!ab:ab,BOM!A:A,".1",BOM!B:B,"211-016500-000")</f>
        <v>0</v>
      </c>
      <c r="AC1642">
        <f>sumifs(BOM!ac:ac,BOM!A:A,".1",BOM!B:B,"211-016500-000")</f>
        <v>0</v>
      </c>
      <c r="AD1642">
        <f>sumifs(BOM!ad:ad,BOM!A:A,".1",BOM!B:B,"211-016500-000")</f>
        <v>0</v>
      </c>
      <c r="AE1642">
        <f>sumifs(BOM!ae:ae,BOM!A:A,".1",BOM!B:B,"211-016500-000")</f>
        <v>0</v>
      </c>
      <c r="AF1642">
        <f>sumifs(BOM!af:af,BOM!A:A,".1",BOM!B:B,"211-016500-000")</f>
        <v>0</v>
      </c>
      <c r="AG1642">
        <f>sumifs(BOM!ag:ag,BOM!A:A,".1",BOM!B:B,"211-016500-000")</f>
        <v>0</v>
      </c>
      <c r="AH1642">
        <f>sumifs(BOM!ah:ah,BOM!A:A,".1",BOM!B:B,"211-016500-000")</f>
        <v>0</v>
      </c>
      <c r="AI1642">
        <f>sumifs(BOM!ai:ai,BOM!A:A,".1",BOM!B:B,"211-016500-000")</f>
        <v>0</v>
      </c>
      <c r="AJ1642">
        <f>sumifs(BOM!aj:aj,BOM!A:A,".1",BOM!B:B,"211-016500-000")</f>
        <v>0</v>
      </c>
      <c r="AK1642">
        <f>sumifs(BOM!ak:ak,BOM!A:A,".1",BOM!B:B,"211-016500-000")</f>
        <v>0</v>
      </c>
      <c r="AL1642">
        <f>sumifs(BOM!al:al,BOM!A:A,".1",BOM!B:B,"211-016500-000")</f>
        <v>0</v>
      </c>
      <c r="AM1642">
        <f>sumifs(BOM!am:am,BOM!A:A,".1",BOM!B:B,"211-016500-000")</f>
        <v>0</v>
      </c>
      <c r="AN1642">
        <f>sumifs(BOM!an:an,BOM!A:A,".1",BOM!B:B,"211-016500-000")</f>
        <v>0</v>
      </c>
      <c r="AO1642">
        <f>sumifs(BOM!ao:ao,BOM!A:A,".1",BOM!B:B,"211-016500-000")</f>
        <v>0</v>
      </c>
      <c r="AP1642">
        <f>sumifs(BOM!ap:ap,BOM!A:A,".1",BOM!B:B,"211-016500-000")</f>
        <v>0</v>
      </c>
      <c r="AQ1642">
        <f>sumifs(BOM!aq:aq,BOM!A:A,".1",BOM!B:B,"211-016500-000")</f>
        <v>0</v>
      </c>
      <c r="AR1642">
        <f>sumifs(BOM!ar:ar,BOM!A:A,".1",BOM!B:B,"211-016500-000")</f>
        <v>0</v>
      </c>
      <c r="BX1642">
        <f>sum(j1642:an1642)</f>
        <v>0</v>
      </c>
    </row>
    <row r="1643" spans="1:76">
      <c r="A1643" t="s">
        <v>31</v>
      </c>
      <c r="B1643" t="s">
        <v>631</v>
      </c>
      <c r="C1643" t="s">
        <v>632</v>
      </c>
      <c r="E1643" t="s">
        <v>444</v>
      </c>
      <c r="F1643" t="s">
        <v>633</v>
      </c>
      <c r="K1643" t="s">
        <v>590</v>
      </c>
      <c r="L1643" t="s">
        <v>37</v>
      </c>
    </row>
    <row r="1644" spans="1:76">
      <c r="L1644" t="s">
        <v>662</v>
      </c>
    </row>
    <row r="1645" spans="1:76">
      <c r="L1645" t="s">
        <v>663</v>
      </c>
    </row>
    <row r="1646" spans="1:76">
      <c r="L1646" t="s">
        <v>664</v>
      </c>
    </row>
    <row r="1647" spans="1:76">
      <c r="L1647" t="s">
        <v>665</v>
      </c>
      <c r="M1647">
        <f>IF(DAY(NOW())&lt;M3,INDIRECT(ADDRESS(1647,7))-INDIRECT(ADDRESS(1642,13))+INDIRECT(ADDRESS(1643,13))-INDIRECT(ADDRESS(1646,13)),INDIRECT(ADDRESS(1647,7))-INDIRECT(ADDRESS(1642,13))+INDIRECT(ADDRESS(1645,13))-INDIRECT(ADDRESS(1646,13)))</f>
        <v>0</v>
      </c>
      <c r="N1647">
        <f>IF(DAY(NOW())&lt;M3,INDIRECT(ADDRESS(1647,13))-INDIRECT(ADDRESS(1642,14))+INDIRECT(ADDRESS(1643,14))-INDIRECT(ADDRESS(1646,14)),INDIRECT(ADDRESS(1647,13))-INDIRECT(ADDRESS(1642,14))+INDIRECT(ADDRESS(1645,14))-INDIRECT(ADDRESS(1646,14)))</f>
        <v>0</v>
      </c>
      <c r="O1647">
        <f>IF(DAY(NOW())&lt;M3,INDIRECT(ADDRESS(1647,14))-INDIRECT(ADDRESS(1642,15))+INDIRECT(ADDRESS(1643,15))-INDIRECT(ADDRESS(1646,15)),INDIRECT(ADDRESS(1647,14))-INDIRECT(ADDRESS(1642,15))+INDIRECT(ADDRESS(1645,15))-INDIRECT(ADDRESS(1646,15)))</f>
        <v>0</v>
      </c>
      <c r="P1647">
        <f>IF(DAY(NOW())&lt;M3,INDIRECT(ADDRESS(1647,15))-INDIRECT(ADDRESS(1642,16))+INDIRECT(ADDRESS(1643,16))-INDIRECT(ADDRESS(1646,16)),INDIRECT(ADDRESS(1647,15))-INDIRECT(ADDRESS(1642,16))+INDIRECT(ADDRESS(1645,16))-INDIRECT(ADDRESS(1646,16)))</f>
        <v>0</v>
      </c>
      <c r="Q1647">
        <f>IF(DAY(NOW())&lt;M3,INDIRECT(ADDRESS(1647,16))-INDIRECT(ADDRESS(1642,17))+INDIRECT(ADDRESS(1643,17))-INDIRECT(ADDRESS(1646,17)),INDIRECT(ADDRESS(1647,16))-INDIRECT(ADDRESS(1642,17))+INDIRECT(ADDRESS(1645,17))-INDIRECT(ADDRESS(1646,17)))</f>
        <v>0</v>
      </c>
      <c r="R1647">
        <f>IF(DAY(NOW())&lt;M3,INDIRECT(ADDRESS(1647,17))-INDIRECT(ADDRESS(1642,18))+INDIRECT(ADDRESS(1643,18))-INDIRECT(ADDRESS(1646,18)),INDIRECT(ADDRESS(1647,17))-INDIRECT(ADDRESS(1642,18))+INDIRECT(ADDRESS(1645,18))-INDIRECT(ADDRESS(1646,18)))</f>
        <v>0</v>
      </c>
      <c r="S1647">
        <f>IF(DAY(NOW())&lt;M3,INDIRECT(ADDRESS(1647,18))-INDIRECT(ADDRESS(1642,19))+INDIRECT(ADDRESS(1643,19))-INDIRECT(ADDRESS(1646,19)),INDIRECT(ADDRESS(1647,18))-INDIRECT(ADDRESS(1642,19))+INDIRECT(ADDRESS(1645,19))-INDIRECT(ADDRESS(1646,19)))</f>
        <v>0</v>
      </c>
      <c r="T1647">
        <f>IF(DAY(NOW())&lt;M3,INDIRECT(ADDRESS(1647,19))-INDIRECT(ADDRESS(1642,20))+INDIRECT(ADDRESS(1643,20))-INDIRECT(ADDRESS(1646,20)),INDIRECT(ADDRESS(1647,19))-INDIRECT(ADDRESS(1642,20))+INDIRECT(ADDRESS(1645,20))-INDIRECT(ADDRESS(1646,20)))</f>
        <v>0</v>
      </c>
      <c r="U1647">
        <f>IF(DAY(NOW())&lt;M3,INDIRECT(ADDRESS(1647,20))-INDIRECT(ADDRESS(1642,21))+INDIRECT(ADDRESS(1643,21))-INDIRECT(ADDRESS(1646,21)),INDIRECT(ADDRESS(1647,20))-INDIRECT(ADDRESS(1642,21))+INDIRECT(ADDRESS(1645,21))-INDIRECT(ADDRESS(1646,21)))</f>
        <v>0</v>
      </c>
      <c r="V1647">
        <f>IF(DAY(NOW())&lt;M3,INDIRECT(ADDRESS(1647,21))-INDIRECT(ADDRESS(1642,22))+INDIRECT(ADDRESS(1643,22))-INDIRECT(ADDRESS(1646,22)),INDIRECT(ADDRESS(1647,21))-INDIRECT(ADDRESS(1642,22))+INDIRECT(ADDRESS(1645,22))-INDIRECT(ADDRESS(1646,22)))</f>
        <v>0</v>
      </c>
      <c r="W1647">
        <f>IF(DAY(NOW())&lt;M3,INDIRECT(ADDRESS(1647,22))-INDIRECT(ADDRESS(1642,23))+INDIRECT(ADDRESS(1643,23))-INDIRECT(ADDRESS(1646,23)),INDIRECT(ADDRESS(1647,22))-INDIRECT(ADDRESS(1642,23))+INDIRECT(ADDRESS(1645,23))-INDIRECT(ADDRESS(1646,23)))</f>
        <v>0</v>
      </c>
      <c r="X1647">
        <f>IF(DAY(NOW())&lt;M3,INDIRECT(ADDRESS(1647,23))-INDIRECT(ADDRESS(1642,24))+INDIRECT(ADDRESS(1643,24))-INDIRECT(ADDRESS(1646,24)),INDIRECT(ADDRESS(1647,23))-INDIRECT(ADDRESS(1642,24))+INDIRECT(ADDRESS(1645,24))-INDIRECT(ADDRESS(1646,24)))</f>
        <v>0</v>
      </c>
      <c r="Y1647">
        <f>IF(DAY(NOW())&lt;M3,INDIRECT(ADDRESS(1647,24))-INDIRECT(ADDRESS(1642,25))+INDIRECT(ADDRESS(1643,25))-INDIRECT(ADDRESS(1646,25)),INDIRECT(ADDRESS(1647,24))-INDIRECT(ADDRESS(1642,25))+INDIRECT(ADDRESS(1645,25))-INDIRECT(ADDRESS(1646,25)))</f>
        <v>0</v>
      </c>
      <c r="Z1647">
        <f>IF(DAY(NOW())&lt;M3,INDIRECT(ADDRESS(1647,25))-INDIRECT(ADDRESS(1642,26))+INDIRECT(ADDRESS(1643,26))-INDIRECT(ADDRESS(1646,26)),INDIRECT(ADDRESS(1647,25))-INDIRECT(ADDRESS(1642,26))+INDIRECT(ADDRESS(1645,26))-INDIRECT(ADDRESS(1646,26)))</f>
        <v>0</v>
      </c>
      <c r="AA1647">
        <f>IF(DAY(NOW())&lt;M3,INDIRECT(ADDRESS(1647,26))-INDIRECT(ADDRESS(1642,27))+INDIRECT(ADDRESS(1643,27))-INDIRECT(ADDRESS(1646,27)),INDIRECT(ADDRESS(1647,26))-INDIRECT(ADDRESS(1642,27))+INDIRECT(ADDRESS(1645,27))-INDIRECT(ADDRESS(1646,27)))</f>
        <v>0</v>
      </c>
      <c r="AB1647">
        <f>IF(DAY(NOW())&lt;M3,INDIRECT(ADDRESS(1647,27))-INDIRECT(ADDRESS(1642,28))+INDIRECT(ADDRESS(1643,28))-INDIRECT(ADDRESS(1646,28)),INDIRECT(ADDRESS(1647,27))-INDIRECT(ADDRESS(1642,28))+INDIRECT(ADDRESS(1645,28))-INDIRECT(ADDRESS(1646,28)))</f>
        <v>0</v>
      </c>
      <c r="AC1647">
        <f>IF(DAY(NOW())&lt;M3,INDIRECT(ADDRESS(1647,28))-INDIRECT(ADDRESS(1642,29))+INDIRECT(ADDRESS(1643,29))-INDIRECT(ADDRESS(1646,29)),INDIRECT(ADDRESS(1647,28))-INDIRECT(ADDRESS(1642,29))+INDIRECT(ADDRESS(1645,29))-INDIRECT(ADDRESS(1646,29)))</f>
        <v>0</v>
      </c>
      <c r="AD1647">
        <f>IF(DAY(NOW())&lt;M3,INDIRECT(ADDRESS(1647,29))-INDIRECT(ADDRESS(1642,30))+INDIRECT(ADDRESS(1643,30))-INDIRECT(ADDRESS(1646,30)),INDIRECT(ADDRESS(1647,29))-INDIRECT(ADDRESS(1642,30))+INDIRECT(ADDRESS(1645,30))-INDIRECT(ADDRESS(1646,30)))</f>
        <v>0</v>
      </c>
      <c r="AE1647">
        <f>IF(DAY(NOW())&lt;M3,INDIRECT(ADDRESS(1647,30))-INDIRECT(ADDRESS(1642,31))+INDIRECT(ADDRESS(1643,31))-INDIRECT(ADDRESS(1646,31)),INDIRECT(ADDRESS(1647,30))-INDIRECT(ADDRESS(1642,31))+INDIRECT(ADDRESS(1645,31))-INDIRECT(ADDRESS(1646,31)))</f>
        <v>0</v>
      </c>
      <c r="AF1647">
        <f>IF(DAY(NOW())&lt;M3,INDIRECT(ADDRESS(1647,31))-INDIRECT(ADDRESS(1642,32))+INDIRECT(ADDRESS(1643,32))-INDIRECT(ADDRESS(1646,32)),INDIRECT(ADDRESS(1647,31))-INDIRECT(ADDRESS(1642,32))+INDIRECT(ADDRESS(1645,32))-INDIRECT(ADDRESS(1646,32)))</f>
        <v>0</v>
      </c>
      <c r="AG1647">
        <f>IF(DAY(NOW())&lt;M3,INDIRECT(ADDRESS(1647,32))-INDIRECT(ADDRESS(1642,33))+INDIRECT(ADDRESS(1643,33))-INDIRECT(ADDRESS(1646,33)),INDIRECT(ADDRESS(1647,32))-INDIRECT(ADDRESS(1642,33))+INDIRECT(ADDRESS(1645,33))-INDIRECT(ADDRESS(1646,33)))</f>
        <v>0</v>
      </c>
      <c r="AH1647">
        <f>IF(DAY(NOW())&lt;M3,INDIRECT(ADDRESS(1647,33))-INDIRECT(ADDRESS(1642,34))+INDIRECT(ADDRESS(1643,34))-INDIRECT(ADDRESS(1646,34)),INDIRECT(ADDRESS(1647,33))-INDIRECT(ADDRESS(1642,34))+INDIRECT(ADDRESS(1645,34))-INDIRECT(ADDRESS(1646,34)))</f>
        <v>0</v>
      </c>
      <c r="AI1647">
        <f>IF(DAY(NOW())&lt;M3,INDIRECT(ADDRESS(1647,34))-INDIRECT(ADDRESS(1642,35))+INDIRECT(ADDRESS(1643,35))-INDIRECT(ADDRESS(1646,35)),INDIRECT(ADDRESS(1647,34))-INDIRECT(ADDRESS(1642,35))+INDIRECT(ADDRESS(1645,35))-INDIRECT(ADDRESS(1646,35)))</f>
        <v>0</v>
      </c>
      <c r="AJ1647">
        <f>IF(DAY(NOW())&lt;M3,INDIRECT(ADDRESS(1647,35))-INDIRECT(ADDRESS(1642,36))+INDIRECT(ADDRESS(1643,36))-INDIRECT(ADDRESS(1646,36)),INDIRECT(ADDRESS(1647,35))-INDIRECT(ADDRESS(1642,36))+INDIRECT(ADDRESS(1645,36))-INDIRECT(ADDRESS(1646,36)))</f>
        <v>0</v>
      </c>
      <c r="AK1647">
        <f>IF(DAY(NOW())&lt;M3,INDIRECT(ADDRESS(1647,36))-INDIRECT(ADDRESS(1642,37))+INDIRECT(ADDRESS(1643,37))-INDIRECT(ADDRESS(1646,37)),INDIRECT(ADDRESS(1647,36))-INDIRECT(ADDRESS(1642,37))+INDIRECT(ADDRESS(1645,37))-INDIRECT(ADDRESS(1646,37)))</f>
        <v>0</v>
      </c>
      <c r="AL1647">
        <f>IF(DAY(NOW())&lt;M3,INDIRECT(ADDRESS(1647,37))-INDIRECT(ADDRESS(1642,38))+INDIRECT(ADDRESS(1643,38))-INDIRECT(ADDRESS(1646,38)),INDIRECT(ADDRESS(1647,37))-INDIRECT(ADDRESS(1642,38))+INDIRECT(ADDRESS(1645,38))-INDIRECT(ADDRESS(1646,38)))</f>
        <v>0</v>
      </c>
      <c r="AM1647">
        <f>IF(DAY(NOW())&lt;M3,INDIRECT(ADDRESS(1647,38))-INDIRECT(ADDRESS(1642,39))+INDIRECT(ADDRESS(1643,39))-INDIRECT(ADDRESS(1646,39)),INDIRECT(ADDRESS(1647,38))-INDIRECT(ADDRESS(1642,39))+INDIRECT(ADDRESS(1645,39))-INDIRECT(ADDRESS(1646,39)))</f>
        <v>0</v>
      </c>
      <c r="AN1647">
        <f>IF(DAY(NOW())&lt;M3,INDIRECT(ADDRESS(1647,39))-INDIRECT(ADDRESS(1642,40))+INDIRECT(ADDRESS(1643,40))-INDIRECT(ADDRESS(1646,40)),INDIRECT(ADDRESS(1647,39))-INDIRECT(ADDRESS(1642,40))+INDIRECT(ADDRESS(1645,40))-INDIRECT(ADDRESS(1646,40)))</f>
        <v>0</v>
      </c>
      <c r="AO1647">
        <f>IF(DAY(NOW())&lt;M3,INDIRECT(ADDRESS(1647,40))-INDIRECT(ADDRESS(1642,41))+INDIRECT(ADDRESS(1643,41))-INDIRECT(ADDRESS(1646,41)),INDIRECT(ADDRESS(1647,40))-INDIRECT(ADDRESS(1642,41))+INDIRECT(ADDRESS(1645,41))-INDIRECT(ADDRESS(1646,41)))</f>
        <v>0</v>
      </c>
      <c r="AP1647">
        <f>IF(DAY(NOW())&lt;M3,INDIRECT(ADDRESS(1647,41))-INDIRECT(ADDRESS(1642,42))+INDIRECT(ADDRESS(1643,42))-INDIRECT(ADDRESS(1646,42)),INDIRECT(ADDRESS(1647,41))-INDIRECT(ADDRESS(1642,42))+INDIRECT(ADDRESS(1645,42))-INDIRECT(ADDRESS(1646,42)))</f>
        <v>0</v>
      </c>
      <c r="AQ1647">
        <f>IF(DAY(NOW())&lt;M3,INDIRECT(ADDRESS(1647,42))-INDIRECT(ADDRESS(1642,43))+INDIRECT(ADDRESS(1643,43))-INDIRECT(ADDRESS(1646,43)),INDIRECT(ADDRESS(1647,42))-INDIRECT(ADDRESS(1642,43))+INDIRECT(ADDRESS(1645,43))-INDIRECT(ADDRESS(1646,43)))</f>
        <v>0</v>
      </c>
      <c r="AR1647">
        <f>IF(DAY(NOW())&lt;M3,INDIRECT(ADDRESS(1647,43))-INDIRECT(ADDRESS(1642,44))+INDIRECT(ADDRESS(1643,44))-INDIRECT(ADDRESS(1646,44)),INDIRECT(ADDRESS(1647,43))-INDIRECT(ADDRESS(1642,44))+INDIRECT(ADDRESS(1645,44))-INDIRECT(ADDRESS(1646,44)))</f>
        <v>0</v>
      </c>
    </row>
    <row r="1648" spans="1:76">
      <c r="A1648" t="s">
        <v>31</v>
      </c>
      <c r="B1648" t="s">
        <v>634</v>
      </c>
      <c r="C1648" t="s">
        <v>635</v>
      </c>
      <c r="E1648" t="s">
        <v>444</v>
      </c>
      <c r="F1648" t="s">
        <v>636</v>
      </c>
      <c r="K1648" t="s">
        <v>590</v>
      </c>
      <c r="L1648" t="s">
        <v>21</v>
      </c>
      <c r="M1648">
        <f>sumifs(BOM!m:m,BOM!A:A,".1",BOM!B:B,"212-037000-000")</f>
        <v>0</v>
      </c>
      <c r="N1648">
        <f>sumifs(BOM!n:n,BOM!A:A,".1",BOM!B:B,"212-037000-000")</f>
        <v>0</v>
      </c>
      <c r="O1648">
        <f>sumifs(BOM!o:o,BOM!A:A,".1",BOM!B:B,"212-037000-000")</f>
        <v>0</v>
      </c>
      <c r="P1648">
        <f>sumifs(BOM!p:p,BOM!A:A,".1",BOM!B:B,"212-037000-000")</f>
        <v>0</v>
      </c>
      <c r="Q1648">
        <f>sumifs(BOM!q:q,BOM!A:A,".1",BOM!B:B,"212-037000-000")</f>
        <v>0</v>
      </c>
      <c r="R1648">
        <f>sumifs(BOM!r:r,BOM!A:A,".1",BOM!B:B,"212-037000-000")</f>
        <v>0</v>
      </c>
      <c r="S1648">
        <f>sumifs(BOM!s:s,BOM!A:A,".1",BOM!B:B,"212-037000-000")</f>
        <v>0</v>
      </c>
      <c r="T1648">
        <f>sumifs(BOM!t:t,BOM!A:A,".1",BOM!B:B,"212-037000-000")</f>
        <v>0</v>
      </c>
      <c r="U1648">
        <f>sumifs(BOM!u:u,BOM!A:A,".1",BOM!B:B,"212-037000-000")</f>
        <v>0</v>
      </c>
      <c r="V1648">
        <f>sumifs(BOM!v:v,BOM!A:A,".1",BOM!B:B,"212-037000-000")</f>
        <v>0</v>
      </c>
      <c r="W1648">
        <f>sumifs(BOM!w:w,BOM!A:A,".1",BOM!B:B,"212-037000-000")</f>
        <v>0</v>
      </c>
      <c r="X1648">
        <f>sumifs(BOM!x:x,BOM!A:A,".1",BOM!B:B,"212-037000-000")</f>
        <v>0</v>
      </c>
      <c r="Y1648">
        <f>sumifs(BOM!y:y,BOM!A:A,".1",BOM!B:B,"212-037000-000")</f>
        <v>0</v>
      </c>
      <c r="Z1648">
        <f>sumifs(BOM!z:z,BOM!A:A,".1",BOM!B:B,"212-037000-000")</f>
        <v>0</v>
      </c>
      <c r="AA1648">
        <f>sumifs(BOM!aa:aa,BOM!A:A,".1",BOM!B:B,"212-037000-000")</f>
        <v>0</v>
      </c>
      <c r="AB1648">
        <f>sumifs(BOM!ab:ab,BOM!A:A,".1",BOM!B:B,"212-037000-000")</f>
        <v>0</v>
      </c>
      <c r="AC1648">
        <f>sumifs(BOM!ac:ac,BOM!A:A,".1",BOM!B:B,"212-037000-000")</f>
        <v>0</v>
      </c>
      <c r="AD1648">
        <f>sumifs(BOM!ad:ad,BOM!A:A,".1",BOM!B:B,"212-037000-000")</f>
        <v>0</v>
      </c>
      <c r="AE1648">
        <f>sumifs(BOM!ae:ae,BOM!A:A,".1",BOM!B:B,"212-037000-000")</f>
        <v>0</v>
      </c>
      <c r="AF1648">
        <f>sumifs(BOM!af:af,BOM!A:A,".1",BOM!B:B,"212-037000-000")</f>
        <v>0</v>
      </c>
      <c r="AG1648">
        <f>sumifs(BOM!ag:ag,BOM!A:A,".1",BOM!B:B,"212-037000-000")</f>
        <v>0</v>
      </c>
      <c r="AH1648">
        <f>sumifs(BOM!ah:ah,BOM!A:A,".1",BOM!B:B,"212-037000-000")</f>
        <v>0</v>
      </c>
      <c r="AI1648">
        <f>sumifs(BOM!ai:ai,BOM!A:A,".1",BOM!B:B,"212-037000-000")</f>
        <v>0</v>
      </c>
      <c r="AJ1648">
        <f>sumifs(BOM!aj:aj,BOM!A:A,".1",BOM!B:B,"212-037000-000")</f>
        <v>0</v>
      </c>
      <c r="AK1648">
        <f>sumifs(BOM!ak:ak,BOM!A:A,".1",BOM!B:B,"212-037000-000")</f>
        <v>0</v>
      </c>
      <c r="AL1648">
        <f>sumifs(BOM!al:al,BOM!A:A,".1",BOM!B:B,"212-037000-000")</f>
        <v>0</v>
      </c>
      <c r="AM1648">
        <f>sumifs(BOM!am:am,BOM!A:A,".1",BOM!B:B,"212-037000-000")</f>
        <v>0</v>
      </c>
      <c r="AN1648">
        <f>sumifs(BOM!an:an,BOM!A:A,".1",BOM!B:B,"212-037000-000")</f>
        <v>0</v>
      </c>
      <c r="AO1648">
        <f>sumifs(BOM!ao:ao,BOM!A:A,".1",BOM!B:B,"212-037000-000")</f>
        <v>0</v>
      </c>
      <c r="AP1648">
        <f>sumifs(BOM!ap:ap,BOM!A:A,".1",BOM!B:B,"212-037000-000")</f>
        <v>0</v>
      </c>
      <c r="AQ1648">
        <f>sumifs(BOM!aq:aq,BOM!A:A,".1",BOM!B:B,"212-037000-000")</f>
        <v>0</v>
      </c>
      <c r="AR1648">
        <f>sumifs(BOM!ar:ar,BOM!A:A,".1",BOM!B:B,"212-037000-000")</f>
        <v>0</v>
      </c>
      <c r="BX1648">
        <f>sum(j1648:an1648)</f>
        <v>0</v>
      </c>
    </row>
    <row r="1649" spans="1:76">
      <c r="A1649" t="s">
        <v>31</v>
      </c>
      <c r="B1649" t="s">
        <v>634</v>
      </c>
      <c r="C1649" t="s">
        <v>635</v>
      </c>
      <c r="E1649" t="s">
        <v>444</v>
      </c>
      <c r="F1649" t="s">
        <v>636</v>
      </c>
      <c r="K1649" t="s">
        <v>590</v>
      </c>
      <c r="L1649" t="s">
        <v>37</v>
      </c>
    </row>
    <row r="1650" spans="1:76">
      <c r="L1650" t="s">
        <v>662</v>
      </c>
    </row>
    <row r="1651" spans="1:76">
      <c r="L1651" t="s">
        <v>663</v>
      </c>
    </row>
    <row r="1652" spans="1:76">
      <c r="L1652" t="s">
        <v>664</v>
      </c>
    </row>
    <row r="1653" spans="1:76">
      <c r="L1653" t="s">
        <v>665</v>
      </c>
      <c r="M1653">
        <f>IF(DAY(NOW())&lt;M3,INDIRECT(ADDRESS(1653,7))-INDIRECT(ADDRESS(1648,13))+INDIRECT(ADDRESS(1649,13))-INDIRECT(ADDRESS(1652,13)),INDIRECT(ADDRESS(1653,7))-INDIRECT(ADDRESS(1648,13))+INDIRECT(ADDRESS(1651,13))-INDIRECT(ADDRESS(1652,13)))</f>
        <v>0</v>
      </c>
      <c r="N1653">
        <f>IF(DAY(NOW())&lt;M3,INDIRECT(ADDRESS(1653,13))-INDIRECT(ADDRESS(1648,14))+INDIRECT(ADDRESS(1649,14))-INDIRECT(ADDRESS(1652,14)),INDIRECT(ADDRESS(1653,13))-INDIRECT(ADDRESS(1648,14))+INDIRECT(ADDRESS(1651,14))-INDIRECT(ADDRESS(1652,14)))</f>
        <v>0</v>
      </c>
      <c r="O1653">
        <f>IF(DAY(NOW())&lt;M3,INDIRECT(ADDRESS(1653,14))-INDIRECT(ADDRESS(1648,15))+INDIRECT(ADDRESS(1649,15))-INDIRECT(ADDRESS(1652,15)),INDIRECT(ADDRESS(1653,14))-INDIRECT(ADDRESS(1648,15))+INDIRECT(ADDRESS(1651,15))-INDIRECT(ADDRESS(1652,15)))</f>
        <v>0</v>
      </c>
      <c r="P1653">
        <f>IF(DAY(NOW())&lt;M3,INDIRECT(ADDRESS(1653,15))-INDIRECT(ADDRESS(1648,16))+INDIRECT(ADDRESS(1649,16))-INDIRECT(ADDRESS(1652,16)),INDIRECT(ADDRESS(1653,15))-INDIRECT(ADDRESS(1648,16))+INDIRECT(ADDRESS(1651,16))-INDIRECT(ADDRESS(1652,16)))</f>
        <v>0</v>
      </c>
      <c r="Q1653">
        <f>IF(DAY(NOW())&lt;M3,INDIRECT(ADDRESS(1653,16))-INDIRECT(ADDRESS(1648,17))+INDIRECT(ADDRESS(1649,17))-INDIRECT(ADDRESS(1652,17)),INDIRECT(ADDRESS(1653,16))-INDIRECT(ADDRESS(1648,17))+INDIRECT(ADDRESS(1651,17))-INDIRECT(ADDRESS(1652,17)))</f>
        <v>0</v>
      </c>
      <c r="R1653">
        <f>IF(DAY(NOW())&lt;M3,INDIRECT(ADDRESS(1653,17))-INDIRECT(ADDRESS(1648,18))+INDIRECT(ADDRESS(1649,18))-INDIRECT(ADDRESS(1652,18)),INDIRECT(ADDRESS(1653,17))-INDIRECT(ADDRESS(1648,18))+INDIRECT(ADDRESS(1651,18))-INDIRECT(ADDRESS(1652,18)))</f>
        <v>0</v>
      </c>
      <c r="S1653">
        <f>IF(DAY(NOW())&lt;M3,INDIRECT(ADDRESS(1653,18))-INDIRECT(ADDRESS(1648,19))+INDIRECT(ADDRESS(1649,19))-INDIRECT(ADDRESS(1652,19)),INDIRECT(ADDRESS(1653,18))-INDIRECT(ADDRESS(1648,19))+INDIRECT(ADDRESS(1651,19))-INDIRECT(ADDRESS(1652,19)))</f>
        <v>0</v>
      </c>
      <c r="T1653">
        <f>IF(DAY(NOW())&lt;M3,INDIRECT(ADDRESS(1653,19))-INDIRECT(ADDRESS(1648,20))+INDIRECT(ADDRESS(1649,20))-INDIRECT(ADDRESS(1652,20)),INDIRECT(ADDRESS(1653,19))-INDIRECT(ADDRESS(1648,20))+INDIRECT(ADDRESS(1651,20))-INDIRECT(ADDRESS(1652,20)))</f>
        <v>0</v>
      </c>
      <c r="U1653">
        <f>IF(DAY(NOW())&lt;M3,INDIRECT(ADDRESS(1653,20))-INDIRECT(ADDRESS(1648,21))+INDIRECT(ADDRESS(1649,21))-INDIRECT(ADDRESS(1652,21)),INDIRECT(ADDRESS(1653,20))-INDIRECT(ADDRESS(1648,21))+INDIRECT(ADDRESS(1651,21))-INDIRECT(ADDRESS(1652,21)))</f>
        <v>0</v>
      </c>
      <c r="V1653">
        <f>IF(DAY(NOW())&lt;M3,INDIRECT(ADDRESS(1653,21))-INDIRECT(ADDRESS(1648,22))+INDIRECT(ADDRESS(1649,22))-INDIRECT(ADDRESS(1652,22)),INDIRECT(ADDRESS(1653,21))-INDIRECT(ADDRESS(1648,22))+INDIRECT(ADDRESS(1651,22))-INDIRECT(ADDRESS(1652,22)))</f>
        <v>0</v>
      </c>
      <c r="W1653">
        <f>IF(DAY(NOW())&lt;M3,INDIRECT(ADDRESS(1653,22))-INDIRECT(ADDRESS(1648,23))+INDIRECT(ADDRESS(1649,23))-INDIRECT(ADDRESS(1652,23)),INDIRECT(ADDRESS(1653,22))-INDIRECT(ADDRESS(1648,23))+INDIRECT(ADDRESS(1651,23))-INDIRECT(ADDRESS(1652,23)))</f>
        <v>0</v>
      </c>
      <c r="X1653">
        <f>IF(DAY(NOW())&lt;M3,INDIRECT(ADDRESS(1653,23))-INDIRECT(ADDRESS(1648,24))+INDIRECT(ADDRESS(1649,24))-INDIRECT(ADDRESS(1652,24)),INDIRECT(ADDRESS(1653,23))-INDIRECT(ADDRESS(1648,24))+INDIRECT(ADDRESS(1651,24))-INDIRECT(ADDRESS(1652,24)))</f>
        <v>0</v>
      </c>
      <c r="Y1653">
        <f>IF(DAY(NOW())&lt;M3,INDIRECT(ADDRESS(1653,24))-INDIRECT(ADDRESS(1648,25))+INDIRECT(ADDRESS(1649,25))-INDIRECT(ADDRESS(1652,25)),INDIRECT(ADDRESS(1653,24))-INDIRECT(ADDRESS(1648,25))+INDIRECT(ADDRESS(1651,25))-INDIRECT(ADDRESS(1652,25)))</f>
        <v>0</v>
      </c>
      <c r="Z1653">
        <f>IF(DAY(NOW())&lt;M3,INDIRECT(ADDRESS(1653,25))-INDIRECT(ADDRESS(1648,26))+INDIRECT(ADDRESS(1649,26))-INDIRECT(ADDRESS(1652,26)),INDIRECT(ADDRESS(1653,25))-INDIRECT(ADDRESS(1648,26))+INDIRECT(ADDRESS(1651,26))-INDIRECT(ADDRESS(1652,26)))</f>
        <v>0</v>
      </c>
      <c r="AA1653">
        <f>IF(DAY(NOW())&lt;M3,INDIRECT(ADDRESS(1653,26))-INDIRECT(ADDRESS(1648,27))+INDIRECT(ADDRESS(1649,27))-INDIRECT(ADDRESS(1652,27)),INDIRECT(ADDRESS(1653,26))-INDIRECT(ADDRESS(1648,27))+INDIRECT(ADDRESS(1651,27))-INDIRECT(ADDRESS(1652,27)))</f>
        <v>0</v>
      </c>
      <c r="AB1653">
        <f>IF(DAY(NOW())&lt;M3,INDIRECT(ADDRESS(1653,27))-INDIRECT(ADDRESS(1648,28))+INDIRECT(ADDRESS(1649,28))-INDIRECT(ADDRESS(1652,28)),INDIRECT(ADDRESS(1653,27))-INDIRECT(ADDRESS(1648,28))+INDIRECT(ADDRESS(1651,28))-INDIRECT(ADDRESS(1652,28)))</f>
        <v>0</v>
      </c>
      <c r="AC1653">
        <f>IF(DAY(NOW())&lt;M3,INDIRECT(ADDRESS(1653,28))-INDIRECT(ADDRESS(1648,29))+INDIRECT(ADDRESS(1649,29))-INDIRECT(ADDRESS(1652,29)),INDIRECT(ADDRESS(1653,28))-INDIRECT(ADDRESS(1648,29))+INDIRECT(ADDRESS(1651,29))-INDIRECT(ADDRESS(1652,29)))</f>
        <v>0</v>
      </c>
      <c r="AD1653">
        <f>IF(DAY(NOW())&lt;M3,INDIRECT(ADDRESS(1653,29))-INDIRECT(ADDRESS(1648,30))+INDIRECT(ADDRESS(1649,30))-INDIRECT(ADDRESS(1652,30)),INDIRECT(ADDRESS(1653,29))-INDIRECT(ADDRESS(1648,30))+INDIRECT(ADDRESS(1651,30))-INDIRECT(ADDRESS(1652,30)))</f>
        <v>0</v>
      </c>
      <c r="AE1653">
        <f>IF(DAY(NOW())&lt;M3,INDIRECT(ADDRESS(1653,30))-INDIRECT(ADDRESS(1648,31))+INDIRECT(ADDRESS(1649,31))-INDIRECT(ADDRESS(1652,31)),INDIRECT(ADDRESS(1653,30))-INDIRECT(ADDRESS(1648,31))+INDIRECT(ADDRESS(1651,31))-INDIRECT(ADDRESS(1652,31)))</f>
        <v>0</v>
      </c>
      <c r="AF1653">
        <f>IF(DAY(NOW())&lt;M3,INDIRECT(ADDRESS(1653,31))-INDIRECT(ADDRESS(1648,32))+INDIRECT(ADDRESS(1649,32))-INDIRECT(ADDRESS(1652,32)),INDIRECT(ADDRESS(1653,31))-INDIRECT(ADDRESS(1648,32))+INDIRECT(ADDRESS(1651,32))-INDIRECT(ADDRESS(1652,32)))</f>
        <v>0</v>
      </c>
      <c r="AG1653">
        <f>IF(DAY(NOW())&lt;M3,INDIRECT(ADDRESS(1653,32))-INDIRECT(ADDRESS(1648,33))+INDIRECT(ADDRESS(1649,33))-INDIRECT(ADDRESS(1652,33)),INDIRECT(ADDRESS(1653,32))-INDIRECT(ADDRESS(1648,33))+INDIRECT(ADDRESS(1651,33))-INDIRECT(ADDRESS(1652,33)))</f>
        <v>0</v>
      </c>
      <c r="AH1653">
        <f>IF(DAY(NOW())&lt;M3,INDIRECT(ADDRESS(1653,33))-INDIRECT(ADDRESS(1648,34))+INDIRECT(ADDRESS(1649,34))-INDIRECT(ADDRESS(1652,34)),INDIRECT(ADDRESS(1653,33))-INDIRECT(ADDRESS(1648,34))+INDIRECT(ADDRESS(1651,34))-INDIRECT(ADDRESS(1652,34)))</f>
        <v>0</v>
      </c>
      <c r="AI1653">
        <f>IF(DAY(NOW())&lt;M3,INDIRECT(ADDRESS(1653,34))-INDIRECT(ADDRESS(1648,35))+INDIRECT(ADDRESS(1649,35))-INDIRECT(ADDRESS(1652,35)),INDIRECT(ADDRESS(1653,34))-INDIRECT(ADDRESS(1648,35))+INDIRECT(ADDRESS(1651,35))-INDIRECT(ADDRESS(1652,35)))</f>
        <v>0</v>
      </c>
      <c r="AJ1653">
        <f>IF(DAY(NOW())&lt;M3,INDIRECT(ADDRESS(1653,35))-INDIRECT(ADDRESS(1648,36))+INDIRECT(ADDRESS(1649,36))-INDIRECT(ADDRESS(1652,36)),INDIRECT(ADDRESS(1653,35))-INDIRECT(ADDRESS(1648,36))+INDIRECT(ADDRESS(1651,36))-INDIRECT(ADDRESS(1652,36)))</f>
        <v>0</v>
      </c>
      <c r="AK1653">
        <f>IF(DAY(NOW())&lt;M3,INDIRECT(ADDRESS(1653,36))-INDIRECT(ADDRESS(1648,37))+INDIRECT(ADDRESS(1649,37))-INDIRECT(ADDRESS(1652,37)),INDIRECT(ADDRESS(1653,36))-INDIRECT(ADDRESS(1648,37))+INDIRECT(ADDRESS(1651,37))-INDIRECT(ADDRESS(1652,37)))</f>
        <v>0</v>
      </c>
      <c r="AL1653">
        <f>IF(DAY(NOW())&lt;M3,INDIRECT(ADDRESS(1653,37))-INDIRECT(ADDRESS(1648,38))+INDIRECT(ADDRESS(1649,38))-INDIRECT(ADDRESS(1652,38)),INDIRECT(ADDRESS(1653,37))-INDIRECT(ADDRESS(1648,38))+INDIRECT(ADDRESS(1651,38))-INDIRECT(ADDRESS(1652,38)))</f>
        <v>0</v>
      </c>
      <c r="AM1653">
        <f>IF(DAY(NOW())&lt;M3,INDIRECT(ADDRESS(1653,38))-INDIRECT(ADDRESS(1648,39))+INDIRECT(ADDRESS(1649,39))-INDIRECT(ADDRESS(1652,39)),INDIRECT(ADDRESS(1653,38))-INDIRECT(ADDRESS(1648,39))+INDIRECT(ADDRESS(1651,39))-INDIRECT(ADDRESS(1652,39)))</f>
        <v>0</v>
      </c>
      <c r="AN1653">
        <f>IF(DAY(NOW())&lt;M3,INDIRECT(ADDRESS(1653,39))-INDIRECT(ADDRESS(1648,40))+INDIRECT(ADDRESS(1649,40))-INDIRECT(ADDRESS(1652,40)),INDIRECT(ADDRESS(1653,39))-INDIRECT(ADDRESS(1648,40))+INDIRECT(ADDRESS(1651,40))-INDIRECT(ADDRESS(1652,40)))</f>
        <v>0</v>
      </c>
      <c r="AO1653">
        <f>IF(DAY(NOW())&lt;M3,INDIRECT(ADDRESS(1653,40))-INDIRECT(ADDRESS(1648,41))+INDIRECT(ADDRESS(1649,41))-INDIRECT(ADDRESS(1652,41)),INDIRECT(ADDRESS(1653,40))-INDIRECT(ADDRESS(1648,41))+INDIRECT(ADDRESS(1651,41))-INDIRECT(ADDRESS(1652,41)))</f>
        <v>0</v>
      </c>
      <c r="AP1653">
        <f>IF(DAY(NOW())&lt;M3,INDIRECT(ADDRESS(1653,41))-INDIRECT(ADDRESS(1648,42))+INDIRECT(ADDRESS(1649,42))-INDIRECT(ADDRESS(1652,42)),INDIRECT(ADDRESS(1653,41))-INDIRECT(ADDRESS(1648,42))+INDIRECT(ADDRESS(1651,42))-INDIRECT(ADDRESS(1652,42)))</f>
        <v>0</v>
      </c>
      <c r="AQ1653">
        <f>IF(DAY(NOW())&lt;M3,INDIRECT(ADDRESS(1653,42))-INDIRECT(ADDRESS(1648,43))+INDIRECT(ADDRESS(1649,43))-INDIRECT(ADDRESS(1652,43)),INDIRECT(ADDRESS(1653,42))-INDIRECT(ADDRESS(1648,43))+INDIRECT(ADDRESS(1651,43))-INDIRECT(ADDRESS(1652,43)))</f>
        <v>0</v>
      </c>
      <c r="AR1653">
        <f>IF(DAY(NOW())&lt;M3,INDIRECT(ADDRESS(1653,43))-INDIRECT(ADDRESS(1648,44))+INDIRECT(ADDRESS(1649,44))-INDIRECT(ADDRESS(1652,44)),INDIRECT(ADDRESS(1653,43))-INDIRECT(ADDRESS(1648,44))+INDIRECT(ADDRESS(1651,44))-INDIRECT(ADDRESS(1652,44)))</f>
        <v>0</v>
      </c>
    </row>
    <row r="1654" spans="1:76">
      <c r="A1654" t="s">
        <v>31</v>
      </c>
      <c r="B1654" t="s">
        <v>637</v>
      </c>
      <c r="C1654" t="s">
        <v>638</v>
      </c>
      <c r="E1654" t="s">
        <v>444</v>
      </c>
      <c r="F1654" t="s">
        <v>639</v>
      </c>
      <c r="K1654" t="s">
        <v>590</v>
      </c>
      <c r="L1654" t="s">
        <v>21</v>
      </c>
      <c r="M1654">
        <f>sumifs(BOM!m:m,BOM!A:A,".1",BOM!B:B,"272-014100-000")</f>
        <v>0</v>
      </c>
      <c r="N1654">
        <f>sumifs(BOM!n:n,BOM!A:A,".1",BOM!B:B,"272-014100-000")</f>
        <v>0</v>
      </c>
      <c r="O1654">
        <f>sumifs(BOM!o:o,BOM!A:A,".1",BOM!B:B,"272-014100-000")</f>
        <v>0</v>
      </c>
      <c r="P1654">
        <f>sumifs(BOM!p:p,BOM!A:A,".1",BOM!B:B,"272-014100-000")</f>
        <v>0</v>
      </c>
      <c r="Q1654">
        <f>sumifs(BOM!q:q,BOM!A:A,".1",BOM!B:B,"272-014100-000")</f>
        <v>0</v>
      </c>
      <c r="R1654">
        <f>sumifs(BOM!r:r,BOM!A:A,".1",BOM!B:B,"272-014100-000")</f>
        <v>0</v>
      </c>
      <c r="S1654">
        <f>sumifs(BOM!s:s,BOM!A:A,".1",BOM!B:B,"272-014100-000")</f>
        <v>0</v>
      </c>
      <c r="T1654">
        <f>sumifs(BOM!t:t,BOM!A:A,".1",BOM!B:B,"272-014100-000")</f>
        <v>0</v>
      </c>
      <c r="U1654">
        <f>sumifs(BOM!u:u,BOM!A:A,".1",BOM!B:B,"272-014100-000")</f>
        <v>0</v>
      </c>
      <c r="V1654">
        <f>sumifs(BOM!v:v,BOM!A:A,".1",BOM!B:B,"272-014100-000")</f>
        <v>0</v>
      </c>
      <c r="W1654">
        <f>sumifs(BOM!w:w,BOM!A:A,".1",BOM!B:B,"272-014100-000")</f>
        <v>0</v>
      </c>
      <c r="X1654">
        <f>sumifs(BOM!x:x,BOM!A:A,".1",BOM!B:B,"272-014100-000")</f>
        <v>0</v>
      </c>
      <c r="Y1654">
        <f>sumifs(BOM!y:y,BOM!A:A,".1",BOM!B:B,"272-014100-000")</f>
        <v>0</v>
      </c>
      <c r="Z1654">
        <f>sumifs(BOM!z:z,BOM!A:A,".1",BOM!B:B,"272-014100-000")</f>
        <v>0</v>
      </c>
      <c r="AA1654">
        <f>sumifs(BOM!aa:aa,BOM!A:A,".1",BOM!B:B,"272-014100-000")</f>
        <v>0</v>
      </c>
      <c r="AB1654">
        <f>sumifs(BOM!ab:ab,BOM!A:A,".1",BOM!B:B,"272-014100-000")</f>
        <v>0</v>
      </c>
      <c r="AC1654">
        <f>sumifs(BOM!ac:ac,BOM!A:A,".1",BOM!B:B,"272-014100-000")</f>
        <v>0</v>
      </c>
      <c r="AD1654">
        <f>sumifs(BOM!ad:ad,BOM!A:A,".1",BOM!B:B,"272-014100-000")</f>
        <v>0</v>
      </c>
      <c r="AE1654">
        <f>sumifs(BOM!ae:ae,BOM!A:A,".1",BOM!B:B,"272-014100-000")</f>
        <v>0</v>
      </c>
      <c r="AF1654">
        <f>sumifs(BOM!af:af,BOM!A:A,".1",BOM!B:B,"272-014100-000")</f>
        <v>0</v>
      </c>
      <c r="AG1654">
        <f>sumifs(BOM!ag:ag,BOM!A:A,".1",BOM!B:B,"272-014100-000")</f>
        <v>0</v>
      </c>
      <c r="AH1654">
        <f>sumifs(BOM!ah:ah,BOM!A:A,".1",BOM!B:B,"272-014100-000")</f>
        <v>0</v>
      </c>
      <c r="AI1654">
        <f>sumifs(BOM!ai:ai,BOM!A:A,".1",BOM!B:B,"272-014100-000")</f>
        <v>0</v>
      </c>
      <c r="AJ1654">
        <f>sumifs(BOM!aj:aj,BOM!A:A,".1",BOM!B:B,"272-014100-000")</f>
        <v>0</v>
      </c>
      <c r="AK1654">
        <f>sumifs(BOM!ak:ak,BOM!A:A,".1",BOM!B:B,"272-014100-000")</f>
        <v>0</v>
      </c>
      <c r="AL1654">
        <f>sumifs(BOM!al:al,BOM!A:A,".1",BOM!B:B,"272-014100-000")</f>
        <v>0</v>
      </c>
      <c r="AM1654">
        <f>sumifs(BOM!am:am,BOM!A:A,".1",BOM!B:B,"272-014100-000")</f>
        <v>0</v>
      </c>
      <c r="AN1654">
        <f>sumifs(BOM!an:an,BOM!A:A,".1",BOM!B:B,"272-014100-000")</f>
        <v>0</v>
      </c>
      <c r="AO1654">
        <f>sumifs(BOM!ao:ao,BOM!A:A,".1",BOM!B:B,"272-014100-000")</f>
        <v>0</v>
      </c>
      <c r="AP1654">
        <f>sumifs(BOM!ap:ap,BOM!A:A,".1",BOM!B:B,"272-014100-000")</f>
        <v>0</v>
      </c>
      <c r="AQ1654">
        <f>sumifs(BOM!aq:aq,BOM!A:A,".1",BOM!B:B,"272-014100-000")</f>
        <v>0</v>
      </c>
      <c r="AR1654">
        <f>sumifs(BOM!ar:ar,BOM!A:A,".1",BOM!B:B,"272-014100-000")</f>
        <v>0</v>
      </c>
      <c r="BX1654">
        <f>sum(j1654:an1654)</f>
        <v>0</v>
      </c>
    </row>
    <row r="1655" spans="1:76">
      <c r="A1655" t="s">
        <v>31</v>
      </c>
      <c r="B1655" t="s">
        <v>637</v>
      </c>
      <c r="C1655" t="s">
        <v>638</v>
      </c>
      <c r="E1655" t="s">
        <v>444</v>
      </c>
      <c r="F1655" t="s">
        <v>639</v>
      </c>
      <c r="K1655" t="s">
        <v>590</v>
      </c>
      <c r="L1655" t="s">
        <v>37</v>
      </c>
    </row>
    <row r="1656" spans="1:76">
      <c r="L1656" t="s">
        <v>662</v>
      </c>
    </row>
    <row r="1657" spans="1:76">
      <c r="L1657" t="s">
        <v>663</v>
      </c>
    </row>
    <row r="1658" spans="1:76">
      <c r="L1658" t="s">
        <v>664</v>
      </c>
    </row>
    <row r="1659" spans="1:76">
      <c r="L1659" t="s">
        <v>665</v>
      </c>
      <c r="M1659">
        <f>IF(DAY(NOW())&lt;M3,INDIRECT(ADDRESS(1659,7))-INDIRECT(ADDRESS(1654,13))+INDIRECT(ADDRESS(1655,13))-INDIRECT(ADDRESS(1658,13)),INDIRECT(ADDRESS(1659,7))-INDIRECT(ADDRESS(1654,13))+INDIRECT(ADDRESS(1657,13))-INDIRECT(ADDRESS(1658,13)))</f>
        <v>0</v>
      </c>
      <c r="N1659">
        <f>IF(DAY(NOW())&lt;M3,INDIRECT(ADDRESS(1659,13))-INDIRECT(ADDRESS(1654,14))+INDIRECT(ADDRESS(1655,14))-INDIRECT(ADDRESS(1658,14)),INDIRECT(ADDRESS(1659,13))-INDIRECT(ADDRESS(1654,14))+INDIRECT(ADDRESS(1657,14))-INDIRECT(ADDRESS(1658,14)))</f>
        <v>0</v>
      </c>
      <c r="O1659">
        <f>IF(DAY(NOW())&lt;M3,INDIRECT(ADDRESS(1659,14))-INDIRECT(ADDRESS(1654,15))+INDIRECT(ADDRESS(1655,15))-INDIRECT(ADDRESS(1658,15)),INDIRECT(ADDRESS(1659,14))-INDIRECT(ADDRESS(1654,15))+INDIRECT(ADDRESS(1657,15))-INDIRECT(ADDRESS(1658,15)))</f>
        <v>0</v>
      </c>
      <c r="P1659">
        <f>IF(DAY(NOW())&lt;M3,INDIRECT(ADDRESS(1659,15))-INDIRECT(ADDRESS(1654,16))+INDIRECT(ADDRESS(1655,16))-INDIRECT(ADDRESS(1658,16)),INDIRECT(ADDRESS(1659,15))-INDIRECT(ADDRESS(1654,16))+INDIRECT(ADDRESS(1657,16))-INDIRECT(ADDRESS(1658,16)))</f>
        <v>0</v>
      </c>
      <c r="Q1659">
        <f>IF(DAY(NOW())&lt;M3,INDIRECT(ADDRESS(1659,16))-INDIRECT(ADDRESS(1654,17))+INDIRECT(ADDRESS(1655,17))-INDIRECT(ADDRESS(1658,17)),INDIRECT(ADDRESS(1659,16))-INDIRECT(ADDRESS(1654,17))+INDIRECT(ADDRESS(1657,17))-INDIRECT(ADDRESS(1658,17)))</f>
        <v>0</v>
      </c>
      <c r="R1659">
        <f>IF(DAY(NOW())&lt;M3,INDIRECT(ADDRESS(1659,17))-INDIRECT(ADDRESS(1654,18))+INDIRECT(ADDRESS(1655,18))-INDIRECT(ADDRESS(1658,18)),INDIRECT(ADDRESS(1659,17))-INDIRECT(ADDRESS(1654,18))+INDIRECT(ADDRESS(1657,18))-INDIRECT(ADDRESS(1658,18)))</f>
        <v>0</v>
      </c>
      <c r="S1659">
        <f>IF(DAY(NOW())&lt;M3,INDIRECT(ADDRESS(1659,18))-INDIRECT(ADDRESS(1654,19))+INDIRECT(ADDRESS(1655,19))-INDIRECT(ADDRESS(1658,19)),INDIRECT(ADDRESS(1659,18))-INDIRECT(ADDRESS(1654,19))+INDIRECT(ADDRESS(1657,19))-INDIRECT(ADDRESS(1658,19)))</f>
        <v>0</v>
      </c>
      <c r="T1659">
        <f>IF(DAY(NOW())&lt;M3,INDIRECT(ADDRESS(1659,19))-INDIRECT(ADDRESS(1654,20))+INDIRECT(ADDRESS(1655,20))-INDIRECT(ADDRESS(1658,20)),INDIRECT(ADDRESS(1659,19))-INDIRECT(ADDRESS(1654,20))+INDIRECT(ADDRESS(1657,20))-INDIRECT(ADDRESS(1658,20)))</f>
        <v>0</v>
      </c>
      <c r="U1659">
        <f>IF(DAY(NOW())&lt;M3,INDIRECT(ADDRESS(1659,20))-INDIRECT(ADDRESS(1654,21))+INDIRECT(ADDRESS(1655,21))-INDIRECT(ADDRESS(1658,21)),INDIRECT(ADDRESS(1659,20))-INDIRECT(ADDRESS(1654,21))+INDIRECT(ADDRESS(1657,21))-INDIRECT(ADDRESS(1658,21)))</f>
        <v>0</v>
      </c>
      <c r="V1659">
        <f>IF(DAY(NOW())&lt;M3,INDIRECT(ADDRESS(1659,21))-INDIRECT(ADDRESS(1654,22))+INDIRECT(ADDRESS(1655,22))-INDIRECT(ADDRESS(1658,22)),INDIRECT(ADDRESS(1659,21))-INDIRECT(ADDRESS(1654,22))+INDIRECT(ADDRESS(1657,22))-INDIRECT(ADDRESS(1658,22)))</f>
        <v>0</v>
      </c>
      <c r="W1659">
        <f>IF(DAY(NOW())&lt;M3,INDIRECT(ADDRESS(1659,22))-INDIRECT(ADDRESS(1654,23))+INDIRECT(ADDRESS(1655,23))-INDIRECT(ADDRESS(1658,23)),INDIRECT(ADDRESS(1659,22))-INDIRECT(ADDRESS(1654,23))+INDIRECT(ADDRESS(1657,23))-INDIRECT(ADDRESS(1658,23)))</f>
        <v>0</v>
      </c>
      <c r="X1659">
        <f>IF(DAY(NOW())&lt;M3,INDIRECT(ADDRESS(1659,23))-INDIRECT(ADDRESS(1654,24))+INDIRECT(ADDRESS(1655,24))-INDIRECT(ADDRESS(1658,24)),INDIRECT(ADDRESS(1659,23))-INDIRECT(ADDRESS(1654,24))+INDIRECT(ADDRESS(1657,24))-INDIRECT(ADDRESS(1658,24)))</f>
        <v>0</v>
      </c>
      <c r="Y1659">
        <f>IF(DAY(NOW())&lt;M3,INDIRECT(ADDRESS(1659,24))-INDIRECT(ADDRESS(1654,25))+INDIRECT(ADDRESS(1655,25))-INDIRECT(ADDRESS(1658,25)),INDIRECT(ADDRESS(1659,24))-INDIRECT(ADDRESS(1654,25))+INDIRECT(ADDRESS(1657,25))-INDIRECT(ADDRESS(1658,25)))</f>
        <v>0</v>
      </c>
      <c r="Z1659">
        <f>IF(DAY(NOW())&lt;M3,INDIRECT(ADDRESS(1659,25))-INDIRECT(ADDRESS(1654,26))+INDIRECT(ADDRESS(1655,26))-INDIRECT(ADDRESS(1658,26)),INDIRECT(ADDRESS(1659,25))-INDIRECT(ADDRESS(1654,26))+INDIRECT(ADDRESS(1657,26))-INDIRECT(ADDRESS(1658,26)))</f>
        <v>0</v>
      </c>
      <c r="AA1659">
        <f>IF(DAY(NOW())&lt;M3,INDIRECT(ADDRESS(1659,26))-INDIRECT(ADDRESS(1654,27))+INDIRECT(ADDRESS(1655,27))-INDIRECT(ADDRESS(1658,27)),INDIRECT(ADDRESS(1659,26))-INDIRECT(ADDRESS(1654,27))+INDIRECT(ADDRESS(1657,27))-INDIRECT(ADDRESS(1658,27)))</f>
        <v>0</v>
      </c>
      <c r="AB1659">
        <f>IF(DAY(NOW())&lt;M3,INDIRECT(ADDRESS(1659,27))-INDIRECT(ADDRESS(1654,28))+INDIRECT(ADDRESS(1655,28))-INDIRECT(ADDRESS(1658,28)),INDIRECT(ADDRESS(1659,27))-INDIRECT(ADDRESS(1654,28))+INDIRECT(ADDRESS(1657,28))-INDIRECT(ADDRESS(1658,28)))</f>
        <v>0</v>
      </c>
      <c r="AC1659">
        <f>IF(DAY(NOW())&lt;M3,INDIRECT(ADDRESS(1659,28))-INDIRECT(ADDRESS(1654,29))+INDIRECT(ADDRESS(1655,29))-INDIRECT(ADDRESS(1658,29)),INDIRECT(ADDRESS(1659,28))-INDIRECT(ADDRESS(1654,29))+INDIRECT(ADDRESS(1657,29))-INDIRECT(ADDRESS(1658,29)))</f>
        <v>0</v>
      </c>
      <c r="AD1659">
        <f>IF(DAY(NOW())&lt;M3,INDIRECT(ADDRESS(1659,29))-INDIRECT(ADDRESS(1654,30))+INDIRECT(ADDRESS(1655,30))-INDIRECT(ADDRESS(1658,30)),INDIRECT(ADDRESS(1659,29))-INDIRECT(ADDRESS(1654,30))+INDIRECT(ADDRESS(1657,30))-INDIRECT(ADDRESS(1658,30)))</f>
        <v>0</v>
      </c>
      <c r="AE1659">
        <f>IF(DAY(NOW())&lt;M3,INDIRECT(ADDRESS(1659,30))-INDIRECT(ADDRESS(1654,31))+INDIRECT(ADDRESS(1655,31))-INDIRECT(ADDRESS(1658,31)),INDIRECT(ADDRESS(1659,30))-INDIRECT(ADDRESS(1654,31))+INDIRECT(ADDRESS(1657,31))-INDIRECT(ADDRESS(1658,31)))</f>
        <v>0</v>
      </c>
      <c r="AF1659">
        <f>IF(DAY(NOW())&lt;M3,INDIRECT(ADDRESS(1659,31))-INDIRECT(ADDRESS(1654,32))+INDIRECT(ADDRESS(1655,32))-INDIRECT(ADDRESS(1658,32)),INDIRECT(ADDRESS(1659,31))-INDIRECT(ADDRESS(1654,32))+INDIRECT(ADDRESS(1657,32))-INDIRECT(ADDRESS(1658,32)))</f>
        <v>0</v>
      </c>
      <c r="AG1659">
        <f>IF(DAY(NOW())&lt;M3,INDIRECT(ADDRESS(1659,32))-INDIRECT(ADDRESS(1654,33))+INDIRECT(ADDRESS(1655,33))-INDIRECT(ADDRESS(1658,33)),INDIRECT(ADDRESS(1659,32))-INDIRECT(ADDRESS(1654,33))+INDIRECT(ADDRESS(1657,33))-INDIRECT(ADDRESS(1658,33)))</f>
        <v>0</v>
      </c>
      <c r="AH1659">
        <f>IF(DAY(NOW())&lt;M3,INDIRECT(ADDRESS(1659,33))-INDIRECT(ADDRESS(1654,34))+INDIRECT(ADDRESS(1655,34))-INDIRECT(ADDRESS(1658,34)),INDIRECT(ADDRESS(1659,33))-INDIRECT(ADDRESS(1654,34))+INDIRECT(ADDRESS(1657,34))-INDIRECT(ADDRESS(1658,34)))</f>
        <v>0</v>
      </c>
      <c r="AI1659">
        <f>IF(DAY(NOW())&lt;M3,INDIRECT(ADDRESS(1659,34))-INDIRECT(ADDRESS(1654,35))+INDIRECT(ADDRESS(1655,35))-INDIRECT(ADDRESS(1658,35)),INDIRECT(ADDRESS(1659,34))-INDIRECT(ADDRESS(1654,35))+INDIRECT(ADDRESS(1657,35))-INDIRECT(ADDRESS(1658,35)))</f>
        <v>0</v>
      </c>
      <c r="AJ1659">
        <f>IF(DAY(NOW())&lt;M3,INDIRECT(ADDRESS(1659,35))-INDIRECT(ADDRESS(1654,36))+INDIRECT(ADDRESS(1655,36))-INDIRECT(ADDRESS(1658,36)),INDIRECT(ADDRESS(1659,35))-INDIRECT(ADDRESS(1654,36))+INDIRECT(ADDRESS(1657,36))-INDIRECT(ADDRESS(1658,36)))</f>
        <v>0</v>
      </c>
      <c r="AK1659">
        <f>IF(DAY(NOW())&lt;M3,INDIRECT(ADDRESS(1659,36))-INDIRECT(ADDRESS(1654,37))+INDIRECT(ADDRESS(1655,37))-INDIRECT(ADDRESS(1658,37)),INDIRECT(ADDRESS(1659,36))-INDIRECT(ADDRESS(1654,37))+INDIRECT(ADDRESS(1657,37))-INDIRECT(ADDRESS(1658,37)))</f>
        <v>0</v>
      </c>
      <c r="AL1659">
        <f>IF(DAY(NOW())&lt;M3,INDIRECT(ADDRESS(1659,37))-INDIRECT(ADDRESS(1654,38))+INDIRECT(ADDRESS(1655,38))-INDIRECT(ADDRESS(1658,38)),INDIRECT(ADDRESS(1659,37))-INDIRECT(ADDRESS(1654,38))+INDIRECT(ADDRESS(1657,38))-INDIRECT(ADDRESS(1658,38)))</f>
        <v>0</v>
      </c>
      <c r="AM1659">
        <f>IF(DAY(NOW())&lt;M3,INDIRECT(ADDRESS(1659,38))-INDIRECT(ADDRESS(1654,39))+INDIRECT(ADDRESS(1655,39))-INDIRECT(ADDRESS(1658,39)),INDIRECT(ADDRESS(1659,38))-INDIRECT(ADDRESS(1654,39))+INDIRECT(ADDRESS(1657,39))-INDIRECT(ADDRESS(1658,39)))</f>
        <v>0</v>
      </c>
      <c r="AN1659">
        <f>IF(DAY(NOW())&lt;M3,INDIRECT(ADDRESS(1659,39))-INDIRECT(ADDRESS(1654,40))+INDIRECT(ADDRESS(1655,40))-INDIRECT(ADDRESS(1658,40)),INDIRECT(ADDRESS(1659,39))-INDIRECT(ADDRESS(1654,40))+INDIRECT(ADDRESS(1657,40))-INDIRECT(ADDRESS(1658,40)))</f>
        <v>0</v>
      </c>
      <c r="AO1659">
        <f>IF(DAY(NOW())&lt;M3,INDIRECT(ADDRESS(1659,40))-INDIRECT(ADDRESS(1654,41))+INDIRECT(ADDRESS(1655,41))-INDIRECT(ADDRESS(1658,41)),INDIRECT(ADDRESS(1659,40))-INDIRECT(ADDRESS(1654,41))+INDIRECT(ADDRESS(1657,41))-INDIRECT(ADDRESS(1658,41)))</f>
        <v>0</v>
      </c>
      <c r="AP1659">
        <f>IF(DAY(NOW())&lt;M3,INDIRECT(ADDRESS(1659,41))-INDIRECT(ADDRESS(1654,42))+INDIRECT(ADDRESS(1655,42))-INDIRECT(ADDRESS(1658,42)),INDIRECT(ADDRESS(1659,41))-INDIRECT(ADDRESS(1654,42))+INDIRECT(ADDRESS(1657,42))-INDIRECT(ADDRESS(1658,42)))</f>
        <v>0</v>
      </c>
      <c r="AQ1659">
        <f>IF(DAY(NOW())&lt;M3,INDIRECT(ADDRESS(1659,42))-INDIRECT(ADDRESS(1654,43))+INDIRECT(ADDRESS(1655,43))-INDIRECT(ADDRESS(1658,43)),INDIRECT(ADDRESS(1659,42))-INDIRECT(ADDRESS(1654,43))+INDIRECT(ADDRESS(1657,43))-INDIRECT(ADDRESS(1658,43)))</f>
        <v>0</v>
      </c>
      <c r="AR1659">
        <f>IF(DAY(NOW())&lt;M3,INDIRECT(ADDRESS(1659,43))-INDIRECT(ADDRESS(1654,44))+INDIRECT(ADDRESS(1655,44))-INDIRECT(ADDRESS(1658,44)),INDIRECT(ADDRESS(1659,43))-INDIRECT(ADDRESS(1654,44))+INDIRECT(ADDRESS(1657,44))-INDIRECT(ADDRESS(1658,44)))</f>
        <v>0</v>
      </c>
    </row>
    <row r="1660" spans="1:76">
      <c r="A1660" t="s">
        <v>31</v>
      </c>
      <c r="B1660" t="s">
        <v>640</v>
      </c>
      <c r="C1660" t="s">
        <v>641</v>
      </c>
      <c r="D1660" t="s">
        <v>480</v>
      </c>
      <c r="E1660" t="s">
        <v>444</v>
      </c>
      <c r="F1660" t="s">
        <v>642</v>
      </c>
      <c r="K1660" t="s">
        <v>590</v>
      </c>
      <c r="L1660" t="s">
        <v>21</v>
      </c>
      <c r="M1660">
        <f>sumifs(BOM!m:m,BOM!A:A,".1",BOM!B:B,"222-178000-000")</f>
        <v>0</v>
      </c>
      <c r="N1660">
        <f>sumifs(BOM!n:n,BOM!A:A,".1",BOM!B:B,"222-178000-000")</f>
        <v>0</v>
      </c>
      <c r="O1660">
        <f>sumifs(BOM!o:o,BOM!A:A,".1",BOM!B:B,"222-178000-000")</f>
        <v>0</v>
      </c>
      <c r="P1660">
        <f>sumifs(BOM!p:p,BOM!A:A,".1",BOM!B:B,"222-178000-000")</f>
        <v>0</v>
      </c>
      <c r="Q1660">
        <f>sumifs(BOM!q:q,BOM!A:A,".1",BOM!B:B,"222-178000-000")</f>
        <v>0</v>
      </c>
      <c r="R1660">
        <f>sumifs(BOM!r:r,BOM!A:A,".1",BOM!B:B,"222-178000-000")</f>
        <v>0</v>
      </c>
      <c r="S1660">
        <f>sumifs(BOM!s:s,BOM!A:A,".1",BOM!B:B,"222-178000-000")</f>
        <v>0</v>
      </c>
      <c r="T1660">
        <f>sumifs(BOM!t:t,BOM!A:A,".1",BOM!B:B,"222-178000-000")</f>
        <v>0</v>
      </c>
      <c r="U1660">
        <f>sumifs(BOM!u:u,BOM!A:A,".1",BOM!B:B,"222-178000-000")</f>
        <v>0</v>
      </c>
      <c r="V1660">
        <f>sumifs(BOM!v:v,BOM!A:A,".1",BOM!B:B,"222-178000-000")</f>
        <v>0</v>
      </c>
      <c r="W1660">
        <f>sumifs(BOM!w:w,BOM!A:A,".1",BOM!B:B,"222-178000-000")</f>
        <v>0</v>
      </c>
      <c r="X1660">
        <f>sumifs(BOM!x:x,BOM!A:A,".1",BOM!B:B,"222-178000-000")</f>
        <v>0</v>
      </c>
      <c r="Y1660">
        <f>sumifs(BOM!y:y,BOM!A:A,".1",BOM!B:B,"222-178000-000")</f>
        <v>0</v>
      </c>
      <c r="Z1660">
        <f>sumifs(BOM!z:z,BOM!A:A,".1",BOM!B:B,"222-178000-000")</f>
        <v>0</v>
      </c>
      <c r="AA1660">
        <f>sumifs(BOM!aa:aa,BOM!A:A,".1",BOM!B:B,"222-178000-000")</f>
        <v>0</v>
      </c>
      <c r="AB1660">
        <f>sumifs(BOM!ab:ab,BOM!A:A,".1",BOM!B:B,"222-178000-000")</f>
        <v>0</v>
      </c>
      <c r="AC1660">
        <f>sumifs(BOM!ac:ac,BOM!A:A,".1",BOM!B:B,"222-178000-000")</f>
        <v>0</v>
      </c>
      <c r="AD1660">
        <f>sumifs(BOM!ad:ad,BOM!A:A,".1",BOM!B:B,"222-178000-000")</f>
        <v>0</v>
      </c>
      <c r="AE1660">
        <f>sumifs(BOM!ae:ae,BOM!A:A,".1",BOM!B:B,"222-178000-000")</f>
        <v>0</v>
      </c>
      <c r="AF1660">
        <f>sumifs(BOM!af:af,BOM!A:A,".1",BOM!B:B,"222-178000-000")</f>
        <v>0</v>
      </c>
      <c r="AG1660">
        <f>sumifs(BOM!ag:ag,BOM!A:A,".1",BOM!B:B,"222-178000-000")</f>
        <v>0</v>
      </c>
      <c r="AH1660">
        <f>sumifs(BOM!ah:ah,BOM!A:A,".1",BOM!B:B,"222-178000-000")</f>
        <v>0</v>
      </c>
      <c r="AI1660">
        <f>sumifs(BOM!ai:ai,BOM!A:A,".1",BOM!B:B,"222-178000-000")</f>
        <v>0</v>
      </c>
      <c r="AJ1660">
        <f>sumifs(BOM!aj:aj,BOM!A:A,".1",BOM!B:B,"222-178000-000")</f>
        <v>0</v>
      </c>
      <c r="AK1660">
        <f>sumifs(BOM!ak:ak,BOM!A:A,".1",BOM!B:B,"222-178000-000")</f>
        <v>0</v>
      </c>
      <c r="AL1660">
        <f>sumifs(BOM!al:al,BOM!A:A,".1",BOM!B:B,"222-178000-000")</f>
        <v>0</v>
      </c>
      <c r="AM1660">
        <f>sumifs(BOM!am:am,BOM!A:A,".1",BOM!B:B,"222-178000-000")</f>
        <v>0</v>
      </c>
      <c r="AN1660">
        <f>sumifs(BOM!an:an,BOM!A:A,".1",BOM!B:B,"222-178000-000")</f>
        <v>0</v>
      </c>
      <c r="AO1660">
        <f>sumifs(BOM!ao:ao,BOM!A:A,".1",BOM!B:B,"222-178000-000")</f>
        <v>0</v>
      </c>
      <c r="AP1660">
        <f>sumifs(BOM!ap:ap,BOM!A:A,".1",BOM!B:B,"222-178000-000")</f>
        <v>0</v>
      </c>
      <c r="AQ1660">
        <f>sumifs(BOM!aq:aq,BOM!A:A,".1",BOM!B:B,"222-178000-000")</f>
        <v>0</v>
      </c>
      <c r="AR1660">
        <f>sumifs(BOM!ar:ar,BOM!A:A,".1",BOM!B:B,"222-178000-000")</f>
        <v>0</v>
      </c>
      <c r="BX1660">
        <f>sum(j1660:an1660)</f>
        <v>0</v>
      </c>
    </row>
    <row r="1661" spans="1:76">
      <c r="A1661" t="s">
        <v>31</v>
      </c>
      <c r="B1661" t="s">
        <v>640</v>
      </c>
      <c r="C1661" t="s">
        <v>641</v>
      </c>
      <c r="D1661" t="s">
        <v>480</v>
      </c>
      <c r="E1661" t="s">
        <v>444</v>
      </c>
      <c r="F1661" t="s">
        <v>642</v>
      </c>
      <c r="K1661" t="s">
        <v>590</v>
      </c>
      <c r="L1661" t="s">
        <v>37</v>
      </c>
    </row>
    <row r="1662" spans="1:76">
      <c r="L1662" t="s">
        <v>662</v>
      </c>
    </row>
    <row r="1663" spans="1:76">
      <c r="L1663" t="s">
        <v>663</v>
      </c>
    </row>
    <row r="1664" spans="1:76">
      <c r="L1664" t="s">
        <v>664</v>
      </c>
    </row>
    <row r="1665" spans="1:76">
      <c r="L1665" t="s">
        <v>665</v>
      </c>
      <c r="M1665">
        <f>IF(DAY(NOW())&lt;M3,INDIRECT(ADDRESS(1665,7))-INDIRECT(ADDRESS(1660,13))+INDIRECT(ADDRESS(1661,13))-INDIRECT(ADDRESS(1664,13)),INDIRECT(ADDRESS(1665,7))-INDIRECT(ADDRESS(1660,13))+INDIRECT(ADDRESS(1663,13))-INDIRECT(ADDRESS(1664,13)))</f>
        <v>0</v>
      </c>
      <c r="N1665">
        <f>IF(DAY(NOW())&lt;M3,INDIRECT(ADDRESS(1665,13))-INDIRECT(ADDRESS(1660,14))+INDIRECT(ADDRESS(1661,14))-INDIRECT(ADDRESS(1664,14)),INDIRECT(ADDRESS(1665,13))-INDIRECT(ADDRESS(1660,14))+INDIRECT(ADDRESS(1663,14))-INDIRECT(ADDRESS(1664,14)))</f>
        <v>0</v>
      </c>
      <c r="O1665">
        <f>IF(DAY(NOW())&lt;M3,INDIRECT(ADDRESS(1665,14))-INDIRECT(ADDRESS(1660,15))+INDIRECT(ADDRESS(1661,15))-INDIRECT(ADDRESS(1664,15)),INDIRECT(ADDRESS(1665,14))-INDIRECT(ADDRESS(1660,15))+INDIRECT(ADDRESS(1663,15))-INDIRECT(ADDRESS(1664,15)))</f>
        <v>0</v>
      </c>
      <c r="P1665">
        <f>IF(DAY(NOW())&lt;M3,INDIRECT(ADDRESS(1665,15))-INDIRECT(ADDRESS(1660,16))+INDIRECT(ADDRESS(1661,16))-INDIRECT(ADDRESS(1664,16)),INDIRECT(ADDRESS(1665,15))-INDIRECT(ADDRESS(1660,16))+INDIRECT(ADDRESS(1663,16))-INDIRECT(ADDRESS(1664,16)))</f>
        <v>0</v>
      </c>
      <c r="Q1665">
        <f>IF(DAY(NOW())&lt;M3,INDIRECT(ADDRESS(1665,16))-INDIRECT(ADDRESS(1660,17))+INDIRECT(ADDRESS(1661,17))-INDIRECT(ADDRESS(1664,17)),INDIRECT(ADDRESS(1665,16))-INDIRECT(ADDRESS(1660,17))+INDIRECT(ADDRESS(1663,17))-INDIRECT(ADDRESS(1664,17)))</f>
        <v>0</v>
      </c>
      <c r="R1665">
        <f>IF(DAY(NOW())&lt;M3,INDIRECT(ADDRESS(1665,17))-INDIRECT(ADDRESS(1660,18))+INDIRECT(ADDRESS(1661,18))-INDIRECT(ADDRESS(1664,18)),INDIRECT(ADDRESS(1665,17))-INDIRECT(ADDRESS(1660,18))+INDIRECT(ADDRESS(1663,18))-INDIRECT(ADDRESS(1664,18)))</f>
        <v>0</v>
      </c>
      <c r="S1665">
        <f>IF(DAY(NOW())&lt;M3,INDIRECT(ADDRESS(1665,18))-INDIRECT(ADDRESS(1660,19))+INDIRECT(ADDRESS(1661,19))-INDIRECT(ADDRESS(1664,19)),INDIRECT(ADDRESS(1665,18))-INDIRECT(ADDRESS(1660,19))+INDIRECT(ADDRESS(1663,19))-INDIRECT(ADDRESS(1664,19)))</f>
        <v>0</v>
      </c>
      <c r="T1665">
        <f>IF(DAY(NOW())&lt;M3,INDIRECT(ADDRESS(1665,19))-INDIRECT(ADDRESS(1660,20))+INDIRECT(ADDRESS(1661,20))-INDIRECT(ADDRESS(1664,20)),INDIRECT(ADDRESS(1665,19))-INDIRECT(ADDRESS(1660,20))+INDIRECT(ADDRESS(1663,20))-INDIRECT(ADDRESS(1664,20)))</f>
        <v>0</v>
      </c>
      <c r="U1665">
        <f>IF(DAY(NOW())&lt;M3,INDIRECT(ADDRESS(1665,20))-INDIRECT(ADDRESS(1660,21))+INDIRECT(ADDRESS(1661,21))-INDIRECT(ADDRESS(1664,21)),INDIRECT(ADDRESS(1665,20))-INDIRECT(ADDRESS(1660,21))+INDIRECT(ADDRESS(1663,21))-INDIRECT(ADDRESS(1664,21)))</f>
        <v>0</v>
      </c>
      <c r="V1665">
        <f>IF(DAY(NOW())&lt;M3,INDIRECT(ADDRESS(1665,21))-INDIRECT(ADDRESS(1660,22))+INDIRECT(ADDRESS(1661,22))-INDIRECT(ADDRESS(1664,22)),INDIRECT(ADDRESS(1665,21))-INDIRECT(ADDRESS(1660,22))+INDIRECT(ADDRESS(1663,22))-INDIRECT(ADDRESS(1664,22)))</f>
        <v>0</v>
      </c>
      <c r="W1665">
        <f>IF(DAY(NOW())&lt;M3,INDIRECT(ADDRESS(1665,22))-INDIRECT(ADDRESS(1660,23))+INDIRECT(ADDRESS(1661,23))-INDIRECT(ADDRESS(1664,23)),INDIRECT(ADDRESS(1665,22))-INDIRECT(ADDRESS(1660,23))+INDIRECT(ADDRESS(1663,23))-INDIRECT(ADDRESS(1664,23)))</f>
        <v>0</v>
      </c>
      <c r="X1665">
        <f>IF(DAY(NOW())&lt;M3,INDIRECT(ADDRESS(1665,23))-INDIRECT(ADDRESS(1660,24))+INDIRECT(ADDRESS(1661,24))-INDIRECT(ADDRESS(1664,24)),INDIRECT(ADDRESS(1665,23))-INDIRECT(ADDRESS(1660,24))+INDIRECT(ADDRESS(1663,24))-INDIRECT(ADDRESS(1664,24)))</f>
        <v>0</v>
      </c>
      <c r="Y1665">
        <f>IF(DAY(NOW())&lt;M3,INDIRECT(ADDRESS(1665,24))-INDIRECT(ADDRESS(1660,25))+INDIRECT(ADDRESS(1661,25))-INDIRECT(ADDRESS(1664,25)),INDIRECT(ADDRESS(1665,24))-INDIRECT(ADDRESS(1660,25))+INDIRECT(ADDRESS(1663,25))-INDIRECT(ADDRESS(1664,25)))</f>
        <v>0</v>
      </c>
      <c r="Z1665">
        <f>IF(DAY(NOW())&lt;M3,INDIRECT(ADDRESS(1665,25))-INDIRECT(ADDRESS(1660,26))+INDIRECT(ADDRESS(1661,26))-INDIRECT(ADDRESS(1664,26)),INDIRECT(ADDRESS(1665,25))-INDIRECT(ADDRESS(1660,26))+INDIRECT(ADDRESS(1663,26))-INDIRECT(ADDRESS(1664,26)))</f>
        <v>0</v>
      </c>
      <c r="AA1665">
        <f>IF(DAY(NOW())&lt;M3,INDIRECT(ADDRESS(1665,26))-INDIRECT(ADDRESS(1660,27))+INDIRECT(ADDRESS(1661,27))-INDIRECT(ADDRESS(1664,27)),INDIRECT(ADDRESS(1665,26))-INDIRECT(ADDRESS(1660,27))+INDIRECT(ADDRESS(1663,27))-INDIRECT(ADDRESS(1664,27)))</f>
        <v>0</v>
      </c>
      <c r="AB1665">
        <f>IF(DAY(NOW())&lt;M3,INDIRECT(ADDRESS(1665,27))-INDIRECT(ADDRESS(1660,28))+INDIRECT(ADDRESS(1661,28))-INDIRECT(ADDRESS(1664,28)),INDIRECT(ADDRESS(1665,27))-INDIRECT(ADDRESS(1660,28))+INDIRECT(ADDRESS(1663,28))-INDIRECT(ADDRESS(1664,28)))</f>
        <v>0</v>
      </c>
      <c r="AC1665">
        <f>IF(DAY(NOW())&lt;M3,INDIRECT(ADDRESS(1665,28))-INDIRECT(ADDRESS(1660,29))+INDIRECT(ADDRESS(1661,29))-INDIRECT(ADDRESS(1664,29)),INDIRECT(ADDRESS(1665,28))-INDIRECT(ADDRESS(1660,29))+INDIRECT(ADDRESS(1663,29))-INDIRECT(ADDRESS(1664,29)))</f>
        <v>0</v>
      </c>
      <c r="AD1665">
        <f>IF(DAY(NOW())&lt;M3,INDIRECT(ADDRESS(1665,29))-INDIRECT(ADDRESS(1660,30))+INDIRECT(ADDRESS(1661,30))-INDIRECT(ADDRESS(1664,30)),INDIRECT(ADDRESS(1665,29))-INDIRECT(ADDRESS(1660,30))+INDIRECT(ADDRESS(1663,30))-INDIRECT(ADDRESS(1664,30)))</f>
        <v>0</v>
      </c>
      <c r="AE1665">
        <f>IF(DAY(NOW())&lt;M3,INDIRECT(ADDRESS(1665,30))-INDIRECT(ADDRESS(1660,31))+INDIRECT(ADDRESS(1661,31))-INDIRECT(ADDRESS(1664,31)),INDIRECT(ADDRESS(1665,30))-INDIRECT(ADDRESS(1660,31))+INDIRECT(ADDRESS(1663,31))-INDIRECT(ADDRESS(1664,31)))</f>
        <v>0</v>
      </c>
      <c r="AF1665">
        <f>IF(DAY(NOW())&lt;M3,INDIRECT(ADDRESS(1665,31))-INDIRECT(ADDRESS(1660,32))+INDIRECT(ADDRESS(1661,32))-INDIRECT(ADDRESS(1664,32)),INDIRECT(ADDRESS(1665,31))-INDIRECT(ADDRESS(1660,32))+INDIRECT(ADDRESS(1663,32))-INDIRECT(ADDRESS(1664,32)))</f>
        <v>0</v>
      </c>
      <c r="AG1665">
        <f>IF(DAY(NOW())&lt;M3,INDIRECT(ADDRESS(1665,32))-INDIRECT(ADDRESS(1660,33))+INDIRECT(ADDRESS(1661,33))-INDIRECT(ADDRESS(1664,33)),INDIRECT(ADDRESS(1665,32))-INDIRECT(ADDRESS(1660,33))+INDIRECT(ADDRESS(1663,33))-INDIRECT(ADDRESS(1664,33)))</f>
        <v>0</v>
      </c>
      <c r="AH1665">
        <f>IF(DAY(NOW())&lt;M3,INDIRECT(ADDRESS(1665,33))-INDIRECT(ADDRESS(1660,34))+INDIRECT(ADDRESS(1661,34))-INDIRECT(ADDRESS(1664,34)),INDIRECT(ADDRESS(1665,33))-INDIRECT(ADDRESS(1660,34))+INDIRECT(ADDRESS(1663,34))-INDIRECT(ADDRESS(1664,34)))</f>
        <v>0</v>
      </c>
      <c r="AI1665">
        <f>IF(DAY(NOW())&lt;M3,INDIRECT(ADDRESS(1665,34))-INDIRECT(ADDRESS(1660,35))+INDIRECT(ADDRESS(1661,35))-INDIRECT(ADDRESS(1664,35)),INDIRECT(ADDRESS(1665,34))-INDIRECT(ADDRESS(1660,35))+INDIRECT(ADDRESS(1663,35))-INDIRECT(ADDRESS(1664,35)))</f>
        <v>0</v>
      </c>
      <c r="AJ1665">
        <f>IF(DAY(NOW())&lt;M3,INDIRECT(ADDRESS(1665,35))-INDIRECT(ADDRESS(1660,36))+INDIRECT(ADDRESS(1661,36))-INDIRECT(ADDRESS(1664,36)),INDIRECT(ADDRESS(1665,35))-INDIRECT(ADDRESS(1660,36))+INDIRECT(ADDRESS(1663,36))-INDIRECT(ADDRESS(1664,36)))</f>
        <v>0</v>
      </c>
      <c r="AK1665">
        <f>IF(DAY(NOW())&lt;M3,INDIRECT(ADDRESS(1665,36))-INDIRECT(ADDRESS(1660,37))+INDIRECT(ADDRESS(1661,37))-INDIRECT(ADDRESS(1664,37)),INDIRECT(ADDRESS(1665,36))-INDIRECT(ADDRESS(1660,37))+INDIRECT(ADDRESS(1663,37))-INDIRECT(ADDRESS(1664,37)))</f>
        <v>0</v>
      </c>
      <c r="AL1665">
        <f>IF(DAY(NOW())&lt;M3,INDIRECT(ADDRESS(1665,37))-INDIRECT(ADDRESS(1660,38))+INDIRECT(ADDRESS(1661,38))-INDIRECT(ADDRESS(1664,38)),INDIRECT(ADDRESS(1665,37))-INDIRECT(ADDRESS(1660,38))+INDIRECT(ADDRESS(1663,38))-INDIRECT(ADDRESS(1664,38)))</f>
        <v>0</v>
      </c>
      <c r="AM1665">
        <f>IF(DAY(NOW())&lt;M3,INDIRECT(ADDRESS(1665,38))-INDIRECT(ADDRESS(1660,39))+INDIRECT(ADDRESS(1661,39))-INDIRECT(ADDRESS(1664,39)),INDIRECT(ADDRESS(1665,38))-INDIRECT(ADDRESS(1660,39))+INDIRECT(ADDRESS(1663,39))-INDIRECT(ADDRESS(1664,39)))</f>
        <v>0</v>
      </c>
      <c r="AN1665">
        <f>IF(DAY(NOW())&lt;M3,INDIRECT(ADDRESS(1665,39))-INDIRECT(ADDRESS(1660,40))+INDIRECT(ADDRESS(1661,40))-INDIRECT(ADDRESS(1664,40)),INDIRECT(ADDRESS(1665,39))-INDIRECT(ADDRESS(1660,40))+INDIRECT(ADDRESS(1663,40))-INDIRECT(ADDRESS(1664,40)))</f>
        <v>0</v>
      </c>
      <c r="AO1665">
        <f>IF(DAY(NOW())&lt;M3,INDIRECT(ADDRESS(1665,40))-INDIRECT(ADDRESS(1660,41))+INDIRECT(ADDRESS(1661,41))-INDIRECT(ADDRESS(1664,41)),INDIRECT(ADDRESS(1665,40))-INDIRECT(ADDRESS(1660,41))+INDIRECT(ADDRESS(1663,41))-INDIRECT(ADDRESS(1664,41)))</f>
        <v>0</v>
      </c>
      <c r="AP1665">
        <f>IF(DAY(NOW())&lt;M3,INDIRECT(ADDRESS(1665,41))-INDIRECT(ADDRESS(1660,42))+INDIRECT(ADDRESS(1661,42))-INDIRECT(ADDRESS(1664,42)),INDIRECT(ADDRESS(1665,41))-INDIRECT(ADDRESS(1660,42))+INDIRECT(ADDRESS(1663,42))-INDIRECT(ADDRESS(1664,42)))</f>
        <v>0</v>
      </c>
      <c r="AQ1665">
        <f>IF(DAY(NOW())&lt;M3,INDIRECT(ADDRESS(1665,42))-INDIRECT(ADDRESS(1660,43))+INDIRECT(ADDRESS(1661,43))-INDIRECT(ADDRESS(1664,43)),INDIRECT(ADDRESS(1665,42))-INDIRECT(ADDRESS(1660,43))+INDIRECT(ADDRESS(1663,43))-INDIRECT(ADDRESS(1664,43)))</f>
        <v>0</v>
      </c>
      <c r="AR1665">
        <f>IF(DAY(NOW())&lt;M3,INDIRECT(ADDRESS(1665,43))-INDIRECT(ADDRESS(1660,44))+INDIRECT(ADDRESS(1661,44))-INDIRECT(ADDRESS(1664,44)),INDIRECT(ADDRESS(1665,43))-INDIRECT(ADDRESS(1660,44))+INDIRECT(ADDRESS(1663,44))-INDIRECT(ADDRESS(1664,44)))</f>
        <v>0</v>
      </c>
    </row>
    <row r="1666" spans="1:76">
      <c r="A1666" t="s">
        <v>31</v>
      </c>
      <c r="B1666" t="s">
        <v>643</v>
      </c>
      <c r="C1666" t="s">
        <v>644</v>
      </c>
      <c r="D1666" t="s">
        <v>480</v>
      </c>
      <c r="E1666" t="s">
        <v>498</v>
      </c>
      <c r="F1666" t="s">
        <v>645</v>
      </c>
      <c r="K1666" t="s">
        <v>590</v>
      </c>
      <c r="L1666" t="s">
        <v>21</v>
      </c>
      <c r="M1666">
        <f>sumifs(BOM!m:m,BOM!A:A,".1",BOM!B:B,"222-179000-000")</f>
        <v>0</v>
      </c>
      <c r="N1666">
        <f>sumifs(BOM!n:n,BOM!A:A,".1",BOM!B:B,"222-179000-000")</f>
        <v>0</v>
      </c>
      <c r="O1666">
        <f>sumifs(BOM!o:o,BOM!A:A,".1",BOM!B:B,"222-179000-000")</f>
        <v>0</v>
      </c>
      <c r="P1666">
        <f>sumifs(BOM!p:p,BOM!A:A,".1",BOM!B:B,"222-179000-000")</f>
        <v>0</v>
      </c>
      <c r="Q1666">
        <f>sumifs(BOM!q:q,BOM!A:A,".1",BOM!B:B,"222-179000-000")</f>
        <v>0</v>
      </c>
      <c r="R1666">
        <f>sumifs(BOM!r:r,BOM!A:A,".1",BOM!B:B,"222-179000-000")</f>
        <v>0</v>
      </c>
      <c r="S1666">
        <f>sumifs(BOM!s:s,BOM!A:A,".1",BOM!B:B,"222-179000-000")</f>
        <v>0</v>
      </c>
      <c r="T1666">
        <f>sumifs(BOM!t:t,BOM!A:A,".1",BOM!B:B,"222-179000-000")</f>
        <v>0</v>
      </c>
      <c r="U1666">
        <f>sumifs(BOM!u:u,BOM!A:A,".1",BOM!B:B,"222-179000-000")</f>
        <v>0</v>
      </c>
      <c r="V1666">
        <f>sumifs(BOM!v:v,BOM!A:A,".1",BOM!B:B,"222-179000-000")</f>
        <v>0</v>
      </c>
      <c r="W1666">
        <f>sumifs(BOM!w:w,BOM!A:A,".1",BOM!B:B,"222-179000-000")</f>
        <v>0</v>
      </c>
      <c r="X1666">
        <f>sumifs(BOM!x:x,BOM!A:A,".1",BOM!B:B,"222-179000-000")</f>
        <v>0</v>
      </c>
      <c r="Y1666">
        <f>sumifs(BOM!y:y,BOM!A:A,".1",BOM!B:B,"222-179000-000")</f>
        <v>0</v>
      </c>
      <c r="Z1666">
        <f>sumifs(BOM!z:z,BOM!A:A,".1",BOM!B:B,"222-179000-000")</f>
        <v>0</v>
      </c>
      <c r="AA1666">
        <f>sumifs(BOM!aa:aa,BOM!A:A,".1",BOM!B:B,"222-179000-000")</f>
        <v>0</v>
      </c>
      <c r="AB1666">
        <f>sumifs(BOM!ab:ab,BOM!A:A,".1",BOM!B:B,"222-179000-000")</f>
        <v>0</v>
      </c>
      <c r="AC1666">
        <f>sumifs(BOM!ac:ac,BOM!A:A,".1",BOM!B:B,"222-179000-000")</f>
        <v>0</v>
      </c>
      <c r="AD1666">
        <f>sumifs(BOM!ad:ad,BOM!A:A,".1",BOM!B:B,"222-179000-000")</f>
        <v>0</v>
      </c>
      <c r="AE1666">
        <f>sumifs(BOM!ae:ae,BOM!A:A,".1",BOM!B:B,"222-179000-000")</f>
        <v>0</v>
      </c>
      <c r="AF1666">
        <f>sumifs(BOM!af:af,BOM!A:A,".1",BOM!B:B,"222-179000-000")</f>
        <v>0</v>
      </c>
      <c r="AG1666">
        <f>sumifs(BOM!ag:ag,BOM!A:A,".1",BOM!B:B,"222-179000-000")</f>
        <v>0</v>
      </c>
      <c r="AH1666">
        <f>sumifs(BOM!ah:ah,BOM!A:A,".1",BOM!B:B,"222-179000-000")</f>
        <v>0</v>
      </c>
      <c r="AI1666">
        <f>sumifs(BOM!ai:ai,BOM!A:A,".1",BOM!B:B,"222-179000-000")</f>
        <v>0</v>
      </c>
      <c r="AJ1666">
        <f>sumifs(BOM!aj:aj,BOM!A:A,".1",BOM!B:B,"222-179000-000")</f>
        <v>0</v>
      </c>
      <c r="AK1666">
        <f>sumifs(BOM!ak:ak,BOM!A:A,".1",BOM!B:B,"222-179000-000")</f>
        <v>0</v>
      </c>
      <c r="AL1666">
        <f>sumifs(BOM!al:al,BOM!A:A,".1",BOM!B:B,"222-179000-000")</f>
        <v>0</v>
      </c>
      <c r="AM1666">
        <f>sumifs(BOM!am:am,BOM!A:A,".1",BOM!B:B,"222-179000-000")</f>
        <v>0</v>
      </c>
      <c r="AN1666">
        <f>sumifs(BOM!an:an,BOM!A:A,".1",BOM!B:B,"222-179000-000")</f>
        <v>0</v>
      </c>
      <c r="AO1666">
        <f>sumifs(BOM!ao:ao,BOM!A:A,".1",BOM!B:B,"222-179000-000")</f>
        <v>0</v>
      </c>
      <c r="AP1666">
        <f>sumifs(BOM!ap:ap,BOM!A:A,".1",BOM!B:B,"222-179000-000")</f>
        <v>0</v>
      </c>
      <c r="AQ1666">
        <f>sumifs(BOM!aq:aq,BOM!A:A,".1",BOM!B:B,"222-179000-000")</f>
        <v>0</v>
      </c>
      <c r="AR1666">
        <f>sumifs(BOM!ar:ar,BOM!A:A,".1",BOM!B:B,"222-179000-000")</f>
        <v>0</v>
      </c>
      <c r="BX1666">
        <f>sum(j1666:an1666)</f>
        <v>0</v>
      </c>
    </row>
    <row r="1667" spans="1:76">
      <c r="A1667" t="s">
        <v>31</v>
      </c>
      <c r="B1667" t="s">
        <v>643</v>
      </c>
      <c r="C1667" t="s">
        <v>644</v>
      </c>
      <c r="D1667" t="s">
        <v>480</v>
      </c>
      <c r="E1667" t="s">
        <v>498</v>
      </c>
      <c r="F1667" t="s">
        <v>645</v>
      </c>
      <c r="K1667" t="s">
        <v>590</v>
      </c>
      <c r="L1667" t="s">
        <v>37</v>
      </c>
    </row>
    <row r="1668" spans="1:76">
      <c r="L1668" t="s">
        <v>662</v>
      </c>
    </row>
    <row r="1669" spans="1:76">
      <c r="L1669" t="s">
        <v>663</v>
      </c>
    </row>
    <row r="1670" spans="1:76">
      <c r="L1670" t="s">
        <v>664</v>
      </c>
    </row>
    <row r="1671" spans="1:76">
      <c r="L1671" t="s">
        <v>665</v>
      </c>
      <c r="M1671">
        <f>IF(DAY(NOW())&lt;M3,INDIRECT(ADDRESS(1671,7))-INDIRECT(ADDRESS(1666,13))+INDIRECT(ADDRESS(1667,13))-INDIRECT(ADDRESS(1670,13)),INDIRECT(ADDRESS(1671,7))-INDIRECT(ADDRESS(1666,13))+INDIRECT(ADDRESS(1669,13))-INDIRECT(ADDRESS(1670,13)))</f>
        <v>0</v>
      </c>
      <c r="N1671">
        <f>IF(DAY(NOW())&lt;M3,INDIRECT(ADDRESS(1671,13))-INDIRECT(ADDRESS(1666,14))+INDIRECT(ADDRESS(1667,14))-INDIRECT(ADDRESS(1670,14)),INDIRECT(ADDRESS(1671,13))-INDIRECT(ADDRESS(1666,14))+INDIRECT(ADDRESS(1669,14))-INDIRECT(ADDRESS(1670,14)))</f>
        <v>0</v>
      </c>
      <c r="O1671">
        <f>IF(DAY(NOW())&lt;M3,INDIRECT(ADDRESS(1671,14))-INDIRECT(ADDRESS(1666,15))+INDIRECT(ADDRESS(1667,15))-INDIRECT(ADDRESS(1670,15)),INDIRECT(ADDRESS(1671,14))-INDIRECT(ADDRESS(1666,15))+INDIRECT(ADDRESS(1669,15))-INDIRECT(ADDRESS(1670,15)))</f>
        <v>0</v>
      </c>
      <c r="P1671">
        <f>IF(DAY(NOW())&lt;M3,INDIRECT(ADDRESS(1671,15))-INDIRECT(ADDRESS(1666,16))+INDIRECT(ADDRESS(1667,16))-INDIRECT(ADDRESS(1670,16)),INDIRECT(ADDRESS(1671,15))-INDIRECT(ADDRESS(1666,16))+INDIRECT(ADDRESS(1669,16))-INDIRECT(ADDRESS(1670,16)))</f>
        <v>0</v>
      </c>
      <c r="Q1671">
        <f>IF(DAY(NOW())&lt;M3,INDIRECT(ADDRESS(1671,16))-INDIRECT(ADDRESS(1666,17))+INDIRECT(ADDRESS(1667,17))-INDIRECT(ADDRESS(1670,17)),INDIRECT(ADDRESS(1671,16))-INDIRECT(ADDRESS(1666,17))+INDIRECT(ADDRESS(1669,17))-INDIRECT(ADDRESS(1670,17)))</f>
        <v>0</v>
      </c>
      <c r="R1671">
        <f>IF(DAY(NOW())&lt;M3,INDIRECT(ADDRESS(1671,17))-INDIRECT(ADDRESS(1666,18))+INDIRECT(ADDRESS(1667,18))-INDIRECT(ADDRESS(1670,18)),INDIRECT(ADDRESS(1671,17))-INDIRECT(ADDRESS(1666,18))+INDIRECT(ADDRESS(1669,18))-INDIRECT(ADDRESS(1670,18)))</f>
        <v>0</v>
      </c>
      <c r="S1671">
        <f>IF(DAY(NOW())&lt;M3,INDIRECT(ADDRESS(1671,18))-INDIRECT(ADDRESS(1666,19))+INDIRECT(ADDRESS(1667,19))-INDIRECT(ADDRESS(1670,19)),INDIRECT(ADDRESS(1671,18))-INDIRECT(ADDRESS(1666,19))+INDIRECT(ADDRESS(1669,19))-INDIRECT(ADDRESS(1670,19)))</f>
        <v>0</v>
      </c>
      <c r="T1671">
        <f>IF(DAY(NOW())&lt;M3,INDIRECT(ADDRESS(1671,19))-INDIRECT(ADDRESS(1666,20))+INDIRECT(ADDRESS(1667,20))-INDIRECT(ADDRESS(1670,20)),INDIRECT(ADDRESS(1671,19))-INDIRECT(ADDRESS(1666,20))+INDIRECT(ADDRESS(1669,20))-INDIRECT(ADDRESS(1670,20)))</f>
        <v>0</v>
      </c>
      <c r="U1671">
        <f>IF(DAY(NOW())&lt;M3,INDIRECT(ADDRESS(1671,20))-INDIRECT(ADDRESS(1666,21))+INDIRECT(ADDRESS(1667,21))-INDIRECT(ADDRESS(1670,21)),INDIRECT(ADDRESS(1671,20))-INDIRECT(ADDRESS(1666,21))+INDIRECT(ADDRESS(1669,21))-INDIRECT(ADDRESS(1670,21)))</f>
        <v>0</v>
      </c>
      <c r="V1671">
        <f>IF(DAY(NOW())&lt;M3,INDIRECT(ADDRESS(1671,21))-INDIRECT(ADDRESS(1666,22))+INDIRECT(ADDRESS(1667,22))-INDIRECT(ADDRESS(1670,22)),INDIRECT(ADDRESS(1671,21))-INDIRECT(ADDRESS(1666,22))+INDIRECT(ADDRESS(1669,22))-INDIRECT(ADDRESS(1670,22)))</f>
        <v>0</v>
      </c>
      <c r="W1671">
        <f>IF(DAY(NOW())&lt;M3,INDIRECT(ADDRESS(1671,22))-INDIRECT(ADDRESS(1666,23))+INDIRECT(ADDRESS(1667,23))-INDIRECT(ADDRESS(1670,23)),INDIRECT(ADDRESS(1671,22))-INDIRECT(ADDRESS(1666,23))+INDIRECT(ADDRESS(1669,23))-INDIRECT(ADDRESS(1670,23)))</f>
        <v>0</v>
      </c>
      <c r="X1671">
        <f>IF(DAY(NOW())&lt;M3,INDIRECT(ADDRESS(1671,23))-INDIRECT(ADDRESS(1666,24))+INDIRECT(ADDRESS(1667,24))-INDIRECT(ADDRESS(1670,24)),INDIRECT(ADDRESS(1671,23))-INDIRECT(ADDRESS(1666,24))+INDIRECT(ADDRESS(1669,24))-INDIRECT(ADDRESS(1670,24)))</f>
        <v>0</v>
      </c>
      <c r="Y1671">
        <f>IF(DAY(NOW())&lt;M3,INDIRECT(ADDRESS(1671,24))-INDIRECT(ADDRESS(1666,25))+INDIRECT(ADDRESS(1667,25))-INDIRECT(ADDRESS(1670,25)),INDIRECT(ADDRESS(1671,24))-INDIRECT(ADDRESS(1666,25))+INDIRECT(ADDRESS(1669,25))-INDIRECT(ADDRESS(1670,25)))</f>
        <v>0</v>
      </c>
      <c r="Z1671">
        <f>IF(DAY(NOW())&lt;M3,INDIRECT(ADDRESS(1671,25))-INDIRECT(ADDRESS(1666,26))+INDIRECT(ADDRESS(1667,26))-INDIRECT(ADDRESS(1670,26)),INDIRECT(ADDRESS(1671,25))-INDIRECT(ADDRESS(1666,26))+INDIRECT(ADDRESS(1669,26))-INDIRECT(ADDRESS(1670,26)))</f>
        <v>0</v>
      </c>
      <c r="AA1671">
        <f>IF(DAY(NOW())&lt;M3,INDIRECT(ADDRESS(1671,26))-INDIRECT(ADDRESS(1666,27))+INDIRECT(ADDRESS(1667,27))-INDIRECT(ADDRESS(1670,27)),INDIRECT(ADDRESS(1671,26))-INDIRECT(ADDRESS(1666,27))+INDIRECT(ADDRESS(1669,27))-INDIRECT(ADDRESS(1670,27)))</f>
        <v>0</v>
      </c>
      <c r="AB1671">
        <f>IF(DAY(NOW())&lt;M3,INDIRECT(ADDRESS(1671,27))-INDIRECT(ADDRESS(1666,28))+INDIRECT(ADDRESS(1667,28))-INDIRECT(ADDRESS(1670,28)),INDIRECT(ADDRESS(1671,27))-INDIRECT(ADDRESS(1666,28))+INDIRECT(ADDRESS(1669,28))-INDIRECT(ADDRESS(1670,28)))</f>
        <v>0</v>
      </c>
      <c r="AC1671">
        <f>IF(DAY(NOW())&lt;M3,INDIRECT(ADDRESS(1671,28))-INDIRECT(ADDRESS(1666,29))+INDIRECT(ADDRESS(1667,29))-INDIRECT(ADDRESS(1670,29)),INDIRECT(ADDRESS(1671,28))-INDIRECT(ADDRESS(1666,29))+INDIRECT(ADDRESS(1669,29))-INDIRECT(ADDRESS(1670,29)))</f>
        <v>0</v>
      </c>
      <c r="AD1671">
        <f>IF(DAY(NOW())&lt;M3,INDIRECT(ADDRESS(1671,29))-INDIRECT(ADDRESS(1666,30))+INDIRECT(ADDRESS(1667,30))-INDIRECT(ADDRESS(1670,30)),INDIRECT(ADDRESS(1671,29))-INDIRECT(ADDRESS(1666,30))+INDIRECT(ADDRESS(1669,30))-INDIRECT(ADDRESS(1670,30)))</f>
        <v>0</v>
      </c>
      <c r="AE1671">
        <f>IF(DAY(NOW())&lt;M3,INDIRECT(ADDRESS(1671,30))-INDIRECT(ADDRESS(1666,31))+INDIRECT(ADDRESS(1667,31))-INDIRECT(ADDRESS(1670,31)),INDIRECT(ADDRESS(1671,30))-INDIRECT(ADDRESS(1666,31))+INDIRECT(ADDRESS(1669,31))-INDIRECT(ADDRESS(1670,31)))</f>
        <v>0</v>
      </c>
      <c r="AF1671">
        <f>IF(DAY(NOW())&lt;M3,INDIRECT(ADDRESS(1671,31))-INDIRECT(ADDRESS(1666,32))+INDIRECT(ADDRESS(1667,32))-INDIRECT(ADDRESS(1670,32)),INDIRECT(ADDRESS(1671,31))-INDIRECT(ADDRESS(1666,32))+INDIRECT(ADDRESS(1669,32))-INDIRECT(ADDRESS(1670,32)))</f>
        <v>0</v>
      </c>
      <c r="AG1671">
        <f>IF(DAY(NOW())&lt;M3,INDIRECT(ADDRESS(1671,32))-INDIRECT(ADDRESS(1666,33))+INDIRECT(ADDRESS(1667,33))-INDIRECT(ADDRESS(1670,33)),INDIRECT(ADDRESS(1671,32))-INDIRECT(ADDRESS(1666,33))+INDIRECT(ADDRESS(1669,33))-INDIRECT(ADDRESS(1670,33)))</f>
        <v>0</v>
      </c>
      <c r="AH1671">
        <f>IF(DAY(NOW())&lt;M3,INDIRECT(ADDRESS(1671,33))-INDIRECT(ADDRESS(1666,34))+INDIRECT(ADDRESS(1667,34))-INDIRECT(ADDRESS(1670,34)),INDIRECT(ADDRESS(1671,33))-INDIRECT(ADDRESS(1666,34))+INDIRECT(ADDRESS(1669,34))-INDIRECT(ADDRESS(1670,34)))</f>
        <v>0</v>
      </c>
      <c r="AI1671">
        <f>IF(DAY(NOW())&lt;M3,INDIRECT(ADDRESS(1671,34))-INDIRECT(ADDRESS(1666,35))+INDIRECT(ADDRESS(1667,35))-INDIRECT(ADDRESS(1670,35)),INDIRECT(ADDRESS(1671,34))-INDIRECT(ADDRESS(1666,35))+INDIRECT(ADDRESS(1669,35))-INDIRECT(ADDRESS(1670,35)))</f>
        <v>0</v>
      </c>
      <c r="AJ1671">
        <f>IF(DAY(NOW())&lt;M3,INDIRECT(ADDRESS(1671,35))-INDIRECT(ADDRESS(1666,36))+INDIRECT(ADDRESS(1667,36))-INDIRECT(ADDRESS(1670,36)),INDIRECT(ADDRESS(1671,35))-INDIRECT(ADDRESS(1666,36))+INDIRECT(ADDRESS(1669,36))-INDIRECT(ADDRESS(1670,36)))</f>
        <v>0</v>
      </c>
      <c r="AK1671">
        <f>IF(DAY(NOW())&lt;M3,INDIRECT(ADDRESS(1671,36))-INDIRECT(ADDRESS(1666,37))+INDIRECT(ADDRESS(1667,37))-INDIRECT(ADDRESS(1670,37)),INDIRECT(ADDRESS(1671,36))-INDIRECT(ADDRESS(1666,37))+INDIRECT(ADDRESS(1669,37))-INDIRECT(ADDRESS(1670,37)))</f>
        <v>0</v>
      </c>
      <c r="AL1671">
        <f>IF(DAY(NOW())&lt;M3,INDIRECT(ADDRESS(1671,37))-INDIRECT(ADDRESS(1666,38))+INDIRECT(ADDRESS(1667,38))-INDIRECT(ADDRESS(1670,38)),INDIRECT(ADDRESS(1671,37))-INDIRECT(ADDRESS(1666,38))+INDIRECT(ADDRESS(1669,38))-INDIRECT(ADDRESS(1670,38)))</f>
        <v>0</v>
      </c>
      <c r="AM1671">
        <f>IF(DAY(NOW())&lt;M3,INDIRECT(ADDRESS(1671,38))-INDIRECT(ADDRESS(1666,39))+INDIRECT(ADDRESS(1667,39))-INDIRECT(ADDRESS(1670,39)),INDIRECT(ADDRESS(1671,38))-INDIRECT(ADDRESS(1666,39))+INDIRECT(ADDRESS(1669,39))-INDIRECT(ADDRESS(1670,39)))</f>
        <v>0</v>
      </c>
      <c r="AN1671">
        <f>IF(DAY(NOW())&lt;M3,INDIRECT(ADDRESS(1671,39))-INDIRECT(ADDRESS(1666,40))+INDIRECT(ADDRESS(1667,40))-INDIRECT(ADDRESS(1670,40)),INDIRECT(ADDRESS(1671,39))-INDIRECT(ADDRESS(1666,40))+INDIRECT(ADDRESS(1669,40))-INDIRECT(ADDRESS(1670,40)))</f>
        <v>0</v>
      </c>
      <c r="AO1671">
        <f>IF(DAY(NOW())&lt;M3,INDIRECT(ADDRESS(1671,40))-INDIRECT(ADDRESS(1666,41))+INDIRECT(ADDRESS(1667,41))-INDIRECT(ADDRESS(1670,41)),INDIRECT(ADDRESS(1671,40))-INDIRECT(ADDRESS(1666,41))+INDIRECT(ADDRESS(1669,41))-INDIRECT(ADDRESS(1670,41)))</f>
        <v>0</v>
      </c>
      <c r="AP1671">
        <f>IF(DAY(NOW())&lt;M3,INDIRECT(ADDRESS(1671,41))-INDIRECT(ADDRESS(1666,42))+INDIRECT(ADDRESS(1667,42))-INDIRECT(ADDRESS(1670,42)),INDIRECT(ADDRESS(1671,41))-INDIRECT(ADDRESS(1666,42))+INDIRECT(ADDRESS(1669,42))-INDIRECT(ADDRESS(1670,42)))</f>
        <v>0</v>
      </c>
      <c r="AQ1671">
        <f>IF(DAY(NOW())&lt;M3,INDIRECT(ADDRESS(1671,42))-INDIRECT(ADDRESS(1666,43))+INDIRECT(ADDRESS(1667,43))-INDIRECT(ADDRESS(1670,43)),INDIRECT(ADDRESS(1671,42))-INDIRECT(ADDRESS(1666,43))+INDIRECT(ADDRESS(1669,43))-INDIRECT(ADDRESS(1670,43)))</f>
        <v>0</v>
      </c>
      <c r="AR1671">
        <f>IF(DAY(NOW())&lt;M3,INDIRECT(ADDRESS(1671,43))-INDIRECT(ADDRESS(1666,44))+INDIRECT(ADDRESS(1667,44))-INDIRECT(ADDRESS(1670,44)),INDIRECT(ADDRESS(1671,43))-INDIRECT(ADDRESS(1666,44))+INDIRECT(ADDRESS(1669,44))-INDIRECT(ADDRESS(1670,44)))</f>
        <v>0</v>
      </c>
    </row>
    <row r="1672" spans="1:76">
      <c r="A1672" t="s">
        <v>31</v>
      </c>
      <c r="B1672" t="s">
        <v>646</v>
      </c>
      <c r="C1672" t="s">
        <v>647</v>
      </c>
      <c r="E1672" t="s">
        <v>444</v>
      </c>
      <c r="F1672" t="s">
        <v>648</v>
      </c>
      <c r="K1672" t="s">
        <v>590</v>
      </c>
      <c r="L1672" t="s">
        <v>21</v>
      </c>
      <c r="M1672">
        <f>sumifs(BOM!m:m,BOM!A:A,".1",BOM!B:B,"232-012000-000")</f>
        <v>0</v>
      </c>
      <c r="N1672">
        <f>sumifs(BOM!n:n,BOM!A:A,".1",BOM!B:B,"232-012000-000")</f>
        <v>0</v>
      </c>
      <c r="O1672">
        <f>sumifs(BOM!o:o,BOM!A:A,".1",BOM!B:B,"232-012000-000")</f>
        <v>0</v>
      </c>
      <c r="P1672">
        <f>sumifs(BOM!p:p,BOM!A:A,".1",BOM!B:B,"232-012000-000")</f>
        <v>0</v>
      </c>
      <c r="Q1672">
        <f>sumifs(BOM!q:q,BOM!A:A,".1",BOM!B:B,"232-012000-000")</f>
        <v>0</v>
      </c>
      <c r="R1672">
        <f>sumifs(BOM!r:r,BOM!A:A,".1",BOM!B:B,"232-012000-000")</f>
        <v>0</v>
      </c>
      <c r="S1672">
        <f>sumifs(BOM!s:s,BOM!A:A,".1",BOM!B:B,"232-012000-000")</f>
        <v>0</v>
      </c>
      <c r="T1672">
        <f>sumifs(BOM!t:t,BOM!A:A,".1",BOM!B:B,"232-012000-000")</f>
        <v>0</v>
      </c>
      <c r="U1672">
        <f>sumifs(BOM!u:u,BOM!A:A,".1",BOM!B:B,"232-012000-000")</f>
        <v>0</v>
      </c>
      <c r="V1672">
        <f>sumifs(BOM!v:v,BOM!A:A,".1",BOM!B:B,"232-012000-000")</f>
        <v>0</v>
      </c>
      <c r="W1672">
        <f>sumifs(BOM!w:w,BOM!A:A,".1",BOM!B:B,"232-012000-000")</f>
        <v>0</v>
      </c>
      <c r="X1672">
        <f>sumifs(BOM!x:x,BOM!A:A,".1",BOM!B:B,"232-012000-000")</f>
        <v>0</v>
      </c>
      <c r="Y1672">
        <f>sumifs(BOM!y:y,BOM!A:A,".1",BOM!B:B,"232-012000-000")</f>
        <v>0</v>
      </c>
      <c r="Z1672">
        <f>sumifs(BOM!z:z,BOM!A:A,".1",BOM!B:B,"232-012000-000")</f>
        <v>0</v>
      </c>
      <c r="AA1672">
        <f>sumifs(BOM!aa:aa,BOM!A:A,".1",BOM!B:B,"232-012000-000")</f>
        <v>0</v>
      </c>
      <c r="AB1672">
        <f>sumifs(BOM!ab:ab,BOM!A:A,".1",BOM!B:B,"232-012000-000")</f>
        <v>0</v>
      </c>
      <c r="AC1672">
        <f>sumifs(BOM!ac:ac,BOM!A:A,".1",BOM!B:B,"232-012000-000")</f>
        <v>0</v>
      </c>
      <c r="AD1672">
        <f>sumifs(BOM!ad:ad,BOM!A:A,".1",BOM!B:B,"232-012000-000")</f>
        <v>0</v>
      </c>
      <c r="AE1672">
        <f>sumifs(BOM!ae:ae,BOM!A:A,".1",BOM!B:B,"232-012000-000")</f>
        <v>0</v>
      </c>
      <c r="AF1672">
        <f>sumifs(BOM!af:af,BOM!A:A,".1",BOM!B:B,"232-012000-000")</f>
        <v>0</v>
      </c>
      <c r="AG1672">
        <f>sumifs(BOM!ag:ag,BOM!A:A,".1",BOM!B:B,"232-012000-000")</f>
        <v>0</v>
      </c>
      <c r="AH1672">
        <f>sumifs(BOM!ah:ah,BOM!A:A,".1",BOM!B:B,"232-012000-000")</f>
        <v>0</v>
      </c>
      <c r="AI1672">
        <f>sumifs(BOM!ai:ai,BOM!A:A,".1",BOM!B:B,"232-012000-000")</f>
        <v>0</v>
      </c>
      <c r="AJ1672">
        <f>sumifs(BOM!aj:aj,BOM!A:A,".1",BOM!B:B,"232-012000-000")</f>
        <v>0</v>
      </c>
      <c r="AK1672">
        <f>sumifs(BOM!ak:ak,BOM!A:A,".1",BOM!B:B,"232-012000-000")</f>
        <v>0</v>
      </c>
      <c r="AL1672">
        <f>sumifs(BOM!al:al,BOM!A:A,".1",BOM!B:B,"232-012000-000")</f>
        <v>0</v>
      </c>
      <c r="AM1672">
        <f>sumifs(BOM!am:am,BOM!A:A,".1",BOM!B:B,"232-012000-000")</f>
        <v>0</v>
      </c>
      <c r="AN1672">
        <f>sumifs(BOM!an:an,BOM!A:A,".1",BOM!B:B,"232-012000-000")</f>
        <v>0</v>
      </c>
      <c r="AO1672">
        <f>sumifs(BOM!ao:ao,BOM!A:A,".1",BOM!B:B,"232-012000-000")</f>
        <v>0</v>
      </c>
      <c r="AP1672">
        <f>sumifs(BOM!ap:ap,BOM!A:A,".1",BOM!B:B,"232-012000-000")</f>
        <v>0</v>
      </c>
      <c r="AQ1672">
        <f>sumifs(BOM!aq:aq,BOM!A:A,".1",BOM!B:B,"232-012000-000")</f>
        <v>0</v>
      </c>
      <c r="AR1672">
        <f>sumifs(BOM!ar:ar,BOM!A:A,".1",BOM!B:B,"232-012000-000")</f>
        <v>0</v>
      </c>
      <c r="BX1672">
        <f>sum(j1672:an1672)</f>
        <v>0</v>
      </c>
    </row>
    <row r="1673" spans="1:76">
      <c r="A1673" t="s">
        <v>31</v>
      </c>
      <c r="B1673" t="s">
        <v>646</v>
      </c>
      <c r="C1673" t="s">
        <v>647</v>
      </c>
      <c r="E1673" t="s">
        <v>444</v>
      </c>
      <c r="F1673" t="s">
        <v>648</v>
      </c>
      <c r="K1673" t="s">
        <v>590</v>
      </c>
      <c r="L1673" t="s">
        <v>37</v>
      </c>
    </row>
    <row r="1674" spans="1:76">
      <c r="L1674" t="s">
        <v>662</v>
      </c>
    </row>
    <row r="1675" spans="1:76">
      <c r="L1675" t="s">
        <v>663</v>
      </c>
    </row>
    <row r="1676" spans="1:76">
      <c r="L1676" t="s">
        <v>664</v>
      </c>
    </row>
    <row r="1677" spans="1:76">
      <c r="L1677" t="s">
        <v>665</v>
      </c>
      <c r="M1677">
        <f>IF(DAY(NOW())&lt;M3,INDIRECT(ADDRESS(1677,7))-INDIRECT(ADDRESS(1672,13))+INDIRECT(ADDRESS(1673,13))-INDIRECT(ADDRESS(1676,13)),INDIRECT(ADDRESS(1677,7))-INDIRECT(ADDRESS(1672,13))+INDIRECT(ADDRESS(1675,13))-INDIRECT(ADDRESS(1676,13)))</f>
        <v>0</v>
      </c>
      <c r="N1677">
        <f>IF(DAY(NOW())&lt;M3,INDIRECT(ADDRESS(1677,13))-INDIRECT(ADDRESS(1672,14))+INDIRECT(ADDRESS(1673,14))-INDIRECT(ADDRESS(1676,14)),INDIRECT(ADDRESS(1677,13))-INDIRECT(ADDRESS(1672,14))+INDIRECT(ADDRESS(1675,14))-INDIRECT(ADDRESS(1676,14)))</f>
        <v>0</v>
      </c>
      <c r="O1677">
        <f>IF(DAY(NOW())&lt;M3,INDIRECT(ADDRESS(1677,14))-INDIRECT(ADDRESS(1672,15))+INDIRECT(ADDRESS(1673,15))-INDIRECT(ADDRESS(1676,15)),INDIRECT(ADDRESS(1677,14))-INDIRECT(ADDRESS(1672,15))+INDIRECT(ADDRESS(1675,15))-INDIRECT(ADDRESS(1676,15)))</f>
        <v>0</v>
      </c>
      <c r="P1677">
        <f>IF(DAY(NOW())&lt;M3,INDIRECT(ADDRESS(1677,15))-INDIRECT(ADDRESS(1672,16))+INDIRECT(ADDRESS(1673,16))-INDIRECT(ADDRESS(1676,16)),INDIRECT(ADDRESS(1677,15))-INDIRECT(ADDRESS(1672,16))+INDIRECT(ADDRESS(1675,16))-INDIRECT(ADDRESS(1676,16)))</f>
        <v>0</v>
      </c>
      <c r="Q1677">
        <f>IF(DAY(NOW())&lt;M3,INDIRECT(ADDRESS(1677,16))-INDIRECT(ADDRESS(1672,17))+INDIRECT(ADDRESS(1673,17))-INDIRECT(ADDRESS(1676,17)),INDIRECT(ADDRESS(1677,16))-INDIRECT(ADDRESS(1672,17))+INDIRECT(ADDRESS(1675,17))-INDIRECT(ADDRESS(1676,17)))</f>
        <v>0</v>
      </c>
      <c r="R1677">
        <f>IF(DAY(NOW())&lt;M3,INDIRECT(ADDRESS(1677,17))-INDIRECT(ADDRESS(1672,18))+INDIRECT(ADDRESS(1673,18))-INDIRECT(ADDRESS(1676,18)),INDIRECT(ADDRESS(1677,17))-INDIRECT(ADDRESS(1672,18))+INDIRECT(ADDRESS(1675,18))-INDIRECT(ADDRESS(1676,18)))</f>
        <v>0</v>
      </c>
      <c r="S1677">
        <f>IF(DAY(NOW())&lt;M3,INDIRECT(ADDRESS(1677,18))-INDIRECT(ADDRESS(1672,19))+INDIRECT(ADDRESS(1673,19))-INDIRECT(ADDRESS(1676,19)),INDIRECT(ADDRESS(1677,18))-INDIRECT(ADDRESS(1672,19))+INDIRECT(ADDRESS(1675,19))-INDIRECT(ADDRESS(1676,19)))</f>
        <v>0</v>
      </c>
      <c r="T1677">
        <f>IF(DAY(NOW())&lt;M3,INDIRECT(ADDRESS(1677,19))-INDIRECT(ADDRESS(1672,20))+INDIRECT(ADDRESS(1673,20))-INDIRECT(ADDRESS(1676,20)),INDIRECT(ADDRESS(1677,19))-INDIRECT(ADDRESS(1672,20))+INDIRECT(ADDRESS(1675,20))-INDIRECT(ADDRESS(1676,20)))</f>
        <v>0</v>
      </c>
      <c r="U1677">
        <f>IF(DAY(NOW())&lt;M3,INDIRECT(ADDRESS(1677,20))-INDIRECT(ADDRESS(1672,21))+INDIRECT(ADDRESS(1673,21))-INDIRECT(ADDRESS(1676,21)),INDIRECT(ADDRESS(1677,20))-INDIRECT(ADDRESS(1672,21))+INDIRECT(ADDRESS(1675,21))-INDIRECT(ADDRESS(1676,21)))</f>
        <v>0</v>
      </c>
      <c r="V1677">
        <f>IF(DAY(NOW())&lt;M3,INDIRECT(ADDRESS(1677,21))-INDIRECT(ADDRESS(1672,22))+INDIRECT(ADDRESS(1673,22))-INDIRECT(ADDRESS(1676,22)),INDIRECT(ADDRESS(1677,21))-INDIRECT(ADDRESS(1672,22))+INDIRECT(ADDRESS(1675,22))-INDIRECT(ADDRESS(1676,22)))</f>
        <v>0</v>
      </c>
      <c r="W1677">
        <f>IF(DAY(NOW())&lt;M3,INDIRECT(ADDRESS(1677,22))-INDIRECT(ADDRESS(1672,23))+INDIRECT(ADDRESS(1673,23))-INDIRECT(ADDRESS(1676,23)),INDIRECT(ADDRESS(1677,22))-INDIRECT(ADDRESS(1672,23))+INDIRECT(ADDRESS(1675,23))-INDIRECT(ADDRESS(1676,23)))</f>
        <v>0</v>
      </c>
      <c r="X1677">
        <f>IF(DAY(NOW())&lt;M3,INDIRECT(ADDRESS(1677,23))-INDIRECT(ADDRESS(1672,24))+INDIRECT(ADDRESS(1673,24))-INDIRECT(ADDRESS(1676,24)),INDIRECT(ADDRESS(1677,23))-INDIRECT(ADDRESS(1672,24))+INDIRECT(ADDRESS(1675,24))-INDIRECT(ADDRESS(1676,24)))</f>
        <v>0</v>
      </c>
      <c r="Y1677">
        <f>IF(DAY(NOW())&lt;M3,INDIRECT(ADDRESS(1677,24))-INDIRECT(ADDRESS(1672,25))+INDIRECT(ADDRESS(1673,25))-INDIRECT(ADDRESS(1676,25)),INDIRECT(ADDRESS(1677,24))-INDIRECT(ADDRESS(1672,25))+INDIRECT(ADDRESS(1675,25))-INDIRECT(ADDRESS(1676,25)))</f>
        <v>0</v>
      </c>
      <c r="Z1677">
        <f>IF(DAY(NOW())&lt;M3,INDIRECT(ADDRESS(1677,25))-INDIRECT(ADDRESS(1672,26))+INDIRECT(ADDRESS(1673,26))-INDIRECT(ADDRESS(1676,26)),INDIRECT(ADDRESS(1677,25))-INDIRECT(ADDRESS(1672,26))+INDIRECT(ADDRESS(1675,26))-INDIRECT(ADDRESS(1676,26)))</f>
        <v>0</v>
      </c>
      <c r="AA1677">
        <f>IF(DAY(NOW())&lt;M3,INDIRECT(ADDRESS(1677,26))-INDIRECT(ADDRESS(1672,27))+INDIRECT(ADDRESS(1673,27))-INDIRECT(ADDRESS(1676,27)),INDIRECT(ADDRESS(1677,26))-INDIRECT(ADDRESS(1672,27))+INDIRECT(ADDRESS(1675,27))-INDIRECT(ADDRESS(1676,27)))</f>
        <v>0</v>
      </c>
      <c r="AB1677">
        <f>IF(DAY(NOW())&lt;M3,INDIRECT(ADDRESS(1677,27))-INDIRECT(ADDRESS(1672,28))+INDIRECT(ADDRESS(1673,28))-INDIRECT(ADDRESS(1676,28)),INDIRECT(ADDRESS(1677,27))-INDIRECT(ADDRESS(1672,28))+INDIRECT(ADDRESS(1675,28))-INDIRECT(ADDRESS(1676,28)))</f>
        <v>0</v>
      </c>
      <c r="AC1677">
        <f>IF(DAY(NOW())&lt;M3,INDIRECT(ADDRESS(1677,28))-INDIRECT(ADDRESS(1672,29))+INDIRECT(ADDRESS(1673,29))-INDIRECT(ADDRESS(1676,29)),INDIRECT(ADDRESS(1677,28))-INDIRECT(ADDRESS(1672,29))+INDIRECT(ADDRESS(1675,29))-INDIRECT(ADDRESS(1676,29)))</f>
        <v>0</v>
      </c>
      <c r="AD1677">
        <f>IF(DAY(NOW())&lt;M3,INDIRECT(ADDRESS(1677,29))-INDIRECT(ADDRESS(1672,30))+INDIRECT(ADDRESS(1673,30))-INDIRECT(ADDRESS(1676,30)),INDIRECT(ADDRESS(1677,29))-INDIRECT(ADDRESS(1672,30))+INDIRECT(ADDRESS(1675,30))-INDIRECT(ADDRESS(1676,30)))</f>
        <v>0</v>
      </c>
      <c r="AE1677">
        <f>IF(DAY(NOW())&lt;M3,INDIRECT(ADDRESS(1677,30))-INDIRECT(ADDRESS(1672,31))+INDIRECT(ADDRESS(1673,31))-INDIRECT(ADDRESS(1676,31)),INDIRECT(ADDRESS(1677,30))-INDIRECT(ADDRESS(1672,31))+INDIRECT(ADDRESS(1675,31))-INDIRECT(ADDRESS(1676,31)))</f>
        <v>0</v>
      </c>
      <c r="AF1677">
        <f>IF(DAY(NOW())&lt;M3,INDIRECT(ADDRESS(1677,31))-INDIRECT(ADDRESS(1672,32))+INDIRECT(ADDRESS(1673,32))-INDIRECT(ADDRESS(1676,32)),INDIRECT(ADDRESS(1677,31))-INDIRECT(ADDRESS(1672,32))+INDIRECT(ADDRESS(1675,32))-INDIRECT(ADDRESS(1676,32)))</f>
        <v>0</v>
      </c>
      <c r="AG1677">
        <f>IF(DAY(NOW())&lt;M3,INDIRECT(ADDRESS(1677,32))-INDIRECT(ADDRESS(1672,33))+INDIRECT(ADDRESS(1673,33))-INDIRECT(ADDRESS(1676,33)),INDIRECT(ADDRESS(1677,32))-INDIRECT(ADDRESS(1672,33))+INDIRECT(ADDRESS(1675,33))-INDIRECT(ADDRESS(1676,33)))</f>
        <v>0</v>
      </c>
      <c r="AH1677">
        <f>IF(DAY(NOW())&lt;M3,INDIRECT(ADDRESS(1677,33))-INDIRECT(ADDRESS(1672,34))+INDIRECT(ADDRESS(1673,34))-INDIRECT(ADDRESS(1676,34)),INDIRECT(ADDRESS(1677,33))-INDIRECT(ADDRESS(1672,34))+INDIRECT(ADDRESS(1675,34))-INDIRECT(ADDRESS(1676,34)))</f>
        <v>0</v>
      </c>
      <c r="AI1677">
        <f>IF(DAY(NOW())&lt;M3,INDIRECT(ADDRESS(1677,34))-INDIRECT(ADDRESS(1672,35))+INDIRECT(ADDRESS(1673,35))-INDIRECT(ADDRESS(1676,35)),INDIRECT(ADDRESS(1677,34))-INDIRECT(ADDRESS(1672,35))+INDIRECT(ADDRESS(1675,35))-INDIRECT(ADDRESS(1676,35)))</f>
        <v>0</v>
      </c>
      <c r="AJ1677">
        <f>IF(DAY(NOW())&lt;M3,INDIRECT(ADDRESS(1677,35))-INDIRECT(ADDRESS(1672,36))+INDIRECT(ADDRESS(1673,36))-INDIRECT(ADDRESS(1676,36)),INDIRECT(ADDRESS(1677,35))-INDIRECT(ADDRESS(1672,36))+INDIRECT(ADDRESS(1675,36))-INDIRECT(ADDRESS(1676,36)))</f>
        <v>0</v>
      </c>
      <c r="AK1677">
        <f>IF(DAY(NOW())&lt;M3,INDIRECT(ADDRESS(1677,36))-INDIRECT(ADDRESS(1672,37))+INDIRECT(ADDRESS(1673,37))-INDIRECT(ADDRESS(1676,37)),INDIRECT(ADDRESS(1677,36))-INDIRECT(ADDRESS(1672,37))+INDIRECT(ADDRESS(1675,37))-INDIRECT(ADDRESS(1676,37)))</f>
        <v>0</v>
      </c>
      <c r="AL1677">
        <f>IF(DAY(NOW())&lt;M3,INDIRECT(ADDRESS(1677,37))-INDIRECT(ADDRESS(1672,38))+INDIRECT(ADDRESS(1673,38))-INDIRECT(ADDRESS(1676,38)),INDIRECT(ADDRESS(1677,37))-INDIRECT(ADDRESS(1672,38))+INDIRECT(ADDRESS(1675,38))-INDIRECT(ADDRESS(1676,38)))</f>
        <v>0</v>
      </c>
      <c r="AM1677">
        <f>IF(DAY(NOW())&lt;M3,INDIRECT(ADDRESS(1677,38))-INDIRECT(ADDRESS(1672,39))+INDIRECT(ADDRESS(1673,39))-INDIRECT(ADDRESS(1676,39)),INDIRECT(ADDRESS(1677,38))-INDIRECT(ADDRESS(1672,39))+INDIRECT(ADDRESS(1675,39))-INDIRECT(ADDRESS(1676,39)))</f>
        <v>0</v>
      </c>
      <c r="AN1677">
        <f>IF(DAY(NOW())&lt;M3,INDIRECT(ADDRESS(1677,39))-INDIRECT(ADDRESS(1672,40))+INDIRECT(ADDRESS(1673,40))-INDIRECT(ADDRESS(1676,40)),INDIRECT(ADDRESS(1677,39))-INDIRECT(ADDRESS(1672,40))+INDIRECT(ADDRESS(1675,40))-INDIRECT(ADDRESS(1676,40)))</f>
        <v>0</v>
      </c>
      <c r="AO1677">
        <f>IF(DAY(NOW())&lt;M3,INDIRECT(ADDRESS(1677,40))-INDIRECT(ADDRESS(1672,41))+INDIRECT(ADDRESS(1673,41))-INDIRECT(ADDRESS(1676,41)),INDIRECT(ADDRESS(1677,40))-INDIRECT(ADDRESS(1672,41))+INDIRECT(ADDRESS(1675,41))-INDIRECT(ADDRESS(1676,41)))</f>
        <v>0</v>
      </c>
      <c r="AP1677">
        <f>IF(DAY(NOW())&lt;M3,INDIRECT(ADDRESS(1677,41))-INDIRECT(ADDRESS(1672,42))+INDIRECT(ADDRESS(1673,42))-INDIRECT(ADDRESS(1676,42)),INDIRECT(ADDRESS(1677,41))-INDIRECT(ADDRESS(1672,42))+INDIRECT(ADDRESS(1675,42))-INDIRECT(ADDRESS(1676,42)))</f>
        <v>0</v>
      </c>
      <c r="AQ1677">
        <f>IF(DAY(NOW())&lt;M3,INDIRECT(ADDRESS(1677,42))-INDIRECT(ADDRESS(1672,43))+INDIRECT(ADDRESS(1673,43))-INDIRECT(ADDRESS(1676,43)),INDIRECT(ADDRESS(1677,42))-INDIRECT(ADDRESS(1672,43))+INDIRECT(ADDRESS(1675,43))-INDIRECT(ADDRESS(1676,43)))</f>
        <v>0</v>
      </c>
      <c r="AR1677">
        <f>IF(DAY(NOW())&lt;M3,INDIRECT(ADDRESS(1677,43))-INDIRECT(ADDRESS(1672,44))+INDIRECT(ADDRESS(1673,44))-INDIRECT(ADDRESS(1676,44)),INDIRECT(ADDRESS(1677,43))-INDIRECT(ADDRESS(1672,44))+INDIRECT(ADDRESS(1675,44))-INDIRECT(ADDRESS(1676,44)))</f>
        <v>0</v>
      </c>
    </row>
    <row r="1678" spans="1:76">
      <c r="A1678" t="s">
        <v>31</v>
      </c>
      <c r="B1678" t="s">
        <v>649</v>
      </c>
      <c r="C1678" t="s">
        <v>650</v>
      </c>
      <c r="F1678" t="s">
        <v>651</v>
      </c>
      <c r="K1678" t="s">
        <v>590</v>
      </c>
      <c r="L1678" t="s">
        <v>21</v>
      </c>
      <c r="M1678">
        <f>sumifs(BOM!m:m,BOM!A:A,".1",BOM!B:B,"272-005800-000")</f>
        <v>0</v>
      </c>
      <c r="N1678">
        <f>sumifs(BOM!n:n,BOM!A:A,".1",BOM!B:B,"272-005800-000")</f>
        <v>0</v>
      </c>
      <c r="O1678">
        <f>sumifs(BOM!o:o,BOM!A:A,".1",BOM!B:B,"272-005800-000")</f>
        <v>0</v>
      </c>
      <c r="P1678">
        <f>sumifs(BOM!p:p,BOM!A:A,".1",BOM!B:B,"272-005800-000")</f>
        <v>0</v>
      </c>
      <c r="Q1678">
        <f>sumifs(BOM!q:q,BOM!A:A,".1",BOM!B:B,"272-005800-000")</f>
        <v>0</v>
      </c>
      <c r="R1678">
        <f>sumifs(BOM!r:r,BOM!A:A,".1",BOM!B:B,"272-005800-000")</f>
        <v>0</v>
      </c>
      <c r="S1678">
        <f>sumifs(BOM!s:s,BOM!A:A,".1",BOM!B:B,"272-005800-000")</f>
        <v>0</v>
      </c>
      <c r="T1678">
        <f>sumifs(BOM!t:t,BOM!A:A,".1",BOM!B:B,"272-005800-000")</f>
        <v>0</v>
      </c>
      <c r="U1678">
        <f>sumifs(BOM!u:u,BOM!A:A,".1",BOM!B:B,"272-005800-000")</f>
        <v>0</v>
      </c>
      <c r="V1678">
        <f>sumifs(BOM!v:v,BOM!A:A,".1",BOM!B:B,"272-005800-000")</f>
        <v>0</v>
      </c>
      <c r="W1678">
        <f>sumifs(BOM!w:w,BOM!A:A,".1",BOM!B:B,"272-005800-000")</f>
        <v>0</v>
      </c>
      <c r="X1678">
        <f>sumifs(BOM!x:x,BOM!A:A,".1",BOM!B:B,"272-005800-000")</f>
        <v>0</v>
      </c>
      <c r="Y1678">
        <f>sumifs(BOM!y:y,BOM!A:A,".1",BOM!B:B,"272-005800-000")</f>
        <v>0</v>
      </c>
      <c r="Z1678">
        <f>sumifs(BOM!z:z,BOM!A:A,".1",BOM!B:B,"272-005800-000")</f>
        <v>0</v>
      </c>
      <c r="AA1678">
        <f>sumifs(BOM!aa:aa,BOM!A:A,".1",BOM!B:B,"272-005800-000")</f>
        <v>0</v>
      </c>
      <c r="AB1678">
        <f>sumifs(BOM!ab:ab,BOM!A:A,".1",BOM!B:B,"272-005800-000")</f>
        <v>0</v>
      </c>
      <c r="AC1678">
        <f>sumifs(BOM!ac:ac,BOM!A:A,".1",BOM!B:B,"272-005800-000")</f>
        <v>0</v>
      </c>
      <c r="AD1678">
        <f>sumifs(BOM!ad:ad,BOM!A:A,".1",BOM!B:B,"272-005800-000")</f>
        <v>0</v>
      </c>
      <c r="AE1678">
        <f>sumifs(BOM!ae:ae,BOM!A:A,".1",BOM!B:B,"272-005800-000")</f>
        <v>0</v>
      </c>
      <c r="AF1678">
        <f>sumifs(BOM!af:af,BOM!A:A,".1",BOM!B:B,"272-005800-000")</f>
        <v>0</v>
      </c>
      <c r="AG1678">
        <f>sumifs(BOM!ag:ag,BOM!A:A,".1",BOM!B:B,"272-005800-000")</f>
        <v>0</v>
      </c>
      <c r="AH1678">
        <f>sumifs(BOM!ah:ah,BOM!A:A,".1",BOM!B:B,"272-005800-000")</f>
        <v>0</v>
      </c>
      <c r="AI1678">
        <f>sumifs(BOM!ai:ai,BOM!A:A,".1",BOM!B:B,"272-005800-000")</f>
        <v>0</v>
      </c>
      <c r="AJ1678">
        <f>sumifs(BOM!aj:aj,BOM!A:A,".1",BOM!B:B,"272-005800-000")</f>
        <v>0</v>
      </c>
      <c r="AK1678">
        <f>sumifs(BOM!ak:ak,BOM!A:A,".1",BOM!B:B,"272-005800-000")</f>
        <v>0</v>
      </c>
      <c r="AL1678">
        <f>sumifs(BOM!al:al,BOM!A:A,".1",BOM!B:B,"272-005800-000")</f>
        <v>0</v>
      </c>
      <c r="AM1678">
        <f>sumifs(BOM!am:am,BOM!A:A,".1",BOM!B:B,"272-005800-000")</f>
        <v>0</v>
      </c>
      <c r="AN1678">
        <f>sumifs(BOM!an:an,BOM!A:A,".1",BOM!B:B,"272-005800-000")</f>
        <v>0</v>
      </c>
      <c r="AO1678">
        <f>sumifs(BOM!ao:ao,BOM!A:A,".1",BOM!B:B,"272-005800-000")</f>
        <v>0</v>
      </c>
      <c r="AP1678">
        <f>sumifs(BOM!ap:ap,BOM!A:A,".1",BOM!B:B,"272-005800-000")</f>
        <v>0</v>
      </c>
      <c r="AQ1678">
        <f>sumifs(BOM!aq:aq,BOM!A:A,".1",BOM!B:B,"272-005800-000")</f>
        <v>0</v>
      </c>
      <c r="AR1678">
        <f>sumifs(BOM!ar:ar,BOM!A:A,".1",BOM!B:B,"272-005800-000")</f>
        <v>0</v>
      </c>
      <c r="BX1678">
        <f>sum(j1678:an1678)</f>
        <v>0</v>
      </c>
    </row>
    <row r="1679" spans="1:76">
      <c r="A1679" t="s">
        <v>31</v>
      </c>
      <c r="B1679" t="s">
        <v>649</v>
      </c>
      <c r="C1679" t="s">
        <v>650</v>
      </c>
      <c r="F1679" t="s">
        <v>651</v>
      </c>
      <c r="K1679" t="s">
        <v>590</v>
      </c>
      <c r="L1679" t="s">
        <v>37</v>
      </c>
    </row>
    <row r="1680" spans="1:76">
      <c r="L1680" t="s">
        <v>662</v>
      </c>
    </row>
    <row r="1681" spans="1:76">
      <c r="L1681" t="s">
        <v>663</v>
      </c>
    </row>
    <row r="1682" spans="1:76">
      <c r="L1682" t="s">
        <v>664</v>
      </c>
    </row>
    <row r="1683" spans="1:76">
      <c r="L1683" t="s">
        <v>665</v>
      </c>
      <c r="M1683">
        <f>IF(DAY(NOW())&lt;M3,INDIRECT(ADDRESS(1683,7))-INDIRECT(ADDRESS(1678,13))+INDIRECT(ADDRESS(1679,13))-INDIRECT(ADDRESS(1682,13)),INDIRECT(ADDRESS(1683,7))-INDIRECT(ADDRESS(1678,13))+INDIRECT(ADDRESS(1681,13))-INDIRECT(ADDRESS(1682,13)))</f>
        <v>0</v>
      </c>
      <c r="N1683">
        <f>IF(DAY(NOW())&lt;M3,INDIRECT(ADDRESS(1683,13))-INDIRECT(ADDRESS(1678,14))+INDIRECT(ADDRESS(1679,14))-INDIRECT(ADDRESS(1682,14)),INDIRECT(ADDRESS(1683,13))-INDIRECT(ADDRESS(1678,14))+INDIRECT(ADDRESS(1681,14))-INDIRECT(ADDRESS(1682,14)))</f>
        <v>0</v>
      </c>
      <c r="O1683">
        <f>IF(DAY(NOW())&lt;M3,INDIRECT(ADDRESS(1683,14))-INDIRECT(ADDRESS(1678,15))+INDIRECT(ADDRESS(1679,15))-INDIRECT(ADDRESS(1682,15)),INDIRECT(ADDRESS(1683,14))-INDIRECT(ADDRESS(1678,15))+INDIRECT(ADDRESS(1681,15))-INDIRECT(ADDRESS(1682,15)))</f>
        <v>0</v>
      </c>
      <c r="P1683">
        <f>IF(DAY(NOW())&lt;M3,INDIRECT(ADDRESS(1683,15))-INDIRECT(ADDRESS(1678,16))+INDIRECT(ADDRESS(1679,16))-INDIRECT(ADDRESS(1682,16)),INDIRECT(ADDRESS(1683,15))-INDIRECT(ADDRESS(1678,16))+INDIRECT(ADDRESS(1681,16))-INDIRECT(ADDRESS(1682,16)))</f>
        <v>0</v>
      </c>
      <c r="Q1683">
        <f>IF(DAY(NOW())&lt;M3,INDIRECT(ADDRESS(1683,16))-INDIRECT(ADDRESS(1678,17))+INDIRECT(ADDRESS(1679,17))-INDIRECT(ADDRESS(1682,17)),INDIRECT(ADDRESS(1683,16))-INDIRECT(ADDRESS(1678,17))+INDIRECT(ADDRESS(1681,17))-INDIRECT(ADDRESS(1682,17)))</f>
        <v>0</v>
      </c>
      <c r="R1683">
        <f>IF(DAY(NOW())&lt;M3,INDIRECT(ADDRESS(1683,17))-INDIRECT(ADDRESS(1678,18))+INDIRECT(ADDRESS(1679,18))-INDIRECT(ADDRESS(1682,18)),INDIRECT(ADDRESS(1683,17))-INDIRECT(ADDRESS(1678,18))+INDIRECT(ADDRESS(1681,18))-INDIRECT(ADDRESS(1682,18)))</f>
        <v>0</v>
      </c>
      <c r="S1683">
        <f>IF(DAY(NOW())&lt;M3,INDIRECT(ADDRESS(1683,18))-INDIRECT(ADDRESS(1678,19))+INDIRECT(ADDRESS(1679,19))-INDIRECT(ADDRESS(1682,19)),INDIRECT(ADDRESS(1683,18))-INDIRECT(ADDRESS(1678,19))+INDIRECT(ADDRESS(1681,19))-INDIRECT(ADDRESS(1682,19)))</f>
        <v>0</v>
      </c>
      <c r="T1683">
        <f>IF(DAY(NOW())&lt;M3,INDIRECT(ADDRESS(1683,19))-INDIRECT(ADDRESS(1678,20))+INDIRECT(ADDRESS(1679,20))-INDIRECT(ADDRESS(1682,20)),INDIRECT(ADDRESS(1683,19))-INDIRECT(ADDRESS(1678,20))+INDIRECT(ADDRESS(1681,20))-INDIRECT(ADDRESS(1682,20)))</f>
        <v>0</v>
      </c>
      <c r="U1683">
        <f>IF(DAY(NOW())&lt;M3,INDIRECT(ADDRESS(1683,20))-INDIRECT(ADDRESS(1678,21))+INDIRECT(ADDRESS(1679,21))-INDIRECT(ADDRESS(1682,21)),INDIRECT(ADDRESS(1683,20))-INDIRECT(ADDRESS(1678,21))+INDIRECT(ADDRESS(1681,21))-INDIRECT(ADDRESS(1682,21)))</f>
        <v>0</v>
      </c>
      <c r="V1683">
        <f>IF(DAY(NOW())&lt;M3,INDIRECT(ADDRESS(1683,21))-INDIRECT(ADDRESS(1678,22))+INDIRECT(ADDRESS(1679,22))-INDIRECT(ADDRESS(1682,22)),INDIRECT(ADDRESS(1683,21))-INDIRECT(ADDRESS(1678,22))+INDIRECT(ADDRESS(1681,22))-INDIRECT(ADDRESS(1682,22)))</f>
        <v>0</v>
      </c>
      <c r="W1683">
        <f>IF(DAY(NOW())&lt;M3,INDIRECT(ADDRESS(1683,22))-INDIRECT(ADDRESS(1678,23))+INDIRECT(ADDRESS(1679,23))-INDIRECT(ADDRESS(1682,23)),INDIRECT(ADDRESS(1683,22))-INDIRECT(ADDRESS(1678,23))+INDIRECT(ADDRESS(1681,23))-INDIRECT(ADDRESS(1682,23)))</f>
        <v>0</v>
      </c>
      <c r="X1683">
        <f>IF(DAY(NOW())&lt;M3,INDIRECT(ADDRESS(1683,23))-INDIRECT(ADDRESS(1678,24))+INDIRECT(ADDRESS(1679,24))-INDIRECT(ADDRESS(1682,24)),INDIRECT(ADDRESS(1683,23))-INDIRECT(ADDRESS(1678,24))+INDIRECT(ADDRESS(1681,24))-INDIRECT(ADDRESS(1682,24)))</f>
        <v>0</v>
      </c>
      <c r="Y1683">
        <f>IF(DAY(NOW())&lt;M3,INDIRECT(ADDRESS(1683,24))-INDIRECT(ADDRESS(1678,25))+INDIRECT(ADDRESS(1679,25))-INDIRECT(ADDRESS(1682,25)),INDIRECT(ADDRESS(1683,24))-INDIRECT(ADDRESS(1678,25))+INDIRECT(ADDRESS(1681,25))-INDIRECT(ADDRESS(1682,25)))</f>
        <v>0</v>
      </c>
      <c r="Z1683">
        <f>IF(DAY(NOW())&lt;M3,INDIRECT(ADDRESS(1683,25))-INDIRECT(ADDRESS(1678,26))+INDIRECT(ADDRESS(1679,26))-INDIRECT(ADDRESS(1682,26)),INDIRECT(ADDRESS(1683,25))-INDIRECT(ADDRESS(1678,26))+INDIRECT(ADDRESS(1681,26))-INDIRECT(ADDRESS(1682,26)))</f>
        <v>0</v>
      </c>
      <c r="AA1683">
        <f>IF(DAY(NOW())&lt;M3,INDIRECT(ADDRESS(1683,26))-INDIRECT(ADDRESS(1678,27))+INDIRECT(ADDRESS(1679,27))-INDIRECT(ADDRESS(1682,27)),INDIRECT(ADDRESS(1683,26))-INDIRECT(ADDRESS(1678,27))+INDIRECT(ADDRESS(1681,27))-INDIRECT(ADDRESS(1682,27)))</f>
        <v>0</v>
      </c>
      <c r="AB1683">
        <f>IF(DAY(NOW())&lt;M3,INDIRECT(ADDRESS(1683,27))-INDIRECT(ADDRESS(1678,28))+INDIRECT(ADDRESS(1679,28))-INDIRECT(ADDRESS(1682,28)),INDIRECT(ADDRESS(1683,27))-INDIRECT(ADDRESS(1678,28))+INDIRECT(ADDRESS(1681,28))-INDIRECT(ADDRESS(1682,28)))</f>
        <v>0</v>
      </c>
      <c r="AC1683">
        <f>IF(DAY(NOW())&lt;M3,INDIRECT(ADDRESS(1683,28))-INDIRECT(ADDRESS(1678,29))+INDIRECT(ADDRESS(1679,29))-INDIRECT(ADDRESS(1682,29)),INDIRECT(ADDRESS(1683,28))-INDIRECT(ADDRESS(1678,29))+INDIRECT(ADDRESS(1681,29))-INDIRECT(ADDRESS(1682,29)))</f>
        <v>0</v>
      </c>
      <c r="AD1683">
        <f>IF(DAY(NOW())&lt;M3,INDIRECT(ADDRESS(1683,29))-INDIRECT(ADDRESS(1678,30))+INDIRECT(ADDRESS(1679,30))-INDIRECT(ADDRESS(1682,30)),INDIRECT(ADDRESS(1683,29))-INDIRECT(ADDRESS(1678,30))+INDIRECT(ADDRESS(1681,30))-INDIRECT(ADDRESS(1682,30)))</f>
        <v>0</v>
      </c>
      <c r="AE1683">
        <f>IF(DAY(NOW())&lt;M3,INDIRECT(ADDRESS(1683,30))-INDIRECT(ADDRESS(1678,31))+INDIRECT(ADDRESS(1679,31))-INDIRECT(ADDRESS(1682,31)),INDIRECT(ADDRESS(1683,30))-INDIRECT(ADDRESS(1678,31))+INDIRECT(ADDRESS(1681,31))-INDIRECT(ADDRESS(1682,31)))</f>
        <v>0</v>
      </c>
      <c r="AF1683">
        <f>IF(DAY(NOW())&lt;M3,INDIRECT(ADDRESS(1683,31))-INDIRECT(ADDRESS(1678,32))+INDIRECT(ADDRESS(1679,32))-INDIRECT(ADDRESS(1682,32)),INDIRECT(ADDRESS(1683,31))-INDIRECT(ADDRESS(1678,32))+INDIRECT(ADDRESS(1681,32))-INDIRECT(ADDRESS(1682,32)))</f>
        <v>0</v>
      </c>
      <c r="AG1683">
        <f>IF(DAY(NOW())&lt;M3,INDIRECT(ADDRESS(1683,32))-INDIRECT(ADDRESS(1678,33))+INDIRECT(ADDRESS(1679,33))-INDIRECT(ADDRESS(1682,33)),INDIRECT(ADDRESS(1683,32))-INDIRECT(ADDRESS(1678,33))+INDIRECT(ADDRESS(1681,33))-INDIRECT(ADDRESS(1682,33)))</f>
        <v>0</v>
      </c>
      <c r="AH1683">
        <f>IF(DAY(NOW())&lt;M3,INDIRECT(ADDRESS(1683,33))-INDIRECT(ADDRESS(1678,34))+INDIRECT(ADDRESS(1679,34))-INDIRECT(ADDRESS(1682,34)),INDIRECT(ADDRESS(1683,33))-INDIRECT(ADDRESS(1678,34))+INDIRECT(ADDRESS(1681,34))-INDIRECT(ADDRESS(1682,34)))</f>
        <v>0</v>
      </c>
      <c r="AI1683">
        <f>IF(DAY(NOW())&lt;M3,INDIRECT(ADDRESS(1683,34))-INDIRECT(ADDRESS(1678,35))+INDIRECT(ADDRESS(1679,35))-INDIRECT(ADDRESS(1682,35)),INDIRECT(ADDRESS(1683,34))-INDIRECT(ADDRESS(1678,35))+INDIRECT(ADDRESS(1681,35))-INDIRECT(ADDRESS(1682,35)))</f>
        <v>0</v>
      </c>
      <c r="AJ1683">
        <f>IF(DAY(NOW())&lt;M3,INDIRECT(ADDRESS(1683,35))-INDIRECT(ADDRESS(1678,36))+INDIRECT(ADDRESS(1679,36))-INDIRECT(ADDRESS(1682,36)),INDIRECT(ADDRESS(1683,35))-INDIRECT(ADDRESS(1678,36))+INDIRECT(ADDRESS(1681,36))-INDIRECT(ADDRESS(1682,36)))</f>
        <v>0</v>
      </c>
      <c r="AK1683">
        <f>IF(DAY(NOW())&lt;M3,INDIRECT(ADDRESS(1683,36))-INDIRECT(ADDRESS(1678,37))+INDIRECT(ADDRESS(1679,37))-INDIRECT(ADDRESS(1682,37)),INDIRECT(ADDRESS(1683,36))-INDIRECT(ADDRESS(1678,37))+INDIRECT(ADDRESS(1681,37))-INDIRECT(ADDRESS(1682,37)))</f>
        <v>0</v>
      </c>
      <c r="AL1683">
        <f>IF(DAY(NOW())&lt;M3,INDIRECT(ADDRESS(1683,37))-INDIRECT(ADDRESS(1678,38))+INDIRECT(ADDRESS(1679,38))-INDIRECT(ADDRESS(1682,38)),INDIRECT(ADDRESS(1683,37))-INDIRECT(ADDRESS(1678,38))+INDIRECT(ADDRESS(1681,38))-INDIRECT(ADDRESS(1682,38)))</f>
        <v>0</v>
      </c>
      <c r="AM1683">
        <f>IF(DAY(NOW())&lt;M3,INDIRECT(ADDRESS(1683,38))-INDIRECT(ADDRESS(1678,39))+INDIRECT(ADDRESS(1679,39))-INDIRECT(ADDRESS(1682,39)),INDIRECT(ADDRESS(1683,38))-INDIRECT(ADDRESS(1678,39))+INDIRECT(ADDRESS(1681,39))-INDIRECT(ADDRESS(1682,39)))</f>
        <v>0</v>
      </c>
      <c r="AN1683">
        <f>IF(DAY(NOW())&lt;M3,INDIRECT(ADDRESS(1683,39))-INDIRECT(ADDRESS(1678,40))+INDIRECT(ADDRESS(1679,40))-INDIRECT(ADDRESS(1682,40)),INDIRECT(ADDRESS(1683,39))-INDIRECT(ADDRESS(1678,40))+INDIRECT(ADDRESS(1681,40))-INDIRECT(ADDRESS(1682,40)))</f>
        <v>0</v>
      </c>
      <c r="AO1683">
        <f>IF(DAY(NOW())&lt;M3,INDIRECT(ADDRESS(1683,40))-INDIRECT(ADDRESS(1678,41))+INDIRECT(ADDRESS(1679,41))-INDIRECT(ADDRESS(1682,41)),INDIRECT(ADDRESS(1683,40))-INDIRECT(ADDRESS(1678,41))+INDIRECT(ADDRESS(1681,41))-INDIRECT(ADDRESS(1682,41)))</f>
        <v>0</v>
      </c>
      <c r="AP1683">
        <f>IF(DAY(NOW())&lt;M3,INDIRECT(ADDRESS(1683,41))-INDIRECT(ADDRESS(1678,42))+INDIRECT(ADDRESS(1679,42))-INDIRECT(ADDRESS(1682,42)),INDIRECT(ADDRESS(1683,41))-INDIRECT(ADDRESS(1678,42))+INDIRECT(ADDRESS(1681,42))-INDIRECT(ADDRESS(1682,42)))</f>
        <v>0</v>
      </c>
      <c r="AQ1683">
        <f>IF(DAY(NOW())&lt;M3,INDIRECT(ADDRESS(1683,42))-INDIRECT(ADDRESS(1678,43))+INDIRECT(ADDRESS(1679,43))-INDIRECT(ADDRESS(1682,43)),INDIRECT(ADDRESS(1683,42))-INDIRECT(ADDRESS(1678,43))+INDIRECT(ADDRESS(1681,43))-INDIRECT(ADDRESS(1682,43)))</f>
        <v>0</v>
      </c>
      <c r="AR1683">
        <f>IF(DAY(NOW())&lt;M3,INDIRECT(ADDRESS(1683,43))-INDIRECT(ADDRESS(1678,44))+INDIRECT(ADDRESS(1679,44))-INDIRECT(ADDRESS(1682,44)),INDIRECT(ADDRESS(1683,43))-INDIRECT(ADDRESS(1678,44))+INDIRECT(ADDRESS(1681,44))-INDIRECT(ADDRESS(1682,44)))</f>
        <v>0</v>
      </c>
    </row>
    <row r="1684" spans="1:76">
      <c r="A1684" t="s">
        <v>31</v>
      </c>
      <c r="B1684" t="s">
        <v>652</v>
      </c>
      <c r="C1684" t="s">
        <v>653</v>
      </c>
      <c r="E1684" t="s">
        <v>444</v>
      </c>
      <c r="F1684" t="s">
        <v>589</v>
      </c>
      <c r="K1684" t="s">
        <v>590</v>
      </c>
      <c r="L1684" t="s">
        <v>21</v>
      </c>
      <c r="M1684">
        <f>sumifs(BOM!m:m,BOM!A:A,".1",BOM!B:B,"272-015200-000")</f>
        <v>0</v>
      </c>
      <c r="N1684">
        <f>sumifs(BOM!n:n,BOM!A:A,".1",BOM!B:B,"272-015200-000")</f>
        <v>0</v>
      </c>
      <c r="O1684">
        <f>sumifs(BOM!o:o,BOM!A:A,".1",BOM!B:B,"272-015200-000")</f>
        <v>0</v>
      </c>
      <c r="P1684">
        <f>sumifs(BOM!p:p,BOM!A:A,".1",BOM!B:B,"272-015200-000")</f>
        <v>0</v>
      </c>
      <c r="Q1684">
        <f>sumifs(BOM!q:q,BOM!A:A,".1",BOM!B:B,"272-015200-000")</f>
        <v>0</v>
      </c>
      <c r="R1684">
        <f>sumifs(BOM!r:r,BOM!A:A,".1",BOM!B:B,"272-015200-000")</f>
        <v>0</v>
      </c>
      <c r="S1684">
        <f>sumifs(BOM!s:s,BOM!A:A,".1",BOM!B:B,"272-015200-000")</f>
        <v>0</v>
      </c>
      <c r="T1684">
        <f>sumifs(BOM!t:t,BOM!A:A,".1",BOM!B:B,"272-015200-000")</f>
        <v>0</v>
      </c>
      <c r="U1684">
        <f>sumifs(BOM!u:u,BOM!A:A,".1",BOM!B:B,"272-015200-000")</f>
        <v>0</v>
      </c>
      <c r="V1684">
        <f>sumifs(BOM!v:v,BOM!A:A,".1",BOM!B:B,"272-015200-000")</f>
        <v>0</v>
      </c>
      <c r="W1684">
        <f>sumifs(BOM!w:w,BOM!A:A,".1",BOM!B:B,"272-015200-000")</f>
        <v>0</v>
      </c>
      <c r="X1684">
        <f>sumifs(BOM!x:x,BOM!A:A,".1",BOM!B:B,"272-015200-000")</f>
        <v>0</v>
      </c>
      <c r="Y1684">
        <f>sumifs(BOM!y:y,BOM!A:A,".1",BOM!B:B,"272-015200-000")</f>
        <v>0</v>
      </c>
      <c r="Z1684">
        <f>sumifs(BOM!z:z,BOM!A:A,".1",BOM!B:B,"272-015200-000")</f>
        <v>0</v>
      </c>
      <c r="AA1684">
        <f>sumifs(BOM!aa:aa,BOM!A:A,".1",BOM!B:B,"272-015200-000")</f>
        <v>0</v>
      </c>
      <c r="AB1684">
        <f>sumifs(BOM!ab:ab,BOM!A:A,".1",BOM!B:B,"272-015200-000")</f>
        <v>0</v>
      </c>
      <c r="AC1684">
        <f>sumifs(BOM!ac:ac,BOM!A:A,".1",BOM!B:B,"272-015200-000")</f>
        <v>0</v>
      </c>
      <c r="AD1684">
        <f>sumifs(BOM!ad:ad,BOM!A:A,".1",BOM!B:B,"272-015200-000")</f>
        <v>0</v>
      </c>
      <c r="AE1684">
        <f>sumifs(BOM!ae:ae,BOM!A:A,".1",BOM!B:B,"272-015200-000")</f>
        <v>0</v>
      </c>
      <c r="AF1684">
        <f>sumifs(BOM!af:af,BOM!A:A,".1",BOM!B:B,"272-015200-000")</f>
        <v>0</v>
      </c>
      <c r="AG1684">
        <f>sumifs(BOM!ag:ag,BOM!A:A,".1",BOM!B:B,"272-015200-000")</f>
        <v>0</v>
      </c>
      <c r="AH1684">
        <f>sumifs(BOM!ah:ah,BOM!A:A,".1",BOM!B:B,"272-015200-000")</f>
        <v>0</v>
      </c>
      <c r="AI1684">
        <f>sumifs(BOM!ai:ai,BOM!A:A,".1",BOM!B:B,"272-015200-000")</f>
        <v>0</v>
      </c>
      <c r="AJ1684">
        <f>sumifs(BOM!aj:aj,BOM!A:A,".1",BOM!B:B,"272-015200-000")</f>
        <v>0</v>
      </c>
      <c r="AK1684">
        <f>sumifs(BOM!ak:ak,BOM!A:A,".1",BOM!B:B,"272-015200-000")</f>
        <v>0</v>
      </c>
      <c r="AL1684">
        <f>sumifs(BOM!al:al,BOM!A:A,".1",BOM!B:B,"272-015200-000")</f>
        <v>0</v>
      </c>
      <c r="AM1684">
        <f>sumifs(BOM!am:am,BOM!A:A,".1",BOM!B:B,"272-015200-000")</f>
        <v>0</v>
      </c>
      <c r="AN1684">
        <f>sumifs(BOM!an:an,BOM!A:A,".1",BOM!B:B,"272-015200-000")</f>
        <v>0</v>
      </c>
      <c r="AO1684">
        <f>sumifs(BOM!ao:ao,BOM!A:A,".1",BOM!B:B,"272-015200-000")</f>
        <v>0</v>
      </c>
      <c r="AP1684">
        <f>sumifs(BOM!ap:ap,BOM!A:A,".1",BOM!B:B,"272-015200-000")</f>
        <v>0</v>
      </c>
      <c r="AQ1684">
        <f>sumifs(BOM!aq:aq,BOM!A:A,".1",BOM!B:B,"272-015200-000")</f>
        <v>0</v>
      </c>
      <c r="AR1684">
        <f>sumifs(BOM!ar:ar,BOM!A:A,".1",BOM!B:B,"272-015200-000")</f>
        <v>0</v>
      </c>
      <c r="BX1684">
        <f>sum(j1684:an1684)</f>
        <v>0</v>
      </c>
    </row>
    <row r="1685" spans="1:76">
      <c r="A1685" t="s">
        <v>31</v>
      </c>
      <c r="B1685" t="s">
        <v>652</v>
      </c>
      <c r="C1685" t="s">
        <v>653</v>
      </c>
      <c r="E1685" t="s">
        <v>444</v>
      </c>
      <c r="F1685" t="s">
        <v>589</v>
      </c>
      <c r="K1685" t="s">
        <v>590</v>
      </c>
      <c r="L1685" t="s">
        <v>37</v>
      </c>
    </row>
    <row r="1686" spans="1:76">
      <c r="L1686" t="s">
        <v>662</v>
      </c>
    </row>
    <row r="1687" spans="1:76">
      <c r="L1687" t="s">
        <v>663</v>
      </c>
    </row>
    <row r="1688" spans="1:76">
      <c r="L1688" t="s">
        <v>664</v>
      </c>
    </row>
    <row r="1689" spans="1:76">
      <c r="L1689" t="s">
        <v>665</v>
      </c>
      <c r="M1689">
        <f>IF(DAY(NOW())&lt;M3,INDIRECT(ADDRESS(1689,7))-INDIRECT(ADDRESS(1684,13))+INDIRECT(ADDRESS(1685,13))-INDIRECT(ADDRESS(1688,13)),INDIRECT(ADDRESS(1689,7))-INDIRECT(ADDRESS(1684,13))+INDIRECT(ADDRESS(1687,13))-INDIRECT(ADDRESS(1688,13)))</f>
        <v>0</v>
      </c>
      <c r="N1689">
        <f>IF(DAY(NOW())&lt;M3,INDIRECT(ADDRESS(1689,13))-INDIRECT(ADDRESS(1684,14))+INDIRECT(ADDRESS(1685,14))-INDIRECT(ADDRESS(1688,14)),INDIRECT(ADDRESS(1689,13))-INDIRECT(ADDRESS(1684,14))+INDIRECT(ADDRESS(1687,14))-INDIRECT(ADDRESS(1688,14)))</f>
        <v>0</v>
      </c>
      <c r="O1689">
        <f>IF(DAY(NOW())&lt;M3,INDIRECT(ADDRESS(1689,14))-INDIRECT(ADDRESS(1684,15))+INDIRECT(ADDRESS(1685,15))-INDIRECT(ADDRESS(1688,15)),INDIRECT(ADDRESS(1689,14))-INDIRECT(ADDRESS(1684,15))+INDIRECT(ADDRESS(1687,15))-INDIRECT(ADDRESS(1688,15)))</f>
        <v>0</v>
      </c>
      <c r="P1689">
        <f>IF(DAY(NOW())&lt;M3,INDIRECT(ADDRESS(1689,15))-INDIRECT(ADDRESS(1684,16))+INDIRECT(ADDRESS(1685,16))-INDIRECT(ADDRESS(1688,16)),INDIRECT(ADDRESS(1689,15))-INDIRECT(ADDRESS(1684,16))+INDIRECT(ADDRESS(1687,16))-INDIRECT(ADDRESS(1688,16)))</f>
        <v>0</v>
      </c>
      <c r="Q1689">
        <f>IF(DAY(NOW())&lt;M3,INDIRECT(ADDRESS(1689,16))-INDIRECT(ADDRESS(1684,17))+INDIRECT(ADDRESS(1685,17))-INDIRECT(ADDRESS(1688,17)),INDIRECT(ADDRESS(1689,16))-INDIRECT(ADDRESS(1684,17))+INDIRECT(ADDRESS(1687,17))-INDIRECT(ADDRESS(1688,17)))</f>
        <v>0</v>
      </c>
      <c r="R1689">
        <f>IF(DAY(NOW())&lt;M3,INDIRECT(ADDRESS(1689,17))-INDIRECT(ADDRESS(1684,18))+INDIRECT(ADDRESS(1685,18))-INDIRECT(ADDRESS(1688,18)),INDIRECT(ADDRESS(1689,17))-INDIRECT(ADDRESS(1684,18))+INDIRECT(ADDRESS(1687,18))-INDIRECT(ADDRESS(1688,18)))</f>
        <v>0</v>
      </c>
      <c r="S1689">
        <f>IF(DAY(NOW())&lt;M3,INDIRECT(ADDRESS(1689,18))-INDIRECT(ADDRESS(1684,19))+INDIRECT(ADDRESS(1685,19))-INDIRECT(ADDRESS(1688,19)),INDIRECT(ADDRESS(1689,18))-INDIRECT(ADDRESS(1684,19))+INDIRECT(ADDRESS(1687,19))-INDIRECT(ADDRESS(1688,19)))</f>
        <v>0</v>
      </c>
      <c r="T1689">
        <f>IF(DAY(NOW())&lt;M3,INDIRECT(ADDRESS(1689,19))-INDIRECT(ADDRESS(1684,20))+INDIRECT(ADDRESS(1685,20))-INDIRECT(ADDRESS(1688,20)),INDIRECT(ADDRESS(1689,19))-INDIRECT(ADDRESS(1684,20))+INDIRECT(ADDRESS(1687,20))-INDIRECT(ADDRESS(1688,20)))</f>
        <v>0</v>
      </c>
      <c r="U1689">
        <f>IF(DAY(NOW())&lt;M3,INDIRECT(ADDRESS(1689,20))-INDIRECT(ADDRESS(1684,21))+INDIRECT(ADDRESS(1685,21))-INDIRECT(ADDRESS(1688,21)),INDIRECT(ADDRESS(1689,20))-INDIRECT(ADDRESS(1684,21))+INDIRECT(ADDRESS(1687,21))-INDIRECT(ADDRESS(1688,21)))</f>
        <v>0</v>
      </c>
      <c r="V1689">
        <f>IF(DAY(NOW())&lt;M3,INDIRECT(ADDRESS(1689,21))-INDIRECT(ADDRESS(1684,22))+INDIRECT(ADDRESS(1685,22))-INDIRECT(ADDRESS(1688,22)),INDIRECT(ADDRESS(1689,21))-INDIRECT(ADDRESS(1684,22))+INDIRECT(ADDRESS(1687,22))-INDIRECT(ADDRESS(1688,22)))</f>
        <v>0</v>
      </c>
      <c r="W1689">
        <f>IF(DAY(NOW())&lt;M3,INDIRECT(ADDRESS(1689,22))-INDIRECT(ADDRESS(1684,23))+INDIRECT(ADDRESS(1685,23))-INDIRECT(ADDRESS(1688,23)),INDIRECT(ADDRESS(1689,22))-INDIRECT(ADDRESS(1684,23))+INDIRECT(ADDRESS(1687,23))-INDIRECT(ADDRESS(1688,23)))</f>
        <v>0</v>
      </c>
      <c r="X1689">
        <f>IF(DAY(NOW())&lt;M3,INDIRECT(ADDRESS(1689,23))-INDIRECT(ADDRESS(1684,24))+INDIRECT(ADDRESS(1685,24))-INDIRECT(ADDRESS(1688,24)),INDIRECT(ADDRESS(1689,23))-INDIRECT(ADDRESS(1684,24))+INDIRECT(ADDRESS(1687,24))-INDIRECT(ADDRESS(1688,24)))</f>
        <v>0</v>
      </c>
      <c r="Y1689">
        <f>IF(DAY(NOW())&lt;M3,INDIRECT(ADDRESS(1689,24))-INDIRECT(ADDRESS(1684,25))+INDIRECT(ADDRESS(1685,25))-INDIRECT(ADDRESS(1688,25)),INDIRECT(ADDRESS(1689,24))-INDIRECT(ADDRESS(1684,25))+INDIRECT(ADDRESS(1687,25))-INDIRECT(ADDRESS(1688,25)))</f>
        <v>0</v>
      </c>
      <c r="Z1689">
        <f>IF(DAY(NOW())&lt;M3,INDIRECT(ADDRESS(1689,25))-INDIRECT(ADDRESS(1684,26))+INDIRECT(ADDRESS(1685,26))-INDIRECT(ADDRESS(1688,26)),INDIRECT(ADDRESS(1689,25))-INDIRECT(ADDRESS(1684,26))+INDIRECT(ADDRESS(1687,26))-INDIRECT(ADDRESS(1688,26)))</f>
        <v>0</v>
      </c>
      <c r="AA1689">
        <f>IF(DAY(NOW())&lt;M3,INDIRECT(ADDRESS(1689,26))-INDIRECT(ADDRESS(1684,27))+INDIRECT(ADDRESS(1685,27))-INDIRECT(ADDRESS(1688,27)),INDIRECT(ADDRESS(1689,26))-INDIRECT(ADDRESS(1684,27))+INDIRECT(ADDRESS(1687,27))-INDIRECT(ADDRESS(1688,27)))</f>
        <v>0</v>
      </c>
      <c r="AB1689">
        <f>IF(DAY(NOW())&lt;M3,INDIRECT(ADDRESS(1689,27))-INDIRECT(ADDRESS(1684,28))+INDIRECT(ADDRESS(1685,28))-INDIRECT(ADDRESS(1688,28)),INDIRECT(ADDRESS(1689,27))-INDIRECT(ADDRESS(1684,28))+INDIRECT(ADDRESS(1687,28))-INDIRECT(ADDRESS(1688,28)))</f>
        <v>0</v>
      </c>
      <c r="AC1689">
        <f>IF(DAY(NOW())&lt;M3,INDIRECT(ADDRESS(1689,28))-INDIRECT(ADDRESS(1684,29))+INDIRECT(ADDRESS(1685,29))-INDIRECT(ADDRESS(1688,29)),INDIRECT(ADDRESS(1689,28))-INDIRECT(ADDRESS(1684,29))+INDIRECT(ADDRESS(1687,29))-INDIRECT(ADDRESS(1688,29)))</f>
        <v>0</v>
      </c>
      <c r="AD1689">
        <f>IF(DAY(NOW())&lt;M3,INDIRECT(ADDRESS(1689,29))-INDIRECT(ADDRESS(1684,30))+INDIRECT(ADDRESS(1685,30))-INDIRECT(ADDRESS(1688,30)),INDIRECT(ADDRESS(1689,29))-INDIRECT(ADDRESS(1684,30))+INDIRECT(ADDRESS(1687,30))-INDIRECT(ADDRESS(1688,30)))</f>
        <v>0</v>
      </c>
      <c r="AE1689">
        <f>IF(DAY(NOW())&lt;M3,INDIRECT(ADDRESS(1689,30))-INDIRECT(ADDRESS(1684,31))+INDIRECT(ADDRESS(1685,31))-INDIRECT(ADDRESS(1688,31)),INDIRECT(ADDRESS(1689,30))-INDIRECT(ADDRESS(1684,31))+INDIRECT(ADDRESS(1687,31))-INDIRECT(ADDRESS(1688,31)))</f>
        <v>0</v>
      </c>
      <c r="AF1689">
        <f>IF(DAY(NOW())&lt;M3,INDIRECT(ADDRESS(1689,31))-INDIRECT(ADDRESS(1684,32))+INDIRECT(ADDRESS(1685,32))-INDIRECT(ADDRESS(1688,32)),INDIRECT(ADDRESS(1689,31))-INDIRECT(ADDRESS(1684,32))+INDIRECT(ADDRESS(1687,32))-INDIRECT(ADDRESS(1688,32)))</f>
        <v>0</v>
      </c>
      <c r="AG1689">
        <f>IF(DAY(NOW())&lt;M3,INDIRECT(ADDRESS(1689,32))-INDIRECT(ADDRESS(1684,33))+INDIRECT(ADDRESS(1685,33))-INDIRECT(ADDRESS(1688,33)),INDIRECT(ADDRESS(1689,32))-INDIRECT(ADDRESS(1684,33))+INDIRECT(ADDRESS(1687,33))-INDIRECT(ADDRESS(1688,33)))</f>
        <v>0</v>
      </c>
      <c r="AH1689">
        <f>IF(DAY(NOW())&lt;M3,INDIRECT(ADDRESS(1689,33))-INDIRECT(ADDRESS(1684,34))+INDIRECT(ADDRESS(1685,34))-INDIRECT(ADDRESS(1688,34)),INDIRECT(ADDRESS(1689,33))-INDIRECT(ADDRESS(1684,34))+INDIRECT(ADDRESS(1687,34))-INDIRECT(ADDRESS(1688,34)))</f>
        <v>0</v>
      </c>
      <c r="AI1689">
        <f>IF(DAY(NOW())&lt;M3,INDIRECT(ADDRESS(1689,34))-INDIRECT(ADDRESS(1684,35))+INDIRECT(ADDRESS(1685,35))-INDIRECT(ADDRESS(1688,35)),INDIRECT(ADDRESS(1689,34))-INDIRECT(ADDRESS(1684,35))+INDIRECT(ADDRESS(1687,35))-INDIRECT(ADDRESS(1688,35)))</f>
        <v>0</v>
      </c>
      <c r="AJ1689">
        <f>IF(DAY(NOW())&lt;M3,INDIRECT(ADDRESS(1689,35))-INDIRECT(ADDRESS(1684,36))+INDIRECT(ADDRESS(1685,36))-INDIRECT(ADDRESS(1688,36)),INDIRECT(ADDRESS(1689,35))-INDIRECT(ADDRESS(1684,36))+INDIRECT(ADDRESS(1687,36))-INDIRECT(ADDRESS(1688,36)))</f>
        <v>0</v>
      </c>
      <c r="AK1689">
        <f>IF(DAY(NOW())&lt;M3,INDIRECT(ADDRESS(1689,36))-INDIRECT(ADDRESS(1684,37))+INDIRECT(ADDRESS(1685,37))-INDIRECT(ADDRESS(1688,37)),INDIRECT(ADDRESS(1689,36))-INDIRECT(ADDRESS(1684,37))+INDIRECT(ADDRESS(1687,37))-INDIRECT(ADDRESS(1688,37)))</f>
        <v>0</v>
      </c>
      <c r="AL1689">
        <f>IF(DAY(NOW())&lt;M3,INDIRECT(ADDRESS(1689,37))-INDIRECT(ADDRESS(1684,38))+INDIRECT(ADDRESS(1685,38))-INDIRECT(ADDRESS(1688,38)),INDIRECT(ADDRESS(1689,37))-INDIRECT(ADDRESS(1684,38))+INDIRECT(ADDRESS(1687,38))-INDIRECT(ADDRESS(1688,38)))</f>
        <v>0</v>
      </c>
      <c r="AM1689">
        <f>IF(DAY(NOW())&lt;M3,INDIRECT(ADDRESS(1689,38))-INDIRECT(ADDRESS(1684,39))+INDIRECT(ADDRESS(1685,39))-INDIRECT(ADDRESS(1688,39)),INDIRECT(ADDRESS(1689,38))-INDIRECT(ADDRESS(1684,39))+INDIRECT(ADDRESS(1687,39))-INDIRECT(ADDRESS(1688,39)))</f>
        <v>0</v>
      </c>
      <c r="AN1689">
        <f>IF(DAY(NOW())&lt;M3,INDIRECT(ADDRESS(1689,39))-INDIRECT(ADDRESS(1684,40))+INDIRECT(ADDRESS(1685,40))-INDIRECT(ADDRESS(1688,40)),INDIRECT(ADDRESS(1689,39))-INDIRECT(ADDRESS(1684,40))+INDIRECT(ADDRESS(1687,40))-INDIRECT(ADDRESS(1688,40)))</f>
        <v>0</v>
      </c>
      <c r="AO1689">
        <f>IF(DAY(NOW())&lt;M3,INDIRECT(ADDRESS(1689,40))-INDIRECT(ADDRESS(1684,41))+INDIRECT(ADDRESS(1685,41))-INDIRECT(ADDRESS(1688,41)),INDIRECT(ADDRESS(1689,40))-INDIRECT(ADDRESS(1684,41))+INDIRECT(ADDRESS(1687,41))-INDIRECT(ADDRESS(1688,41)))</f>
        <v>0</v>
      </c>
      <c r="AP1689">
        <f>IF(DAY(NOW())&lt;M3,INDIRECT(ADDRESS(1689,41))-INDIRECT(ADDRESS(1684,42))+INDIRECT(ADDRESS(1685,42))-INDIRECT(ADDRESS(1688,42)),INDIRECT(ADDRESS(1689,41))-INDIRECT(ADDRESS(1684,42))+INDIRECT(ADDRESS(1687,42))-INDIRECT(ADDRESS(1688,42)))</f>
        <v>0</v>
      </c>
      <c r="AQ1689">
        <f>IF(DAY(NOW())&lt;M3,INDIRECT(ADDRESS(1689,42))-INDIRECT(ADDRESS(1684,43))+INDIRECT(ADDRESS(1685,43))-INDIRECT(ADDRESS(1688,43)),INDIRECT(ADDRESS(1689,42))-INDIRECT(ADDRESS(1684,43))+INDIRECT(ADDRESS(1687,43))-INDIRECT(ADDRESS(1688,43)))</f>
        <v>0</v>
      </c>
      <c r="AR1689">
        <f>IF(DAY(NOW())&lt;M3,INDIRECT(ADDRESS(1689,43))-INDIRECT(ADDRESS(1684,44))+INDIRECT(ADDRESS(1685,44))-INDIRECT(ADDRESS(1688,44)),INDIRECT(ADDRESS(1689,43))-INDIRECT(ADDRESS(1684,44))+INDIRECT(ADDRESS(1687,44))-INDIRECT(ADDRESS(1688,44)))</f>
        <v>0</v>
      </c>
    </row>
    <row r="1690" spans="1:76">
      <c r="A1690" t="s">
        <v>14</v>
      </c>
      <c r="B1690" t="s">
        <v>587</v>
      </c>
      <c r="C1690" t="s">
        <v>588</v>
      </c>
      <c r="D1690" t="s">
        <v>480</v>
      </c>
      <c r="E1690" t="s">
        <v>444</v>
      </c>
      <c r="F1690" t="s">
        <v>654</v>
      </c>
      <c r="K1690" t="s">
        <v>590</v>
      </c>
      <c r="L1690" t="s">
        <v>21</v>
      </c>
      <c r="BX1690">
        <f>sum(j1690:an1690)</f>
        <v>0</v>
      </c>
    </row>
    <row r="1691" spans="1:76">
      <c r="A1691" t="s">
        <v>14</v>
      </c>
      <c r="B1691" t="s">
        <v>587</v>
      </c>
      <c r="C1691" t="s">
        <v>588</v>
      </c>
      <c r="D1691" t="s">
        <v>480</v>
      </c>
      <c r="E1691" t="s">
        <v>444</v>
      </c>
      <c r="F1691" t="s">
        <v>654</v>
      </c>
      <c r="K1691" t="s">
        <v>590</v>
      </c>
      <c r="L1691" t="s">
        <v>37</v>
      </c>
    </row>
    <row r="1692" spans="1:76">
      <c r="L1692" t="s">
        <v>662</v>
      </c>
    </row>
    <row r="1693" spans="1:76">
      <c r="L1693" t="s">
        <v>663</v>
      </c>
    </row>
    <row r="1694" spans="1:76">
      <c r="L1694" t="s">
        <v>664</v>
      </c>
    </row>
    <row r="1695" spans="1:76">
      <c r="L1695" t="s">
        <v>665</v>
      </c>
      <c r="M1695">
        <f>IF(DAY(NOW())&lt;M3,INDIRECT(ADDRESS(1695,7))-INDIRECT(ADDRESS(1690,13))+INDIRECT(ADDRESS(1691,13))-INDIRECT(ADDRESS(1694,13)),INDIRECT(ADDRESS(1695,7))-INDIRECT(ADDRESS(1690,13))+INDIRECT(ADDRESS(1693,13))-INDIRECT(ADDRESS(1694,13)))</f>
        <v>0</v>
      </c>
      <c r="N1695">
        <f>IF(DAY(NOW())&lt;M3,INDIRECT(ADDRESS(1695,13))-INDIRECT(ADDRESS(1690,14))+INDIRECT(ADDRESS(1691,14))-INDIRECT(ADDRESS(1694,14)),INDIRECT(ADDRESS(1695,13))-INDIRECT(ADDRESS(1690,14))+INDIRECT(ADDRESS(1693,14))-INDIRECT(ADDRESS(1694,14)))</f>
        <v>0</v>
      </c>
      <c r="O1695">
        <f>IF(DAY(NOW())&lt;M3,INDIRECT(ADDRESS(1695,14))-INDIRECT(ADDRESS(1690,15))+INDIRECT(ADDRESS(1691,15))-INDIRECT(ADDRESS(1694,15)),INDIRECT(ADDRESS(1695,14))-INDIRECT(ADDRESS(1690,15))+INDIRECT(ADDRESS(1693,15))-INDIRECT(ADDRESS(1694,15)))</f>
        <v>0</v>
      </c>
      <c r="P1695">
        <f>IF(DAY(NOW())&lt;M3,INDIRECT(ADDRESS(1695,15))-INDIRECT(ADDRESS(1690,16))+INDIRECT(ADDRESS(1691,16))-INDIRECT(ADDRESS(1694,16)),INDIRECT(ADDRESS(1695,15))-INDIRECT(ADDRESS(1690,16))+INDIRECT(ADDRESS(1693,16))-INDIRECT(ADDRESS(1694,16)))</f>
        <v>0</v>
      </c>
      <c r="Q1695">
        <f>IF(DAY(NOW())&lt;M3,INDIRECT(ADDRESS(1695,16))-INDIRECT(ADDRESS(1690,17))+INDIRECT(ADDRESS(1691,17))-INDIRECT(ADDRESS(1694,17)),INDIRECT(ADDRESS(1695,16))-INDIRECT(ADDRESS(1690,17))+INDIRECT(ADDRESS(1693,17))-INDIRECT(ADDRESS(1694,17)))</f>
        <v>0</v>
      </c>
      <c r="R1695">
        <f>IF(DAY(NOW())&lt;M3,INDIRECT(ADDRESS(1695,17))-INDIRECT(ADDRESS(1690,18))+INDIRECT(ADDRESS(1691,18))-INDIRECT(ADDRESS(1694,18)),INDIRECT(ADDRESS(1695,17))-INDIRECT(ADDRESS(1690,18))+INDIRECT(ADDRESS(1693,18))-INDIRECT(ADDRESS(1694,18)))</f>
        <v>0</v>
      </c>
      <c r="S1695">
        <f>IF(DAY(NOW())&lt;M3,INDIRECT(ADDRESS(1695,18))-INDIRECT(ADDRESS(1690,19))+INDIRECT(ADDRESS(1691,19))-INDIRECT(ADDRESS(1694,19)),INDIRECT(ADDRESS(1695,18))-INDIRECT(ADDRESS(1690,19))+INDIRECT(ADDRESS(1693,19))-INDIRECT(ADDRESS(1694,19)))</f>
        <v>0</v>
      </c>
      <c r="T1695">
        <f>IF(DAY(NOW())&lt;M3,INDIRECT(ADDRESS(1695,19))-INDIRECT(ADDRESS(1690,20))+INDIRECT(ADDRESS(1691,20))-INDIRECT(ADDRESS(1694,20)),INDIRECT(ADDRESS(1695,19))-INDIRECT(ADDRESS(1690,20))+INDIRECT(ADDRESS(1693,20))-INDIRECT(ADDRESS(1694,20)))</f>
        <v>0</v>
      </c>
      <c r="U1695">
        <f>IF(DAY(NOW())&lt;M3,INDIRECT(ADDRESS(1695,20))-INDIRECT(ADDRESS(1690,21))+INDIRECT(ADDRESS(1691,21))-INDIRECT(ADDRESS(1694,21)),INDIRECT(ADDRESS(1695,20))-INDIRECT(ADDRESS(1690,21))+INDIRECT(ADDRESS(1693,21))-INDIRECT(ADDRESS(1694,21)))</f>
        <v>0</v>
      </c>
      <c r="V1695">
        <f>IF(DAY(NOW())&lt;M3,INDIRECT(ADDRESS(1695,21))-INDIRECT(ADDRESS(1690,22))+INDIRECT(ADDRESS(1691,22))-INDIRECT(ADDRESS(1694,22)),INDIRECT(ADDRESS(1695,21))-INDIRECT(ADDRESS(1690,22))+INDIRECT(ADDRESS(1693,22))-INDIRECT(ADDRESS(1694,22)))</f>
        <v>0</v>
      </c>
      <c r="W1695">
        <f>IF(DAY(NOW())&lt;M3,INDIRECT(ADDRESS(1695,22))-INDIRECT(ADDRESS(1690,23))+INDIRECT(ADDRESS(1691,23))-INDIRECT(ADDRESS(1694,23)),INDIRECT(ADDRESS(1695,22))-INDIRECT(ADDRESS(1690,23))+INDIRECT(ADDRESS(1693,23))-INDIRECT(ADDRESS(1694,23)))</f>
        <v>0</v>
      </c>
      <c r="X1695">
        <f>IF(DAY(NOW())&lt;M3,INDIRECT(ADDRESS(1695,23))-INDIRECT(ADDRESS(1690,24))+INDIRECT(ADDRESS(1691,24))-INDIRECT(ADDRESS(1694,24)),INDIRECT(ADDRESS(1695,23))-INDIRECT(ADDRESS(1690,24))+INDIRECT(ADDRESS(1693,24))-INDIRECT(ADDRESS(1694,24)))</f>
        <v>0</v>
      </c>
      <c r="Y1695">
        <f>IF(DAY(NOW())&lt;M3,INDIRECT(ADDRESS(1695,24))-INDIRECT(ADDRESS(1690,25))+INDIRECT(ADDRESS(1691,25))-INDIRECT(ADDRESS(1694,25)),INDIRECT(ADDRESS(1695,24))-INDIRECT(ADDRESS(1690,25))+INDIRECT(ADDRESS(1693,25))-INDIRECT(ADDRESS(1694,25)))</f>
        <v>0</v>
      </c>
      <c r="Z1695">
        <f>IF(DAY(NOW())&lt;M3,INDIRECT(ADDRESS(1695,25))-INDIRECT(ADDRESS(1690,26))+INDIRECT(ADDRESS(1691,26))-INDIRECT(ADDRESS(1694,26)),INDIRECT(ADDRESS(1695,25))-INDIRECT(ADDRESS(1690,26))+INDIRECT(ADDRESS(1693,26))-INDIRECT(ADDRESS(1694,26)))</f>
        <v>0</v>
      </c>
      <c r="AA1695">
        <f>IF(DAY(NOW())&lt;M3,INDIRECT(ADDRESS(1695,26))-INDIRECT(ADDRESS(1690,27))+INDIRECT(ADDRESS(1691,27))-INDIRECT(ADDRESS(1694,27)),INDIRECT(ADDRESS(1695,26))-INDIRECT(ADDRESS(1690,27))+INDIRECT(ADDRESS(1693,27))-INDIRECT(ADDRESS(1694,27)))</f>
        <v>0</v>
      </c>
      <c r="AB1695">
        <f>IF(DAY(NOW())&lt;M3,INDIRECT(ADDRESS(1695,27))-INDIRECT(ADDRESS(1690,28))+INDIRECT(ADDRESS(1691,28))-INDIRECT(ADDRESS(1694,28)),INDIRECT(ADDRESS(1695,27))-INDIRECT(ADDRESS(1690,28))+INDIRECT(ADDRESS(1693,28))-INDIRECT(ADDRESS(1694,28)))</f>
        <v>0</v>
      </c>
      <c r="AC1695">
        <f>IF(DAY(NOW())&lt;M3,INDIRECT(ADDRESS(1695,28))-INDIRECT(ADDRESS(1690,29))+INDIRECT(ADDRESS(1691,29))-INDIRECT(ADDRESS(1694,29)),INDIRECT(ADDRESS(1695,28))-INDIRECT(ADDRESS(1690,29))+INDIRECT(ADDRESS(1693,29))-INDIRECT(ADDRESS(1694,29)))</f>
        <v>0</v>
      </c>
      <c r="AD1695">
        <f>IF(DAY(NOW())&lt;M3,INDIRECT(ADDRESS(1695,29))-INDIRECT(ADDRESS(1690,30))+INDIRECT(ADDRESS(1691,30))-INDIRECT(ADDRESS(1694,30)),INDIRECT(ADDRESS(1695,29))-INDIRECT(ADDRESS(1690,30))+INDIRECT(ADDRESS(1693,30))-INDIRECT(ADDRESS(1694,30)))</f>
        <v>0</v>
      </c>
      <c r="AE1695">
        <f>IF(DAY(NOW())&lt;M3,INDIRECT(ADDRESS(1695,30))-INDIRECT(ADDRESS(1690,31))+INDIRECT(ADDRESS(1691,31))-INDIRECT(ADDRESS(1694,31)),INDIRECT(ADDRESS(1695,30))-INDIRECT(ADDRESS(1690,31))+INDIRECT(ADDRESS(1693,31))-INDIRECT(ADDRESS(1694,31)))</f>
        <v>0</v>
      </c>
      <c r="AF1695">
        <f>IF(DAY(NOW())&lt;M3,INDIRECT(ADDRESS(1695,31))-INDIRECT(ADDRESS(1690,32))+INDIRECT(ADDRESS(1691,32))-INDIRECT(ADDRESS(1694,32)),INDIRECT(ADDRESS(1695,31))-INDIRECT(ADDRESS(1690,32))+INDIRECT(ADDRESS(1693,32))-INDIRECT(ADDRESS(1694,32)))</f>
        <v>0</v>
      </c>
      <c r="AG1695">
        <f>IF(DAY(NOW())&lt;M3,INDIRECT(ADDRESS(1695,32))-INDIRECT(ADDRESS(1690,33))+INDIRECT(ADDRESS(1691,33))-INDIRECT(ADDRESS(1694,33)),INDIRECT(ADDRESS(1695,32))-INDIRECT(ADDRESS(1690,33))+INDIRECT(ADDRESS(1693,33))-INDIRECT(ADDRESS(1694,33)))</f>
        <v>0</v>
      </c>
      <c r="AH1695">
        <f>IF(DAY(NOW())&lt;M3,INDIRECT(ADDRESS(1695,33))-INDIRECT(ADDRESS(1690,34))+INDIRECT(ADDRESS(1691,34))-INDIRECT(ADDRESS(1694,34)),INDIRECT(ADDRESS(1695,33))-INDIRECT(ADDRESS(1690,34))+INDIRECT(ADDRESS(1693,34))-INDIRECT(ADDRESS(1694,34)))</f>
        <v>0</v>
      </c>
      <c r="AI1695">
        <f>IF(DAY(NOW())&lt;M3,INDIRECT(ADDRESS(1695,34))-INDIRECT(ADDRESS(1690,35))+INDIRECT(ADDRESS(1691,35))-INDIRECT(ADDRESS(1694,35)),INDIRECT(ADDRESS(1695,34))-INDIRECT(ADDRESS(1690,35))+INDIRECT(ADDRESS(1693,35))-INDIRECT(ADDRESS(1694,35)))</f>
        <v>0</v>
      </c>
      <c r="AJ1695">
        <f>IF(DAY(NOW())&lt;M3,INDIRECT(ADDRESS(1695,35))-INDIRECT(ADDRESS(1690,36))+INDIRECT(ADDRESS(1691,36))-INDIRECT(ADDRESS(1694,36)),INDIRECT(ADDRESS(1695,35))-INDIRECT(ADDRESS(1690,36))+INDIRECT(ADDRESS(1693,36))-INDIRECT(ADDRESS(1694,36)))</f>
        <v>0</v>
      </c>
      <c r="AK1695">
        <f>IF(DAY(NOW())&lt;M3,INDIRECT(ADDRESS(1695,36))-INDIRECT(ADDRESS(1690,37))+INDIRECT(ADDRESS(1691,37))-INDIRECT(ADDRESS(1694,37)),INDIRECT(ADDRESS(1695,36))-INDIRECT(ADDRESS(1690,37))+INDIRECT(ADDRESS(1693,37))-INDIRECT(ADDRESS(1694,37)))</f>
        <v>0</v>
      </c>
      <c r="AL1695">
        <f>IF(DAY(NOW())&lt;M3,INDIRECT(ADDRESS(1695,37))-INDIRECT(ADDRESS(1690,38))+INDIRECT(ADDRESS(1691,38))-INDIRECT(ADDRESS(1694,38)),INDIRECT(ADDRESS(1695,37))-INDIRECT(ADDRESS(1690,38))+INDIRECT(ADDRESS(1693,38))-INDIRECT(ADDRESS(1694,38)))</f>
        <v>0</v>
      </c>
      <c r="AM1695">
        <f>IF(DAY(NOW())&lt;M3,INDIRECT(ADDRESS(1695,38))-INDIRECT(ADDRESS(1690,39))+INDIRECT(ADDRESS(1691,39))-INDIRECT(ADDRESS(1694,39)),INDIRECT(ADDRESS(1695,38))-INDIRECT(ADDRESS(1690,39))+INDIRECT(ADDRESS(1693,39))-INDIRECT(ADDRESS(1694,39)))</f>
        <v>0</v>
      </c>
      <c r="AN1695">
        <f>IF(DAY(NOW())&lt;M3,INDIRECT(ADDRESS(1695,39))-INDIRECT(ADDRESS(1690,40))+INDIRECT(ADDRESS(1691,40))-INDIRECT(ADDRESS(1694,40)),INDIRECT(ADDRESS(1695,39))-INDIRECT(ADDRESS(1690,40))+INDIRECT(ADDRESS(1693,40))-INDIRECT(ADDRESS(1694,40)))</f>
        <v>0</v>
      </c>
      <c r="AO1695">
        <f>IF(DAY(NOW())&lt;M3,INDIRECT(ADDRESS(1695,40))-INDIRECT(ADDRESS(1690,41))+INDIRECT(ADDRESS(1691,41))-INDIRECT(ADDRESS(1694,41)),INDIRECT(ADDRESS(1695,40))-INDIRECT(ADDRESS(1690,41))+INDIRECT(ADDRESS(1693,41))-INDIRECT(ADDRESS(1694,41)))</f>
        <v>0</v>
      </c>
      <c r="AP1695">
        <f>IF(DAY(NOW())&lt;M3,INDIRECT(ADDRESS(1695,41))-INDIRECT(ADDRESS(1690,42))+INDIRECT(ADDRESS(1691,42))-INDIRECT(ADDRESS(1694,42)),INDIRECT(ADDRESS(1695,41))-INDIRECT(ADDRESS(1690,42))+INDIRECT(ADDRESS(1693,42))-INDIRECT(ADDRESS(1694,42)))</f>
        <v>0</v>
      </c>
      <c r="AQ1695">
        <f>IF(DAY(NOW())&lt;M3,INDIRECT(ADDRESS(1695,42))-INDIRECT(ADDRESS(1690,43))+INDIRECT(ADDRESS(1691,43))-INDIRECT(ADDRESS(1694,43)),INDIRECT(ADDRESS(1695,42))-INDIRECT(ADDRESS(1690,43))+INDIRECT(ADDRESS(1693,43))-INDIRECT(ADDRESS(1694,43)))</f>
        <v>0</v>
      </c>
      <c r="AR1695">
        <f>IF(DAY(NOW())&lt;M3,INDIRECT(ADDRESS(1695,43))-INDIRECT(ADDRESS(1690,44))+INDIRECT(ADDRESS(1691,44))-INDIRECT(ADDRESS(1694,44)),INDIRECT(ADDRESS(1695,43))-INDIRECT(ADDRESS(1690,44))+INDIRECT(ADDRESS(1693,44))-INDIRECT(ADDRESS(1694,44)))</f>
        <v>0</v>
      </c>
    </row>
    <row r="1696" spans="1:76">
      <c r="A1696" t="s">
        <v>31</v>
      </c>
      <c r="B1696" t="s">
        <v>655</v>
      </c>
      <c r="C1696" t="s">
        <v>656</v>
      </c>
      <c r="K1696" t="s">
        <v>590</v>
      </c>
      <c r="L1696" t="s">
        <v>21</v>
      </c>
      <c r="M1696">
        <f>sumifs(BOM!m:m,BOM!A:A,".1",BOM!B:B,"212-036600-000")</f>
        <v>0</v>
      </c>
      <c r="N1696">
        <f>sumifs(BOM!n:n,BOM!A:A,".1",BOM!B:B,"212-036600-000")</f>
        <v>0</v>
      </c>
      <c r="O1696">
        <f>sumifs(BOM!o:o,BOM!A:A,".1",BOM!B:B,"212-036600-000")</f>
        <v>0</v>
      </c>
      <c r="P1696">
        <f>sumifs(BOM!p:p,BOM!A:A,".1",BOM!B:B,"212-036600-000")</f>
        <v>0</v>
      </c>
      <c r="Q1696">
        <f>sumifs(BOM!q:q,BOM!A:A,".1",BOM!B:B,"212-036600-000")</f>
        <v>0</v>
      </c>
      <c r="R1696">
        <f>sumifs(BOM!r:r,BOM!A:A,".1",BOM!B:B,"212-036600-000")</f>
        <v>0</v>
      </c>
      <c r="S1696">
        <f>sumifs(BOM!s:s,BOM!A:A,".1",BOM!B:B,"212-036600-000")</f>
        <v>0</v>
      </c>
      <c r="T1696">
        <f>sumifs(BOM!t:t,BOM!A:A,".1",BOM!B:B,"212-036600-000")</f>
        <v>0</v>
      </c>
      <c r="U1696">
        <f>sumifs(BOM!u:u,BOM!A:A,".1",BOM!B:B,"212-036600-000")</f>
        <v>0</v>
      </c>
      <c r="V1696">
        <f>sumifs(BOM!v:v,BOM!A:A,".1",BOM!B:B,"212-036600-000")</f>
        <v>0</v>
      </c>
      <c r="W1696">
        <f>sumifs(BOM!w:w,BOM!A:A,".1",BOM!B:B,"212-036600-000")</f>
        <v>0</v>
      </c>
      <c r="X1696">
        <f>sumifs(BOM!x:x,BOM!A:A,".1",BOM!B:B,"212-036600-000")</f>
        <v>0</v>
      </c>
      <c r="Y1696">
        <f>sumifs(BOM!y:y,BOM!A:A,".1",BOM!B:B,"212-036600-000")</f>
        <v>0</v>
      </c>
      <c r="Z1696">
        <f>sumifs(BOM!z:z,BOM!A:A,".1",BOM!B:B,"212-036600-000")</f>
        <v>0</v>
      </c>
      <c r="AA1696">
        <f>sumifs(BOM!aa:aa,BOM!A:A,".1",BOM!B:B,"212-036600-000")</f>
        <v>0</v>
      </c>
      <c r="AB1696">
        <f>sumifs(BOM!ab:ab,BOM!A:A,".1",BOM!B:B,"212-036600-000")</f>
        <v>0</v>
      </c>
      <c r="AC1696">
        <f>sumifs(BOM!ac:ac,BOM!A:A,".1",BOM!B:B,"212-036600-000")</f>
        <v>0</v>
      </c>
      <c r="AD1696">
        <f>sumifs(BOM!ad:ad,BOM!A:A,".1",BOM!B:B,"212-036600-000")</f>
        <v>0</v>
      </c>
      <c r="AE1696">
        <f>sumifs(BOM!ae:ae,BOM!A:A,".1",BOM!B:B,"212-036600-000")</f>
        <v>0</v>
      </c>
      <c r="AF1696">
        <f>sumifs(BOM!af:af,BOM!A:A,".1",BOM!B:B,"212-036600-000")</f>
        <v>0</v>
      </c>
      <c r="AG1696">
        <f>sumifs(BOM!ag:ag,BOM!A:A,".1",BOM!B:B,"212-036600-000")</f>
        <v>0</v>
      </c>
      <c r="AH1696">
        <f>sumifs(BOM!ah:ah,BOM!A:A,".1",BOM!B:B,"212-036600-000")</f>
        <v>0</v>
      </c>
      <c r="AI1696">
        <f>sumifs(BOM!ai:ai,BOM!A:A,".1",BOM!B:B,"212-036600-000")</f>
        <v>0</v>
      </c>
      <c r="AJ1696">
        <f>sumifs(BOM!aj:aj,BOM!A:A,".1",BOM!B:B,"212-036600-000")</f>
        <v>0</v>
      </c>
      <c r="AK1696">
        <f>sumifs(BOM!ak:ak,BOM!A:A,".1",BOM!B:B,"212-036600-000")</f>
        <v>0</v>
      </c>
      <c r="AL1696">
        <f>sumifs(BOM!al:al,BOM!A:A,".1",BOM!B:B,"212-036600-000")</f>
        <v>0</v>
      </c>
      <c r="AM1696">
        <f>sumifs(BOM!am:am,BOM!A:A,".1",BOM!B:B,"212-036600-000")</f>
        <v>0</v>
      </c>
      <c r="AN1696">
        <f>sumifs(BOM!an:an,BOM!A:A,".1",BOM!B:B,"212-036600-000")</f>
        <v>0</v>
      </c>
      <c r="AO1696">
        <f>sumifs(BOM!ao:ao,BOM!A:A,".1",BOM!B:B,"212-036600-000")</f>
        <v>0</v>
      </c>
      <c r="AP1696">
        <f>sumifs(BOM!ap:ap,BOM!A:A,".1",BOM!B:B,"212-036600-000")</f>
        <v>0</v>
      </c>
      <c r="AQ1696">
        <f>sumifs(BOM!aq:aq,BOM!A:A,".1",BOM!B:B,"212-036600-000")</f>
        <v>0</v>
      </c>
      <c r="AR1696">
        <f>sumifs(BOM!ar:ar,BOM!A:A,".1",BOM!B:B,"212-036600-000")</f>
        <v>0</v>
      </c>
      <c r="BX1696">
        <f>sum(j1696:an1696)</f>
        <v>0</v>
      </c>
    </row>
    <row r="1697" spans="1:76">
      <c r="A1697" t="s">
        <v>31</v>
      </c>
      <c r="B1697" t="s">
        <v>655</v>
      </c>
      <c r="C1697" t="s">
        <v>656</v>
      </c>
      <c r="K1697" t="s">
        <v>590</v>
      </c>
      <c r="L1697" t="s">
        <v>37</v>
      </c>
    </row>
    <row r="1698" spans="1:76">
      <c r="L1698" t="s">
        <v>662</v>
      </c>
    </row>
    <row r="1699" spans="1:76">
      <c r="L1699" t="s">
        <v>663</v>
      </c>
    </row>
    <row r="1700" spans="1:76">
      <c r="L1700" t="s">
        <v>664</v>
      </c>
    </row>
    <row r="1701" spans="1:76">
      <c r="L1701" t="s">
        <v>665</v>
      </c>
      <c r="M1701">
        <f>IF(DAY(NOW())&lt;M3,INDIRECT(ADDRESS(1701,7))-INDIRECT(ADDRESS(1696,13))+INDIRECT(ADDRESS(1697,13))-INDIRECT(ADDRESS(1700,13)),INDIRECT(ADDRESS(1701,7))-INDIRECT(ADDRESS(1696,13))+INDIRECT(ADDRESS(1699,13))-INDIRECT(ADDRESS(1700,13)))</f>
        <v>0</v>
      </c>
      <c r="N1701">
        <f>IF(DAY(NOW())&lt;M3,INDIRECT(ADDRESS(1701,13))-INDIRECT(ADDRESS(1696,14))+INDIRECT(ADDRESS(1697,14))-INDIRECT(ADDRESS(1700,14)),INDIRECT(ADDRESS(1701,13))-INDIRECT(ADDRESS(1696,14))+INDIRECT(ADDRESS(1699,14))-INDIRECT(ADDRESS(1700,14)))</f>
        <v>0</v>
      </c>
      <c r="O1701">
        <f>IF(DAY(NOW())&lt;M3,INDIRECT(ADDRESS(1701,14))-INDIRECT(ADDRESS(1696,15))+INDIRECT(ADDRESS(1697,15))-INDIRECT(ADDRESS(1700,15)),INDIRECT(ADDRESS(1701,14))-INDIRECT(ADDRESS(1696,15))+INDIRECT(ADDRESS(1699,15))-INDIRECT(ADDRESS(1700,15)))</f>
        <v>0</v>
      </c>
      <c r="P1701">
        <f>IF(DAY(NOW())&lt;M3,INDIRECT(ADDRESS(1701,15))-INDIRECT(ADDRESS(1696,16))+INDIRECT(ADDRESS(1697,16))-INDIRECT(ADDRESS(1700,16)),INDIRECT(ADDRESS(1701,15))-INDIRECT(ADDRESS(1696,16))+INDIRECT(ADDRESS(1699,16))-INDIRECT(ADDRESS(1700,16)))</f>
        <v>0</v>
      </c>
      <c r="Q1701">
        <f>IF(DAY(NOW())&lt;M3,INDIRECT(ADDRESS(1701,16))-INDIRECT(ADDRESS(1696,17))+INDIRECT(ADDRESS(1697,17))-INDIRECT(ADDRESS(1700,17)),INDIRECT(ADDRESS(1701,16))-INDIRECT(ADDRESS(1696,17))+INDIRECT(ADDRESS(1699,17))-INDIRECT(ADDRESS(1700,17)))</f>
        <v>0</v>
      </c>
      <c r="R1701">
        <f>IF(DAY(NOW())&lt;M3,INDIRECT(ADDRESS(1701,17))-INDIRECT(ADDRESS(1696,18))+INDIRECT(ADDRESS(1697,18))-INDIRECT(ADDRESS(1700,18)),INDIRECT(ADDRESS(1701,17))-INDIRECT(ADDRESS(1696,18))+INDIRECT(ADDRESS(1699,18))-INDIRECT(ADDRESS(1700,18)))</f>
        <v>0</v>
      </c>
      <c r="S1701">
        <f>IF(DAY(NOW())&lt;M3,INDIRECT(ADDRESS(1701,18))-INDIRECT(ADDRESS(1696,19))+INDIRECT(ADDRESS(1697,19))-INDIRECT(ADDRESS(1700,19)),INDIRECT(ADDRESS(1701,18))-INDIRECT(ADDRESS(1696,19))+INDIRECT(ADDRESS(1699,19))-INDIRECT(ADDRESS(1700,19)))</f>
        <v>0</v>
      </c>
      <c r="T1701">
        <f>IF(DAY(NOW())&lt;M3,INDIRECT(ADDRESS(1701,19))-INDIRECT(ADDRESS(1696,20))+INDIRECT(ADDRESS(1697,20))-INDIRECT(ADDRESS(1700,20)),INDIRECT(ADDRESS(1701,19))-INDIRECT(ADDRESS(1696,20))+INDIRECT(ADDRESS(1699,20))-INDIRECT(ADDRESS(1700,20)))</f>
        <v>0</v>
      </c>
      <c r="U1701">
        <f>IF(DAY(NOW())&lt;M3,INDIRECT(ADDRESS(1701,20))-INDIRECT(ADDRESS(1696,21))+INDIRECT(ADDRESS(1697,21))-INDIRECT(ADDRESS(1700,21)),INDIRECT(ADDRESS(1701,20))-INDIRECT(ADDRESS(1696,21))+INDIRECT(ADDRESS(1699,21))-INDIRECT(ADDRESS(1700,21)))</f>
        <v>0</v>
      </c>
      <c r="V1701">
        <f>IF(DAY(NOW())&lt;M3,INDIRECT(ADDRESS(1701,21))-INDIRECT(ADDRESS(1696,22))+INDIRECT(ADDRESS(1697,22))-INDIRECT(ADDRESS(1700,22)),INDIRECT(ADDRESS(1701,21))-INDIRECT(ADDRESS(1696,22))+INDIRECT(ADDRESS(1699,22))-INDIRECT(ADDRESS(1700,22)))</f>
        <v>0</v>
      </c>
      <c r="W1701">
        <f>IF(DAY(NOW())&lt;M3,INDIRECT(ADDRESS(1701,22))-INDIRECT(ADDRESS(1696,23))+INDIRECT(ADDRESS(1697,23))-INDIRECT(ADDRESS(1700,23)),INDIRECT(ADDRESS(1701,22))-INDIRECT(ADDRESS(1696,23))+INDIRECT(ADDRESS(1699,23))-INDIRECT(ADDRESS(1700,23)))</f>
        <v>0</v>
      </c>
      <c r="X1701">
        <f>IF(DAY(NOW())&lt;M3,INDIRECT(ADDRESS(1701,23))-INDIRECT(ADDRESS(1696,24))+INDIRECT(ADDRESS(1697,24))-INDIRECT(ADDRESS(1700,24)),INDIRECT(ADDRESS(1701,23))-INDIRECT(ADDRESS(1696,24))+INDIRECT(ADDRESS(1699,24))-INDIRECT(ADDRESS(1700,24)))</f>
        <v>0</v>
      </c>
      <c r="Y1701">
        <f>IF(DAY(NOW())&lt;M3,INDIRECT(ADDRESS(1701,24))-INDIRECT(ADDRESS(1696,25))+INDIRECT(ADDRESS(1697,25))-INDIRECT(ADDRESS(1700,25)),INDIRECT(ADDRESS(1701,24))-INDIRECT(ADDRESS(1696,25))+INDIRECT(ADDRESS(1699,25))-INDIRECT(ADDRESS(1700,25)))</f>
        <v>0</v>
      </c>
      <c r="Z1701">
        <f>IF(DAY(NOW())&lt;M3,INDIRECT(ADDRESS(1701,25))-INDIRECT(ADDRESS(1696,26))+INDIRECT(ADDRESS(1697,26))-INDIRECT(ADDRESS(1700,26)),INDIRECT(ADDRESS(1701,25))-INDIRECT(ADDRESS(1696,26))+INDIRECT(ADDRESS(1699,26))-INDIRECT(ADDRESS(1700,26)))</f>
        <v>0</v>
      </c>
      <c r="AA1701">
        <f>IF(DAY(NOW())&lt;M3,INDIRECT(ADDRESS(1701,26))-INDIRECT(ADDRESS(1696,27))+INDIRECT(ADDRESS(1697,27))-INDIRECT(ADDRESS(1700,27)),INDIRECT(ADDRESS(1701,26))-INDIRECT(ADDRESS(1696,27))+INDIRECT(ADDRESS(1699,27))-INDIRECT(ADDRESS(1700,27)))</f>
        <v>0</v>
      </c>
      <c r="AB1701">
        <f>IF(DAY(NOW())&lt;M3,INDIRECT(ADDRESS(1701,27))-INDIRECT(ADDRESS(1696,28))+INDIRECT(ADDRESS(1697,28))-INDIRECT(ADDRESS(1700,28)),INDIRECT(ADDRESS(1701,27))-INDIRECT(ADDRESS(1696,28))+INDIRECT(ADDRESS(1699,28))-INDIRECT(ADDRESS(1700,28)))</f>
        <v>0</v>
      </c>
      <c r="AC1701">
        <f>IF(DAY(NOW())&lt;M3,INDIRECT(ADDRESS(1701,28))-INDIRECT(ADDRESS(1696,29))+INDIRECT(ADDRESS(1697,29))-INDIRECT(ADDRESS(1700,29)),INDIRECT(ADDRESS(1701,28))-INDIRECT(ADDRESS(1696,29))+INDIRECT(ADDRESS(1699,29))-INDIRECT(ADDRESS(1700,29)))</f>
        <v>0</v>
      </c>
      <c r="AD1701">
        <f>IF(DAY(NOW())&lt;M3,INDIRECT(ADDRESS(1701,29))-INDIRECT(ADDRESS(1696,30))+INDIRECT(ADDRESS(1697,30))-INDIRECT(ADDRESS(1700,30)),INDIRECT(ADDRESS(1701,29))-INDIRECT(ADDRESS(1696,30))+INDIRECT(ADDRESS(1699,30))-INDIRECT(ADDRESS(1700,30)))</f>
        <v>0</v>
      </c>
      <c r="AE1701">
        <f>IF(DAY(NOW())&lt;M3,INDIRECT(ADDRESS(1701,30))-INDIRECT(ADDRESS(1696,31))+INDIRECT(ADDRESS(1697,31))-INDIRECT(ADDRESS(1700,31)),INDIRECT(ADDRESS(1701,30))-INDIRECT(ADDRESS(1696,31))+INDIRECT(ADDRESS(1699,31))-INDIRECT(ADDRESS(1700,31)))</f>
        <v>0</v>
      </c>
      <c r="AF1701">
        <f>IF(DAY(NOW())&lt;M3,INDIRECT(ADDRESS(1701,31))-INDIRECT(ADDRESS(1696,32))+INDIRECT(ADDRESS(1697,32))-INDIRECT(ADDRESS(1700,32)),INDIRECT(ADDRESS(1701,31))-INDIRECT(ADDRESS(1696,32))+INDIRECT(ADDRESS(1699,32))-INDIRECT(ADDRESS(1700,32)))</f>
        <v>0</v>
      </c>
      <c r="AG1701">
        <f>IF(DAY(NOW())&lt;M3,INDIRECT(ADDRESS(1701,32))-INDIRECT(ADDRESS(1696,33))+INDIRECT(ADDRESS(1697,33))-INDIRECT(ADDRESS(1700,33)),INDIRECT(ADDRESS(1701,32))-INDIRECT(ADDRESS(1696,33))+INDIRECT(ADDRESS(1699,33))-INDIRECT(ADDRESS(1700,33)))</f>
        <v>0</v>
      </c>
      <c r="AH1701">
        <f>IF(DAY(NOW())&lt;M3,INDIRECT(ADDRESS(1701,33))-INDIRECT(ADDRESS(1696,34))+INDIRECT(ADDRESS(1697,34))-INDIRECT(ADDRESS(1700,34)),INDIRECT(ADDRESS(1701,33))-INDIRECT(ADDRESS(1696,34))+INDIRECT(ADDRESS(1699,34))-INDIRECT(ADDRESS(1700,34)))</f>
        <v>0</v>
      </c>
      <c r="AI1701">
        <f>IF(DAY(NOW())&lt;M3,INDIRECT(ADDRESS(1701,34))-INDIRECT(ADDRESS(1696,35))+INDIRECT(ADDRESS(1697,35))-INDIRECT(ADDRESS(1700,35)),INDIRECT(ADDRESS(1701,34))-INDIRECT(ADDRESS(1696,35))+INDIRECT(ADDRESS(1699,35))-INDIRECT(ADDRESS(1700,35)))</f>
        <v>0</v>
      </c>
      <c r="AJ1701">
        <f>IF(DAY(NOW())&lt;M3,INDIRECT(ADDRESS(1701,35))-INDIRECT(ADDRESS(1696,36))+INDIRECT(ADDRESS(1697,36))-INDIRECT(ADDRESS(1700,36)),INDIRECT(ADDRESS(1701,35))-INDIRECT(ADDRESS(1696,36))+INDIRECT(ADDRESS(1699,36))-INDIRECT(ADDRESS(1700,36)))</f>
        <v>0</v>
      </c>
      <c r="AK1701">
        <f>IF(DAY(NOW())&lt;M3,INDIRECT(ADDRESS(1701,36))-INDIRECT(ADDRESS(1696,37))+INDIRECT(ADDRESS(1697,37))-INDIRECT(ADDRESS(1700,37)),INDIRECT(ADDRESS(1701,36))-INDIRECT(ADDRESS(1696,37))+INDIRECT(ADDRESS(1699,37))-INDIRECT(ADDRESS(1700,37)))</f>
        <v>0</v>
      </c>
      <c r="AL1701">
        <f>IF(DAY(NOW())&lt;M3,INDIRECT(ADDRESS(1701,37))-INDIRECT(ADDRESS(1696,38))+INDIRECT(ADDRESS(1697,38))-INDIRECT(ADDRESS(1700,38)),INDIRECT(ADDRESS(1701,37))-INDIRECT(ADDRESS(1696,38))+INDIRECT(ADDRESS(1699,38))-INDIRECT(ADDRESS(1700,38)))</f>
        <v>0</v>
      </c>
      <c r="AM1701">
        <f>IF(DAY(NOW())&lt;M3,INDIRECT(ADDRESS(1701,38))-INDIRECT(ADDRESS(1696,39))+INDIRECT(ADDRESS(1697,39))-INDIRECT(ADDRESS(1700,39)),INDIRECT(ADDRESS(1701,38))-INDIRECT(ADDRESS(1696,39))+INDIRECT(ADDRESS(1699,39))-INDIRECT(ADDRESS(1700,39)))</f>
        <v>0</v>
      </c>
      <c r="AN1701">
        <f>IF(DAY(NOW())&lt;M3,INDIRECT(ADDRESS(1701,39))-INDIRECT(ADDRESS(1696,40))+INDIRECT(ADDRESS(1697,40))-INDIRECT(ADDRESS(1700,40)),INDIRECT(ADDRESS(1701,39))-INDIRECT(ADDRESS(1696,40))+INDIRECT(ADDRESS(1699,40))-INDIRECT(ADDRESS(1700,40)))</f>
        <v>0</v>
      </c>
      <c r="AO1701">
        <f>IF(DAY(NOW())&lt;M3,INDIRECT(ADDRESS(1701,40))-INDIRECT(ADDRESS(1696,41))+INDIRECT(ADDRESS(1697,41))-INDIRECT(ADDRESS(1700,41)),INDIRECT(ADDRESS(1701,40))-INDIRECT(ADDRESS(1696,41))+INDIRECT(ADDRESS(1699,41))-INDIRECT(ADDRESS(1700,41)))</f>
        <v>0</v>
      </c>
      <c r="AP1701">
        <f>IF(DAY(NOW())&lt;M3,INDIRECT(ADDRESS(1701,41))-INDIRECT(ADDRESS(1696,42))+INDIRECT(ADDRESS(1697,42))-INDIRECT(ADDRESS(1700,42)),INDIRECT(ADDRESS(1701,41))-INDIRECT(ADDRESS(1696,42))+INDIRECT(ADDRESS(1699,42))-INDIRECT(ADDRESS(1700,42)))</f>
        <v>0</v>
      </c>
      <c r="AQ1701">
        <f>IF(DAY(NOW())&lt;M3,INDIRECT(ADDRESS(1701,42))-INDIRECT(ADDRESS(1696,43))+INDIRECT(ADDRESS(1697,43))-INDIRECT(ADDRESS(1700,43)),INDIRECT(ADDRESS(1701,42))-INDIRECT(ADDRESS(1696,43))+INDIRECT(ADDRESS(1699,43))-INDIRECT(ADDRESS(1700,43)))</f>
        <v>0</v>
      </c>
      <c r="AR1701">
        <f>IF(DAY(NOW())&lt;M3,INDIRECT(ADDRESS(1701,43))-INDIRECT(ADDRESS(1696,44))+INDIRECT(ADDRESS(1697,44))-INDIRECT(ADDRESS(1700,44)),INDIRECT(ADDRESS(1701,43))-INDIRECT(ADDRESS(1696,44))+INDIRECT(ADDRESS(1699,44))-INDIRECT(ADDRESS(1700,44)))</f>
        <v>0</v>
      </c>
    </row>
    <row r="1702" spans="1:76">
      <c r="A1702" t="s">
        <v>14</v>
      </c>
      <c r="B1702" t="s">
        <v>593</v>
      </c>
      <c r="C1702" t="s">
        <v>594</v>
      </c>
      <c r="E1702" t="s">
        <v>591</v>
      </c>
      <c r="F1702" t="s">
        <v>592</v>
      </c>
      <c r="K1702" t="s">
        <v>657</v>
      </c>
      <c r="L1702" t="s">
        <v>21</v>
      </c>
      <c r="BX1702">
        <f>sum(j1702:an1702)</f>
        <v>0</v>
      </c>
    </row>
    <row r="1703" spans="1:76">
      <c r="A1703" t="s">
        <v>14</v>
      </c>
      <c r="B1703" t="s">
        <v>593</v>
      </c>
      <c r="C1703" t="s">
        <v>594</v>
      </c>
      <c r="E1703" t="s">
        <v>591</v>
      </c>
      <c r="F1703" t="s">
        <v>592</v>
      </c>
      <c r="K1703" t="s">
        <v>657</v>
      </c>
      <c r="L1703" t="s">
        <v>37</v>
      </c>
    </row>
    <row r="1704" spans="1:76">
      <c r="L1704" t="s">
        <v>662</v>
      </c>
    </row>
    <row r="1705" spans="1:76">
      <c r="L1705" t="s">
        <v>663</v>
      </c>
    </row>
    <row r="1706" spans="1:76">
      <c r="L1706" t="s">
        <v>664</v>
      </c>
    </row>
    <row r="1707" spans="1:76">
      <c r="L1707" t="s">
        <v>665</v>
      </c>
      <c r="M1707">
        <f>IF(DAY(NOW())&lt;M3,INDIRECT(ADDRESS(1707,7))-INDIRECT(ADDRESS(1702,13))+INDIRECT(ADDRESS(1703,13))-INDIRECT(ADDRESS(1706,13)),INDIRECT(ADDRESS(1707,7))-INDIRECT(ADDRESS(1702,13))+INDIRECT(ADDRESS(1705,13))-INDIRECT(ADDRESS(1706,13)))</f>
        <v>0</v>
      </c>
      <c r="N1707">
        <f>IF(DAY(NOW())&lt;M3,INDIRECT(ADDRESS(1707,13))-INDIRECT(ADDRESS(1702,14))+INDIRECT(ADDRESS(1703,14))-INDIRECT(ADDRESS(1706,14)),INDIRECT(ADDRESS(1707,13))-INDIRECT(ADDRESS(1702,14))+INDIRECT(ADDRESS(1705,14))-INDIRECT(ADDRESS(1706,14)))</f>
        <v>0</v>
      </c>
      <c r="O1707">
        <f>IF(DAY(NOW())&lt;M3,INDIRECT(ADDRESS(1707,14))-INDIRECT(ADDRESS(1702,15))+INDIRECT(ADDRESS(1703,15))-INDIRECT(ADDRESS(1706,15)),INDIRECT(ADDRESS(1707,14))-INDIRECT(ADDRESS(1702,15))+INDIRECT(ADDRESS(1705,15))-INDIRECT(ADDRESS(1706,15)))</f>
        <v>0</v>
      </c>
      <c r="P1707">
        <f>IF(DAY(NOW())&lt;M3,INDIRECT(ADDRESS(1707,15))-INDIRECT(ADDRESS(1702,16))+INDIRECT(ADDRESS(1703,16))-INDIRECT(ADDRESS(1706,16)),INDIRECT(ADDRESS(1707,15))-INDIRECT(ADDRESS(1702,16))+INDIRECT(ADDRESS(1705,16))-INDIRECT(ADDRESS(1706,16)))</f>
        <v>0</v>
      </c>
      <c r="Q1707">
        <f>IF(DAY(NOW())&lt;M3,INDIRECT(ADDRESS(1707,16))-INDIRECT(ADDRESS(1702,17))+INDIRECT(ADDRESS(1703,17))-INDIRECT(ADDRESS(1706,17)),INDIRECT(ADDRESS(1707,16))-INDIRECT(ADDRESS(1702,17))+INDIRECT(ADDRESS(1705,17))-INDIRECT(ADDRESS(1706,17)))</f>
        <v>0</v>
      </c>
      <c r="R1707">
        <f>IF(DAY(NOW())&lt;M3,INDIRECT(ADDRESS(1707,17))-INDIRECT(ADDRESS(1702,18))+INDIRECT(ADDRESS(1703,18))-INDIRECT(ADDRESS(1706,18)),INDIRECT(ADDRESS(1707,17))-INDIRECT(ADDRESS(1702,18))+INDIRECT(ADDRESS(1705,18))-INDIRECT(ADDRESS(1706,18)))</f>
        <v>0</v>
      </c>
      <c r="S1707">
        <f>IF(DAY(NOW())&lt;M3,INDIRECT(ADDRESS(1707,18))-INDIRECT(ADDRESS(1702,19))+INDIRECT(ADDRESS(1703,19))-INDIRECT(ADDRESS(1706,19)),INDIRECT(ADDRESS(1707,18))-INDIRECT(ADDRESS(1702,19))+INDIRECT(ADDRESS(1705,19))-INDIRECT(ADDRESS(1706,19)))</f>
        <v>0</v>
      </c>
      <c r="T1707">
        <f>IF(DAY(NOW())&lt;M3,INDIRECT(ADDRESS(1707,19))-INDIRECT(ADDRESS(1702,20))+INDIRECT(ADDRESS(1703,20))-INDIRECT(ADDRESS(1706,20)),INDIRECT(ADDRESS(1707,19))-INDIRECT(ADDRESS(1702,20))+INDIRECT(ADDRESS(1705,20))-INDIRECT(ADDRESS(1706,20)))</f>
        <v>0</v>
      </c>
      <c r="U1707">
        <f>IF(DAY(NOW())&lt;M3,INDIRECT(ADDRESS(1707,20))-INDIRECT(ADDRESS(1702,21))+INDIRECT(ADDRESS(1703,21))-INDIRECT(ADDRESS(1706,21)),INDIRECT(ADDRESS(1707,20))-INDIRECT(ADDRESS(1702,21))+INDIRECT(ADDRESS(1705,21))-INDIRECT(ADDRESS(1706,21)))</f>
        <v>0</v>
      </c>
      <c r="V1707">
        <f>IF(DAY(NOW())&lt;M3,INDIRECT(ADDRESS(1707,21))-INDIRECT(ADDRESS(1702,22))+INDIRECT(ADDRESS(1703,22))-INDIRECT(ADDRESS(1706,22)),INDIRECT(ADDRESS(1707,21))-INDIRECT(ADDRESS(1702,22))+INDIRECT(ADDRESS(1705,22))-INDIRECT(ADDRESS(1706,22)))</f>
        <v>0</v>
      </c>
      <c r="W1707">
        <f>IF(DAY(NOW())&lt;M3,INDIRECT(ADDRESS(1707,22))-INDIRECT(ADDRESS(1702,23))+INDIRECT(ADDRESS(1703,23))-INDIRECT(ADDRESS(1706,23)),INDIRECT(ADDRESS(1707,22))-INDIRECT(ADDRESS(1702,23))+INDIRECT(ADDRESS(1705,23))-INDIRECT(ADDRESS(1706,23)))</f>
        <v>0</v>
      </c>
      <c r="X1707">
        <f>IF(DAY(NOW())&lt;M3,INDIRECT(ADDRESS(1707,23))-INDIRECT(ADDRESS(1702,24))+INDIRECT(ADDRESS(1703,24))-INDIRECT(ADDRESS(1706,24)),INDIRECT(ADDRESS(1707,23))-INDIRECT(ADDRESS(1702,24))+INDIRECT(ADDRESS(1705,24))-INDIRECT(ADDRESS(1706,24)))</f>
        <v>0</v>
      </c>
      <c r="Y1707">
        <f>IF(DAY(NOW())&lt;M3,INDIRECT(ADDRESS(1707,24))-INDIRECT(ADDRESS(1702,25))+INDIRECT(ADDRESS(1703,25))-INDIRECT(ADDRESS(1706,25)),INDIRECT(ADDRESS(1707,24))-INDIRECT(ADDRESS(1702,25))+INDIRECT(ADDRESS(1705,25))-INDIRECT(ADDRESS(1706,25)))</f>
        <v>0</v>
      </c>
      <c r="Z1707">
        <f>IF(DAY(NOW())&lt;M3,INDIRECT(ADDRESS(1707,25))-INDIRECT(ADDRESS(1702,26))+INDIRECT(ADDRESS(1703,26))-INDIRECT(ADDRESS(1706,26)),INDIRECT(ADDRESS(1707,25))-INDIRECT(ADDRESS(1702,26))+INDIRECT(ADDRESS(1705,26))-INDIRECT(ADDRESS(1706,26)))</f>
        <v>0</v>
      </c>
      <c r="AA1707">
        <f>IF(DAY(NOW())&lt;M3,INDIRECT(ADDRESS(1707,26))-INDIRECT(ADDRESS(1702,27))+INDIRECT(ADDRESS(1703,27))-INDIRECT(ADDRESS(1706,27)),INDIRECT(ADDRESS(1707,26))-INDIRECT(ADDRESS(1702,27))+INDIRECT(ADDRESS(1705,27))-INDIRECT(ADDRESS(1706,27)))</f>
        <v>0</v>
      </c>
      <c r="AB1707">
        <f>IF(DAY(NOW())&lt;M3,INDIRECT(ADDRESS(1707,27))-INDIRECT(ADDRESS(1702,28))+INDIRECT(ADDRESS(1703,28))-INDIRECT(ADDRESS(1706,28)),INDIRECT(ADDRESS(1707,27))-INDIRECT(ADDRESS(1702,28))+INDIRECT(ADDRESS(1705,28))-INDIRECT(ADDRESS(1706,28)))</f>
        <v>0</v>
      </c>
      <c r="AC1707">
        <f>IF(DAY(NOW())&lt;M3,INDIRECT(ADDRESS(1707,28))-INDIRECT(ADDRESS(1702,29))+INDIRECT(ADDRESS(1703,29))-INDIRECT(ADDRESS(1706,29)),INDIRECT(ADDRESS(1707,28))-INDIRECT(ADDRESS(1702,29))+INDIRECT(ADDRESS(1705,29))-INDIRECT(ADDRESS(1706,29)))</f>
        <v>0</v>
      </c>
      <c r="AD1707">
        <f>IF(DAY(NOW())&lt;M3,INDIRECT(ADDRESS(1707,29))-INDIRECT(ADDRESS(1702,30))+INDIRECT(ADDRESS(1703,30))-INDIRECT(ADDRESS(1706,30)),INDIRECT(ADDRESS(1707,29))-INDIRECT(ADDRESS(1702,30))+INDIRECT(ADDRESS(1705,30))-INDIRECT(ADDRESS(1706,30)))</f>
        <v>0</v>
      </c>
      <c r="AE1707">
        <f>IF(DAY(NOW())&lt;M3,INDIRECT(ADDRESS(1707,30))-INDIRECT(ADDRESS(1702,31))+INDIRECT(ADDRESS(1703,31))-INDIRECT(ADDRESS(1706,31)),INDIRECT(ADDRESS(1707,30))-INDIRECT(ADDRESS(1702,31))+INDIRECT(ADDRESS(1705,31))-INDIRECT(ADDRESS(1706,31)))</f>
        <v>0</v>
      </c>
      <c r="AF1707">
        <f>IF(DAY(NOW())&lt;M3,INDIRECT(ADDRESS(1707,31))-INDIRECT(ADDRESS(1702,32))+INDIRECT(ADDRESS(1703,32))-INDIRECT(ADDRESS(1706,32)),INDIRECT(ADDRESS(1707,31))-INDIRECT(ADDRESS(1702,32))+INDIRECT(ADDRESS(1705,32))-INDIRECT(ADDRESS(1706,32)))</f>
        <v>0</v>
      </c>
      <c r="AG1707">
        <f>IF(DAY(NOW())&lt;M3,INDIRECT(ADDRESS(1707,32))-INDIRECT(ADDRESS(1702,33))+INDIRECT(ADDRESS(1703,33))-INDIRECT(ADDRESS(1706,33)),INDIRECT(ADDRESS(1707,32))-INDIRECT(ADDRESS(1702,33))+INDIRECT(ADDRESS(1705,33))-INDIRECT(ADDRESS(1706,33)))</f>
        <v>0</v>
      </c>
      <c r="AH1707">
        <f>IF(DAY(NOW())&lt;M3,INDIRECT(ADDRESS(1707,33))-INDIRECT(ADDRESS(1702,34))+INDIRECT(ADDRESS(1703,34))-INDIRECT(ADDRESS(1706,34)),INDIRECT(ADDRESS(1707,33))-INDIRECT(ADDRESS(1702,34))+INDIRECT(ADDRESS(1705,34))-INDIRECT(ADDRESS(1706,34)))</f>
        <v>0</v>
      </c>
      <c r="AI1707">
        <f>IF(DAY(NOW())&lt;M3,INDIRECT(ADDRESS(1707,34))-INDIRECT(ADDRESS(1702,35))+INDIRECT(ADDRESS(1703,35))-INDIRECT(ADDRESS(1706,35)),INDIRECT(ADDRESS(1707,34))-INDIRECT(ADDRESS(1702,35))+INDIRECT(ADDRESS(1705,35))-INDIRECT(ADDRESS(1706,35)))</f>
        <v>0</v>
      </c>
      <c r="AJ1707">
        <f>IF(DAY(NOW())&lt;M3,INDIRECT(ADDRESS(1707,35))-INDIRECT(ADDRESS(1702,36))+INDIRECT(ADDRESS(1703,36))-INDIRECT(ADDRESS(1706,36)),INDIRECT(ADDRESS(1707,35))-INDIRECT(ADDRESS(1702,36))+INDIRECT(ADDRESS(1705,36))-INDIRECT(ADDRESS(1706,36)))</f>
        <v>0</v>
      </c>
      <c r="AK1707">
        <f>IF(DAY(NOW())&lt;M3,INDIRECT(ADDRESS(1707,36))-INDIRECT(ADDRESS(1702,37))+INDIRECT(ADDRESS(1703,37))-INDIRECT(ADDRESS(1706,37)),INDIRECT(ADDRESS(1707,36))-INDIRECT(ADDRESS(1702,37))+INDIRECT(ADDRESS(1705,37))-INDIRECT(ADDRESS(1706,37)))</f>
        <v>0</v>
      </c>
      <c r="AL1707">
        <f>IF(DAY(NOW())&lt;M3,INDIRECT(ADDRESS(1707,37))-INDIRECT(ADDRESS(1702,38))+INDIRECT(ADDRESS(1703,38))-INDIRECT(ADDRESS(1706,38)),INDIRECT(ADDRESS(1707,37))-INDIRECT(ADDRESS(1702,38))+INDIRECT(ADDRESS(1705,38))-INDIRECT(ADDRESS(1706,38)))</f>
        <v>0</v>
      </c>
      <c r="AM1707">
        <f>IF(DAY(NOW())&lt;M3,INDIRECT(ADDRESS(1707,38))-INDIRECT(ADDRESS(1702,39))+INDIRECT(ADDRESS(1703,39))-INDIRECT(ADDRESS(1706,39)),INDIRECT(ADDRESS(1707,38))-INDIRECT(ADDRESS(1702,39))+INDIRECT(ADDRESS(1705,39))-INDIRECT(ADDRESS(1706,39)))</f>
        <v>0</v>
      </c>
      <c r="AN1707">
        <f>IF(DAY(NOW())&lt;M3,INDIRECT(ADDRESS(1707,39))-INDIRECT(ADDRESS(1702,40))+INDIRECT(ADDRESS(1703,40))-INDIRECT(ADDRESS(1706,40)),INDIRECT(ADDRESS(1707,39))-INDIRECT(ADDRESS(1702,40))+INDIRECT(ADDRESS(1705,40))-INDIRECT(ADDRESS(1706,40)))</f>
        <v>0</v>
      </c>
      <c r="AO1707">
        <f>IF(DAY(NOW())&lt;M3,INDIRECT(ADDRESS(1707,40))-INDIRECT(ADDRESS(1702,41))+INDIRECT(ADDRESS(1703,41))-INDIRECT(ADDRESS(1706,41)),INDIRECT(ADDRESS(1707,40))-INDIRECT(ADDRESS(1702,41))+INDIRECT(ADDRESS(1705,41))-INDIRECT(ADDRESS(1706,41)))</f>
        <v>0</v>
      </c>
      <c r="AP1707">
        <f>IF(DAY(NOW())&lt;M3,INDIRECT(ADDRESS(1707,41))-INDIRECT(ADDRESS(1702,42))+INDIRECT(ADDRESS(1703,42))-INDIRECT(ADDRESS(1706,42)),INDIRECT(ADDRESS(1707,41))-INDIRECT(ADDRESS(1702,42))+INDIRECT(ADDRESS(1705,42))-INDIRECT(ADDRESS(1706,42)))</f>
        <v>0</v>
      </c>
      <c r="AQ1707">
        <f>IF(DAY(NOW())&lt;M3,INDIRECT(ADDRESS(1707,42))-INDIRECT(ADDRESS(1702,43))+INDIRECT(ADDRESS(1703,43))-INDIRECT(ADDRESS(1706,43)),INDIRECT(ADDRESS(1707,42))-INDIRECT(ADDRESS(1702,43))+INDIRECT(ADDRESS(1705,43))-INDIRECT(ADDRESS(1706,43)))</f>
        <v>0</v>
      </c>
      <c r="AR1707">
        <f>IF(DAY(NOW())&lt;M3,INDIRECT(ADDRESS(1707,43))-INDIRECT(ADDRESS(1702,44))+INDIRECT(ADDRESS(1703,44))-INDIRECT(ADDRESS(1706,44)),INDIRECT(ADDRESS(1707,43))-INDIRECT(ADDRESS(1702,44))+INDIRECT(ADDRESS(1705,44))-INDIRECT(ADDRESS(1706,44)))</f>
        <v>0</v>
      </c>
    </row>
    <row r="1708" spans="1:76">
      <c r="A1708" t="s">
        <v>14</v>
      </c>
      <c r="B1708" t="s">
        <v>597</v>
      </c>
      <c r="C1708" t="s">
        <v>598</v>
      </c>
      <c r="E1708" t="s">
        <v>595</v>
      </c>
      <c r="F1708" t="s">
        <v>596</v>
      </c>
      <c r="K1708" t="s">
        <v>657</v>
      </c>
      <c r="L1708" t="s">
        <v>21</v>
      </c>
      <c r="BX1708">
        <f>sum(j1708:an1708)</f>
        <v>0</v>
      </c>
    </row>
    <row r="1709" spans="1:76">
      <c r="A1709" t="s">
        <v>14</v>
      </c>
      <c r="B1709" t="s">
        <v>597</v>
      </c>
      <c r="C1709" t="s">
        <v>598</v>
      </c>
      <c r="E1709" t="s">
        <v>595</v>
      </c>
      <c r="F1709" t="s">
        <v>596</v>
      </c>
      <c r="K1709" t="s">
        <v>657</v>
      </c>
      <c r="L1709" t="s">
        <v>37</v>
      </c>
    </row>
    <row r="1710" spans="1:76">
      <c r="L1710" t="s">
        <v>662</v>
      </c>
    </row>
    <row r="1711" spans="1:76">
      <c r="L1711" t="s">
        <v>663</v>
      </c>
    </row>
    <row r="1712" spans="1:76">
      <c r="L1712" t="s">
        <v>664</v>
      </c>
    </row>
    <row r="1713" spans="1:76">
      <c r="L1713" t="s">
        <v>665</v>
      </c>
      <c r="M1713">
        <f>IF(DAY(NOW())&lt;M3,INDIRECT(ADDRESS(1713,7))-INDIRECT(ADDRESS(1708,13))+INDIRECT(ADDRESS(1709,13))-INDIRECT(ADDRESS(1712,13)),INDIRECT(ADDRESS(1713,7))-INDIRECT(ADDRESS(1708,13))+INDIRECT(ADDRESS(1711,13))-INDIRECT(ADDRESS(1712,13)))</f>
        <v>0</v>
      </c>
      <c r="N1713">
        <f>IF(DAY(NOW())&lt;M3,INDIRECT(ADDRESS(1713,13))-INDIRECT(ADDRESS(1708,14))+INDIRECT(ADDRESS(1709,14))-INDIRECT(ADDRESS(1712,14)),INDIRECT(ADDRESS(1713,13))-INDIRECT(ADDRESS(1708,14))+INDIRECT(ADDRESS(1711,14))-INDIRECT(ADDRESS(1712,14)))</f>
        <v>0</v>
      </c>
      <c r="O1713">
        <f>IF(DAY(NOW())&lt;M3,INDIRECT(ADDRESS(1713,14))-INDIRECT(ADDRESS(1708,15))+INDIRECT(ADDRESS(1709,15))-INDIRECT(ADDRESS(1712,15)),INDIRECT(ADDRESS(1713,14))-INDIRECT(ADDRESS(1708,15))+INDIRECT(ADDRESS(1711,15))-INDIRECT(ADDRESS(1712,15)))</f>
        <v>0</v>
      </c>
      <c r="P1713">
        <f>IF(DAY(NOW())&lt;M3,INDIRECT(ADDRESS(1713,15))-INDIRECT(ADDRESS(1708,16))+INDIRECT(ADDRESS(1709,16))-INDIRECT(ADDRESS(1712,16)),INDIRECT(ADDRESS(1713,15))-INDIRECT(ADDRESS(1708,16))+INDIRECT(ADDRESS(1711,16))-INDIRECT(ADDRESS(1712,16)))</f>
        <v>0</v>
      </c>
      <c r="Q1713">
        <f>IF(DAY(NOW())&lt;M3,INDIRECT(ADDRESS(1713,16))-INDIRECT(ADDRESS(1708,17))+INDIRECT(ADDRESS(1709,17))-INDIRECT(ADDRESS(1712,17)),INDIRECT(ADDRESS(1713,16))-INDIRECT(ADDRESS(1708,17))+INDIRECT(ADDRESS(1711,17))-INDIRECT(ADDRESS(1712,17)))</f>
        <v>0</v>
      </c>
      <c r="R1713">
        <f>IF(DAY(NOW())&lt;M3,INDIRECT(ADDRESS(1713,17))-INDIRECT(ADDRESS(1708,18))+INDIRECT(ADDRESS(1709,18))-INDIRECT(ADDRESS(1712,18)),INDIRECT(ADDRESS(1713,17))-INDIRECT(ADDRESS(1708,18))+INDIRECT(ADDRESS(1711,18))-INDIRECT(ADDRESS(1712,18)))</f>
        <v>0</v>
      </c>
      <c r="S1713">
        <f>IF(DAY(NOW())&lt;M3,INDIRECT(ADDRESS(1713,18))-INDIRECT(ADDRESS(1708,19))+INDIRECT(ADDRESS(1709,19))-INDIRECT(ADDRESS(1712,19)),INDIRECT(ADDRESS(1713,18))-INDIRECT(ADDRESS(1708,19))+INDIRECT(ADDRESS(1711,19))-INDIRECT(ADDRESS(1712,19)))</f>
        <v>0</v>
      </c>
      <c r="T1713">
        <f>IF(DAY(NOW())&lt;M3,INDIRECT(ADDRESS(1713,19))-INDIRECT(ADDRESS(1708,20))+INDIRECT(ADDRESS(1709,20))-INDIRECT(ADDRESS(1712,20)),INDIRECT(ADDRESS(1713,19))-INDIRECT(ADDRESS(1708,20))+INDIRECT(ADDRESS(1711,20))-INDIRECT(ADDRESS(1712,20)))</f>
        <v>0</v>
      </c>
      <c r="U1713">
        <f>IF(DAY(NOW())&lt;M3,INDIRECT(ADDRESS(1713,20))-INDIRECT(ADDRESS(1708,21))+INDIRECT(ADDRESS(1709,21))-INDIRECT(ADDRESS(1712,21)),INDIRECT(ADDRESS(1713,20))-INDIRECT(ADDRESS(1708,21))+INDIRECT(ADDRESS(1711,21))-INDIRECT(ADDRESS(1712,21)))</f>
        <v>0</v>
      </c>
      <c r="V1713">
        <f>IF(DAY(NOW())&lt;M3,INDIRECT(ADDRESS(1713,21))-INDIRECT(ADDRESS(1708,22))+INDIRECT(ADDRESS(1709,22))-INDIRECT(ADDRESS(1712,22)),INDIRECT(ADDRESS(1713,21))-INDIRECT(ADDRESS(1708,22))+INDIRECT(ADDRESS(1711,22))-INDIRECT(ADDRESS(1712,22)))</f>
        <v>0</v>
      </c>
      <c r="W1713">
        <f>IF(DAY(NOW())&lt;M3,INDIRECT(ADDRESS(1713,22))-INDIRECT(ADDRESS(1708,23))+INDIRECT(ADDRESS(1709,23))-INDIRECT(ADDRESS(1712,23)),INDIRECT(ADDRESS(1713,22))-INDIRECT(ADDRESS(1708,23))+INDIRECT(ADDRESS(1711,23))-INDIRECT(ADDRESS(1712,23)))</f>
        <v>0</v>
      </c>
      <c r="X1713">
        <f>IF(DAY(NOW())&lt;M3,INDIRECT(ADDRESS(1713,23))-INDIRECT(ADDRESS(1708,24))+INDIRECT(ADDRESS(1709,24))-INDIRECT(ADDRESS(1712,24)),INDIRECT(ADDRESS(1713,23))-INDIRECT(ADDRESS(1708,24))+INDIRECT(ADDRESS(1711,24))-INDIRECT(ADDRESS(1712,24)))</f>
        <v>0</v>
      </c>
      <c r="Y1713">
        <f>IF(DAY(NOW())&lt;M3,INDIRECT(ADDRESS(1713,24))-INDIRECT(ADDRESS(1708,25))+INDIRECT(ADDRESS(1709,25))-INDIRECT(ADDRESS(1712,25)),INDIRECT(ADDRESS(1713,24))-INDIRECT(ADDRESS(1708,25))+INDIRECT(ADDRESS(1711,25))-INDIRECT(ADDRESS(1712,25)))</f>
        <v>0</v>
      </c>
      <c r="Z1713">
        <f>IF(DAY(NOW())&lt;M3,INDIRECT(ADDRESS(1713,25))-INDIRECT(ADDRESS(1708,26))+INDIRECT(ADDRESS(1709,26))-INDIRECT(ADDRESS(1712,26)),INDIRECT(ADDRESS(1713,25))-INDIRECT(ADDRESS(1708,26))+INDIRECT(ADDRESS(1711,26))-INDIRECT(ADDRESS(1712,26)))</f>
        <v>0</v>
      </c>
      <c r="AA1713">
        <f>IF(DAY(NOW())&lt;M3,INDIRECT(ADDRESS(1713,26))-INDIRECT(ADDRESS(1708,27))+INDIRECT(ADDRESS(1709,27))-INDIRECT(ADDRESS(1712,27)),INDIRECT(ADDRESS(1713,26))-INDIRECT(ADDRESS(1708,27))+INDIRECT(ADDRESS(1711,27))-INDIRECT(ADDRESS(1712,27)))</f>
        <v>0</v>
      </c>
      <c r="AB1713">
        <f>IF(DAY(NOW())&lt;M3,INDIRECT(ADDRESS(1713,27))-INDIRECT(ADDRESS(1708,28))+INDIRECT(ADDRESS(1709,28))-INDIRECT(ADDRESS(1712,28)),INDIRECT(ADDRESS(1713,27))-INDIRECT(ADDRESS(1708,28))+INDIRECT(ADDRESS(1711,28))-INDIRECT(ADDRESS(1712,28)))</f>
        <v>0</v>
      </c>
      <c r="AC1713">
        <f>IF(DAY(NOW())&lt;M3,INDIRECT(ADDRESS(1713,28))-INDIRECT(ADDRESS(1708,29))+INDIRECT(ADDRESS(1709,29))-INDIRECT(ADDRESS(1712,29)),INDIRECT(ADDRESS(1713,28))-INDIRECT(ADDRESS(1708,29))+INDIRECT(ADDRESS(1711,29))-INDIRECT(ADDRESS(1712,29)))</f>
        <v>0</v>
      </c>
      <c r="AD1713">
        <f>IF(DAY(NOW())&lt;M3,INDIRECT(ADDRESS(1713,29))-INDIRECT(ADDRESS(1708,30))+INDIRECT(ADDRESS(1709,30))-INDIRECT(ADDRESS(1712,30)),INDIRECT(ADDRESS(1713,29))-INDIRECT(ADDRESS(1708,30))+INDIRECT(ADDRESS(1711,30))-INDIRECT(ADDRESS(1712,30)))</f>
        <v>0</v>
      </c>
      <c r="AE1713">
        <f>IF(DAY(NOW())&lt;M3,INDIRECT(ADDRESS(1713,30))-INDIRECT(ADDRESS(1708,31))+INDIRECT(ADDRESS(1709,31))-INDIRECT(ADDRESS(1712,31)),INDIRECT(ADDRESS(1713,30))-INDIRECT(ADDRESS(1708,31))+INDIRECT(ADDRESS(1711,31))-INDIRECT(ADDRESS(1712,31)))</f>
        <v>0</v>
      </c>
      <c r="AF1713">
        <f>IF(DAY(NOW())&lt;M3,INDIRECT(ADDRESS(1713,31))-INDIRECT(ADDRESS(1708,32))+INDIRECT(ADDRESS(1709,32))-INDIRECT(ADDRESS(1712,32)),INDIRECT(ADDRESS(1713,31))-INDIRECT(ADDRESS(1708,32))+INDIRECT(ADDRESS(1711,32))-INDIRECT(ADDRESS(1712,32)))</f>
        <v>0</v>
      </c>
      <c r="AG1713">
        <f>IF(DAY(NOW())&lt;M3,INDIRECT(ADDRESS(1713,32))-INDIRECT(ADDRESS(1708,33))+INDIRECT(ADDRESS(1709,33))-INDIRECT(ADDRESS(1712,33)),INDIRECT(ADDRESS(1713,32))-INDIRECT(ADDRESS(1708,33))+INDIRECT(ADDRESS(1711,33))-INDIRECT(ADDRESS(1712,33)))</f>
        <v>0</v>
      </c>
      <c r="AH1713">
        <f>IF(DAY(NOW())&lt;M3,INDIRECT(ADDRESS(1713,33))-INDIRECT(ADDRESS(1708,34))+INDIRECT(ADDRESS(1709,34))-INDIRECT(ADDRESS(1712,34)),INDIRECT(ADDRESS(1713,33))-INDIRECT(ADDRESS(1708,34))+INDIRECT(ADDRESS(1711,34))-INDIRECT(ADDRESS(1712,34)))</f>
        <v>0</v>
      </c>
      <c r="AI1713">
        <f>IF(DAY(NOW())&lt;M3,INDIRECT(ADDRESS(1713,34))-INDIRECT(ADDRESS(1708,35))+INDIRECT(ADDRESS(1709,35))-INDIRECT(ADDRESS(1712,35)),INDIRECT(ADDRESS(1713,34))-INDIRECT(ADDRESS(1708,35))+INDIRECT(ADDRESS(1711,35))-INDIRECT(ADDRESS(1712,35)))</f>
        <v>0</v>
      </c>
      <c r="AJ1713">
        <f>IF(DAY(NOW())&lt;M3,INDIRECT(ADDRESS(1713,35))-INDIRECT(ADDRESS(1708,36))+INDIRECT(ADDRESS(1709,36))-INDIRECT(ADDRESS(1712,36)),INDIRECT(ADDRESS(1713,35))-INDIRECT(ADDRESS(1708,36))+INDIRECT(ADDRESS(1711,36))-INDIRECT(ADDRESS(1712,36)))</f>
        <v>0</v>
      </c>
      <c r="AK1713">
        <f>IF(DAY(NOW())&lt;M3,INDIRECT(ADDRESS(1713,36))-INDIRECT(ADDRESS(1708,37))+INDIRECT(ADDRESS(1709,37))-INDIRECT(ADDRESS(1712,37)),INDIRECT(ADDRESS(1713,36))-INDIRECT(ADDRESS(1708,37))+INDIRECT(ADDRESS(1711,37))-INDIRECT(ADDRESS(1712,37)))</f>
        <v>0</v>
      </c>
      <c r="AL1713">
        <f>IF(DAY(NOW())&lt;M3,INDIRECT(ADDRESS(1713,37))-INDIRECT(ADDRESS(1708,38))+INDIRECT(ADDRESS(1709,38))-INDIRECT(ADDRESS(1712,38)),INDIRECT(ADDRESS(1713,37))-INDIRECT(ADDRESS(1708,38))+INDIRECT(ADDRESS(1711,38))-INDIRECT(ADDRESS(1712,38)))</f>
        <v>0</v>
      </c>
      <c r="AM1713">
        <f>IF(DAY(NOW())&lt;M3,INDIRECT(ADDRESS(1713,38))-INDIRECT(ADDRESS(1708,39))+INDIRECT(ADDRESS(1709,39))-INDIRECT(ADDRESS(1712,39)),INDIRECT(ADDRESS(1713,38))-INDIRECT(ADDRESS(1708,39))+INDIRECT(ADDRESS(1711,39))-INDIRECT(ADDRESS(1712,39)))</f>
        <v>0</v>
      </c>
      <c r="AN1713">
        <f>IF(DAY(NOW())&lt;M3,INDIRECT(ADDRESS(1713,39))-INDIRECT(ADDRESS(1708,40))+INDIRECT(ADDRESS(1709,40))-INDIRECT(ADDRESS(1712,40)),INDIRECT(ADDRESS(1713,39))-INDIRECT(ADDRESS(1708,40))+INDIRECT(ADDRESS(1711,40))-INDIRECT(ADDRESS(1712,40)))</f>
        <v>0</v>
      </c>
      <c r="AO1713">
        <f>IF(DAY(NOW())&lt;M3,INDIRECT(ADDRESS(1713,40))-INDIRECT(ADDRESS(1708,41))+INDIRECT(ADDRESS(1709,41))-INDIRECT(ADDRESS(1712,41)),INDIRECT(ADDRESS(1713,40))-INDIRECT(ADDRESS(1708,41))+INDIRECT(ADDRESS(1711,41))-INDIRECT(ADDRESS(1712,41)))</f>
        <v>0</v>
      </c>
      <c r="AP1713">
        <f>IF(DAY(NOW())&lt;M3,INDIRECT(ADDRESS(1713,41))-INDIRECT(ADDRESS(1708,42))+INDIRECT(ADDRESS(1709,42))-INDIRECT(ADDRESS(1712,42)),INDIRECT(ADDRESS(1713,41))-INDIRECT(ADDRESS(1708,42))+INDIRECT(ADDRESS(1711,42))-INDIRECT(ADDRESS(1712,42)))</f>
        <v>0</v>
      </c>
      <c r="AQ1713">
        <f>IF(DAY(NOW())&lt;M3,INDIRECT(ADDRESS(1713,42))-INDIRECT(ADDRESS(1708,43))+INDIRECT(ADDRESS(1709,43))-INDIRECT(ADDRESS(1712,43)),INDIRECT(ADDRESS(1713,42))-INDIRECT(ADDRESS(1708,43))+INDIRECT(ADDRESS(1711,43))-INDIRECT(ADDRESS(1712,43)))</f>
        <v>0</v>
      </c>
      <c r="AR1713">
        <f>IF(DAY(NOW())&lt;M3,INDIRECT(ADDRESS(1713,43))-INDIRECT(ADDRESS(1708,44))+INDIRECT(ADDRESS(1709,44))-INDIRECT(ADDRESS(1712,44)),INDIRECT(ADDRESS(1713,43))-INDIRECT(ADDRESS(1708,44))+INDIRECT(ADDRESS(1711,44))-INDIRECT(ADDRESS(1712,44)))</f>
        <v>0</v>
      </c>
    </row>
    <row r="1714" spans="1:76">
      <c r="A1714" t="s">
        <v>14</v>
      </c>
      <c r="B1714" t="s">
        <v>597</v>
      </c>
      <c r="C1714" t="s">
        <v>598</v>
      </c>
      <c r="F1714" t="s">
        <v>596</v>
      </c>
      <c r="K1714" t="s">
        <v>657</v>
      </c>
      <c r="L1714" t="s">
        <v>21</v>
      </c>
      <c r="BX1714">
        <f>sum(j1714:an1714)</f>
        <v>0</v>
      </c>
    </row>
    <row r="1715" spans="1:76">
      <c r="A1715" t="s">
        <v>14</v>
      </c>
      <c r="B1715" t="s">
        <v>597</v>
      </c>
      <c r="C1715" t="s">
        <v>598</v>
      </c>
      <c r="F1715" t="s">
        <v>596</v>
      </c>
      <c r="K1715" t="s">
        <v>657</v>
      </c>
      <c r="L1715" t="s">
        <v>37</v>
      </c>
    </row>
    <row r="1716" spans="1:76">
      <c r="L1716" t="s">
        <v>662</v>
      </c>
    </row>
    <row r="1717" spans="1:76">
      <c r="L1717" t="s">
        <v>663</v>
      </c>
    </row>
    <row r="1718" spans="1:76">
      <c r="L1718" t="s">
        <v>664</v>
      </c>
    </row>
    <row r="1719" spans="1:76">
      <c r="L1719" t="s">
        <v>665</v>
      </c>
      <c r="M1719">
        <f>IF(DAY(NOW())&lt;M3,INDIRECT(ADDRESS(1719,7))-INDIRECT(ADDRESS(1714,13))+INDIRECT(ADDRESS(1715,13))-INDIRECT(ADDRESS(1718,13)),INDIRECT(ADDRESS(1719,7))-INDIRECT(ADDRESS(1714,13))+INDIRECT(ADDRESS(1717,13))-INDIRECT(ADDRESS(1718,13)))</f>
        <v>0</v>
      </c>
      <c r="N1719">
        <f>IF(DAY(NOW())&lt;M3,INDIRECT(ADDRESS(1719,13))-INDIRECT(ADDRESS(1714,14))+INDIRECT(ADDRESS(1715,14))-INDIRECT(ADDRESS(1718,14)),INDIRECT(ADDRESS(1719,13))-INDIRECT(ADDRESS(1714,14))+INDIRECT(ADDRESS(1717,14))-INDIRECT(ADDRESS(1718,14)))</f>
        <v>0</v>
      </c>
      <c r="O1719">
        <f>IF(DAY(NOW())&lt;M3,INDIRECT(ADDRESS(1719,14))-INDIRECT(ADDRESS(1714,15))+INDIRECT(ADDRESS(1715,15))-INDIRECT(ADDRESS(1718,15)),INDIRECT(ADDRESS(1719,14))-INDIRECT(ADDRESS(1714,15))+INDIRECT(ADDRESS(1717,15))-INDIRECT(ADDRESS(1718,15)))</f>
        <v>0</v>
      </c>
      <c r="P1719">
        <f>IF(DAY(NOW())&lt;M3,INDIRECT(ADDRESS(1719,15))-INDIRECT(ADDRESS(1714,16))+INDIRECT(ADDRESS(1715,16))-INDIRECT(ADDRESS(1718,16)),INDIRECT(ADDRESS(1719,15))-INDIRECT(ADDRESS(1714,16))+INDIRECT(ADDRESS(1717,16))-INDIRECT(ADDRESS(1718,16)))</f>
        <v>0</v>
      </c>
      <c r="Q1719">
        <f>IF(DAY(NOW())&lt;M3,INDIRECT(ADDRESS(1719,16))-INDIRECT(ADDRESS(1714,17))+INDIRECT(ADDRESS(1715,17))-INDIRECT(ADDRESS(1718,17)),INDIRECT(ADDRESS(1719,16))-INDIRECT(ADDRESS(1714,17))+INDIRECT(ADDRESS(1717,17))-INDIRECT(ADDRESS(1718,17)))</f>
        <v>0</v>
      </c>
      <c r="R1719">
        <f>IF(DAY(NOW())&lt;M3,INDIRECT(ADDRESS(1719,17))-INDIRECT(ADDRESS(1714,18))+INDIRECT(ADDRESS(1715,18))-INDIRECT(ADDRESS(1718,18)),INDIRECT(ADDRESS(1719,17))-INDIRECT(ADDRESS(1714,18))+INDIRECT(ADDRESS(1717,18))-INDIRECT(ADDRESS(1718,18)))</f>
        <v>0</v>
      </c>
      <c r="S1719">
        <f>IF(DAY(NOW())&lt;M3,INDIRECT(ADDRESS(1719,18))-INDIRECT(ADDRESS(1714,19))+INDIRECT(ADDRESS(1715,19))-INDIRECT(ADDRESS(1718,19)),INDIRECT(ADDRESS(1719,18))-INDIRECT(ADDRESS(1714,19))+INDIRECT(ADDRESS(1717,19))-INDIRECT(ADDRESS(1718,19)))</f>
        <v>0</v>
      </c>
      <c r="T1719">
        <f>IF(DAY(NOW())&lt;M3,INDIRECT(ADDRESS(1719,19))-INDIRECT(ADDRESS(1714,20))+INDIRECT(ADDRESS(1715,20))-INDIRECT(ADDRESS(1718,20)),INDIRECT(ADDRESS(1719,19))-INDIRECT(ADDRESS(1714,20))+INDIRECT(ADDRESS(1717,20))-INDIRECT(ADDRESS(1718,20)))</f>
        <v>0</v>
      </c>
      <c r="U1719">
        <f>IF(DAY(NOW())&lt;M3,INDIRECT(ADDRESS(1719,20))-INDIRECT(ADDRESS(1714,21))+INDIRECT(ADDRESS(1715,21))-INDIRECT(ADDRESS(1718,21)),INDIRECT(ADDRESS(1719,20))-INDIRECT(ADDRESS(1714,21))+INDIRECT(ADDRESS(1717,21))-INDIRECT(ADDRESS(1718,21)))</f>
        <v>0</v>
      </c>
      <c r="V1719">
        <f>IF(DAY(NOW())&lt;M3,INDIRECT(ADDRESS(1719,21))-INDIRECT(ADDRESS(1714,22))+INDIRECT(ADDRESS(1715,22))-INDIRECT(ADDRESS(1718,22)),INDIRECT(ADDRESS(1719,21))-INDIRECT(ADDRESS(1714,22))+INDIRECT(ADDRESS(1717,22))-INDIRECT(ADDRESS(1718,22)))</f>
        <v>0</v>
      </c>
      <c r="W1719">
        <f>IF(DAY(NOW())&lt;M3,INDIRECT(ADDRESS(1719,22))-INDIRECT(ADDRESS(1714,23))+INDIRECT(ADDRESS(1715,23))-INDIRECT(ADDRESS(1718,23)),INDIRECT(ADDRESS(1719,22))-INDIRECT(ADDRESS(1714,23))+INDIRECT(ADDRESS(1717,23))-INDIRECT(ADDRESS(1718,23)))</f>
        <v>0</v>
      </c>
      <c r="X1719">
        <f>IF(DAY(NOW())&lt;M3,INDIRECT(ADDRESS(1719,23))-INDIRECT(ADDRESS(1714,24))+INDIRECT(ADDRESS(1715,24))-INDIRECT(ADDRESS(1718,24)),INDIRECT(ADDRESS(1719,23))-INDIRECT(ADDRESS(1714,24))+INDIRECT(ADDRESS(1717,24))-INDIRECT(ADDRESS(1718,24)))</f>
        <v>0</v>
      </c>
      <c r="Y1719">
        <f>IF(DAY(NOW())&lt;M3,INDIRECT(ADDRESS(1719,24))-INDIRECT(ADDRESS(1714,25))+INDIRECT(ADDRESS(1715,25))-INDIRECT(ADDRESS(1718,25)),INDIRECT(ADDRESS(1719,24))-INDIRECT(ADDRESS(1714,25))+INDIRECT(ADDRESS(1717,25))-INDIRECT(ADDRESS(1718,25)))</f>
        <v>0</v>
      </c>
      <c r="Z1719">
        <f>IF(DAY(NOW())&lt;M3,INDIRECT(ADDRESS(1719,25))-INDIRECT(ADDRESS(1714,26))+INDIRECT(ADDRESS(1715,26))-INDIRECT(ADDRESS(1718,26)),INDIRECT(ADDRESS(1719,25))-INDIRECT(ADDRESS(1714,26))+INDIRECT(ADDRESS(1717,26))-INDIRECT(ADDRESS(1718,26)))</f>
        <v>0</v>
      </c>
      <c r="AA1719">
        <f>IF(DAY(NOW())&lt;M3,INDIRECT(ADDRESS(1719,26))-INDIRECT(ADDRESS(1714,27))+INDIRECT(ADDRESS(1715,27))-INDIRECT(ADDRESS(1718,27)),INDIRECT(ADDRESS(1719,26))-INDIRECT(ADDRESS(1714,27))+INDIRECT(ADDRESS(1717,27))-INDIRECT(ADDRESS(1718,27)))</f>
        <v>0</v>
      </c>
      <c r="AB1719">
        <f>IF(DAY(NOW())&lt;M3,INDIRECT(ADDRESS(1719,27))-INDIRECT(ADDRESS(1714,28))+INDIRECT(ADDRESS(1715,28))-INDIRECT(ADDRESS(1718,28)),INDIRECT(ADDRESS(1719,27))-INDIRECT(ADDRESS(1714,28))+INDIRECT(ADDRESS(1717,28))-INDIRECT(ADDRESS(1718,28)))</f>
        <v>0</v>
      </c>
      <c r="AC1719">
        <f>IF(DAY(NOW())&lt;M3,INDIRECT(ADDRESS(1719,28))-INDIRECT(ADDRESS(1714,29))+INDIRECT(ADDRESS(1715,29))-INDIRECT(ADDRESS(1718,29)),INDIRECT(ADDRESS(1719,28))-INDIRECT(ADDRESS(1714,29))+INDIRECT(ADDRESS(1717,29))-INDIRECT(ADDRESS(1718,29)))</f>
        <v>0</v>
      </c>
      <c r="AD1719">
        <f>IF(DAY(NOW())&lt;M3,INDIRECT(ADDRESS(1719,29))-INDIRECT(ADDRESS(1714,30))+INDIRECT(ADDRESS(1715,30))-INDIRECT(ADDRESS(1718,30)),INDIRECT(ADDRESS(1719,29))-INDIRECT(ADDRESS(1714,30))+INDIRECT(ADDRESS(1717,30))-INDIRECT(ADDRESS(1718,30)))</f>
        <v>0</v>
      </c>
      <c r="AE1719">
        <f>IF(DAY(NOW())&lt;M3,INDIRECT(ADDRESS(1719,30))-INDIRECT(ADDRESS(1714,31))+INDIRECT(ADDRESS(1715,31))-INDIRECT(ADDRESS(1718,31)),INDIRECT(ADDRESS(1719,30))-INDIRECT(ADDRESS(1714,31))+INDIRECT(ADDRESS(1717,31))-INDIRECT(ADDRESS(1718,31)))</f>
        <v>0</v>
      </c>
      <c r="AF1719">
        <f>IF(DAY(NOW())&lt;M3,INDIRECT(ADDRESS(1719,31))-INDIRECT(ADDRESS(1714,32))+INDIRECT(ADDRESS(1715,32))-INDIRECT(ADDRESS(1718,32)),INDIRECT(ADDRESS(1719,31))-INDIRECT(ADDRESS(1714,32))+INDIRECT(ADDRESS(1717,32))-INDIRECT(ADDRESS(1718,32)))</f>
        <v>0</v>
      </c>
      <c r="AG1719">
        <f>IF(DAY(NOW())&lt;M3,INDIRECT(ADDRESS(1719,32))-INDIRECT(ADDRESS(1714,33))+INDIRECT(ADDRESS(1715,33))-INDIRECT(ADDRESS(1718,33)),INDIRECT(ADDRESS(1719,32))-INDIRECT(ADDRESS(1714,33))+INDIRECT(ADDRESS(1717,33))-INDIRECT(ADDRESS(1718,33)))</f>
        <v>0</v>
      </c>
      <c r="AH1719">
        <f>IF(DAY(NOW())&lt;M3,INDIRECT(ADDRESS(1719,33))-INDIRECT(ADDRESS(1714,34))+INDIRECT(ADDRESS(1715,34))-INDIRECT(ADDRESS(1718,34)),INDIRECT(ADDRESS(1719,33))-INDIRECT(ADDRESS(1714,34))+INDIRECT(ADDRESS(1717,34))-INDIRECT(ADDRESS(1718,34)))</f>
        <v>0</v>
      </c>
      <c r="AI1719">
        <f>IF(DAY(NOW())&lt;M3,INDIRECT(ADDRESS(1719,34))-INDIRECT(ADDRESS(1714,35))+INDIRECT(ADDRESS(1715,35))-INDIRECT(ADDRESS(1718,35)),INDIRECT(ADDRESS(1719,34))-INDIRECT(ADDRESS(1714,35))+INDIRECT(ADDRESS(1717,35))-INDIRECT(ADDRESS(1718,35)))</f>
        <v>0</v>
      </c>
      <c r="AJ1719">
        <f>IF(DAY(NOW())&lt;M3,INDIRECT(ADDRESS(1719,35))-INDIRECT(ADDRESS(1714,36))+INDIRECT(ADDRESS(1715,36))-INDIRECT(ADDRESS(1718,36)),INDIRECT(ADDRESS(1719,35))-INDIRECT(ADDRESS(1714,36))+INDIRECT(ADDRESS(1717,36))-INDIRECT(ADDRESS(1718,36)))</f>
        <v>0</v>
      </c>
      <c r="AK1719">
        <f>IF(DAY(NOW())&lt;M3,INDIRECT(ADDRESS(1719,36))-INDIRECT(ADDRESS(1714,37))+INDIRECT(ADDRESS(1715,37))-INDIRECT(ADDRESS(1718,37)),INDIRECT(ADDRESS(1719,36))-INDIRECT(ADDRESS(1714,37))+INDIRECT(ADDRESS(1717,37))-INDIRECT(ADDRESS(1718,37)))</f>
        <v>0</v>
      </c>
      <c r="AL1719">
        <f>IF(DAY(NOW())&lt;M3,INDIRECT(ADDRESS(1719,37))-INDIRECT(ADDRESS(1714,38))+INDIRECT(ADDRESS(1715,38))-INDIRECT(ADDRESS(1718,38)),INDIRECT(ADDRESS(1719,37))-INDIRECT(ADDRESS(1714,38))+INDIRECT(ADDRESS(1717,38))-INDIRECT(ADDRESS(1718,38)))</f>
        <v>0</v>
      </c>
      <c r="AM1719">
        <f>IF(DAY(NOW())&lt;M3,INDIRECT(ADDRESS(1719,38))-INDIRECT(ADDRESS(1714,39))+INDIRECT(ADDRESS(1715,39))-INDIRECT(ADDRESS(1718,39)),INDIRECT(ADDRESS(1719,38))-INDIRECT(ADDRESS(1714,39))+INDIRECT(ADDRESS(1717,39))-INDIRECT(ADDRESS(1718,39)))</f>
        <v>0</v>
      </c>
      <c r="AN1719">
        <f>IF(DAY(NOW())&lt;M3,INDIRECT(ADDRESS(1719,39))-INDIRECT(ADDRESS(1714,40))+INDIRECT(ADDRESS(1715,40))-INDIRECT(ADDRESS(1718,40)),INDIRECT(ADDRESS(1719,39))-INDIRECT(ADDRESS(1714,40))+INDIRECT(ADDRESS(1717,40))-INDIRECT(ADDRESS(1718,40)))</f>
        <v>0</v>
      </c>
      <c r="AO1719">
        <f>IF(DAY(NOW())&lt;M3,INDIRECT(ADDRESS(1719,40))-INDIRECT(ADDRESS(1714,41))+INDIRECT(ADDRESS(1715,41))-INDIRECT(ADDRESS(1718,41)),INDIRECT(ADDRESS(1719,40))-INDIRECT(ADDRESS(1714,41))+INDIRECT(ADDRESS(1717,41))-INDIRECT(ADDRESS(1718,41)))</f>
        <v>0</v>
      </c>
      <c r="AP1719">
        <f>IF(DAY(NOW())&lt;M3,INDIRECT(ADDRESS(1719,41))-INDIRECT(ADDRESS(1714,42))+INDIRECT(ADDRESS(1715,42))-INDIRECT(ADDRESS(1718,42)),INDIRECT(ADDRESS(1719,41))-INDIRECT(ADDRESS(1714,42))+INDIRECT(ADDRESS(1717,42))-INDIRECT(ADDRESS(1718,42)))</f>
        <v>0</v>
      </c>
      <c r="AQ1719">
        <f>IF(DAY(NOW())&lt;M3,INDIRECT(ADDRESS(1719,42))-INDIRECT(ADDRESS(1714,43))+INDIRECT(ADDRESS(1715,43))-INDIRECT(ADDRESS(1718,43)),INDIRECT(ADDRESS(1719,42))-INDIRECT(ADDRESS(1714,43))+INDIRECT(ADDRESS(1717,43))-INDIRECT(ADDRESS(1718,43)))</f>
        <v>0</v>
      </c>
      <c r="AR1719">
        <f>IF(DAY(NOW())&lt;M3,INDIRECT(ADDRESS(1719,43))-INDIRECT(ADDRESS(1714,44))+INDIRECT(ADDRESS(1715,44))-INDIRECT(ADDRESS(1718,44)),INDIRECT(ADDRESS(1719,43))-INDIRECT(ADDRESS(1714,44))+INDIRECT(ADDRESS(1717,44))-INDIRECT(ADDRESS(1718,44)))</f>
        <v>0</v>
      </c>
    </row>
    <row r="1720" spans="1:76">
      <c r="A1720" t="s">
        <v>14</v>
      </c>
      <c r="B1720" t="s">
        <v>600</v>
      </c>
      <c r="C1720" t="s">
        <v>601</v>
      </c>
      <c r="E1720" t="s">
        <v>444</v>
      </c>
      <c r="F1720" t="s">
        <v>599</v>
      </c>
      <c r="K1720" t="s">
        <v>657</v>
      </c>
      <c r="L1720" t="s">
        <v>21</v>
      </c>
      <c r="BX1720">
        <f>sum(j1720:an1720)</f>
        <v>0</v>
      </c>
    </row>
    <row r="1721" spans="1:76">
      <c r="A1721" t="s">
        <v>14</v>
      </c>
      <c r="B1721" t="s">
        <v>600</v>
      </c>
      <c r="C1721" t="s">
        <v>601</v>
      </c>
      <c r="E1721" t="s">
        <v>444</v>
      </c>
      <c r="F1721" t="s">
        <v>599</v>
      </c>
      <c r="K1721" t="s">
        <v>657</v>
      </c>
      <c r="L1721" t="s">
        <v>37</v>
      </c>
    </row>
    <row r="1722" spans="1:76">
      <c r="L1722" t="s">
        <v>662</v>
      </c>
    </row>
    <row r="1723" spans="1:76">
      <c r="L1723" t="s">
        <v>663</v>
      </c>
    </row>
    <row r="1724" spans="1:76">
      <c r="L1724" t="s">
        <v>664</v>
      </c>
    </row>
    <row r="1725" spans="1:76">
      <c r="L1725" t="s">
        <v>665</v>
      </c>
      <c r="M1725">
        <f>IF(DAY(NOW())&lt;M3,INDIRECT(ADDRESS(1725,7))-INDIRECT(ADDRESS(1720,13))+INDIRECT(ADDRESS(1721,13))-INDIRECT(ADDRESS(1724,13)),INDIRECT(ADDRESS(1725,7))-INDIRECT(ADDRESS(1720,13))+INDIRECT(ADDRESS(1723,13))-INDIRECT(ADDRESS(1724,13)))</f>
        <v>0</v>
      </c>
      <c r="N1725">
        <f>IF(DAY(NOW())&lt;M3,INDIRECT(ADDRESS(1725,13))-INDIRECT(ADDRESS(1720,14))+INDIRECT(ADDRESS(1721,14))-INDIRECT(ADDRESS(1724,14)),INDIRECT(ADDRESS(1725,13))-INDIRECT(ADDRESS(1720,14))+INDIRECT(ADDRESS(1723,14))-INDIRECT(ADDRESS(1724,14)))</f>
        <v>0</v>
      </c>
      <c r="O1725">
        <f>IF(DAY(NOW())&lt;M3,INDIRECT(ADDRESS(1725,14))-INDIRECT(ADDRESS(1720,15))+INDIRECT(ADDRESS(1721,15))-INDIRECT(ADDRESS(1724,15)),INDIRECT(ADDRESS(1725,14))-INDIRECT(ADDRESS(1720,15))+INDIRECT(ADDRESS(1723,15))-INDIRECT(ADDRESS(1724,15)))</f>
        <v>0</v>
      </c>
      <c r="P1725">
        <f>IF(DAY(NOW())&lt;M3,INDIRECT(ADDRESS(1725,15))-INDIRECT(ADDRESS(1720,16))+INDIRECT(ADDRESS(1721,16))-INDIRECT(ADDRESS(1724,16)),INDIRECT(ADDRESS(1725,15))-INDIRECT(ADDRESS(1720,16))+INDIRECT(ADDRESS(1723,16))-INDIRECT(ADDRESS(1724,16)))</f>
        <v>0</v>
      </c>
      <c r="Q1725">
        <f>IF(DAY(NOW())&lt;M3,INDIRECT(ADDRESS(1725,16))-INDIRECT(ADDRESS(1720,17))+INDIRECT(ADDRESS(1721,17))-INDIRECT(ADDRESS(1724,17)),INDIRECT(ADDRESS(1725,16))-INDIRECT(ADDRESS(1720,17))+INDIRECT(ADDRESS(1723,17))-INDIRECT(ADDRESS(1724,17)))</f>
        <v>0</v>
      </c>
      <c r="R1725">
        <f>IF(DAY(NOW())&lt;M3,INDIRECT(ADDRESS(1725,17))-INDIRECT(ADDRESS(1720,18))+INDIRECT(ADDRESS(1721,18))-INDIRECT(ADDRESS(1724,18)),INDIRECT(ADDRESS(1725,17))-INDIRECT(ADDRESS(1720,18))+INDIRECT(ADDRESS(1723,18))-INDIRECT(ADDRESS(1724,18)))</f>
        <v>0</v>
      </c>
      <c r="S1725">
        <f>IF(DAY(NOW())&lt;M3,INDIRECT(ADDRESS(1725,18))-INDIRECT(ADDRESS(1720,19))+INDIRECT(ADDRESS(1721,19))-INDIRECT(ADDRESS(1724,19)),INDIRECT(ADDRESS(1725,18))-INDIRECT(ADDRESS(1720,19))+INDIRECT(ADDRESS(1723,19))-INDIRECT(ADDRESS(1724,19)))</f>
        <v>0</v>
      </c>
      <c r="T1725">
        <f>IF(DAY(NOW())&lt;M3,INDIRECT(ADDRESS(1725,19))-INDIRECT(ADDRESS(1720,20))+INDIRECT(ADDRESS(1721,20))-INDIRECT(ADDRESS(1724,20)),INDIRECT(ADDRESS(1725,19))-INDIRECT(ADDRESS(1720,20))+INDIRECT(ADDRESS(1723,20))-INDIRECT(ADDRESS(1724,20)))</f>
        <v>0</v>
      </c>
      <c r="U1725">
        <f>IF(DAY(NOW())&lt;M3,INDIRECT(ADDRESS(1725,20))-INDIRECT(ADDRESS(1720,21))+INDIRECT(ADDRESS(1721,21))-INDIRECT(ADDRESS(1724,21)),INDIRECT(ADDRESS(1725,20))-INDIRECT(ADDRESS(1720,21))+INDIRECT(ADDRESS(1723,21))-INDIRECT(ADDRESS(1724,21)))</f>
        <v>0</v>
      </c>
      <c r="V1725">
        <f>IF(DAY(NOW())&lt;M3,INDIRECT(ADDRESS(1725,21))-INDIRECT(ADDRESS(1720,22))+INDIRECT(ADDRESS(1721,22))-INDIRECT(ADDRESS(1724,22)),INDIRECT(ADDRESS(1725,21))-INDIRECT(ADDRESS(1720,22))+INDIRECT(ADDRESS(1723,22))-INDIRECT(ADDRESS(1724,22)))</f>
        <v>0</v>
      </c>
      <c r="W1725">
        <f>IF(DAY(NOW())&lt;M3,INDIRECT(ADDRESS(1725,22))-INDIRECT(ADDRESS(1720,23))+INDIRECT(ADDRESS(1721,23))-INDIRECT(ADDRESS(1724,23)),INDIRECT(ADDRESS(1725,22))-INDIRECT(ADDRESS(1720,23))+INDIRECT(ADDRESS(1723,23))-INDIRECT(ADDRESS(1724,23)))</f>
        <v>0</v>
      </c>
      <c r="X1725">
        <f>IF(DAY(NOW())&lt;M3,INDIRECT(ADDRESS(1725,23))-INDIRECT(ADDRESS(1720,24))+INDIRECT(ADDRESS(1721,24))-INDIRECT(ADDRESS(1724,24)),INDIRECT(ADDRESS(1725,23))-INDIRECT(ADDRESS(1720,24))+INDIRECT(ADDRESS(1723,24))-INDIRECT(ADDRESS(1724,24)))</f>
        <v>0</v>
      </c>
      <c r="Y1725">
        <f>IF(DAY(NOW())&lt;M3,INDIRECT(ADDRESS(1725,24))-INDIRECT(ADDRESS(1720,25))+INDIRECT(ADDRESS(1721,25))-INDIRECT(ADDRESS(1724,25)),INDIRECT(ADDRESS(1725,24))-INDIRECT(ADDRESS(1720,25))+INDIRECT(ADDRESS(1723,25))-INDIRECT(ADDRESS(1724,25)))</f>
        <v>0</v>
      </c>
      <c r="Z1725">
        <f>IF(DAY(NOW())&lt;M3,INDIRECT(ADDRESS(1725,25))-INDIRECT(ADDRESS(1720,26))+INDIRECT(ADDRESS(1721,26))-INDIRECT(ADDRESS(1724,26)),INDIRECT(ADDRESS(1725,25))-INDIRECT(ADDRESS(1720,26))+INDIRECT(ADDRESS(1723,26))-INDIRECT(ADDRESS(1724,26)))</f>
        <v>0</v>
      </c>
      <c r="AA1725">
        <f>IF(DAY(NOW())&lt;M3,INDIRECT(ADDRESS(1725,26))-INDIRECT(ADDRESS(1720,27))+INDIRECT(ADDRESS(1721,27))-INDIRECT(ADDRESS(1724,27)),INDIRECT(ADDRESS(1725,26))-INDIRECT(ADDRESS(1720,27))+INDIRECT(ADDRESS(1723,27))-INDIRECT(ADDRESS(1724,27)))</f>
        <v>0</v>
      </c>
      <c r="AB1725">
        <f>IF(DAY(NOW())&lt;M3,INDIRECT(ADDRESS(1725,27))-INDIRECT(ADDRESS(1720,28))+INDIRECT(ADDRESS(1721,28))-INDIRECT(ADDRESS(1724,28)),INDIRECT(ADDRESS(1725,27))-INDIRECT(ADDRESS(1720,28))+INDIRECT(ADDRESS(1723,28))-INDIRECT(ADDRESS(1724,28)))</f>
        <v>0</v>
      </c>
      <c r="AC1725">
        <f>IF(DAY(NOW())&lt;M3,INDIRECT(ADDRESS(1725,28))-INDIRECT(ADDRESS(1720,29))+INDIRECT(ADDRESS(1721,29))-INDIRECT(ADDRESS(1724,29)),INDIRECT(ADDRESS(1725,28))-INDIRECT(ADDRESS(1720,29))+INDIRECT(ADDRESS(1723,29))-INDIRECT(ADDRESS(1724,29)))</f>
        <v>0</v>
      </c>
      <c r="AD1725">
        <f>IF(DAY(NOW())&lt;M3,INDIRECT(ADDRESS(1725,29))-INDIRECT(ADDRESS(1720,30))+INDIRECT(ADDRESS(1721,30))-INDIRECT(ADDRESS(1724,30)),INDIRECT(ADDRESS(1725,29))-INDIRECT(ADDRESS(1720,30))+INDIRECT(ADDRESS(1723,30))-INDIRECT(ADDRESS(1724,30)))</f>
        <v>0</v>
      </c>
      <c r="AE1725">
        <f>IF(DAY(NOW())&lt;M3,INDIRECT(ADDRESS(1725,30))-INDIRECT(ADDRESS(1720,31))+INDIRECT(ADDRESS(1721,31))-INDIRECT(ADDRESS(1724,31)),INDIRECT(ADDRESS(1725,30))-INDIRECT(ADDRESS(1720,31))+INDIRECT(ADDRESS(1723,31))-INDIRECT(ADDRESS(1724,31)))</f>
        <v>0</v>
      </c>
      <c r="AF1725">
        <f>IF(DAY(NOW())&lt;M3,INDIRECT(ADDRESS(1725,31))-INDIRECT(ADDRESS(1720,32))+INDIRECT(ADDRESS(1721,32))-INDIRECT(ADDRESS(1724,32)),INDIRECT(ADDRESS(1725,31))-INDIRECT(ADDRESS(1720,32))+INDIRECT(ADDRESS(1723,32))-INDIRECT(ADDRESS(1724,32)))</f>
        <v>0</v>
      </c>
      <c r="AG1725">
        <f>IF(DAY(NOW())&lt;M3,INDIRECT(ADDRESS(1725,32))-INDIRECT(ADDRESS(1720,33))+INDIRECT(ADDRESS(1721,33))-INDIRECT(ADDRESS(1724,33)),INDIRECT(ADDRESS(1725,32))-INDIRECT(ADDRESS(1720,33))+INDIRECT(ADDRESS(1723,33))-INDIRECT(ADDRESS(1724,33)))</f>
        <v>0</v>
      </c>
      <c r="AH1725">
        <f>IF(DAY(NOW())&lt;M3,INDIRECT(ADDRESS(1725,33))-INDIRECT(ADDRESS(1720,34))+INDIRECT(ADDRESS(1721,34))-INDIRECT(ADDRESS(1724,34)),INDIRECT(ADDRESS(1725,33))-INDIRECT(ADDRESS(1720,34))+INDIRECT(ADDRESS(1723,34))-INDIRECT(ADDRESS(1724,34)))</f>
        <v>0</v>
      </c>
      <c r="AI1725">
        <f>IF(DAY(NOW())&lt;M3,INDIRECT(ADDRESS(1725,34))-INDIRECT(ADDRESS(1720,35))+INDIRECT(ADDRESS(1721,35))-INDIRECT(ADDRESS(1724,35)),INDIRECT(ADDRESS(1725,34))-INDIRECT(ADDRESS(1720,35))+INDIRECT(ADDRESS(1723,35))-INDIRECT(ADDRESS(1724,35)))</f>
        <v>0</v>
      </c>
      <c r="AJ1725">
        <f>IF(DAY(NOW())&lt;M3,INDIRECT(ADDRESS(1725,35))-INDIRECT(ADDRESS(1720,36))+INDIRECT(ADDRESS(1721,36))-INDIRECT(ADDRESS(1724,36)),INDIRECT(ADDRESS(1725,35))-INDIRECT(ADDRESS(1720,36))+INDIRECT(ADDRESS(1723,36))-INDIRECT(ADDRESS(1724,36)))</f>
        <v>0</v>
      </c>
      <c r="AK1725">
        <f>IF(DAY(NOW())&lt;M3,INDIRECT(ADDRESS(1725,36))-INDIRECT(ADDRESS(1720,37))+INDIRECT(ADDRESS(1721,37))-INDIRECT(ADDRESS(1724,37)),INDIRECT(ADDRESS(1725,36))-INDIRECT(ADDRESS(1720,37))+INDIRECT(ADDRESS(1723,37))-INDIRECT(ADDRESS(1724,37)))</f>
        <v>0</v>
      </c>
      <c r="AL1725">
        <f>IF(DAY(NOW())&lt;M3,INDIRECT(ADDRESS(1725,37))-INDIRECT(ADDRESS(1720,38))+INDIRECT(ADDRESS(1721,38))-INDIRECT(ADDRESS(1724,38)),INDIRECT(ADDRESS(1725,37))-INDIRECT(ADDRESS(1720,38))+INDIRECT(ADDRESS(1723,38))-INDIRECT(ADDRESS(1724,38)))</f>
        <v>0</v>
      </c>
      <c r="AM1725">
        <f>IF(DAY(NOW())&lt;M3,INDIRECT(ADDRESS(1725,38))-INDIRECT(ADDRESS(1720,39))+INDIRECT(ADDRESS(1721,39))-INDIRECT(ADDRESS(1724,39)),INDIRECT(ADDRESS(1725,38))-INDIRECT(ADDRESS(1720,39))+INDIRECT(ADDRESS(1723,39))-INDIRECT(ADDRESS(1724,39)))</f>
        <v>0</v>
      </c>
      <c r="AN1725">
        <f>IF(DAY(NOW())&lt;M3,INDIRECT(ADDRESS(1725,39))-INDIRECT(ADDRESS(1720,40))+INDIRECT(ADDRESS(1721,40))-INDIRECT(ADDRESS(1724,40)),INDIRECT(ADDRESS(1725,39))-INDIRECT(ADDRESS(1720,40))+INDIRECT(ADDRESS(1723,40))-INDIRECT(ADDRESS(1724,40)))</f>
        <v>0</v>
      </c>
      <c r="AO1725">
        <f>IF(DAY(NOW())&lt;M3,INDIRECT(ADDRESS(1725,40))-INDIRECT(ADDRESS(1720,41))+INDIRECT(ADDRESS(1721,41))-INDIRECT(ADDRESS(1724,41)),INDIRECT(ADDRESS(1725,40))-INDIRECT(ADDRESS(1720,41))+INDIRECT(ADDRESS(1723,41))-INDIRECT(ADDRESS(1724,41)))</f>
        <v>0</v>
      </c>
      <c r="AP1725">
        <f>IF(DAY(NOW())&lt;M3,INDIRECT(ADDRESS(1725,41))-INDIRECT(ADDRESS(1720,42))+INDIRECT(ADDRESS(1721,42))-INDIRECT(ADDRESS(1724,42)),INDIRECT(ADDRESS(1725,41))-INDIRECT(ADDRESS(1720,42))+INDIRECT(ADDRESS(1723,42))-INDIRECT(ADDRESS(1724,42)))</f>
        <v>0</v>
      </c>
      <c r="AQ1725">
        <f>IF(DAY(NOW())&lt;M3,INDIRECT(ADDRESS(1725,42))-INDIRECT(ADDRESS(1720,43))+INDIRECT(ADDRESS(1721,43))-INDIRECT(ADDRESS(1724,43)),INDIRECT(ADDRESS(1725,42))-INDIRECT(ADDRESS(1720,43))+INDIRECT(ADDRESS(1723,43))-INDIRECT(ADDRESS(1724,43)))</f>
        <v>0</v>
      </c>
      <c r="AR1725">
        <f>IF(DAY(NOW())&lt;M3,INDIRECT(ADDRESS(1725,43))-INDIRECT(ADDRESS(1720,44))+INDIRECT(ADDRESS(1721,44))-INDIRECT(ADDRESS(1724,44)),INDIRECT(ADDRESS(1725,43))-INDIRECT(ADDRESS(1720,44))+INDIRECT(ADDRESS(1723,44))-INDIRECT(ADDRESS(1724,44)))</f>
        <v>0</v>
      </c>
    </row>
    <row r="1726" spans="1:76">
      <c r="A1726" t="s">
        <v>14</v>
      </c>
      <c r="B1726" t="s">
        <v>603</v>
      </c>
      <c r="C1726" t="s">
        <v>604</v>
      </c>
      <c r="D1726" t="s">
        <v>448</v>
      </c>
      <c r="E1726">
        <v>1</v>
      </c>
      <c r="F1726" t="s">
        <v>602</v>
      </c>
      <c r="K1726" t="s">
        <v>657</v>
      </c>
      <c r="L1726" t="s">
        <v>21</v>
      </c>
      <c r="BX1726">
        <f>sum(j1726:an1726)</f>
        <v>0</v>
      </c>
    </row>
    <row r="1727" spans="1:76">
      <c r="A1727" t="s">
        <v>14</v>
      </c>
      <c r="B1727" t="s">
        <v>603</v>
      </c>
      <c r="C1727" t="s">
        <v>604</v>
      </c>
      <c r="D1727" t="s">
        <v>448</v>
      </c>
      <c r="E1727">
        <v>1</v>
      </c>
      <c r="F1727" t="s">
        <v>602</v>
      </c>
      <c r="K1727" t="s">
        <v>657</v>
      </c>
      <c r="L1727" t="s">
        <v>37</v>
      </c>
    </row>
    <row r="1728" spans="1:76">
      <c r="L1728" t="s">
        <v>662</v>
      </c>
    </row>
    <row r="1729" spans="1:76">
      <c r="L1729" t="s">
        <v>663</v>
      </c>
    </row>
    <row r="1730" spans="1:76">
      <c r="L1730" t="s">
        <v>664</v>
      </c>
    </row>
    <row r="1731" spans="1:76">
      <c r="L1731" t="s">
        <v>665</v>
      </c>
      <c r="M1731">
        <f>IF(DAY(NOW())&lt;M3,INDIRECT(ADDRESS(1731,7))-INDIRECT(ADDRESS(1726,13))+INDIRECT(ADDRESS(1727,13))-INDIRECT(ADDRESS(1730,13)),INDIRECT(ADDRESS(1731,7))-INDIRECT(ADDRESS(1726,13))+INDIRECT(ADDRESS(1729,13))-INDIRECT(ADDRESS(1730,13)))</f>
        <v>0</v>
      </c>
      <c r="N1731">
        <f>IF(DAY(NOW())&lt;M3,INDIRECT(ADDRESS(1731,13))-INDIRECT(ADDRESS(1726,14))+INDIRECT(ADDRESS(1727,14))-INDIRECT(ADDRESS(1730,14)),INDIRECT(ADDRESS(1731,13))-INDIRECT(ADDRESS(1726,14))+INDIRECT(ADDRESS(1729,14))-INDIRECT(ADDRESS(1730,14)))</f>
        <v>0</v>
      </c>
      <c r="O1731">
        <f>IF(DAY(NOW())&lt;M3,INDIRECT(ADDRESS(1731,14))-INDIRECT(ADDRESS(1726,15))+INDIRECT(ADDRESS(1727,15))-INDIRECT(ADDRESS(1730,15)),INDIRECT(ADDRESS(1731,14))-INDIRECT(ADDRESS(1726,15))+INDIRECT(ADDRESS(1729,15))-INDIRECT(ADDRESS(1730,15)))</f>
        <v>0</v>
      </c>
      <c r="P1731">
        <f>IF(DAY(NOW())&lt;M3,INDIRECT(ADDRESS(1731,15))-INDIRECT(ADDRESS(1726,16))+INDIRECT(ADDRESS(1727,16))-INDIRECT(ADDRESS(1730,16)),INDIRECT(ADDRESS(1731,15))-INDIRECT(ADDRESS(1726,16))+INDIRECT(ADDRESS(1729,16))-INDIRECT(ADDRESS(1730,16)))</f>
        <v>0</v>
      </c>
      <c r="Q1731">
        <f>IF(DAY(NOW())&lt;M3,INDIRECT(ADDRESS(1731,16))-INDIRECT(ADDRESS(1726,17))+INDIRECT(ADDRESS(1727,17))-INDIRECT(ADDRESS(1730,17)),INDIRECT(ADDRESS(1731,16))-INDIRECT(ADDRESS(1726,17))+INDIRECT(ADDRESS(1729,17))-INDIRECT(ADDRESS(1730,17)))</f>
        <v>0</v>
      </c>
      <c r="R1731">
        <f>IF(DAY(NOW())&lt;M3,INDIRECT(ADDRESS(1731,17))-INDIRECT(ADDRESS(1726,18))+INDIRECT(ADDRESS(1727,18))-INDIRECT(ADDRESS(1730,18)),INDIRECT(ADDRESS(1731,17))-INDIRECT(ADDRESS(1726,18))+INDIRECT(ADDRESS(1729,18))-INDIRECT(ADDRESS(1730,18)))</f>
        <v>0</v>
      </c>
      <c r="S1731">
        <f>IF(DAY(NOW())&lt;M3,INDIRECT(ADDRESS(1731,18))-INDIRECT(ADDRESS(1726,19))+INDIRECT(ADDRESS(1727,19))-INDIRECT(ADDRESS(1730,19)),INDIRECT(ADDRESS(1731,18))-INDIRECT(ADDRESS(1726,19))+INDIRECT(ADDRESS(1729,19))-INDIRECT(ADDRESS(1730,19)))</f>
        <v>0</v>
      </c>
      <c r="T1731">
        <f>IF(DAY(NOW())&lt;M3,INDIRECT(ADDRESS(1731,19))-INDIRECT(ADDRESS(1726,20))+INDIRECT(ADDRESS(1727,20))-INDIRECT(ADDRESS(1730,20)),INDIRECT(ADDRESS(1731,19))-INDIRECT(ADDRESS(1726,20))+INDIRECT(ADDRESS(1729,20))-INDIRECT(ADDRESS(1730,20)))</f>
        <v>0</v>
      </c>
      <c r="U1731">
        <f>IF(DAY(NOW())&lt;M3,INDIRECT(ADDRESS(1731,20))-INDIRECT(ADDRESS(1726,21))+INDIRECT(ADDRESS(1727,21))-INDIRECT(ADDRESS(1730,21)),INDIRECT(ADDRESS(1731,20))-INDIRECT(ADDRESS(1726,21))+INDIRECT(ADDRESS(1729,21))-INDIRECT(ADDRESS(1730,21)))</f>
        <v>0</v>
      </c>
      <c r="V1731">
        <f>IF(DAY(NOW())&lt;M3,INDIRECT(ADDRESS(1731,21))-INDIRECT(ADDRESS(1726,22))+INDIRECT(ADDRESS(1727,22))-INDIRECT(ADDRESS(1730,22)),INDIRECT(ADDRESS(1731,21))-INDIRECT(ADDRESS(1726,22))+INDIRECT(ADDRESS(1729,22))-INDIRECT(ADDRESS(1730,22)))</f>
        <v>0</v>
      </c>
      <c r="W1731">
        <f>IF(DAY(NOW())&lt;M3,INDIRECT(ADDRESS(1731,22))-INDIRECT(ADDRESS(1726,23))+INDIRECT(ADDRESS(1727,23))-INDIRECT(ADDRESS(1730,23)),INDIRECT(ADDRESS(1731,22))-INDIRECT(ADDRESS(1726,23))+INDIRECT(ADDRESS(1729,23))-INDIRECT(ADDRESS(1730,23)))</f>
        <v>0</v>
      </c>
      <c r="X1731">
        <f>IF(DAY(NOW())&lt;M3,INDIRECT(ADDRESS(1731,23))-INDIRECT(ADDRESS(1726,24))+INDIRECT(ADDRESS(1727,24))-INDIRECT(ADDRESS(1730,24)),INDIRECT(ADDRESS(1731,23))-INDIRECT(ADDRESS(1726,24))+INDIRECT(ADDRESS(1729,24))-INDIRECT(ADDRESS(1730,24)))</f>
        <v>0</v>
      </c>
      <c r="Y1731">
        <f>IF(DAY(NOW())&lt;M3,INDIRECT(ADDRESS(1731,24))-INDIRECT(ADDRESS(1726,25))+INDIRECT(ADDRESS(1727,25))-INDIRECT(ADDRESS(1730,25)),INDIRECT(ADDRESS(1731,24))-INDIRECT(ADDRESS(1726,25))+INDIRECT(ADDRESS(1729,25))-INDIRECT(ADDRESS(1730,25)))</f>
        <v>0</v>
      </c>
      <c r="Z1731">
        <f>IF(DAY(NOW())&lt;M3,INDIRECT(ADDRESS(1731,25))-INDIRECT(ADDRESS(1726,26))+INDIRECT(ADDRESS(1727,26))-INDIRECT(ADDRESS(1730,26)),INDIRECT(ADDRESS(1731,25))-INDIRECT(ADDRESS(1726,26))+INDIRECT(ADDRESS(1729,26))-INDIRECT(ADDRESS(1730,26)))</f>
        <v>0</v>
      </c>
      <c r="AA1731">
        <f>IF(DAY(NOW())&lt;M3,INDIRECT(ADDRESS(1731,26))-INDIRECT(ADDRESS(1726,27))+INDIRECT(ADDRESS(1727,27))-INDIRECT(ADDRESS(1730,27)),INDIRECT(ADDRESS(1731,26))-INDIRECT(ADDRESS(1726,27))+INDIRECT(ADDRESS(1729,27))-INDIRECT(ADDRESS(1730,27)))</f>
        <v>0</v>
      </c>
      <c r="AB1731">
        <f>IF(DAY(NOW())&lt;M3,INDIRECT(ADDRESS(1731,27))-INDIRECT(ADDRESS(1726,28))+INDIRECT(ADDRESS(1727,28))-INDIRECT(ADDRESS(1730,28)),INDIRECT(ADDRESS(1731,27))-INDIRECT(ADDRESS(1726,28))+INDIRECT(ADDRESS(1729,28))-INDIRECT(ADDRESS(1730,28)))</f>
        <v>0</v>
      </c>
      <c r="AC1731">
        <f>IF(DAY(NOW())&lt;M3,INDIRECT(ADDRESS(1731,28))-INDIRECT(ADDRESS(1726,29))+INDIRECT(ADDRESS(1727,29))-INDIRECT(ADDRESS(1730,29)),INDIRECT(ADDRESS(1731,28))-INDIRECT(ADDRESS(1726,29))+INDIRECT(ADDRESS(1729,29))-INDIRECT(ADDRESS(1730,29)))</f>
        <v>0</v>
      </c>
      <c r="AD1731">
        <f>IF(DAY(NOW())&lt;M3,INDIRECT(ADDRESS(1731,29))-INDIRECT(ADDRESS(1726,30))+INDIRECT(ADDRESS(1727,30))-INDIRECT(ADDRESS(1730,30)),INDIRECT(ADDRESS(1731,29))-INDIRECT(ADDRESS(1726,30))+INDIRECT(ADDRESS(1729,30))-INDIRECT(ADDRESS(1730,30)))</f>
        <v>0</v>
      </c>
      <c r="AE1731">
        <f>IF(DAY(NOW())&lt;M3,INDIRECT(ADDRESS(1731,30))-INDIRECT(ADDRESS(1726,31))+INDIRECT(ADDRESS(1727,31))-INDIRECT(ADDRESS(1730,31)),INDIRECT(ADDRESS(1731,30))-INDIRECT(ADDRESS(1726,31))+INDIRECT(ADDRESS(1729,31))-INDIRECT(ADDRESS(1730,31)))</f>
        <v>0</v>
      </c>
      <c r="AF1731">
        <f>IF(DAY(NOW())&lt;M3,INDIRECT(ADDRESS(1731,31))-INDIRECT(ADDRESS(1726,32))+INDIRECT(ADDRESS(1727,32))-INDIRECT(ADDRESS(1730,32)),INDIRECT(ADDRESS(1731,31))-INDIRECT(ADDRESS(1726,32))+INDIRECT(ADDRESS(1729,32))-INDIRECT(ADDRESS(1730,32)))</f>
        <v>0</v>
      </c>
      <c r="AG1731">
        <f>IF(DAY(NOW())&lt;M3,INDIRECT(ADDRESS(1731,32))-INDIRECT(ADDRESS(1726,33))+INDIRECT(ADDRESS(1727,33))-INDIRECT(ADDRESS(1730,33)),INDIRECT(ADDRESS(1731,32))-INDIRECT(ADDRESS(1726,33))+INDIRECT(ADDRESS(1729,33))-INDIRECT(ADDRESS(1730,33)))</f>
        <v>0</v>
      </c>
      <c r="AH1731">
        <f>IF(DAY(NOW())&lt;M3,INDIRECT(ADDRESS(1731,33))-INDIRECT(ADDRESS(1726,34))+INDIRECT(ADDRESS(1727,34))-INDIRECT(ADDRESS(1730,34)),INDIRECT(ADDRESS(1731,33))-INDIRECT(ADDRESS(1726,34))+INDIRECT(ADDRESS(1729,34))-INDIRECT(ADDRESS(1730,34)))</f>
        <v>0</v>
      </c>
      <c r="AI1731">
        <f>IF(DAY(NOW())&lt;M3,INDIRECT(ADDRESS(1731,34))-INDIRECT(ADDRESS(1726,35))+INDIRECT(ADDRESS(1727,35))-INDIRECT(ADDRESS(1730,35)),INDIRECT(ADDRESS(1731,34))-INDIRECT(ADDRESS(1726,35))+INDIRECT(ADDRESS(1729,35))-INDIRECT(ADDRESS(1730,35)))</f>
        <v>0</v>
      </c>
      <c r="AJ1731">
        <f>IF(DAY(NOW())&lt;M3,INDIRECT(ADDRESS(1731,35))-INDIRECT(ADDRESS(1726,36))+INDIRECT(ADDRESS(1727,36))-INDIRECT(ADDRESS(1730,36)),INDIRECT(ADDRESS(1731,35))-INDIRECT(ADDRESS(1726,36))+INDIRECT(ADDRESS(1729,36))-INDIRECT(ADDRESS(1730,36)))</f>
        <v>0</v>
      </c>
      <c r="AK1731">
        <f>IF(DAY(NOW())&lt;M3,INDIRECT(ADDRESS(1731,36))-INDIRECT(ADDRESS(1726,37))+INDIRECT(ADDRESS(1727,37))-INDIRECT(ADDRESS(1730,37)),INDIRECT(ADDRESS(1731,36))-INDIRECT(ADDRESS(1726,37))+INDIRECT(ADDRESS(1729,37))-INDIRECT(ADDRESS(1730,37)))</f>
        <v>0</v>
      </c>
      <c r="AL1731">
        <f>IF(DAY(NOW())&lt;M3,INDIRECT(ADDRESS(1731,37))-INDIRECT(ADDRESS(1726,38))+INDIRECT(ADDRESS(1727,38))-INDIRECT(ADDRESS(1730,38)),INDIRECT(ADDRESS(1731,37))-INDIRECT(ADDRESS(1726,38))+INDIRECT(ADDRESS(1729,38))-INDIRECT(ADDRESS(1730,38)))</f>
        <v>0</v>
      </c>
      <c r="AM1731">
        <f>IF(DAY(NOW())&lt;M3,INDIRECT(ADDRESS(1731,38))-INDIRECT(ADDRESS(1726,39))+INDIRECT(ADDRESS(1727,39))-INDIRECT(ADDRESS(1730,39)),INDIRECT(ADDRESS(1731,38))-INDIRECT(ADDRESS(1726,39))+INDIRECT(ADDRESS(1729,39))-INDIRECT(ADDRESS(1730,39)))</f>
        <v>0</v>
      </c>
      <c r="AN1731">
        <f>IF(DAY(NOW())&lt;M3,INDIRECT(ADDRESS(1731,39))-INDIRECT(ADDRESS(1726,40))+INDIRECT(ADDRESS(1727,40))-INDIRECT(ADDRESS(1730,40)),INDIRECT(ADDRESS(1731,39))-INDIRECT(ADDRESS(1726,40))+INDIRECT(ADDRESS(1729,40))-INDIRECT(ADDRESS(1730,40)))</f>
        <v>0</v>
      </c>
      <c r="AO1731">
        <f>IF(DAY(NOW())&lt;M3,INDIRECT(ADDRESS(1731,40))-INDIRECT(ADDRESS(1726,41))+INDIRECT(ADDRESS(1727,41))-INDIRECT(ADDRESS(1730,41)),INDIRECT(ADDRESS(1731,40))-INDIRECT(ADDRESS(1726,41))+INDIRECT(ADDRESS(1729,41))-INDIRECT(ADDRESS(1730,41)))</f>
        <v>0</v>
      </c>
      <c r="AP1731">
        <f>IF(DAY(NOW())&lt;M3,INDIRECT(ADDRESS(1731,41))-INDIRECT(ADDRESS(1726,42))+INDIRECT(ADDRESS(1727,42))-INDIRECT(ADDRESS(1730,42)),INDIRECT(ADDRESS(1731,41))-INDIRECT(ADDRESS(1726,42))+INDIRECT(ADDRESS(1729,42))-INDIRECT(ADDRESS(1730,42)))</f>
        <v>0</v>
      </c>
      <c r="AQ1731">
        <f>IF(DAY(NOW())&lt;M3,INDIRECT(ADDRESS(1731,42))-INDIRECT(ADDRESS(1726,43))+INDIRECT(ADDRESS(1727,43))-INDIRECT(ADDRESS(1730,43)),INDIRECT(ADDRESS(1731,42))-INDIRECT(ADDRESS(1726,43))+INDIRECT(ADDRESS(1729,43))-INDIRECT(ADDRESS(1730,43)))</f>
        <v>0</v>
      </c>
      <c r="AR1731">
        <f>IF(DAY(NOW())&lt;M3,INDIRECT(ADDRESS(1731,43))-INDIRECT(ADDRESS(1726,44))+INDIRECT(ADDRESS(1727,44))-INDIRECT(ADDRESS(1730,44)),INDIRECT(ADDRESS(1731,43))-INDIRECT(ADDRESS(1726,44))+INDIRECT(ADDRESS(1729,44))-INDIRECT(ADDRESS(1730,44)))</f>
        <v>0</v>
      </c>
    </row>
    <row r="1732" spans="1:76">
      <c r="A1732" t="s">
        <v>14</v>
      </c>
      <c r="B1732" t="s">
        <v>606</v>
      </c>
      <c r="C1732" t="s">
        <v>607</v>
      </c>
      <c r="F1732" t="s">
        <v>605</v>
      </c>
      <c r="K1732" t="s">
        <v>657</v>
      </c>
      <c r="L1732" t="s">
        <v>21</v>
      </c>
      <c r="BX1732">
        <f>sum(j1732:an1732)</f>
        <v>0</v>
      </c>
    </row>
    <row r="1733" spans="1:76">
      <c r="A1733" t="s">
        <v>14</v>
      </c>
      <c r="B1733" t="s">
        <v>606</v>
      </c>
      <c r="C1733" t="s">
        <v>607</v>
      </c>
      <c r="F1733" t="s">
        <v>605</v>
      </c>
      <c r="K1733" t="s">
        <v>657</v>
      </c>
      <c r="L1733" t="s">
        <v>37</v>
      </c>
    </row>
    <row r="1734" spans="1:76">
      <c r="L1734" t="s">
        <v>662</v>
      </c>
    </row>
    <row r="1735" spans="1:76">
      <c r="L1735" t="s">
        <v>663</v>
      </c>
    </row>
    <row r="1736" spans="1:76">
      <c r="L1736" t="s">
        <v>664</v>
      </c>
    </row>
    <row r="1737" spans="1:76">
      <c r="L1737" t="s">
        <v>665</v>
      </c>
      <c r="M1737">
        <f>IF(DAY(NOW())&lt;M3,INDIRECT(ADDRESS(1737,7))-INDIRECT(ADDRESS(1732,13))+INDIRECT(ADDRESS(1733,13))-INDIRECT(ADDRESS(1736,13)),INDIRECT(ADDRESS(1737,7))-INDIRECT(ADDRESS(1732,13))+INDIRECT(ADDRESS(1735,13))-INDIRECT(ADDRESS(1736,13)))</f>
        <v>0</v>
      </c>
      <c r="N1737">
        <f>IF(DAY(NOW())&lt;M3,INDIRECT(ADDRESS(1737,13))-INDIRECT(ADDRESS(1732,14))+INDIRECT(ADDRESS(1733,14))-INDIRECT(ADDRESS(1736,14)),INDIRECT(ADDRESS(1737,13))-INDIRECT(ADDRESS(1732,14))+INDIRECT(ADDRESS(1735,14))-INDIRECT(ADDRESS(1736,14)))</f>
        <v>0</v>
      </c>
      <c r="O1737">
        <f>IF(DAY(NOW())&lt;M3,INDIRECT(ADDRESS(1737,14))-INDIRECT(ADDRESS(1732,15))+INDIRECT(ADDRESS(1733,15))-INDIRECT(ADDRESS(1736,15)),INDIRECT(ADDRESS(1737,14))-INDIRECT(ADDRESS(1732,15))+INDIRECT(ADDRESS(1735,15))-INDIRECT(ADDRESS(1736,15)))</f>
        <v>0</v>
      </c>
      <c r="P1737">
        <f>IF(DAY(NOW())&lt;M3,INDIRECT(ADDRESS(1737,15))-INDIRECT(ADDRESS(1732,16))+INDIRECT(ADDRESS(1733,16))-INDIRECT(ADDRESS(1736,16)),INDIRECT(ADDRESS(1737,15))-INDIRECT(ADDRESS(1732,16))+INDIRECT(ADDRESS(1735,16))-INDIRECT(ADDRESS(1736,16)))</f>
        <v>0</v>
      </c>
      <c r="Q1737">
        <f>IF(DAY(NOW())&lt;M3,INDIRECT(ADDRESS(1737,16))-INDIRECT(ADDRESS(1732,17))+INDIRECT(ADDRESS(1733,17))-INDIRECT(ADDRESS(1736,17)),INDIRECT(ADDRESS(1737,16))-INDIRECT(ADDRESS(1732,17))+INDIRECT(ADDRESS(1735,17))-INDIRECT(ADDRESS(1736,17)))</f>
        <v>0</v>
      </c>
      <c r="R1737">
        <f>IF(DAY(NOW())&lt;M3,INDIRECT(ADDRESS(1737,17))-INDIRECT(ADDRESS(1732,18))+INDIRECT(ADDRESS(1733,18))-INDIRECT(ADDRESS(1736,18)),INDIRECT(ADDRESS(1737,17))-INDIRECT(ADDRESS(1732,18))+INDIRECT(ADDRESS(1735,18))-INDIRECT(ADDRESS(1736,18)))</f>
        <v>0</v>
      </c>
      <c r="S1737">
        <f>IF(DAY(NOW())&lt;M3,INDIRECT(ADDRESS(1737,18))-INDIRECT(ADDRESS(1732,19))+INDIRECT(ADDRESS(1733,19))-INDIRECT(ADDRESS(1736,19)),INDIRECT(ADDRESS(1737,18))-INDIRECT(ADDRESS(1732,19))+INDIRECT(ADDRESS(1735,19))-INDIRECT(ADDRESS(1736,19)))</f>
        <v>0</v>
      </c>
      <c r="T1737">
        <f>IF(DAY(NOW())&lt;M3,INDIRECT(ADDRESS(1737,19))-INDIRECT(ADDRESS(1732,20))+INDIRECT(ADDRESS(1733,20))-INDIRECT(ADDRESS(1736,20)),INDIRECT(ADDRESS(1737,19))-INDIRECT(ADDRESS(1732,20))+INDIRECT(ADDRESS(1735,20))-INDIRECT(ADDRESS(1736,20)))</f>
        <v>0</v>
      </c>
      <c r="U1737">
        <f>IF(DAY(NOW())&lt;M3,INDIRECT(ADDRESS(1737,20))-INDIRECT(ADDRESS(1732,21))+INDIRECT(ADDRESS(1733,21))-INDIRECT(ADDRESS(1736,21)),INDIRECT(ADDRESS(1737,20))-INDIRECT(ADDRESS(1732,21))+INDIRECT(ADDRESS(1735,21))-INDIRECT(ADDRESS(1736,21)))</f>
        <v>0</v>
      </c>
      <c r="V1737">
        <f>IF(DAY(NOW())&lt;M3,INDIRECT(ADDRESS(1737,21))-INDIRECT(ADDRESS(1732,22))+INDIRECT(ADDRESS(1733,22))-INDIRECT(ADDRESS(1736,22)),INDIRECT(ADDRESS(1737,21))-INDIRECT(ADDRESS(1732,22))+INDIRECT(ADDRESS(1735,22))-INDIRECT(ADDRESS(1736,22)))</f>
        <v>0</v>
      </c>
      <c r="W1737">
        <f>IF(DAY(NOW())&lt;M3,INDIRECT(ADDRESS(1737,22))-INDIRECT(ADDRESS(1732,23))+INDIRECT(ADDRESS(1733,23))-INDIRECT(ADDRESS(1736,23)),INDIRECT(ADDRESS(1737,22))-INDIRECT(ADDRESS(1732,23))+INDIRECT(ADDRESS(1735,23))-INDIRECT(ADDRESS(1736,23)))</f>
        <v>0</v>
      </c>
      <c r="X1737">
        <f>IF(DAY(NOW())&lt;M3,INDIRECT(ADDRESS(1737,23))-INDIRECT(ADDRESS(1732,24))+INDIRECT(ADDRESS(1733,24))-INDIRECT(ADDRESS(1736,24)),INDIRECT(ADDRESS(1737,23))-INDIRECT(ADDRESS(1732,24))+INDIRECT(ADDRESS(1735,24))-INDIRECT(ADDRESS(1736,24)))</f>
        <v>0</v>
      </c>
      <c r="Y1737">
        <f>IF(DAY(NOW())&lt;M3,INDIRECT(ADDRESS(1737,24))-INDIRECT(ADDRESS(1732,25))+INDIRECT(ADDRESS(1733,25))-INDIRECT(ADDRESS(1736,25)),INDIRECT(ADDRESS(1737,24))-INDIRECT(ADDRESS(1732,25))+INDIRECT(ADDRESS(1735,25))-INDIRECT(ADDRESS(1736,25)))</f>
        <v>0</v>
      </c>
      <c r="Z1737">
        <f>IF(DAY(NOW())&lt;M3,INDIRECT(ADDRESS(1737,25))-INDIRECT(ADDRESS(1732,26))+INDIRECT(ADDRESS(1733,26))-INDIRECT(ADDRESS(1736,26)),INDIRECT(ADDRESS(1737,25))-INDIRECT(ADDRESS(1732,26))+INDIRECT(ADDRESS(1735,26))-INDIRECT(ADDRESS(1736,26)))</f>
        <v>0</v>
      </c>
      <c r="AA1737">
        <f>IF(DAY(NOW())&lt;M3,INDIRECT(ADDRESS(1737,26))-INDIRECT(ADDRESS(1732,27))+INDIRECT(ADDRESS(1733,27))-INDIRECT(ADDRESS(1736,27)),INDIRECT(ADDRESS(1737,26))-INDIRECT(ADDRESS(1732,27))+INDIRECT(ADDRESS(1735,27))-INDIRECT(ADDRESS(1736,27)))</f>
        <v>0</v>
      </c>
      <c r="AB1737">
        <f>IF(DAY(NOW())&lt;M3,INDIRECT(ADDRESS(1737,27))-INDIRECT(ADDRESS(1732,28))+INDIRECT(ADDRESS(1733,28))-INDIRECT(ADDRESS(1736,28)),INDIRECT(ADDRESS(1737,27))-INDIRECT(ADDRESS(1732,28))+INDIRECT(ADDRESS(1735,28))-INDIRECT(ADDRESS(1736,28)))</f>
        <v>0</v>
      </c>
      <c r="AC1737">
        <f>IF(DAY(NOW())&lt;M3,INDIRECT(ADDRESS(1737,28))-INDIRECT(ADDRESS(1732,29))+INDIRECT(ADDRESS(1733,29))-INDIRECT(ADDRESS(1736,29)),INDIRECT(ADDRESS(1737,28))-INDIRECT(ADDRESS(1732,29))+INDIRECT(ADDRESS(1735,29))-INDIRECT(ADDRESS(1736,29)))</f>
        <v>0</v>
      </c>
      <c r="AD1737">
        <f>IF(DAY(NOW())&lt;M3,INDIRECT(ADDRESS(1737,29))-INDIRECT(ADDRESS(1732,30))+INDIRECT(ADDRESS(1733,30))-INDIRECT(ADDRESS(1736,30)),INDIRECT(ADDRESS(1737,29))-INDIRECT(ADDRESS(1732,30))+INDIRECT(ADDRESS(1735,30))-INDIRECT(ADDRESS(1736,30)))</f>
        <v>0</v>
      </c>
      <c r="AE1737">
        <f>IF(DAY(NOW())&lt;M3,INDIRECT(ADDRESS(1737,30))-INDIRECT(ADDRESS(1732,31))+INDIRECT(ADDRESS(1733,31))-INDIRECT(ADDRESS(1736,31)),INDIRECT(ADDRESS(1737,30))-INDIRECT(ADDRESS(1732,31))+INDIRECT(ADDRESS(1735,31))-INDIRECT(ADDRESS(1736,31)))</f>
        <v>0</v>
      </c>
      <c r="AF1737">
        <f>IF(DAY(NOW())&lt;M3,INDIRECT(ADDRESS(1737,31))-INDIRECT(ADDRESS(1732,32))+INDIRECT(ADDRESS(1733,32))-INDIRECT(ADDRESS(1736,32)),INDIRECT(ADDRESS(1737,31))-INDIRECT(ADDRESS(1732,32))+INDIRECT(ADDRESS(1735,32))-INDIRECT(ADDRESS(1736,32)))</f>
        <v>0</v>
      </c>
      <c r="AG1737">
        <f>IF(DAY(NOW())&lt;M3,INDIRECT(ADDRESS(1737,32))-INDIRECT(ADDRESS(1732,33))+INDIRECT(ADDRESS(1733,33))-INDIRECT(ADDRESS(1736,33)),INDIRECT(ADDRESS(1737,32))-INDIRECT(ADDRESS(1732,33))+INDIRECT(ADDRESS(1735,33))-INDIRECT(ADDRESS(1736,33)))</f>
        <v>0</v>
      </c>
      <c r="AH1737">
        <f>IF(DAY(NOW())&lt;M3,INDIRECT(ADDRESS(1737,33))-INDIRECT(ADDRESS(1732,34))+INDIRECT(ADDRESS(1733,34))-INDIRECT(ADDRESS(1736,34)),INDIRECT(ADDRESS(1737,33))-INDIRECT(ADDRESS(1732,34))+INDIRECT(ADDRESS(1735,34))-INDIRECT(ADDRESS(1736,34)))</f>
        <v>0</v>
      </c>
      <c r="AI1737">
        <f>IF(DAY(NOW())&lt;M3,INDIRECT(ADDRESS(1737,34))-INDIRECT(ADDRESS(1732,35))+INDIRECT(ADDRESS(1733,35))-INDIRECT(ADDRESS(1736,35)),INDIRECT(ADDRESS(1737,34))-INDIRECT(ADDRESS(1732,35))+INDIRECT(ADDRESS(1735,35))-INDIRECT(ADDRESS(1736,35)))</f>
        <v>0</v>
      </c>
      <c r="AJ1737">
        <f>IF(DAY(NOW())&lt;M3,INDIRECT(ADDRESS(1737,35))-INDIRECT(ADDRESS(1732,36))+INDIRECT(ADDRESS(1733,36))-INDIRECT(ADDRESS(1736,36)),INDIRECT(ADDRESS(1737,35))-INDIRECT(ADDRESS(1732,36))+INDIRECT(ADDRESS(1735,36))-INDIRECT(ADDRESS(1736,36)))</f>
        <v>0</v>
      </c>
      <c r="AK1737">
        <f>IF(DAY(NOW())&lt;M3,INDIRECT(ADDRESS(1737,36))-INDIRECT(ADDRESS(1732,37))+INDIRECT(ADDRESS(1733,37))-INDIRECT(ADDRESS(1736,37)),INDIRECT(ADDRESS(1737,36))-INDIRECT(ADDRESS(1732,37))+INDIRECT(ADDRESS(1735,37))-INDIRECT(ADDRESS(1736,37)))</f>
        <v>0</v>
      </c>
      <c r="AL1737">
        <f>IF(DAY(NOW())&lt;M3,INDIRECT(ADDRESS(1737,37))-INDIRECT(ADDRESS(1732,38))+INDIRECT(ADDRESS(1733,38))-INDIRECT(ADDRESS(1736,38)),INDIRECT(ADDRESS(1737,37))-INDIRECT(ADDRESS(1732,38))+INDIRECT(ADDRESS(1735,38))-INDIRECT(ADDRESS(1736,38)))</f>
        <v>0</v>
      </c>
      <c r="AM1737">
        <f>IF(DAY(NOW())&lt;M3,INDIRECT(ADDRESS(1737,38))-INDIRECT(ADDRESS(1732,39))+INDIRECT(ADDRESS(1733,39))-INDIRECT(ADDRESS(1736,39)),INDIRECT(ADDRESS(1737,38))-INDIRECT(ADDRESS(1732,39))+INDIRECT(ADDRESS(1735,39))-INDIRECT(ADDRESS(1736,39)))</f>
        <v>0</v>
      </c>
      <c r="AN1737">
        <f>IF(DAY(NOW())&lt;M3,INDIRECT(ADDRESS(1737,39))-INDIRECT(ADDRESS(1732,40))+INDIRECT(ADDRESS(1733,40))-INDIRECT(ADDRESS(1736,40)),INDIRECT(ADDRESS(1737,39))-INDIRECT(ADDRESS(1732,40))+INDIRECT(ADDRESS(1735,40))-INDIRECT(ADDRESS(1736,40)))</f>
        <v>0</v>
      </c>
      <c r="AO1737">
        <f>IF(DAY(NOW())&lt;M3,INDIRECT(ADDRESS(1737,40))-INDIRECT(ADDRESS(1732,41))+INDIRECT(ADDRESS(1733,41))-INDIRECT(ADDRESS(1736,41)),INDIRECT(ADDRESS(1737,40))-INDIRECT(ADDRESS(1732,41))+INDIRECT(ADDRESS(1735,41))-INDIRECT(ADDRESS(1736,41)))</f>
        <v>0</v>
      </c>
      <c r="AP1737">
        <f>IF(DAY(NOW())&lt;M3,INDIRECT(ADDRESS(1737,41))-INDIRECT(ADDRESS(1732,42))+INDIRECT(ADDRESS(1733,42))-INDIRECT(ADDRESS(1736,42)),INDIRECT(ADDRESS(1737,41))-INDIRECT(ADDRESS(1732,42))+INDIRECT(ADDRESS(1735,42))-INDIRECT(ADDRESS(1736,42)))</f>
        <v>0</v>
      </c>
      <c r="AQ1737">
        <f>IF(DAY(NOW())&lt;M3,INDIRECT(ADDRESS(1737,42))-INDIRECT(ADDRESS(1732,43))+INDIRECT(ADDRESS(1733,43))-INDIRECT(ADDRESS(1736,43)),INDIRECT(ADDRESS(1737,42))-INDIRECT(ADDRESS(1732,43))+INDIRECT(ADDRESS(1735,43))-INDIRECT(ADDRESS(1736,43)))</f>
        <v>0</v>
      </c>
      <c r="AR1737">
        <f>IF(DAY(NOW())&lt;M3,INDIRECT(ADDRESS(1737,43))-INDIRECT(ADDRESS(1732,44))+INDIRECT(ADDRESS(1733,44))-INDIRECT(ADDRESS(1736,44)),INDIRECT(ADDRESS(1737,43))-INDIRECT(ADDRESS(1732,44))+INDIRECT(ADDRESS(1735,44))-INDIRECT(ADDRESS(1736,44)))</f>
        <v>0</v>
      </c>
    </row>
    <row r="1738" spans="1:76">
      <c r="A1738" t="s">
        <v>14</v>
      </c>
      <c r="B1738" t="s">
        <v>609</v>
      </c>
      <c r="C1738" t="s">
        <v>610</v>
      </c>
      <c r="E1738" t="s">
        <v>444</v>
      </c>
      <c r="F1738" t="s">
        <v>608</v>
      </c>
      <c r="K1738" t="s">
        <v>657</v>
      </c>
      <c r="L1738" t="s">
        <v>21</v>
      </c>
      <c r="BX1738">
        <f>sum(j1738:an1738)</f>
        <v>0</v>
      </c>
    </row>
    <row r="1739" spans="1:76">
      <c r="A1739" t="s">
        <v>14</v>
      </c>
      <c r="B1739" t="s">
        <v>609</v>
      </c>
      <c r="C1739" t="s">
        <v>610</v>
      </c>
      <c r="E1739" t="s">
        <v>444</v>
      </c>
      <c r="F1739" t="s">
        <v>608</v>
      </c>
      <c r="K1739" t="s">
        <v>657</v>
      </c>
      <c r="L1739" t="s">
        <v>37</v>
      </c>
    </row>
    <row r="1740" spans="1:76">
      <c r="L1740" t="s">
        <v>662</v>
      </c>
    </row>
    <row r="1741" spans="1:76">
      <c r="L1741" t="s">
        <v>663</v>
      </c>
    </row>
    <row r="1742" spans="1:76">
      <c r="L1742" t="s">
        <v>664</v>
      </c>
    </row>
    <row r="1743" spans="1:76">
      <c r="L1743" t="s">
        <v>665</v>
      </c>
      <c r="M1743">
        <f>IF(DAY(NOW())&lt;M3,INDIRECT(ADDRESS(1743,7))-INDIRECT(ADDRESS(1738,13))+INDIRECT(ADDRESS(1739,13))-INDIRECT(ADDRESS(1742,13)),INDIRECT(ADDRESS(1743,7))-INDIRECT(ADDRESS(1738,13))+INDIRECT(ADDRESS(1741,13))-INDIRECT(ADDRESS(1742,13)))</f>
        <v>0</v>
      </c>
      <c r="N1743">
        <f>IF(DAY(NOW())&lt;M3,INDIRECT(ADDRESS(1743,13))-INDIRECT(ADDRESS(1738,14))+INDIRECT(ADDRESS(1739,14))-INDIRECT(ADDRESS(1742,14)),INDIRECT(ADDRESS(1743,13))-INDIRECT(ADDRESS(1738,14))+INDIRECT(ADDRESS(1741,14))-INDIRECT(ADDRESS(1742,14)))</f>
        <v>0</v>
      </c>
      <c r="O1743">
        <f>IF(DAY(NOW())&lt;M3,INDIRECT(ADDRESS(1743,14))-INDIRECT(ADDRESS(1738,15))+INDIRECT(ADDRESS(1739,15))-INDIRECT(ADDRESS(1742,15)),INDIRECT(ADDRESS(1743,14))-INDIRECT(ADDRESS(1738,15))+INDIRECT(ADDRESS(1741,15))-INDIRECT(ADDRESS(1742,15)))</f>
        <v>0</v>
      </c>
      <c r="P1743">
        <f>IF(DAY(NOW())&lt;M3,INDIRECT(ADDRESS(1743,15))-INDIRECT(ADDRESS(1738,16))+INDIRECT(ADDRESS(1739,16))-INDIRECT(ADDRESS(1742,16)),INDIRECT(ADDRESS(1743,15))-INDIRECT(ADDRESS(1738,16))+INDIRECT(ADDRESS(1741,16))-INDIRECT(ADDRESS(1742,16)))</f>
        <v>0</v>
      </c>
      <c r="Q1743">
        <f>IF(DAY(NOW())&lt;M3,INDIRECT(ADDRESS(1743,16))-INDIRECT(ADDRESS(1738,17))+INDIRECT(ADDRESS(1739,17))-INDIRECT(ADDRESS(1742,17)),INDIRECT(ADDRESS(1743,16))-INDIRECT(ADDRESS(1738,17))+INDIRECT(ADDRESS(1741,17))-INDIRECT(ADDRESS(1742,17)))</f>
        <v>0</v>
      </c>
      <c r="R1743">
        <f>IF(DAY(NOW())&lt;M3,INDIRECT(ADDRESS(1743,17))-INDIRECT(ADDRESS(1738,18))+INDIRECT(ADDRESS(1739,18))-INDIRECT(ADDRESS(1742,18)),INDIRECT(ADDRESS(1743,17))-INDIRECT(ADDRESS(1738,18))+INDIRECT(ADDRESS(1741,18))-INDIRECT(ADDRESS(1742,18)))</f>
        <v>0</v>
      </c>
      <c r="S1743">
        <f>IF(DAY(NOW())&lt;M3,INDIRECT(ADDRESS(1743,18))-INDIRECT(ADDRESS(1738,19))+INDIRECT(ADDRESS(1739,19))-INDIRECT(ADDRESS(1742,19)),INDIRECT(ADDRESS(1743,18))-INDIRECT(ADDRESS(1738,19))+INDIRECT(ADDRESS(1741,19))-INDIRECT(ADDRESS(1742,19)))</f>
        <v>0</v>
      </c>
      <c r="T1743">
        <f>IF(DAY(NOW())&lt;M3,INDIRECT(ADDRESS(1743,19))-INDIRECT(ADDRESS(1738,20))+INDIRECT(ADDRESS(1739,20))-INDIRECT(ADDRESS(1742,20)),INDIRECT(ADDRESS(1743,19))-INDIRECT(ADDRESS(1738,20))+INDIRECT(ADDRESS(1741,20))-INDIRECT(ADDRESS(1742,20)))</f>
        <v>0</v>
      </c>
      <c r="U1743">
        <f>IF(DAY(NOW())&lt;M3,INDIRECT(ADDRESS(1743,20))-INDIRECT(ADDRESS(1738,21))+INDIRECT(ADDRESS(1739,21))-INDIRECT(ADDRESS(1742,21)),INDIRECT(ADDRESS(1743,20))-INDIRECT(ADDRESS(1738,21))+INDIRECT(ADDRESS(1741,21))-INDIRECT(ADDRESS(1742,21)))</f>
        <v>0</v>
      </c>
      <c r="V1743">
        <f>IF(DAY(NOW())&lt;M3,INDIRECT(ADDRESS(1743,21))-INDIRECT(ADDRESS(1738,22))+INDIRECT(ADDRESS(1739,22))-INDIRECT(ADDRESS(1742,22)),INDIRECT(ADDRESS(1743,21))-INDIRECT(ADDRESS(1738,22))+INDIRECT(ADDRESS(1741,22))-INDIRECT(ADDRESS(1742,22)))</f>
        <v>0</v>
      </c>
      <c r="W1743">
        <f>IF(DAY(NOW())&lt;M3,INDIRECT(ADDRESS(1743,22))-INDIRECT(ADDRESS(1738,23))+INDIRECT(ADDRESS(1739,23))-INDIRECT(ADDRESS(1742,23)),INDIRECT(ADDRESS(1743,22))-INDIRECT(ADDRESS(1738,23))+INDIRECT(ADDRESS(1741,23))-INDIRECT(ADDRESS(1742,23)))</f>
        <v>0</v>
      </c>
      <c r="X1743">
        <f>IF(DAY(NOW())&lt;M3,INDIRECT(ADDRESS(1743,23))-INDIRECT(ADDRESS(1738,24))+INDIRECT(ADDRESS(1739,24))-INDIRECT(ADDRESS(1742,24)),INDIRECT(ADDRESS(1743,23))-INDIRECT(ADDRESS(1738,24))+INDIRECT(ADDRESS(1741,24))-INDIRECT(ADDRESS(1742,24)))</f>
        <v>0</v>
      </c>
      <c r="Y1743">
        <f>IF(DAY(NOW())&lt;M3,INDIRECT(ADDRESS(1743,24))-INDIRECT(ADDRESS(1738,25))+INDIRECT(ADDRESS(1739,25))-INDIRECT(ADDRESS(1742,25)),INDIRECT(ADDRESS(1743,24))-INDIRECT(ADDRESS(1738,25))+INDIRECT(ADDRESS(1741,25))-INDIRECT(ADDRESS(1742,25)))</f>
        <v>0</v>
      </c>
      <c r="Z1743">
        <f>IF(DAY(NOW())&lt;M3,INDIRECT(ADDRESS(1743,25))-INDIRECT(ADDRESS(1738,26))+INDIRECT(ADDRESS(1739,26))-INDIRECT(ADDRESS(1742,26)),INDIRECT(ADDRESS(1743,25))-INDIRECT(ADDRESS(1738,26))+INDIRECT(ADDRESS(1741,26))-INDIRECT(ADDRESS(1742,26)))</f>
        <v>0</v>
      </c>
      <c r="AA1743">
        <f>IF(DAY(NOW())&lt;M3,INDIRECT(ADDRESS(1743,26))-INDIRECT(ADDRESS(1738,27))+INDIRECT(ADDRESS(1739,27))-INDIRECT(ADDRESS(1742,27)),INDIRECT(ADDRESS(1743,26))-INDIRECT(ADDRESS(1738,27))+INDIRECT(ADDRESS(1741,27))-INDIRECT(ADDRESS(1742,27)))</f>
        <v>0</v>
      </c>
      <c r="AB1743">
        <f>IF(DAY(NOW())&lt;M3,INDIRECT(ADDRESS(1743,27))-INDIRECT(ADDRESS(1738,28))+INDIRECT(ADDRESS(1739,28))-INDIRECT(ADDRESS(1742,28)),INDIRECT(ADDRESS(1743,27))-INDIRECT(ADDRESS(1738,28))+INDIRECT(ADDRESS(1741,28))-INDIRECT(ADDRESS(1742,28)))</f>
        <v>0</v>
      </c>
      <c r="AC1743">
        <f>IF(DAY(NOW())&lt;M3,INDIRECT(ADDRESS(1743,28))-INDIRECT(ADDRESS(1738,29))+INDIRECT(ADDRESS(1739,29))-INDIRECT(ADDRESS(1742,29)),INDIRECT(ADDRESS(1743,28))-INDIRECT(ADDRESS(1738,29))+INDIRECT(ADDRESS(1741,29))-INDIRECT(ADDRESS(1742,29)))</f>
        <v>0</v>
      </c>
      <c r="AD1743">
        <f>IF(DAY(NOW())&lt;M3,INDIRECT(ADDRESS(1743,29))-INDIRECT(ADDRESS(1738,30))+INDIRECT(ADDRESS(1739,30))-INDIRECT(ADDRESS(1742,30)),INDIRECT(ADDRESS(1743,29))-INDIRECT(ADDRESS(1738,30))+INDIRECT(ADDRESS(1741,30))-INDIRECT(ADDRESS(1742,30)))</f>
        <v>0</v>
      </c>
      <c r="AE1743">
        <f>IF(DAY(NOW())&lt;M3,INDIRECT(ADDRESS(1743,30))-INDIRECT(ADDRESS(1738,31))+INDIRECT(ADDRESS(1739,31))-INDIRECT(ADDRESS(1742,31)),INDIRECT(ADDRESS(1743,30))-INDIRECT(ADDRESS(1738,31))+INDIRECT(ADDRESS(1741,31))-INDIRECT(ADDRESS(1742,31)))</f>
        <v>0</v>
      </c>
      <c r="AF1743">
        <f>IF(DAY(NOW())&lt;M3,INDIRECT(ADDRESS(1743,31))-INDIRECT(ADDRESS(1738,32))+INDIRECT(ADDRESS(1739,32))-INDIRECT(ADDRESS(1742,32)),INDIRECT(ADDRESS(1743,31))-INDIRECT(ADDRESS(1738,32))+INDIRECT(ADDRESS(1741,32))-INDIRECT(ADDRESS(1742,32)))</f>
        <v>0</v>
      </c>
      <c r="AG1743">
        <f>IF(DAY(NOW())&lt;M3,INDIRECT(ADDRESS(1743,32))-INDIRECT(ADDRESS(1738,33))+INDIRECT(ADDRESS(1739,33))-INDIRECT(ADDRESS(1742,33)),INDIRECT(ADDRESS(1743,32))-INDIRECT(ADDRESS(1738,33))+INDIRECT(ADDRESS(1741,33))-INDIRECT(ADDRESS(1742,33)))</f>
        <v>0</v>
      </c>
      <c r="AH1743">
        <f>IF(DAY(NOW())&lt;M3,INDIRECT(ADDRESS(1743,33))-INDIRECT(ADDRESS(1738,34))+INDIRECT(ADDRESS(1739,34))-INDIRECT(ADDRESS(1742,34)),INDIRECT(ADDRESS(1743,33))-INDIRECT(ADDRESS(1738,34))+INDIRECT(ADDRESS(1741,34))-INDIRECT(ADDRESS(1742,34)))</f>
        <v>0</v>
      </c>
      <c r="AI1743">
        <f>IF(DAY(NOW())&lt;M3,INDIRECT(ADDRESS(1743,34))-INDIRECT(ADDRESS(1738,35))+INDIRECT(ADDRESS(1739,35))-INDIRECT(ADDRESS(1742,35)),INDIRECT(ADDRESS(1743,34))-INDIRECT(ADDRESS(1738,35))+INDIRECT(ADDRESS(1741,35))-INDIRECT(ADDRESS(1742,35)))</f>
        <v>0</v>
      </c>
      <c r="AJ1743">
        <f>IF(DAY(NOW())&lt;M3,INDIRECT(ADDRESS(1743,35))-INDIRECT(ADDRESS(1738,36))+INDIRECT(ADDRESS(1739,36))-INDIRECT(ADDRESS(1742,36)),INDIRECT(ADDRESS(1743,35))-INDIRECT(ADDRESS(1738,36))+INDIRECT(ADDRESS(1741,36))-INDIRECT(ADDRESS(1742,36)))</f>
        <v>0</v>
      </c>
      <c r="AK1743">
        <f>IF(DAY(NOW())&lt;M3,INDIRECT(ADDRESS(1743,36))-INDIRECT(ADDRESS(1738,37))+INDIRECT(ADDRESS(1739,37))-INDIRECT(ADDRESS(1742,37)),INDIRECT(ADDRESS(1743,36))-INDIRECT(ADDRESS(1738,37))+INDIRECT(ADDRESS(1741,37))-INDIRECT(ADDRESS(1742,37)))</f>
        <v>0</v>
      </c>
      <c r="AL1743">
        <f>IF(DAY(NOW())&lt;M3,INDIRECT(ADDRESS(1743,37))-INDIRECT(ADDRESS(1738,38))+INDIRECT(ADDRESS(1739,38))-INDIRECT(ADDRESS(1742,38)),INDIRECT(ADDRESS(1743,37))-INDIRECT(ADDRESS(1738,38))+INDIRECT(ADDRESS(1741,38))-INDIRECT(ADDRESS(1742,38)))</f>
        <v>0</v>
      </c>
      <c r="AM1743">
        <f>IF(DAY(NOW())&lt;M3,INDIRECT(ADDRESS(1743,38))-INDIRECT(ADDRESS(1738,39))+INDIRECT(ADDRESS(1739,39))-INDIRECT(ADDRESS(1742,39)),INDIRECT(ADDRESS(1743,38))-INDIRECT(ADDRESS(1738,39))+INDIRECT(ADDRESS(1741,39))-INDIRECT(ADDRESS(1742,39)))</f>
        <v>0</v>
      </c>
      <c r="AN1743">
        <f>IF(DAY(NOW())&lt;M3,INDIRECT(ADDRESS(1743,39))-INDIRECT(ADDRESS(1738,40))+INDIRECT(ADDRESS(1739,40))-INDIRECT(ADDRESS(1742,40)),INDIRECT(ADDRESS(1743,39))-INDIRECT(ADDRESS(1738,40))+INDIRECT(ADDRESS(1741,40))-INDIRECT(ADDRESS(1742,40)))</f>
        <v>0</v>
      </c>
      <c r="AO1743">
        <f>IF(DAY(NOW())&lt;M3,INDIRECT(ADDRESS(1743,40))-INDIRECT(ADDRESS(1738,41))+INDIRECT(ADDRESS(1739,41))-INDIRECT(ADDRESS(1742,41)),INDIRECT(ADDRESS(1743,40))-INDIRECT(ADDRESS(1738,41))+INDIRECT(ADDRESS(1741,41))-INDIRECT(ADDRESS(1742,41)))</f>
        <v>0</v>
      </c>
      <c r="AP1743">
        <f>IF(DAY(NOW())&lt;M3,INDIRECT(ADDRESS(1743,41))-INDIRECT(ADDRESS(1738,42))+INDIRECT(ADDRESS(1739,42))-INDIRECT(ADDRESS(1742,42)),INDIRECT(ADDRESS(1743,41))-INDIRECT(ADDRESS(1738,42))+INDIRECT(ADDRESS(1741,42))-INDIRECT(ADDRESS(1742,42)))</f>
        <v>0</v>
      </c>
      <c r="AQ1743">
        <f>IF(DAY(NOW())&lt;M3,INDIRECT(ADDRESS(1743,42))-INDIRECT(ADDRESS(1738,43))+INDIRECT(ADDRESS(1739,43))-INDIRECT(ADDRESS(1742,43)),INDIRECT(ADDRESS(1743,42))-INDIRECT(ADDRESS(1738,43))+INDIRECT(ADDRESS(1741,43))-INDIRECT(ADDRESS(1742,43)))</f>
        <v>0</v>
      </c>
      <c r="AR1743">
        <f>IF(DAY(NOW())&lt;M3,INDIRECT(ADDRESS(1743,43))-INDIRECT(ADDRESS(1738,44))+INDIRECT(ADDRESS(1739,44))-INDIRECT(ADDRESS(1742,44)),INDIRECT(ADDRESS(1743,43))-INDIRECT(ADDRESS(1738,44))+INDIRECT(ADDRESS(1741,44))-INDIRECT(ADDRESS(1742,44)))</f>
        <v>0</v>
      </c>
    </row>
    <row r="1744" spans="1:76">
      <c r="A1744" t="s">
        <v>14</v>
      </c>
      <c r="B1744" t="s">
        <v>612</v>
      </c>
      <c r="C1744" t="s">
        <v>613</v>
      </c>
      <c r="E1744" t="s">
        <v>444</v>
      </c>
      <c r="F1744" t="s">
        <v>611</v>
      </c>
      <c r="K1744" t="s">
        <v>657</v>
      </c>
      <c r="L1744" t="s">
        <v>21</v>
      </c>
      <c r="BX1744">
        <f>sum(j1744:an1744)</f>
        <v>0</v>
      </c>
    </row>
    <row r="1745" spans="1:76">
      <c r="A1745" t="s">
        <v>14</v>
      </c>
      <c r="B1745" t="s">
        <v>612</v>
      </c>
      <c r="C1745" t="s">
        <v>613</v>
      </c>
      <c r="E1745" t="s">
        <v>444</v>
      </c>
      <c r="F1745" t="s">
        <v>611</v>
      </c>
      <c r="K1745" t="s">
        <v>657</v>
      </c>
      <c r="L1745" t="s">
        <v>37</v>
      </c>
    </row>
    <row r="1746" spans="1:76">
      <c r="L1746" t="s">
        <v>662</v>
      </c>
    </row>
    <row r="1747" spans="1:76">
      <c r="L1747" t="s">
        <v>663</v>
      </c>
    </row>
    <row r="1748" spans="1:76">
      <c r="L1748" t="s">
        <v>664</v>
      </c>
    </row>
    <row r="1749" spans="1:76">
      <c r="L1749" t="s">
        <v>665</v>
      </c>
      <c r="M1749">
        <f>IF(DAY(NOW())&lt;M3,INDIRECT(ADDRESS(1749,7))-INDIRECT(ADDRESS(1744,13))+INDIRECT(ADDRESS(1745,13))-INDIRECT(ADDRESS(1748,13)),INDIRECT(ADDRESS(1749,7))-INDIRECT(ADDRESS(1744,13))+INDIRECT(ADDRESS(1747,13))-INDIRECT(ADDRESS(1748,13)))</f>
        <v>0</v>
      </c>
      <c r="N1749">
        <f>IF(DAY(NOW())&lt;M3,INDIRECT(ADDRESS(1749,13))-INDIRECT(ADDRESS(1744,14))+INDIRECT(ADDRESS(1745,14))-INDIRECT(ADDRESS(1748,14)),INDIRECT(ADDRESS(1749,13))-INDIRECT(ADDRESS(1744,14))+INDIRECT(ADDRESS(1747,14))-INDIRECT(ADDRESS(1748,14)))</f>
        <v>0</v>
      </c>
      <c r="O1749">
        <f>IF(DAY(NOW())&lt;M3,INDIRECT(ADDRESS(1749,14))-INDIRECT(ADDRESS(1744,15))+INDIRECT(ADDRESS(1745,15))-INDIRECT(ADDRESS(1748,15)),INDIRECT(ADDRESS(1749,14))-INDIRECT(ADDRESS(1744,15))+INDIRECT(ADDRESS(1747,15))-INDIRECT(ADDRESS(1748,15)))</f>
        <v>0</v>
      </c>
      <c r="P1749">
        <f>IF(DAY(NOW())&lt;M3,INDIRECT(ADDRESS(1749,15))-INDIRECT(ADDRESS(1744,16))+INDIRECT(ADDRESS(1745,16))-INDIRECT(ADDRESS(1748,16)),INDIRECT(ADDRESS(1749,15))-INDIRECT(ADDRESS(1744,16))+INDIRECT(ADDRESS(1747,16))-INDIRECT(ADDRESS(1748,16)))</f>
        <v>0</v>
      </c>
      <c r="Q1749">
        <f>IF(DAY(NOW())&lt;M3,INDIRECT(ADDRESS(1749,16))-INDIRECT(ADDRESS(1744,17))+INDIRECT(ADDRESS(1745,17))-INDIRECT(ADDRESS(1748,17)),INDIRECT(ADDRESS(1749,16))-INDIRECT(ADDRESS(1744,17))+INDIRECT(ADDRESS(1747,17))-INDIRECT(ADDRESS(1748,17)))</f>
        <v>0</v>
      </c>
      <c r="R1749">
        <f>IF(DAY(NOW())&lt;M3,INDIRECT(ADDRESS(1749,17))-INDIRECT(ADDRESS(1744,18))+INDIRECT(ADDRESS(1745,18))-INDIRECT(ADDRESS(1748,18)),INDIRECT(ADDRESS(1749,17))-INDIRECT(ADDRESS(1744,18))+INDIRECT(ADDRESS(1747,18))-INDIRECT(ADDRESS(1748,18)))</f>
        <v>0</v>
      </c>
      <c r="S1749">
        <f>IF(DAY(NOW())&lt;M3,INDIRECT(ADDRESS(1749,18))-INDIRECT(ADDRESS(1744,19))+INDIRECT(ADDRESS(1745,19))-INDIRECT(ADDRESS(1748,19)),INDIRECT(ADDRESS(1749,18))-INDIRECT(ADDRESS(1744,19))+INDIRECT(ADDRESS(1747,19))-INDIRECT(ADDRESS(1748,19)))</f>
        <v>0</v>
      </c>
      <c r="T1749">
        <f>IF(DAY(NOW())&lt;M3,INDIRECT(ADDRESS(1749,19))-INDIRECT(ADDRESS(1744,20))+INDIRECT(ADDRESS(1745,20))-INDIRECT(ADDRESS(1748,20)),INDIRECT(ADDRESS(1749,19))-INDIRECT(ADDRESS(1744,20))+INDIRECT(ADDRESS(1747,20))-INDIRECT(ADDRESS(1748,20)))</f>
        <v>0</v>
      </c>
      <c r="U1749">
        <f>IF(DAY(NOW())&lt;M3,INDIRECT(ADDRESS(1749,20))-INDIRECT(ADDRESS(1744,21))+INDIRECT(ADDRESS(1745,21))-INDIRECT(ADDRESS(1748,21)),INDIRECT(ADDRESS(1749,20))-INDIRECT(ADDRESS(1744,21))+INDIRECT(ADDRESS(1747,21))-INDIRECT(ADDRESS(1748,21)))</f>
        <v>0</v>
      </c>
      <c r="V1749">
        <f>IF(DAY(NOW())&lt;M3,INDIRECT(ADDRESS(1749,21))-INDIRECT(ADDRESS(1744,22))+INDIRECT(ADDRESS(1745,22))-INDIRECT(ADDRESS(1748,22)),INDIRECT(ADDRESS(1749,21))-INDIRECT(ADDRESS(1744,22))+INDIRECT(ADDRESS(1747,22))-INDIRECT(ADDRESS(1748,22)))</f>
        <v>0</v>
      </c>
      <c r="W1749">
        <f>IF(DAY(NOW())&lt;M3,INDIRECT(ADDRESS(1749,22))-INDIRECT(ADDRESS(1744,23))+INDIRECT(ADDRESS(1745,23))-INDIRECT(ADDRESS(1748,23)),INDIRECT(ADDRESS(1749,22))-INDIRECT(ADDRESS(1744,23))+INDIRECT(ADDRESS(1747,23))-INDIRECT(ADDRESS(1748,23)))</f>
        <v>0</v>
      </c>
      <c r="X1749">
        <f>IF(DAY(NOW())&lt;M3,INDIRECT(ADDRESS(1749,23))-INDIRECT(ADDRESS(1744,24))+INDIRECT(ADDRESS(1745,24))-INDIRECT(ADDRESS(1748,24)),INDIRECT(ADDRESS(1749,23))-INDIRECT(ADDRESS(1744,24))+INDIRECT(ADDRESS(1747,24))-INDIRECT(ADDRESS(1748,24)))</f>
        <v>0</v>
      </c>
      <c r="Y1749">
        <f>IF(DAY(NOW())&lt;M3,INDIRECT(ADDRESS(1749,24))-INDIRECT(ADDRESS(1744,25))+INDIRECT(ADDRESS(1745,25))-INDIRECT(ADDRESS(1748,25)),INDIRECT(ADDRESS(1749,24))-INDIRECT(ADDRESS(1744,25))+INDIRECT(ADDRESS(1747,25))-INDIRECT(ADDRESS(1748,25)))</f>
        <v>0</v>
      </c>
      <c r="Z1749">
        <f>IF(DAY(NOW())&lt;M3,INDIRECT(ADDRESS(1749,25))-INDIRECT(ADDRESS(1744,26))+INDIRECT(ADDRESS(1745,26))-INDIRECT(ADDRESS(1748,26)),INDIRECT(ADDRESS(1749,25))-INDIRECT(ADDRESS(1744,26))+INDIRECT(ADDRESS(1747,26))-INDIRECT(ADDRESS(1748,26)))</f>
        <v>0</v>
      </c>
      <c r="AA1749">
        <f>IF(DAY(NOW())&lt;M3,INDIRECT(ADDRESS(1749,26))-INDIRECT(ADDRESS(1744,27))+INDIRECT(ADDRESS(1745,27))-INDIRECT(ADDRESS(1748,27)),INDIRECT(ADDRESS(1749,26))-INDIRECT(ADDRESS(1744,27))+INDIRECT(ADDRESS(1747,27))-INDIRECT(ADDRESS(1748,27)))</f>
        <v>0</v>
      </c>
      <c r="AB1749">
        <f>IF(DAY(NOW())&lt;M3,INDIRECT(ADDRESS(1749,27))-INDIRECT(ADDRESS(1744,28))+INDIRECT(ADDRESS(1745,28))-INDIRECT(ADDRESS(1748,28)),INDIRECT(ADDRESS(1749,27))-INDIRECT(ADDRESS(1744,28))+INDIRECT(ADDRESS(1747,28))-INDIRECT(ADDRESS(1748,28)))</f>
        <v>0</v>
      </c>
      <c r="AC1749">
        <f>IF(DAY(NOW())&lt;M3,INDIRECT(ADDRESS(1749,28))-INDIRECT(ADDRESS(1744,29))+INDIRECT(ADDRESS(1745,29))-INDIRECT(ADDRESS(1748,29)),INDIRECT(ADDRESS(1749,28))-INDIRECT(ADDRESS(1744,29))+INDIRECT(ADDRESS(1747,29))-INDIRECT(ADDRESS(1748,29)))</f>
        <v>0</v>
      </c>
      <c r="AD1749">
        <f>IF(DAY(NOW())&lt;M3,INDIRECT(ADDRESS(1749,29))-INDIRECT(ADDRESS(1744,30))+INDIRECT(ADDRESS(1745,30))-INDIRECT(ADDRESS(1748,30)),INDIRECT(ADDRESS(1749,29))-INDIRECT(ADDRESS(1744,30))+INDIRECT(ADDRESS(1747,30))-INDIRECT(ADDRESS(1748,30)))</f>
        <v>0</v>
      </c>
      <c r="AE1749">
        <f>IF(DAY(NOW())&lt;M3,INDIRECT(ADDRESS(1749,30))-INDIRECT(ADDRESS(1744,31))+INDIRECT(ADDRESS(1745,31))-INDIRECT(ADDRESS(1748,31)),INDIRECT(ADDRESS(1749,30))-INDIRECT(ADDRESS(1744,31))+INDIRECT(ADDRESS(1747,31))-INDIRECT(ADDRESS(1748,31)))</f>
        <v>0</v>
      </c>
      <c r="AF1749">
        <f>IF(DAY(NOW())&lt;M3,INDIRECT(ADDRESS(1749,31))-INDIRECT(ADDRESS(1744,32))+INDIRECT(ADDRESS(1745,32))-INDIRECT(ADDRESS(1748,32)),INDIRECT(ADDRESS(1749,31))-INDIRECT(ADDRESS(1744,32))+INDIRECT(ADDRESS(1747,32))-INDIRECT(ADDRESS(1748,32)))</f>
        <v>0</v>
      </c>
      <c r="AG1749">
        <f>IF(DAY(NOW())&lt;M3,INDIRECT(ADDRESS(1749,32))-INDIRECT(ADDRESS(1744,33))+INDIRECT(ADDRESS(1745,33))-INDIRECT(ADDRESS(1748,33)),INDIRECT(ADDRESS(1749,32))-INDIRECT(ADDRESS(1744,33))+INDIRECT(ADDRESS(1747,33))-INDIRECT(ADDRESS(1748,33)))</f>
        <v>0</v>
      </c>
      <c r="AH1749">
        <f>IF(DAY(NOW())&lt;M3,INDIRECT(ADDRESS(1749,33))-INDIRECT(ADDRESS(1744,34))+INDIRECT(ADDRESS(1745,34))-INDIRECT(ADDRESS(1748,34)),INDIRECT(ADDRESS(1749,33))-INDIRECT(ADDRESS(1744,34))+INDIRECT(ADDRESS(1747,34))-INDIRECT(ADDRESS(1748,34)))</f>
        <v>0</v>
      </c>
      <c r="AI1749">
        <f>IF(DAY(NOW())&lt;M3,INDIRECT(ADDRESS(1749,34))-INDIRECT(ADDRESS(1744,35))+INDIRECT(ADDRESS(1745,35))-INDIRECT(ADDRESS(1748,35)),INDIRECT(ADDRESS(1749,34))-INDIRECT(ADDRESS(1744,35))+INDIRECT(ADDRESS(1747,35))-INDIRECT(ADDRESS(1748,35)))</f>
        <v>0</v>
      </c>
      <c r="AJ1749">
        <f>IF(DAY(NOW())&lt;M3,INDIRECT(ADDRESS(1749,35))-INDIRECT(ADDRESS(1744,36))+INDIRECT(ADDRESS(1745,36))-INDIRECT(ADDRESS(1748,36)),INDIRECT(ADDRESS(1749,35))-INDIRECT(ADDRESS(1744,36))+INDIRECT(ADDRESS(1747,36))-INDIRECT(ADDRESS(1748,36)))</f>
        <v>0</v>
      </c>
      <c r="AK1749">
        <f>IF(DAY(NOW())&lt;M3,INDIRECT(ADDRESS(1749,36))-INDIRECT(ADDRESS(1744,37))+INDIRECT(ADDRESS(1745,37))-INDIRECT(ADDRESS(1748,37)),INDIRECT(ADDRESS(1749,36))-INDIRECT(ADDRESS(1744,37))+INDIRECT(ADDRESS(1747,37))-INDIRECT(ADDRESS(1748,37)))</f>
        <v>0</v>
      </c>
      <c r="AL1749">
        <f>IF(DAY(NOW())&lt;M3,INDIRECT(ADDRESS(1749,37))-INDIRECT(ADDRESS(1744,38))+INDIRECT(ADDRESS(1745,38))-INDIRECT(ADDRESS(1748,38)),INDIRECT(ADDRESS(1749,37))-INDIRECT(ADDRESS(1744,38))+INDIRECT(ADDRESS(1747,38))-INDIRECT(ADDRESS(1748,38)))</f>
        <v>0</v>
      </c>
      <c r="AM1749">
        <f>IF(DAY(NOW())&lt;M3,INDIRECT(ADDRESS(1749,38))-INDIRECT(ADDRESS(1744,39))+INDIRECT(ADDRESS(1745,39))-INDIRECT(ADDRESS(1748,39)),INDIRECT(ADDRESS(1749,38))-INDIRECT(ADDRESS(1744,39))+INDIRECT(ADDRESS(1747,39))-INDIRECT(ADDRESS(1748,39)))</f>
        <v>0</v>
      </c>
      <c r="AN1749">
        <f>IF(DAY(NOW())&lt;M3,INDIRECT(ADDRESS(1749,39))-INDIRECT(ADDRESS(1744,40))+INDIRECT(ADDRESS(1745,40))-INDIRECT(ADDRESS(1748,40)),INDIRECT(ADDRESS(1749,39))-INDIRECT(ADDRESS(1744,40))+INDIRECT(ADDRESS(1747,40))-INDIRECT(ADDRESS(1748,40)))</f>
        <v>0</v>
      </c>
      <c r="AO1749">
        <f>IF(DAY(NOW())&lt;M3,INDIRECT(ADDRESS(1749,40))-INDIRECT(ADDRESS(1744,41))+INDIRECT(ADDRESS(1745,41))-INDIRECT(ADDRESS(1748,41)),INDIRECT(ADDRESS(1749,40))-INDIRECT(ADDRESS(1744,41))+INDIRECT(ADDRESS(1747,41))-INDIRECT(ADDRESS(1748,41)))</f>
        <v>0</v>
      </c>
      <c r="AP1749">
        <f>IF(DAY(NOW())&lt;M3,INDIRECT(ADDRESS(1749,41))-INDIRECT(ADDRESS(1744,42))+INDIRECT(ADDRESS(1745,42))-INDIRECT(ADDRESS(1748,42)),INDIRECT(ADDRESS(1749,41))-INDIRECT(ADDRESS(1744,42))+INDIRECT(ADDRESS(1747,42))-INDIRECT(ADDRESS(1748,42)))</f>
        <v>0</v>
      </c>
      <c r="AQ1749">
        <f>IF(DAY(NOW())&lt;M3,INDIRECT(ADDRESS(1749,42))-INDIRECT(ADDRESS(1744,43))+INDIRECT(ADDRESS(1745,43))-INDIRECT(ADDRESS(1748,43)),INDIRECT(ADDRESS(1749,42))-INDIRECT(ADDRESS(1744,43))+INDIRECT(ADDRESS(1747,43))-INDIRECT(ADDRESS(1748,43)))</f>
        <v>0</v>
      </c>
      <c r="AR1749">
        <f>IF(DAY(NOW())&lt;M3,INDIRECT(ADDRESS(1749,43))-INDIRECT(ADDRESS(1744,44))+INDIRECT(ADDRESS(1745,44))-INDIRECT(ADDRESS(1748,44)),INDIRECT(ADDRESS(1749,43))-INDIRECT(ADDRESS(1744,44))+INDIRECT(ADDRESS(1747,44))-INDIRECT(ADDRESS(1748,44)))</f>
        <v>0</v>
      </c>
    </row>
    <row r="1750" spans="1:76">
      <c r="A1750" t="s">
        <v>14</v>
      </c>
      <c r="B1750" t="s">
        <v>615</v>
      </c>
      <c r="C1750" t="s">
        <v>616</v>
      </c>
      <c r="E1750" t="s">
        <v>444</v>
      </c>
      <c r="F1750" t="s">
        <v>614</v>
      </c>
      <c r="K1750" t="s">
        <v>657</v>
      </c>
      <c r="L1750" t="s">
        <v>21</v>
      </c>
      <c r="BX1750">
        <f>sum(j1750:an1750)</f>
        <v>0</v>
      </c>
    </row>
    <row r="1751" spans="1:76">
      <c r="A1751" t="s">
        <v>14</v>
      </c>
      <c r="B1751" t="s">
        <v>615</v>
      </c>
      <c r="C1751" t="s">
        <v>616</v>
      </c>
      <c r="E1751" t="s">
        <v>444</v>
      </c>
      <c r="F1751" t="s">
        <v>614</v>
      </c>
      <c r="K1751" t="s">
        <v>657</v>
      </c>
      <c r="L1751" t="s">
        <v>37</v>
      </c>
    </row>
    <row r="1752" spans="1:76">
      <c r="L1752" t="s">
        <v>662</v>
      </c>
    </row>
    <row r="1753" spans="1:76">
      <c r="L1753" t="s">
        <v>663</v>
      </c>
    </row>
    <row r="1754" spans="1:76">
      <c r="L1754" t="s">
        <v>664</v>
      </c>
    </row>
    <row r="1755" spans="1:76">
      <c r="L1755" t="s">
        <v>665</v>
      </c>
      <c r="M1755">
        <f>IF(DAY(NOW())&lt;M3,INDIRECT(ADDRESS(1755,7))-INDIRECT(ADDRESS(1750,13))+INDIRECT(ADDRESS(1751,13))-INDIRECT(ADDRESS(1754,13)),INDIRECT(ADDRESS(1755,7))-INDIRECT(ADDRESS(1750,13))+INDIRECT(ADDRESS(1753,13))-INDIRECT(ADDRESS(1754,13)))</f>
        <v>0</v>
      </c>
      <c r="N1755">
        <f>IF(DAY(NOW())&lt;M3,INDIRECT(ADDRESS(1755,13))-INDIRECT(ADDRESS(1750,14))+INDIRECT(ADDRESS(1751,14))-INDIRECT(ADDRESS(1754,14)),INDIRECT(ADDRESS(1755,13))-INDIRECT(ADDRESS(1750,14))+INDIRECT(ADDRESS(1753,14))-INDIRECT(ADDRESS(1754,14)))</f>
        <v>0</v>
      </c>
      <c r="O1755">
        <f>IF(DAY(NOW())&lt;M3,INDIRECT(ADDRESS(1755,14))-INDIRECT(ADDRESS(1750,15))+INDIRECT(ADDRESS(1751,15))-INDIRECT(ADDRESS(1754,15)),INDIRECT(ADDRESS(1755,14))-INDIRECT(ADDRESS(1750,15))+INDIRECT(ADDRESS(1753,15))-INDIRECT(ADDRESS(1754,15)))</f>
        <v>0</v>
      </c>
      <c r="P1755">
        <f>IF(DAY(NOW())&lt;M3,INDIRECT(ADDRESS(1755,15))-INDIRECT(ADDRESS(1750,16))+INDIRECT(ADDRESS(1751,16))-INDIRECT(ADDRESS(1754,16)),INDIRECT(ADDRESS(1755,15))-INDIRECT(ADDRESS(1750,16))+INDIRECT(ADDRESS(1753,16))-INDIRECT(ADDRESS(1754,16)))</f>
        <v>0</v>
      </c>
      <c r="Q1755">
        <f>IF(DAY(NOW())&lt;M3,INDIRECT(ADDRESS(1755,16))-INDIRECT(ADDRESS(1750,17))+INDIRECT(ADDRESS(1751,17))-INDIRECT(ADDRESS(1754,17)),INDIRECT(ADDRESS(1755,16))-INDIRECT(ADDRESS(1750,17))+INDIRECT(ADDRESS(1753,17))-INDIRECT(ADDRESS(1754,17)))</f>
        <v>0</v>
      </c>
      <c r="R1755">
        <f>IF(DAY(NOW())&lt;M3,INDIRECT(ADDRESS(1755,17))-INDIRECT(ADDRESS(1750,18))+INDIRECT(ADDRESS(1751,18))-INDIRECT(ADDRESS(1754,18)),INDIRECT(ADDRESS(1755,17))-INDIRECT(ADDRESS(1750,18))+INDIRECT(ADDRESS(1753,18))-INDIRECT(ADDRESS(1754,18)))</f>
        <v>0</v>
      </c>
      <c r="S1755">
        <f>IF(DAY(NOW())&lt;M3,INDIRECT(ADDRESS(1755,18))-INDIRECT(ADDRESS(1750,19))+INDIRECT(ADDRESS(1751,19))-INDIRECT(ADDRESS(1754,19)),INDIRECT(ADDRESS(1755,18))-INDIRECT(ADDRESS(1750,19))+INDIRECT(ADDRESS(1753,19))-INDIRECT(ADDRESS(1754,19)))</f>
        <v>0</v>
      </c>
      <c r="T1755">
        <f>IF(DAY(NOW())&lt;M3,INDIRECT(ADDRESS(1755,19))-INDIRECT(ADDRESS(1750,20))+INDIRECT(ADDRESS(1751,20))-INDIRECT(ADDRESS(1754,20)),INDIRECT(ADDRESS(1755,19))-INDIRECT(ADDRESS(1750,20))+INDIRECT(ADDRESS(1753,20))-INDIRECT(ADDRESS(1754,20)))</f>
        <v>0</v>
      </c>
      <c r="U1755">
        <f>IF(DAY(NOW())&lt;M3,INDIRECT(ADDRESS(1755,20))-INDIRECT(ADDRESS(1750,21))+INDIRECT(ADDRESS(1751,21))-INDIRECT(ADDRESS(1754,21)),INDIRECT(ADDRESS(1755,20))-INDIRECT(ADDRESS(1750,21))+INDIRECT(ADDRESS(1753,21))-INDIRECT(ADDRESS(1754,21)))</f>
        <v>0</v>
      </c>
      <c r="V1755">
        <f>IF(DAY(NOW())&lt;M3,INDIRECT(ADDRESS(1755,21))-INDIRECT(ADDRESS(1750,22))+INDIRECT(ADDRESS(1751,22))-INDIRECT(ADDRESS(1754,22)),INDIRECT(ADDRESS(1755,21))-INDIRECT(ADDRESS(1750,22))+INDIRECT(ADDRESS(1753,22))-INDIRECT(ADDRESS(1754,22)))</f>
        <v>0</v>
      </c>
      <c r="W1755">
        <f>IF(DAY(NOW())&lt;M3,INDIRECT(ADDRESS(1755,22))-INDIRECT(ADDRESS(1750,23))+INDIRECT(ADDRESS(1751,23))-INDIRECT(ADDRESS(1754,23)),INDIRECT(ADDRESS(1755,22))-INDIRECT(ADDRESS(1750,23))+INDIRECT(ADDRESS(1753,23))-INDIRECT(ADDRESS(1754,23)))</f>
        <v>0</v>
      </c>
      <c r="X1755">
        <f>IF(DAY(NOW())&lt;M3,INDIRECT(ADDRESS(1755,23))-INDIRECT(ADDRESS(1750,24))+INDIRECT(ADDRESS(1751,24))-INDIRECT(ADDRESS(1754,24)),INDIRECT(ADDRESS(1755,23))-INDIRECT(ADDRESS(1750,24))+INDIRECT(ADDRESS(1753,24))-INDIRECT(ADDRESS(1754,24)))</f>
        <v>0</v>
      </c>
      <c r="Y1755">
        <f>IF(DAY(NOW())&lt;M3,INDIRECT(ADDRESS(1755,24))-INDIRECT(ADDRESS(1750,25))+INDIRECT(ADDRESS(1751,25))-INDIRECT(ADDRESS(1754,25)),INDIRECT(ADDRESS(1755,24))-INDIRECT(ADDRESS(1750,25))+INDIRECT(ADDRESS(1753,25))-INDIRECT(ADDRESS(1754,25)))</f>
        <v>0</v>
      </c>
      <c r="Z1755">
        <f>IF(DAY(NOW())&lt;M3,INDIRECT(ADDRESS(1755,25))-INDIRECT(ADDRESS(1750,26))+INDIRECT(ADDRESS(1751,26))-INDIRECT(ADDRESS(1754,26)),INDIRECT(ADDRESS(1755,25))-INDIRECT(ADDRESS(1750,26))+INDIRECT(ADDRESS(1753,26))-INDIRECT(ADDRESS(1754,26)))</f>
        <v>0</v>
      </c>
      <c r="AA1755">
        <f>IF(DAY(NOW())&lt;M3,INDIRECT(ADDRESS(1755,26))-INDIRECT(ADDRESS(1750,27))+INDIRECT(ADDRESS(1751,27))-INDIRECT(ADDRESS(1754,27)),INDIRECT(ADDRESS(1755,26))-INDIRECT(ADDRESS(1750,27))+INDIRECT(ADDRESS(1753,27))-INDIRECT(ADDRESS(1754,27)))</f>
        <v>0</v>
      </c>
      <c r="AB1755">
        <f>IF(DAY(NOW())&lt;M3,INDIRECT(ADDRESS(1755,27))-INDIRECT(ADDRESS(1750,28))+INDIRECT(ADDRESS(1751,28))-INDIRECT(ADDRESS(1754,28)),INDIRECT(ADDRESS(1755,27))-INDIRECT(ADDRESS(1750,28))+INDIRECT(ADDRESS(1753,28))-INDIRECT(ADDRESS(1754,28)))</f>
        <v>0</v>
      </c>
      <c r="AC1755">
        <f>IF(DAY(NOW())&lt;M3,INDIRECT(ADDRESS(1755,28))-INDIRECT(ADDRESS(1750,29))+INDIRECT(ADDRESS(1751,29))-INDIRECT(ADDRESS(1754,29)),INDIRECT(ADDRESS(1755,28))-INDIRECT(ADDRESS(1750,29))+INDIRECT(ADDRESS(1753,29))-INDIRECT(ADDRESS(1754,29)))</f>
        <v>0</v>
      </c>
      <c r="AD1755">
        <f>IF(DAY(NOW())&lt;M3,INDIRECT(ADDRESS(1755,29))-INDIRECT(ADDRESS(1750,30))+INDIRECT(ADDRESS(1751,30))-INDIRECT(ADDRESS(1754,30)),INDIRECT(ADDRESS(1755,29))-INDIRECT(ADDRESS(1750,30))+INDIRECT(ADDRESS(1753,30))-INDIRECT(ADDRESS(1754,30)))</f>
        <v>0</v>
      </c>
      <c r="AE1755">
        <f>IF(DAY(NOW())&lt;M3,INDIRECT(ADDRESS(1755,30))-INDIRECT(ADDRESS(1750,31))+INDIRECT(ADDRESS(1751,31))-INDIRECT(ADDRESS(1754,31)),INDIRECT(ADDRESS(1755,30))-INDIRECT(ADDRESS(1750,31))+INDIRECT(ADDRESS(1753,31))-INDIRECT(ADDRESS(1754,31)))</f>
        <v>0</v>
      </c>
      <c r="AF1755">
        <f>IF(DAY(NOW())&lt;M3,INDIRECT(ADDRESS(1755,31))-INDIRECT(ADDRESS(1750,32))+INDIRECT(ADDRESS(1751,32))-INDIRECT(ADDRESS(1754,32)),INDIRECT(ADDRESS(1755,31))-INDIRECT(ADDRESS(1750,32))+INDIRECT(ADDRESS(1753,32))-INDIRECT(ADDRESS(1754,32)))</f>
        <v>0</v>
      </c>
      <c r="AG1755">
        <f>IF(DAY(NOW())&lt;M3,INDIRECT(ADDRESS(1755,32))-INDIRECT(ADDRESS(1750,33))+INDIRECT(ADDRESS(1751,33))-INDIRECT(ADDRESS(1754,33)),INDIRECT(ADDRESS(1755,32))-INDIRECT(ADDRESS(1750,33))+INDIRECT(ADDRESS(1753,33))-INDIRECT(ADDRESS(1754,33)))</f>
        <v>0</v>
      </c>
      <c r="AH1755">
        <f>IF(DAY(NOW())&lt;M3,INDIRECT(ADDRESS(1755,33))-INDIRECT(ADDRESS(1750,34))+INDIRECT(ADDRESS(1751,34))-INDIRECT(ADDRESS(1754,34)),INDIRECT(ADDRESS(1755,33))-INDIRECT(ADDRESS(1750,34))+INDIRECT(ADDRESS(1753,34))-INDIRECT(ADDRESS(1754,34)))</f>
        <v>0</v>
      </c>
      <c r="AI1755">
        <f>IF(DAY(NOW())&lt;M3,INDIRECT(ADDRESS(1755,34))-INDIRECT(ADDRESS(1750,35))+INDIRECT(ADDRESS(1751,35))-INDIRECT(ADDRESS(1754,35)),INDIRECT(ADDRESS(1755,34))-INDIRECT(ADDRESS(1750,35))+INDIRECT(ADDRESS(1753,35))-INDIRECT(ADDRESS(1754,35)))</f>
        <v>0</v>
      </c>
      <c r="AJ1755">
        <f>IF(DAY(NOW())&lt;M3,INDIRECT(ADDRESS(1755,35))-INDIRECT(ADDRESS(1750,36))+INDIRECT(ADDRESS(1751,36))-INDIRECT(ADDRESS(1754,36)),INDIRECT(ADDRESS(1755,35))-INDIRECT(ADDRESS(1750,36))+INDIRECT(ADDRESS(1753,36))-INDIRECT(ADDRESS(1754,36)))</f>
        <v>0</v>
      </c>
      <c r="AK1755">
        <f>IF(DAY(NOW())&lt;M3,INDIRECT(ADDRESS(1755,36))-INDIRECT(ADDRESS(1750,37))+INDIRECT(ADDRESS(1751,37))-INDIRECT(ADDRESS(1754,37)),INDIRECT(ADDRESS(1755,36))-INDIRECT(ADDRESS(1750,37))+INDIRECT(ADDRESS(1753,37))-INDIRECT(ADDRESS(1754,37)))</f>
        <v>0</v>
      </c>
      <c r="AL1755">
        <f>IF(DAY(NOW())&lt;M3,INDIRECT(ADDRESS(1755,37))-INDIRECT(ADDRESS(1750,38))+INDIRECT(ADDRESS(1751,38))-INDIRECT(ADDRESS(1754,38)),INDIRECT(ADDRESS(1755,37))-INDIRECT(ADDRESS(1750,38))+INDIRECT(ADDRESS(1753,38))-INDIRECT(ADDRESS(1754,38)))</f>
        <v>0</v>
      </c>
      <c r="AM1755">
        <f>IF(DAY(NOW())&lt;M3,INDIRECT(ADDRESS(1755,38))-INDIRECT(ADDRESS(1750,39))+INDIRECT(ADDRESS(1751,39))-INDIRECT(ADDRESS(1754,39)),INDIRECT(ADDRESS(1755,38))-INDIRECT(ADDRESS(1750,39))+INDIRECT(ADDRESS(1753,39))-INDIRECT(ADDRESS(1754,39)))</f>
        <v>0</v>
      </c>
      <c r="AN1755">
        <f>IF(DAY(NOW())&lt;M3,INDIRECT(ADDRESS(1755,39))-INDIRECT(ADDRESS(1750,40))+INDIRECT(ADDRESS(1751,40))-INDIRECT(ADDRESS(1754,40)),INDIRECT(ADDRESS(1755,39))-INDIRECT(ADDRESS(1750,40))+INDIRECT(ADDRESS(1753,40))-INDIRECT(ADDRESS(1754,40)))</f>
        <v>0</v>
      </c>
      <c r="AO1755">
        <f>IF(DAY(NOW())&lt;M3,INDIRECT(ADDRESS(1755,40))-INDIRECT(ADDRESS(1750,41))+INDIRECT(ADDRESS(1751,41))-INDIRECT(ADDRESS(1754,41)),INDIRECT(ADDRESS(1755,40))-INDIRECT(ADDRESS(1750,41))+INDIRECT(ADDRESS(1753,41))-INDIRECT(ADDRESS(1754,41)))</f>
        <v>0</v>
      </c>
      <c r="AP1755">
        <f>IF(DAY(NOW())&lt;M3,INDIRECT(ADDRESS(1755,41))-INDIRECT(ADDRESS(1750,42))+INDIRECT(ADDRESS(1751,42))-INDIRECT(ADDRESS(1754,42)),INDIRECT(ADDRESS(1755,41))-INDIRECT(ADDRESS(1750,42))+INDIRECT(ADDRESS(1753,42))-INDIRECT(ADDRESS(1754,42)))</f>
        <v>0</v>
      </c>
      <c r="AQ1755">
        <f>IF(DAY(NOW())&lt;M3,INDIRECT(ADDRESS(1755,42))-INDIRECT(ADDRESS(1750,43))+INDIRECT(ADDRESS(1751,43))-INDIRECT(ADDRESS(1754,43)),INDIRECT(ADDRESS(1755,42))-INDIRECT(ADDRESS(1750,43))+INDIRECT(ADDRESS(1753,43))-INDIRECT(ADDRESS(1754,43)))</f>
        <v>0</v>
      </c>
      <c r="AR1755">
        <f>IF(DAY(NOW())&lt;M3,INDIRECT(ADDRESS(1755,43))-INDIRECT(ADDRESS(1750,44))+INDIRECT(ADDRESS(1751,44))-INDIRECT(ADDRESS(1754,44)),INDIRECT(ADDRESS(1755,43))-INDIRECT(ADDRESS(1750,44))+INDIRECT(ADDRESS(1753,44))-INDIRECT(ADDRESS(1754,44)))</f>
        <v>0</v>
      </c>
    </row>
    <row r="1756" spans="1:76">
      <c r="A1756" t="s">
        <v>14</v>
      </c>
      <c r="B1756" t="s">
        <v>618</v>
      </c>
      <c r="C1756" t="s">
        <v>619</v>
      </c>
      <c r="E1756" t="s">
        <v>444</v>
      </c>
      <c r="F1756" t="s">
        <v>617</v>
      </c>
      <c r="K1756" t="s">
        <v>657</v>
      </c>
      <c r="L1756" t="s">
        <v>21</v>
      </c>
      <c r="BX1756">
        <f>sum(j1756:an1756)</f>
        <v>0</v>
      </c>
    </row>
    <row r="1757" spans="1:76">
      <c r="A1757" t="s">
        <v>14</v>
      </c>
      <c r="B1757" t="s">
        <v>618</v>
      </c>
      <c r="C1757" t="s">
        <v>619</v>
      </c>
      <c r="E1757" t="s">
        <v>444</v>
      </c>
      <c r="F1757" t="s">
        <v>617</v>
      </c>
      <c r="K1757" t="s">
        <v>657</v>
      </c>
      <c r="L1757" t="s">
        <v>37</v>
      </c>
    </row>
    <row r="1758" spans="1:76">
      <c r="L1758" t="s">
        <v>662</v>
      </c>
    </row>
    <row r="1759" spans="1:76">
      <c r="L1759" t="s">
        <v>663</v>
      </c>
    </row>
    <row r="1760" spans="1:76">
      <c r="L1760" t="s">
        <v>664</v>
      </c>
    </row>
    <row r="1761" spans="1:76">
      <c r="L1761" t="s">
        <v>665</v>
      </c>
      <c r="M1761">
        <f>IF(DAY(NOW())&lt;M3,INDIRECT(ADDRESS(1761,7))-INDIRECT(ADDRESS(1756,13))+INDIRECT(ADDRESS(1757,13))-INDIRECT(ADDRESS(1760,13)),INDIRECT(ADDRESS(1761,7))-INDIRECT(ADDRESS(1756,13))+INDIRECT(ADDRESS(1759,13))-INDIRECT(ADDRESS(1760,13)))</f>
        <v>0</v>
      </c>
      <c r="N1761">
        <f>IF(DAY(NOW())&lt;M3,INDIRECT(ADDRESS(1761,13))-INDIRECT(ADDRESS(1756,14))+INDIRECT(ADDRESS(1757,14))-INDIRECT(ADDRESS(1760,14)),INDIRECT(ADDRESS(1761,13))-INDIRECT(ADDRESS(1756,14))+INDIRECT(ADDRESS(1759,14))-INDIRECT(ADDRESS(1760,14)))</f>
        <v>0</v>
      </c>
      <c r="O1761">
        <f>IF(DAY(NOW())&lt;M3,INDIRECT(ADDRESS(1761,14))-INDIRECT(ADDRESS(1756,15))+INDIRECT(ADDRESS(1757,15))-INDIRECT(ADDRESS(1760,15)),INDIRECT(ADDRESS(1761,14))-INDIRECT(ADDRESS(1756,15))+INDIRECT(ADDRESS(1759,15))-INDIRECT(ADDRESS(1760,15)))</f>
        <v>0</v>
      </c>
      <c r="P1761">
        <f>IF(DAY(NOW())&lt;M3,INDIRECT(ADDRESS(1761,15))-INDIRECT(ADDRESS(1756,16))+INDIRECT(ADDRESS(1757,16))-INDIRECT(ADDRESS(1760,16)),INDIRECT(ADDRESS(1761,15))-INDIRECT(ADDRESS(1756,16))+INDIRECT(ADDRESS(1759,16))-INDIRECT(ADDRESS(1760,16)))</f>
        <v>0</v>
      </c>
      <c r="Q1761">
        <f>IF(DAY(NOW())&lt;M3,INDIRECT(ADDRESS(1761,16))-INDIRECT(ADDRESS(1756,17))+INDIRECT(ADDRESS(1757,17))-INDIRECT(ADDRESS(1760,17)),INDIRECT(ADDRESS(1761,16))-INDIRECT(ADDRESS(1756,17))+INDIRECT(ADDRESS(1759,17))-INDIRECT(ADDRESS(1760,17)))</f>
        <v>0</v>
      </c>
      <c r="R1761">
        <f>IF(DAY(NOW())&lt;M3,INDIRECT(ADDRESS(1761,17))-INDIRECT(ADDRESS(1756,18))+INDIRECT(ADDRESS(1757,18))-INDIRECT(ADDRESS(1760,18)),INDIRECT(ADDRESS(1761,17))-INDIRECT(ADDRESS(1756,18))+INDIRECT(ADDRESS(1759,18))-INDIRECT(ADDRESS(1760,18)))</f>
        <v>0</v>
      </c>
      <c r="S1761">
        <f>IF(DAY(NOW())&lt;M3,INDIRECT(ADDRESS(1761,18))-INDIRECT(ADDRESS(1756,19))+INDIRECT(ADDRESS(1757,19))-INDIRECT(ADDRESS(1760,19)),INDIRECT(ADDRESS(1761,18))-INDIRECT(ADDRESS(1756,19))+INDIRECT(ADDRESS(1759,19))-INDIRECT(ADDRESS(1760,19)))</f>
        <v>0</v>
      </c>
      <c r="T1761">
        <f>IF(DAY(NOW())&lt;M3,INDIRECT(ADDRESS(1761,19))-INDIRECT(ADDRESS(1756,20))+INDIRECT(ADDRESS(1757,20))-INDIRECT(ADDRESS(1760,20)),INDIRECT(ADDRESS(1761,19))-INDIRECT(ADDRESS(1756,20))+INDIRECT(ADDRESS(1759,20))-INDIRECT(ADDRESS(1760,20)))</f>
        <v>0</v>
      </c>
      <c r="U1761">
        <f>IF(DAY(NOW())&lt;M3,INDIRECT(ADDRESS(1761,20))-INDIRECT(ADDRESS(1756,21))+INDIRECT(ADDRESS(1757,21))-INDIRECT(ADDRESS(1760,21)),INDIRECT(ADDRESS(1761,20))-INDIRECT(ADDRESS(1756,21))+INDIRECT(ADDRESS(1759,21))-INDIRECT(ADDRESS(1760,21)))</f>
        <v>0</v>
      </c>
      <c r="V1761">
        <f>IF(DAY(NOW())&lt;M3,INDIRECT(ADDRESS(1761,21))-INDIRECT(ADDRESS(1756,22))+INDIRECT(ADDRESS(1757,22))-INDIRECT(ADDRESS(1760,22)),INDIRECT(ADDRESS(1761,21))-INDIRECT(ADDRESS(1756,22))+INDIRECT(ADDRESS(1759,22))-INDIRECT(ADDRESS(1760,22)))</f>
        <v>0</v>
      </c>
      <c r="W1761">
        <f>IF(DAY(NOW())&lt;M3,INDIRECT(ADDRESS(1761,22))-INDIRECT(ADDRESS(1756,23))+INDIRECT(ADDRESS(1757,23))-INDIRECT(ADDRESS(1760,23)),INDIRECT(ADDRESS(1761,22))-INDIRECT(ADDRESS(1756,23))+INDIRECT(ADDRESS(1759,23))-INDIRECT(ADDRESS(1760,23)))</f>
        <v>0</v>
      </c>
      <c r="X1761">
        <f>IF(DAY(NOW())&lt;M3,INDIRECT(ADDRESS(1761,23))-INDIRECT(ADDRESS(1756,24))+INDIRECT(ADDRESS(1757,24))-INDIRECT(ADDRESS(1760,24)),INDIRECT(ADDRESS(1761,23))-INDIRECT(ADDRESS(1756,24))+INDIRECT(ADDRESS(1759,24))-INDIRECT(ADDRESS(1760,24)))</f>
        <v>0</v>
      </c>
      <c r="Y1761">
        <f>IF(DAY(NOW())&lt;M3,INDIRECT(ADDRESS(1761,24))-INDIRECT(ADDRESS(1756,25))+INDIRECT(ADDRESS(1757,25))-INDIRECT(ADDRESS(1760,25)),INDIRECT(ADDRESS(1761,24))-INDIRECT(ADDRESS(1756,25))+INDIRECT(ADDRESS(1759,25))-INDIRECT(ADDRESS(1760,25)))</f>
        <v>0</v>
      </c>
      <c r="Z1761">
        <f>IF(DAY(NOW())&lt;M3,INDIRECT(ADDRESS(1761,25))-INDIRECT(ADDRESS(1756,26))+INDIRECT(ADDRESS(1757,26))-INDIRECT(ADDRESS(1760,26)),INDIRECT(ADDRESS(1761,25))-INDIRECT(ADDRESS(1756,26))+INDIRECT(ADDRESS(1759,26))-INDIRECT(ADDRESS(1760,26)))</f>
        <v>0</v>
      </c>
      <c r="AA1761">
        <f>IF(DAY(NOW())&lt;M3,INDIRECT(ADDRESS(1761,26))-INDIRECT(ADDRESS(1756,27))+INDIRECT(ADDRESS(1757,27))-INDIRECT(ADDRESS(1760,27)),INDIRECT(ADDRESS(1761,26))-INDIRECT(ADDRESS(1756,27))+INDIRECT(ADDRESS(1759,27))-INDIRECT(ADDRESS(1760,27)))</f>
        <v>0</v>
      </c>
      <c r="AB1761">
        <f>IF(DAY(NOW())&lt;M3,INDIRECT(ADDRESS(1761,27))-INDIRECT(ADDRESS(1756,28))+INDIRECT(ADDRESS(1757,28))-INDIRECT(ADDRESS(1760,28)),INDIRECT(ADDRESS(1761,27))-INDIRECT(ADDRESS(1756,28))+INDIRECT(ADDRESS(1759,28))-INDIRECT(ADDRESS(1760,28)))</f>
        <v>0</v>
      </c>
      <c r="AC1761">
        <f>IF(DAY(NOW())&lt;M3,INDIRECT(ADDRESS(1761,28))-INDIRECT(ADDRESS(1756,29))+INDIRECT(ADDRESS(1757,29))-INDIRECT(ADDRESS(1760,29)),INDIRECT(ADDRESS(1761,28))-INDIRECT(ADDRESS(1756,29))+INDIRECT(ADDRESS(1759,29))-INDIRECT(ADDRESS(1760,29)))</f>
        <v>0</v>
      </c>
      <c r="AD1761">
        <f>IF(DAY(NOW())&lt;M3,INDIRECT(ADDRESS(1761,29))-INDIRECT(ADDRESS(1756,30))+INDIRECT(ADDRESS(1757,30))-INDIRECT(ADDRESS(1760,30)),INDIRECT(ADDRESS(1761,29))-INDIRECT(ADDRESS(1756,30))+INDIRECT(ADDRESS(1759,30))-INDIRECT(ADDRESS(1760,30)))</f>
        <v>0</v>
      </c>
      <c r="AE1761">
        <f>IF(DAY(NOW())&lt;M3,INDIRECT(ADDRESS(1761,30))-INDIRECT(ADDRESS(1756,31))+INDIRECT(ADDRESS(1757,31))-INDIRECT(ADDRESS(1760,31)),INDIRECT(ADDRESS(1761,30))-INDIRECT(ADDRESS(1756,31))+INDIRECT(ADDRESS(1759,31))-INDIRECT(ADDRESS(1760,31)))</f>
        <v>0</v>
      </c>
      <c r="AF1761">
        <f>IF(DAY(NOW())&lt;M3,INDIRECT(ADDRESS(1761,31))-INDIRECT(ADDRESS(1756,32))+INDIRECT(ADDRESS(1757,32))-INDIRECT(ADDRESS(1760,32)),INDIRECT(ADDRESS(1761,31))-INDIRECT(ADDRESS(1756,32))+INDIRECT(ADDRESS(1759,32))-INDIRECT(ADDRESS(1760,32)))</f>
        <v>0</v>
      </c>
      <c r="AG1761">
        <f>IF(DAY(NOW())&lt;M3,INDIRECT(ADDRESS(1761,32))-INDIRECT(ADDRESS(1756,33))+INDIRECT(ADDRESS(1757,33))-INDIRECT(ADDRESS(1760,33)),INDIRECT(ADDRESS(1761,32))-INDIRECT(ADDRESS(1756,33))+INDIRECT(ADDRESS(1759,33))-INDIRECT(ADDRESS(1760,33)))</f>
        <v>0</v>
      </c>
      <c r="AH1761">
        <f>IF(DAY(NOW())&lt;M3,INDIRECT(ADDRESS(1761,33))-INDIRECT(ADDRESS(1756,34))+INDIRECT(ADDRESS(1757,34))-INDIRECT(ADDRESS(1760,34)),INDIRECT(ADDRESS(1761,33))-INDIRECT(ADDRESS(1756,34))+INDIRECT(ADDRESS(1759,34))-INDIRECT(ADDRESS(1760,34)))</f>
        <v>0</v>
      </c>
      <c r="AI1761">
        <f>IF(DAY(NOW())&lt;M3,INDIRECT(ADDRESS(1761,34))-INDIRECT(ADDRESS(1756,35))+INDIRECT(ADDRESS(1757,35))-INDIRECT(ADDRESS(1760,35)),INDIRECT(ADDRESS(1761,34))-INDIRECT(ADDRESS(1756,35))+INDIRECT(ADDRESS(1759,35))-INDIRECT(ADDRESS(1760,35)))</f>
        <v>0</v>
      </c>
      <c r="AJ1761">
        <f>IF(DAY(NOW())&lt;M3,INDIRECT(ADDRESS(1761,35))-INDIRECT(ADDRESS(1756,36))+INDIRECT(ADDRESS(1757,36))-INDIRECT(ADDRESS(1760,36)),INDIRECT(ADDRESS(1761,35))-INDIRECT(ADDRESS(1756,36))+INDIRECT(ADDRESS(1759,36))-INDIRECT(ADDRESS(1760,36)))</f>
        <v>0</v>
      </c>
      <c r="AK1761">
        <f>IF(DAY(NOW())&lt;M3,INDIRECT(ADDRESS(1761,36))-INDIRECT(ADDRESS(1756,37))+INDIRECT(ADDRESS(1757,37))-INDIRECT(ADDRESS(1760,37)),INDIRECT(ADDRESS(1761,36))-INDIRECT(ADDRESS(1756,37))+INDIRECT(ADDRESS(1759,37))-INDIRECT(ADDRESS(1760,37)))</f>
        <v>0</v>
      </c>
      <c r="AL1761">
        <f>IF(DAY(NOW())&lt;M3,INDIRECT(ADDRESS(1761,37))-INDIRECT(ADDRESS(1756,38))+INDIRECT(ADDRESS(1757,38))-INDIRECT(ADDRESS(1760,38)),INDIRECT(ADDRESS(1761,37))-INDIRECT(ADDRESS(1756,38))+INDIRECT(ADDRESS(1759,38))-INDIRECT(ADDRESS(1760,38)))</f>
        <v>0</v>
      </c>
      <c r="AM1761">
        <f>IF(DAY(NOW())&lt;M3,INDIRECT(ADDRESS(1761,38))-INDIRECT(ADDRESS(1756,39))+INDIRECT(ADDRESS(1757,39))-INDIRECT(ADDRESS(1760,39)),INDIRECT(ADDRESS(1761,38))-INDIRECT(ADDRESS(1756,39))+INDIRECT(ADDRESS(1759,39))-INDIRECT(ADDRESS(1760,39)))</f>
        <v>0</v>
      </c>
      <c r="AN1761">
        <f>IF(DAY(NOW())&lt;M3,INDIRECT(ADDRESS(1761,39))-INDIRECT(ADDRESS(1756,40))+INDIRECT(ADDRESS(1757,40))-INDIRECT(ADDRESS(1760,40)),INDIRECT(ADDRESS(1761,39))-INDIRECT(ADDRESS(1756,40))+INDIRECT(ADDRESS(1759,40))-INDIRECT(ADDRESS(1760,40)))</f>
        <v>0</v>
      </c>
      <c r="AO1761">
        <f>IF(DAY(NOW())&lt;M3,INDIRECT(ADDRESS(1761,40))-INDIRECT(ADDRESS(1756,41))+INDIRECT(ADDRESS(1757,41))-INDIRECT(ADDRESS(1760,41)),INDIRECT(ADDRESS(1761,40))-INDIRECT(ADDRESS(1756,41))+INDIRECT(ADDRESS(1759,41))-INDIRECT(ADDRESS(1760,41)))</f>
        <v>0</v>
      </c>
      <c r="AP1761">
        <f>IF(DAY(NOW())&lt;M3,INDIRECT(ADDRESS(1761,41))-INDIRECT(ADDRESS(1756,42))+INDIRECT(ADDRESS(1757,42))-INDIRECT(ADDRESS(1760,42)),INDIRECT(ADDRESS(1761,41))-INDIRECT(ADDRESS(1756,42))+INDIRECT(ADDRESS(1759,42))-INDIRECT(ADDRESS(1760,42)))</f>
        <v>0</v>
      </c>
      <c r="AQ1761">
        <f>IF(DAY(NOW())&lt;M3,INDIRECT(ADDRESS(1761,42))-INDIRECT(ADDRESS(1756,43))+INDIRECT(ADDRESS(1757,43))-INDIRECT(ADDRESS(1760,43)),INDIRECT(ADDRESS(1761,42))-INDIRECT(ADDRESS(1756,43))+INDIRECT(ADDRESS(1759,43))-INDIRECT(ADDRESS(1760,43)))</f>
        <v>0</v>
      </c>
      <c r="AR1761">
        <f>IF(DAY(NOW())&lt;M3,INDIRECT(ADDRESS(1761,43))-INDIRECT(ADDRESS(1756,44))+INDIRECT(ADDRESS(1757,44))-INDIRECT(ADDRESS(1760,44)),INDIRECT(ADDRESS(1761,43))-INDIRECT(ADDRESS(1756,44))+INDIRECT(ADDRESS(1759,44))-INDIRECT(ADDRESS(1760,44)))</f>
        <v>0</v>
      </c>
    </row>
    <row r="1762" spans="1:76">
      <c r="A1762" t="s">
        <v>14</v>
      </c>
      <c r="B1762" t="s">
        <v>352</v>
      </c>
      <c r="C1762" t="s">
        <v>353</v>
      </c>
      <c r="E1762" t="s">
        <v>620</v>
      </c>
      <c r="F1762" t="s">
        <v>621</v>
      </c>
      <c r="K1762" t="s">
        <v>657</v>
      </c>
      <c r="L1762" t="s">
        <v>21</v>
      </c>
      <c r="BX1762">
        <f>sum(j1762:an1762)</f>
        <v>0</v>
      </c>
    </row>
    <row r="1763" spans="1:76">
      <c r="A1763" t="s">
        <v>14</v>
      </c>
      <c r="B1763" t="s">
        <v>352</v>
      </c>
      <c r="C1763" t="s">
        <v>353</v>
      </c>
      <c r="E1763" t="s">
        <v>620</v>
      </c>
      <c r="F1763" t="s">
        <v>621</v>
      </c>
      <c r="K1763" t="s">
        <v>657</v>
      </c>
      <c r="L1763" t="s">
        <v>37</v>
      </c>
    </row>
    <row r="1764" spans="1:76">
      <c r="L1764" t="s">
        <v>662</v>
      </c>
    </row>
    <row r="1765" spans="1:76">
      <c r="L1765" t="s">
        <v>663</v>
      </c>
    </row>
    <row r="1766" spans="1:76">
      <c r="L1766" t="s">
        <v>664</v>
      </c>
    </row>
    <row r="1767" spans="1:76">
      <c r="L1767" t="s">
        <v>665</v>
      </c>
      <c r="M1767">
        <f>IF(DAY(NOW())&lt;M3,INDIRECT(ADDRESS(1767,7))-INDIRECT(ADDRESS(1762,13))+INDIRECT(ADDRESS(1763,13))-INDIRECT(ADDRESS(1766,13)),INDIRECT(ADDRESS(1767,7))-INDIRECT(ADDRESS(1762,13))+INDIRECT(ADDRESS(1765,13))-INDIRECT(ADDRESS(1766,13)))</f>
        <v>0</v>
      </c>
      <c r="N1767">
        <f>IF(DAY(NOW())&lt;M3,INDIRECT(ADDRESS(1767,13))-INDIRECT(ADDRESS(1762,14))+INDIRECT(ADDRESS(1763,14))-INDIRECT(ADDRESS(1766,14)),INDIRECT(ADDRESS(1767,13))-INDIRECT(ADDRESS(1762,14))+INDIRECT(ADDRESS(1765,14))-INDIRECT(ADDRESS(1766,14)))</f>
        <v>0</v>
      </c>
      <c r="O1767">
        <f>IF(DAY(NOW())&lt;M3,INDIRECT(ADDRESS(1767,14))-INDIRECT(ADDRESS(1762,15))+INDIRECT(ADDRESS(1763,15))-INDIRECT(ADDRESS(1766,15)),INDIRECT(ADDRESS(1767,14))-INDIRECT(ADDRESS(1762,15))+INDIRECT(ADDRESS(1765,15))-INDIRECT(ADDRESS(1766,15)))</f>
        <v>0</v>
      </c>
      <c r="P1767">
        <f>IF(DAY(NOW())&lt;M3,INDIRECT(ADDRESS(1767,15))-INDIRECT(ADDRESS(1762,16))+INDIRECT(ADDRESS(1763,16))-INDIRECT(ADDRESS(1766,16)),INDIRECT(ADDRESS(1767,15))-INDIRECT(ADDRESS(1762,16))+INDIRECT(ADDRESS(1765,16))-INDIRECT(ADDRESS(1766,16)))</f>
        <v>0</v>
      </c>
      <c r="Q1767">
        <f>IF(DAY(NOW())&lt;M3,INDIRECT(ADDRESS(1767,16))-INDIRECT(ADDRESS(1762,17))+INDIRECT(ADDRESS(1763,17))-INDIRECT(ADDRESS(1766,17)),INDIRECT(ADDRESS(1767,16))-INDIRECT(ADDRESS(1762,17))+INDIRECT(ADDRESS(1765,17))-INDIRECT(ADDRESS(1766,17)))</f>
        <v>0</v>
      </c>
      <c r="R1767">
        <f>IF(DAY(NOW())&lt;M3,INDIRECT(ADDRESS(1767,17))-INDIRECT(ADDRESS(1762,18))+INDIRECT(ADDRESS(1763,18))-INDIRECT(ADDRESS(1766,18)),INDIRECT(ADDRESS(1767,17))-INDIRECT(ADDRESS(1762,18))+INDIRECT(ADDRESS(1765,18))-INDIRECT(ADDRESS(1766,18)))</f>
        <v>0</v>
      </c>
      <c r="S1767">
        <f>IF(DAY(NOW())&lt;M3,INDIRECT(ADDRESS(1767,18))-INDIRECT(ADDRESS(1762,19))+INDIRECT(ADDRESS(1763,19))-INDIRECT(ADDRESS(1766,19)),INDIRECT(ADDRESS(1767,18))-INDIRECT(ADDRESS(1762,19))+INDIRECT(ADDRESS(1765,19))-INDIRECT(ADDRESS(1766,19)))</f>
        <v>0</v>
      </c>
      <c r="T1767">
        <f>IF(DAY(NOW())&lt;M3,INDIRECT(ADDRESS(1767,19))-INDIRECT(ADDRESS(1762,20))+INDIRECT(ADDRESS(1763,20))-INDIRECT(ADDRESS(1766,20)),INDIRECT(ADDRESS(1767,19))-INDIRECT(ADDRESS(1762,20))+INDIRECT(ADDRESS(1765,20))-INDIRECT(ADDRESS(1766,20)))</f>
        <v>0</v>
      </c>
      <c r="U1767">
        <f>IF(DAY(NOW())&lt;M3,INDIRECT(ADDRESS(1767,20))-INDIRECT(ADDRESS(1762,21))+INDIRECT(ADDRESS(1763,21))-INDIRECT(ADDRESS(1766,21)),INDIRECT(ADDRESS(1767,20))-INDIRECT(ADDRESS(1762,21))+INDIRECT(ADDRESS(1765,21))-INDIRECT(ADDRESS(1766,21)))</f>
        <v>0</v>
      </c>
      <c r="V1767">
        <f>IF(DAY(NOW())&lt;M3,INDIRECT(ADDRESS(1767,21))-INDIRECT(ADDRESS(1762,22))+INDIRECT(ADDRESS(1763,22))-INDIRECT(ADDRESS(1766,22)),INDIRECT(ADDRESS(1767,21))-INDIRECT(ADDRESS(1762,22))+INDIRECT(ADDRESS(1765,22))-INDIRECT(ADDRESS(1766,22)))</f>
        <v>0</v>
      </c>
      <c r="W1767">
        <f>IF(DAY(NOW())&lt;M3,INDIRECT(ADDRESS(1767,22))-INDIRECT(ADDRESS(1762,23))+INDIRECT(ADDRESS(1763,23))-INDIRECT(ADDRESS(1766,23)),INDIRECT(ADDRESS(1767,22))-INDIRECT(ADDRESS(1762,23))+INDIRECT(ADDRESS(1765,23))-INDIRECT(ADDRESS(1766,23)))</f>
        <v>0</v>
      </c>
      <c r="X1767">
        <f>IF(DAY(NOW())&lt;M3,INDIRECT(ADDRESS(1767,23))-INDIRECT(ADDRESS(1762,24))+INDIRECT(ADDRESS(1763,24))-INDIRECT(ADDRESS(1766,24)),INDIRECT(ADDRESS(1767,23))-INDIRECT(ADDRESS(1762,24))+INDIRECT(ADDRESS(1765,24))-INDIRECT(ADDRESS(1766,24)))</f>
        <v>0</v>
      </c>
      <c r="Y1767">
        <f>IF(DAY(NOW())&lt;M3,INDIRECT(ADDRESS(1767,24))-INDIRECT(ADDRESS(1762,25))+INDIRECT(ADDRESS(1763,25))-INDIRECT(ADDRESS(1766,25)),INDIRECT(ADDRESS(1767,24))-INDIRECT(ADDRESS(1762,25))+INDIRECT(ADDRESS(1765,25))-INDIRECT(ADDRESS(1766,25)))</f>
        <v>0</v>
      </c>
      <c r="Z1767">
        <f>IF(DAY(NOW())&lt;M3,INDIRECT(ADDRESS(1767,25))-INDIRECT(ADDRESS(1762,26))+INDIRECT(ADDRESS(1763,26))-INDIRECT(ADDRESS(1766,26)),INDIRECT(ADDRESS(1767,25))-INDIRECT(ADDRESS(1762,26))+INDIRECT(ADDRESS(1765,26))-INDIRECT(ADDRESS(1766,26)))</f>
        <v>0</v>
      </c>
      <c r="AA1767">
        <f>IF(DAY(NOW())&lt;M3,INDIRECT(ADDRESS(1767,26))-INDIRECT(ADDRESS(1762,27))+INDIRECT(ADDRESS(1763,27))-INDIRECT(ADDRESS(1766,27)),INDIRECT(ADDRESS(1767,26))-INDIRECT(ADDRESS(1762,27))+INDIRECT(ADDRESS(1765,27))-INDIRECT(ADDRESS(1766,27)))</f>
        <v>0</v>
      </c>
      <c r="AB1767">
        <f>IF(DAY(NOW())&lt;M3,INDIRECT(ADDRESS(1767,27))-INDIRECT(ADDRESS(1762,28))+INDIRECT(ADDRESS(1763,28))-INDIRECT(ADDRESS(1766,28)),INDIRECT(ADDRESS(1767,27))-INDIRECT(ADDRESS(1762,28))+INDIRECT(ADDRESS(1765,28))-INDIRECT(ADDRESS(1766,28)))</f>
        <v>0</v>
      </c>
      <c r="AC1767">
        <f>IF(DAY(NOW())&lt;M3,INDIRECT(ADDRESS(1767,28))-INDIRECT(ADDRESS(1762,29))+INDIRECT(ADDRESS(1763,29))-INDIRECT(ADDRESS(1766,29)),INDIRECT(ADDRESS(1767,28))-INDIRECT(ADDRESS(1762,29))+INDIRECT(ADDRESS(1765,29))-INDIRECT(ADDRESS(1766,29)))</f>
        <v>0</v>
      </c>
      <c r="AD1767">
        <f>IF(DAY(NOW())&lt;M3,INDIRECT(ADDRESS(1767,29))-INDIRECT(ADDRESS(1762,30))+INDIRECT(ADDRESS(1763,30))-INDIRECT(ADDRESS(1766,30)),INDIRECT(ADDRESS(1767,29))-INDIRECT(ADDRESS(1762,30))+INDIRECT(ADDRESS(1765,30))-INDIRECT(ADDRESS(1766,30)))</f>
        <v>0</v>
      </c>
      <c r="AE1767">
        <f>IF(DAY(NOW())&lt;M3,INDIRECT(ADDRESS(1767,30))-INDIRECT(ADDRESS(1762,31))+INDIRECT(ADDRESS(1763,31))-INDIRECT(ADDRESS(1766,31)),INDIRECT(ADDRESS(1767,30))-INDIRECT(ADDRESS(1762,31))+INDIRECT(ADDRESS(1765,31))-INDIRECT(ADDRESS(1766,31)))</f>
        <v>0</v>
      </c>
      <c r="AF1767">
        <f>IF(DAY(NOW())&lt;M3,INDIRECT(ADDRESS(1767,31))-INDIRECT(ADDRESS(1762,32))+INDIRECT(ADDRESS(1763,32))-INDIRECT(ADDRESS(1766,32)),INDIRECT(ADDRESS(1767,31))-INDIRECT(ADDRESS(1762,32))+INDIRECT(ADDRESS(1765,32))-INDIRECT(ADDRESS(1766,32)))</f>
        <v>0</v>
      </c>
      <c r="AG1767">
        <f>IF(DAY(NOW())&lt;M3,INDIRECT(ADDRESS(1767,32))-INDIRECT(ADDRESS(1762,33))+INDIRECT(ADDRESS(1763,33))-INDIRECT(ADDRESS(1766,33)),INDIRECT(ADDRESS(1767,32))-INDIRECT(ADDRESS(1762,33))+INDIRECT(ADDRESS(1765,33))-INDIRECT(ADDRESS(1766,33)))</f>
        <v>0</v>
      </c>
      <c r="AH1767">
        <f>IF(DAY(NOW())&lt;M3,INDIRECT(ADDRESS(1767,33))-INDIRECT(ADDRESS(1762,34))+INDIRECT(ADDRESS(1763,34))-INDIRECT(ADDRESS(1766,34)),INDIRECT(ADDRESS(1767,33))-INDIRECT(ADDRESS(1762,34))+INDIRECT(ADDRESS(1765,34))-INDIRECT(ADDRESS(1766,34)))</f>
        <v>0</v>
      </c>
      <c r="AI1767">
        <f>IF(DAY(NOW())&lt;M3,INDIRECT(ADDRESS(1767,34))-INDIRECT(ADDRESS(1762,35))+INDIRECT(ADDRESS(1763,35))-INDIRECT(ADDRESS(1766,35)),INDIRECT(ADDRESS(1767,34))-INDIRECT(ADDRESS(1762,35))+INDIRECT(ADDRESS(1765,35))-INDIRECT(ADDRESS(1766,35)))</f>
        <v>0</v>
      </c>
      <c r="AJ1767">
        <f>IF(DAY(NOW())&lt;M3,INDIRECT(ADDRESS(1767,35))-INDIRECT(ADDRESS(1762,36))+INDIRECT(ADDRESS(1763,36))-INDIRECT(ADDRESS(1766,36)),INDIRECT(ADDRESS(1767,35))-INDIRECT(ADDRESS(1762,36))+INDIRECT(ADDRESS(1765,36))-INDIRECT(ADDRESS(1766,36)))</f>
        <v>0</v>
      </c>
      <c r="AK1767">
        <f>IF(DAY(NOW())&lt;M3,INDIRECT(ADDRESS(1767,36))-INDIRECT(ADDRESS(1762,37))+INDIRECT(ADDRESS(1763,37))-INDIRECT(ADDRESS(1766,37)),INDIRECT(ADDRESS(1767,36))-INDIRECT(ADDRESS(1762,37))+INDIRECT(ADDRESS(1765,37))-INDIRECT(ADDRESS(1766,37)))</f>
        <v>0</v>
      </c>
      <c r="AL1767">
        <f>IF(DAY(NOW())&lt;M3,INDIRECT(ADDRESS(1767,37))-INDIRECT(ADDRESS(1762,38))+INDIRECT(ADDRESS(1763,38))-INDIRECT(ADDRESS(1766,38)),INDIRECT(ADDRESS(1767,37))-INDIRECT(ADDRESS(1762,38))+INDIRECT(ADDRESS(1765,38))-INDIRECT(ADDRESS(1766,38)))</f>
        <v>0</v>
      </c>
      <c r="AM1767">
        <f>IF(DAY(NOW())&lt;M3,INDIRECT(ADDRESS(1767,38))-INDIRECT(ADDRESS(1762,39))+INDIRECT(ADDRESS(1763,39))-INDIRECT(ADDRESS(1766,39)),INDIRECT(ADDRESS(1767,38))-INDIRECT(ADDRESS(1762,39))+INDIRECT(ADDRESS(1765,39))-INDIRECT(ADDRESS(1766,39)))</f>
        <v>0</v>
      </c>
      <c r="AN1767">
        <f>IF(DAY(NOW())&lt;M3,INDIRECT(ADDRESS(1767,39))-INDIRECT(ADDRESS(1762,40))+INDIRECT(ADDRESS(1763,40))-INDIRECT(ADDRESS(1766,40)),INDIRECT(ADDRESS(1767,39))-INDIRECT(ADDRESS(1762,40))+INDIRECT(ADDRESS(1765,40))-INDIRECT(ADDRESS(1766,40)))</f>
        <v>0</v>
      </c>
      <c r="AO1767">
        <f>IF(DAY(NOW())&lt;M3,INDIRECT(ADDRESS(1767,40))-INDIRECT(ADDRESS(1762,41))+INDIRECT(ADDRESS(1763,41))-INDIRECT(ADDRESS(1766,41)),INDIRECT(ADDRESS(1767,40))-INDIRECT(ADDRESS(1762,41))+INDIRECT(ADDRESS(1765,41))-INDIRECT(ADDRESS(1766,41)))</f>
        <v>0</v>
      </c>
      <c r="AP1767">
        <f>IF(DAY(NOW())&lt;M3,INDIRECT(ADDRESS(1767,41))-INDIRECT(ADDRESS(1762,42))+INDIRECT(ADDRESS(1763,42))-INDIRECT(ADDRESS(1766,42)),INDIRECT(ADDRESS(1767,41))-INDIRECT(ADDRESS(1762,42))+INDIRECT(ADDRESS(1765,42))-INDIRECT(ADDRESS(1766,42)))</f>
        <v>0</v>
      </c>
      <c r="AQ1767">
        <f>IF(DAY(NOW())&lt;M3,INDIRECT(ADDRESS(1767,42))-INDIRECT(ADDRESS(1762,43))+INDIRECT(ADDRESS(1763,43))-INDIRECT(ADDRESS(1766,43)),INDIRECT(ADDRESS(1767,42))-INDIRECT(ADDRESS(1762,43))+INDIRECT(ADDRESS(1765,43))-INDIRECT(ADDRESS(1766,43)))</f>
        <v>0</v>
      </c>
      <c r="AR1767">
        <f>IF(DAY(NOW())&lt;M3,INDIRECT(ADDRESS(1767,43))-INDIRECT(ADDRESS(1762,44))+INDIRECT(ADDRESS(1763,44))-INDIRECT(ADDRESS(1766,44)),INDIRECT(ADDRESS(1767,43))-INDIRECT(ADDRESS(1762,44))+INDIRECT(ADDRESS(1765,44))-INDIRECT(ADDRESS(1766,44)))</f>
        <v>0</v>
      </c>
    </row>
    <row r="1768" spans="1:76">
      <c r="A1768" t="s">
        <v>14</v>
      </c>
      <c r="B1768" t="s">
        <v>623</v>
      </c>
      <c r="C1768" t="s">
        <v>624</v>
      </c>
      <c r="E1768">
        <v>1</v>
      </c>
      <c r="F1768" t="s">
        <v>622</v>
      </c>
      <c r="K1768" t="s">
        <v>657</v>
      </c>
      <c r="L1768" t="s">
        <v>21</v>
      </c>
      <c r="BX1768">
        <f>sum(j1768:an1768)</f>
        <v>0</v>
      </c>
    </row>
    <row r="1769" spans="1:76">
      <c r="A1769" t="s">
        <v>14</v>
      </c>
      <c r="B1769" t="s">
        <v>623</v>
      </c>
      <c r="C1769" t="s">
        <v>624</v>
      </c>
      <c r="E1769">
        <v>1</v>
      </c>
      <c r="F1769" t="s">
        <v>622</v>
      </c>
      <c r="K1769" t="s">
        <v>657</v>
      </c>
      <c r="L1769" t="s">
        <v>37</v>
      </c>
    </row>
    <row r="1770" spans="1:76">
      <c r="L1770" t="s">
        <v>662</v>
      </c>
    </row>
    <row r="1771" spans="1:76">
      <c r="L1771" t="s">
        <v>663</v>
      </c>
    </row>
    <row r="1772" spans="1:76">
      <c r="L1772" t="s">
        <v>664</v>
      </c>
    </row>
    <row r="1773" spans="1:76">
      <c r="L1773" t="s">
        <v>665</v>
      </c>
      <c r="M1773">
        <f>IF(DAY(NOW())&lt;M3,INDIRECT(ADDRESS(1773,7))-INDIRECT(ADDRESS(1768,13))+INDIRECT(ADDRESS(1769,13))-INDIRECT(ADDRESS(1772,13)),INDIRECT(ADDRESS(1773,7))-INDIRECT(ADDRESS(1768,13))+INDIRECT(ADDRESS(1771,13))-INDIRECT(ADDRESS(1772,13)))</f>
        <v>0</v>
      </c>
      <c r="N1773">
        <f>IF(DAY(NOW())&lt;M3,INDIRECT(ADDRESS(1773,13))-INDIRECT(ADDRESS(1768,14))+INDIRECT(ADDRESS(1769,14))-INDIRECT(ADDRESS(1772,14)),INDIRECT(ADDRESS(1773,13))-INDIRECT(ADDRESS(1768,14))+INDIRECT(ADDRESS(1771,14))-INDIRECT(ADDRESS(1772,14)))</f>
        <v>0</v>
      </c>
      <c r="O1773">
        <f>IF(DAY(NOW())&lt;M3,INDIRECT(ADDRESS(1773,14))-INDIRECT(ADDRESS(1768,15))+INDIRECT(ADDRESS(1769,15))-INDIRECT(ADDRESS(1772,15)),INDIRECT(ADDRESS(1773,14))-INDIRECT(ADDRESS(1768,15))+INDIRECT(ADDRESS(1771,15))-INDIRECT(ADDRESS(1772,15)))</f>
        <v>0</v>
      </c>
      <c r="P1773">
        <f>IF(DAY(NOW())&lt;M3,INDIRECT(ADDRESS(1773,15))-INDIRECT(ADDRESS(1768,16))+INDIRECT(ADDRESS(1769,16))-INDIRECT(ADDRESS(1772,16)),INDIRECT(ADDRESS(1773,15))-INDIRECT(ADDRESS(1768,16))+INDIRECT(ADDRESS(1771,16))-INDIRECT(ADDRESS(1772,16)))</f>
        <v>0</v>
      </c>
      <c r="Q1773">
        <f>IF(DAY(NOW())&lt;M3,INDIRECT(ADDRESS(1773,16))-INDIRECT(ADDRESS(1768,17))+INDIRECT(ADDRESS(1769,17))-INDIRECT(ADDRESS(1772,17)),INDIRECT(ADDRESS(1773,16))-INDIRECT(ADDRESS(1768,17))+INDIRECT(ADDRESS(1771,17))-INDIRECT(ADDRESS(1772,17)))</f>
        <v>0</v>
      </c>
      <c r="R1773">
        <f>IF(DAY(NOW())&lt;M3,INDIRECT(ADDRESS(1773,17))-INDIRECT(ADDRESS(1768,18))+INDIRECT(ADDRESS(1769,18))-INDIRECT(ADDRESS(1772,18)),INDIRECT(ADDRESS(1773,17))-INDIRECT(ADDRESS(1768,18))+INDIRECT(ADDRESS(1771,18))-INDIRECT(ADDRESS(1772,18)))</f>
        <v>0</v>
      </c>
      <c r="S1773">
        <f>IF(DAY(NOW())&lt;M3,INDIRECT(ADDRESS(1773,18))-INDIRECT(ADDRESS(1768,19))+INDIRECT(ADDRESS(1769,19))-INDIRECT(ADDRESS(1772,19)),INDIRECT(ADDRESS(1773,18))-INDIRECT(ADDRESS(1768,19))+INDIRECT(ADDRESS(1771,19))-INDIRECT(ADDRESS(1772,19)))</f>
        <v>0</v>
      </c>
      <c r="T1773">
        <f>IF(DAY(NOW())&lt;M3,INDIRECT(ADDRESS(1773,19))-INDIRECT(ADDRESS(1768,20))+INDIRECT(ADDRESS(1769,20))-INDIRECT(ADDRESS(1772,20)),INDIRECT(ADDRESS(1773,19))-INDIRECT(ADDRESS(1768,20))+INDIRECT(ADDRESS(1771,20))-INDIRECT(ADDRESS(1772,20)))</f>
        <v>0</v>
      </c>
      <c r="U1773">
        <f>IF(DAY(NOW())&lt;M3,INDIRECT(ADDRESS(1773,20))-INDIRECT(ADDRESS(1768,21))+INDIRECT(ADDRESS(1769,21))-INDIRECT(ADDRESS(1772,21)),INDIRECT(ADDRESS(1773,20))-INDIRECT(ADDRESS(1768,21))+INDIRECT(ADDRESS(1771,21))-INDIRECT(ADDRESS(1772,21)))</f>
        <v>0</v>
      </c>
      <c r="V1773">
        <f>IF(DAY(NOW())&lt;M3,INDIRECT(ADDRESS(1773,21))-INDIRECT(ADDRESS(1768,22))+INDIRECT(ADDRESS(1769,22))-INDIRECT(ADDRESS(1772,22)),INDIRECT(ADDRESS(1773,21))-INDIRECT(ADDRESS(1768,22))+INDIRECT(ADDRESS(1771,22))-INDIRECT(ADDRESS(1772,22)))</f>
        <v>0</v>
      </c>
      <c r="W1773">
        <f>IF(DAY(NOW())&lt;M3,INDIRECT(ADDRESS(1773,22))-INDIRECT(ADDRESS(1768,23))+INDIRECT(ADDRESS(1769,23))-INDIRECT(ADDRESS(1772,23)),INDIRECT(ADDRESS(1773,22))-INDIRECT(ADDRESS(1768,23))+INDIRECT(ADDRESS(1771,23))-INDIRECT(ADDRESS(1772,23)))</f>
        <v>0</v>
      </c>
      <c r="X1773">
        <f>IF(DAY(NOW())&lt;M3,INDIRECT(ADDRESS(1773,23))-INDIRECT(ADDRESS(1768,24))+INDIRECT(ADDRESS(1769,24))-INDIRECT(ADDRESS(1772,24)),INDIRECT(ADDRESS(1773,23))-INDIRECT(ADDRESS(1768,24))+INDIRECT(ADDRESS(1771,24))-INDIRECT(ADDRESS(1772,24)))</f>
        <v>0</v>
      </c>
      <c r="Y1773">
        <f>IF(DAY(NOW())&lt;M3,INDIRECT(ADDRESS(1773,24))-INDIRECT(ADDRESS(1768,25))+INDIRECT(ADDRESS(1769,25))-INDIRECT(ADDRESS(1772,25)),INDIRECT(ADDRESS(1773,24))-INDIRECT(ADDRESS(1768,25))+INDIRECT(ADDRESS(1771,25))-INDIRECT(ADDRESS(1772,25)))</f>
        <v>0</v>
      </c>
      <c r="Z1773">
        <f>IF(DAY(NOW())&lt;M3,INDIRECT(ADDRESS(1773,25))-INDIRECT(ADDRESS(1768,26))+INDIRECT(ADDRESS(1769,26))-INDIRECT(ADDRESS(1772,26)),INDIRECT(ADDRESS(1773,25))-INDIRECT(ADDRESS(1768,26))+INDIRECT(ADDRESS(1771,26))-INDIRECT(ADDRESS(1772,26)))</f>
        <v>0</v>
      </c>
      <c r="AA1773">
        <f>IF(DAY(NOW())&lt;M3,INDIRECT(ADDRESS(1773,26))-INDIRECT(ADDRESS(1768,27))+INDIRECT(ADDRESS(1769,27))-INDIRECT(ADDRESS(1772,27)),INDIRECT(ADDRESS(1773,26))-INDIRECT(ADDRESS(1768,27))+INDIRECT(ADDRESS(1771,27))-INDIRECT(ADDRESS(1772,27)))</f>
        <v>0</v>
      </c>
      <c r="AB1773">
        <f>IF(DAY(NOW())&lt;M3,INDIRECT(ADDRESS(1773,27))-INDIRECT(ADDRESS(1768,28))+INDIRECT(ADDRESS(1769,28))-INDIRECT(ADDRESS(1772,28)),INDIRECT(ADDRESS(1773,27))-INDIRECT(ADDRESS(1768,28))+INDIRECT(ADDRESS(1771,28))-INDIRECT(ADDRESS(1772,28)))</f>
        <v>0</v>
      </c>
      <c r="AC1773">
        <f>IF(DAY(NOW())&lt;M3,INDIRECT(ADDRESS(1773,28))-INDIRECT(ADDRESS(1768,29))+INDIRECT(ADDRESS(1769,29))-INDIRECT(ADDRESS(1772,29)),INDIRECT(ADDRESS(1773,28))-INDIRECT(ADDRESS(1768,29))+INDIRECT(ADDRESS(1771,29))-INDIRECT(ADDRESS(1772,29)))</f>
        <v>0</v>
      </c>
      <c r="AD1773">
        <f>IF(DAY(NOW())&lt;M3,INDIRECT(ADDRESS(1773,29))-INDIRECT(ADDRESS(1768,30))+INDIRECT(ADDRESS(1769,30))-INDIRECT(ADDRESS(1772,30)),INDIRECT(ADDRESS(1773,29))-INDIRECT(ADDRESS(1768,30))+INDIRECT(ADDRESS(1771,30))-INDIRECT(ADDRESS(1772,30)))</f>
        <v>0</v>
      </c>
      <c r="AE1773">
        <f>IF(DAY(NOW())&lt;M3,INDIRECT(ADDRESS(1773,30))-INDIRECT(ADDRESS(1768,31))+INDIRECT(ADDRESS(1769,31))-INDIRECT(ADDRESS(1772,31)),INDIRECT(ADDRESS(1773,30))-INDIRECT(ADDRESS(1768,31))+INDIRECT(ADDRESS(1771,31))-INDIRECT(ADDRESS(1772,31)))</f>
        <v>0</v>
      </c>
      <c r="AF1773">
        <f>IF(DAY(NOW())&lt;M3,INDIRECT(ADDRESS(1773,31))-INDIRECT(ADDRESS(1768,32))+INDIRECT(ADDRESS(1769,32))-INDIRECT(ADDRESS(1772,32)),INDIRECT(ADDRESS(1773,31))-INDIRECT(ADDRESS(1768,32))+INDIRECT(ADDRESS(1771,32))-INDIRECT(ADDRESS(1772,32)))</f>
        <v>0</v>
      </c>
      <c r="AG1773">
        <f>IF(DAY(NOW())&lt;M3,INDIRECT(ADDRESS(1773,32))-INDIRECT(ADDRESS(1768,33))+INDIRECT(ADDRESS(1769,33))-INDIRECT(ADDRESS(1772,33)),INDIRECT(ADDRESS(1773,32))-INDIRECT(ADDRESS(1768,33))+INDIRECT(ADDRESS(1771,33))-INDIRECT(ADDRESS(1772,33)))</f>
        <v>0</v>
      </c>
      <c r="AH1773">
        <f>IF(DAY(NOW())&lt;M3,INDIRECT(ADDRESS(1773,33))-INDIRECT(ADDRESS(1768,34))+INDIRECT(ADDRESS(1769,34))-INDIRECT(ADDRESS(1772,34)),INDIRECT(ADDRESS(1773,33))-INDIRECT(ADDRESS(1768,34))+INDIRECT(ADDRESS(1771,34))-INDIRECT(ADDRESS(1772,34)))</f>
        <v>0</v>
      </c>
      <c r="AI1773">
        <f>IF(DAY(NOW())&lt;M3,INDIRECT(ADDRESS(1773,34))-INDIRECT(ADDRESS(1768,35))+INDIRECT(ADDRESS(1769,35))-INDIRECT(ADDRESS(1772,35)),INDIRECT(ADDRESS(1773,34))-INDIRECT(ADDRESS(1768,35))+INDIRECT(ADDRESS(1771,35))-INDIRECT(ADDRESS(1772,35)))</f>
        <v>0</v>
      </c>
      <c r="AJ1773">
        <f>IF(DAY(NOW())&lt;M3,INDIRECT(ADDRESS(1773,35))-INDIRECT(ADDRESS(1768,36))+INDIRECT(ADDRESS(1769,36))-INDIRECT(ADDRESS(1772,36)),INDIRECT(ADDRESS(1773,35))-INDIRECT(ADDRESS(1768,36))+INDIRECT(ADDRESS(1771,36))-INDIRECT(ADDRESS(1772,36)))</f>
        <v>0</v>
      </c>
      <c r="AK1773">
        <f>IF(DAY(NOW())&lt;M3,INDIRECT(ADDRESS(1773,36))-INDIRECT(ADDRESS(1768,37))+INDIRECT(ADDRESS(1769,37))-INDIRECT(ADDRESS(1772,37)),INDIRECT(ADDRESS(1773,36))-INDIRECT(ADDRESS(1768,37))+INDIRECT(ADDRESS(1771,37))-INDIRECT(ADDRESS(1772,37)))</f>
        <v>0</v>
      </c>
      <c r="AL1773">
        <f>IF(DAY(NOW())&lt;M3,INDIRECT(ADDRESS(1773,37))-INDIRECT(ADDRESS(1768,38))+INDIRECT(ADDRESS(1769,38))-INDIRECT(ADDRESS(1772,38)),INDIRECT(ADDRESS(1773,37))-INDIRECT(ADDRESS(1768,38))+INDIRECT(ADDRESS(1771,38))-INDIRECT(ADDRESS(1772,38)))</f>
        <v>0</v>
      </c>
      <c r="AM1773">
        <f>IF(DAY(NOW())&lt;M3,INDIRECT(ADDRESS(1773,38))-INDIRECT(ADDRESS(1768,39))+INDIRECT(ADDRESS(1769,39))-INDIRECT(ADDRESS(1772,39)),INDIRECT(ADDRESS(1773,38))-INDIRECT(ADDRESS(1768,39))+INDIRECT(ADDRESS(1771,39))-INDIRECT(ADDRESS(1772,39)))</f>
        <v>0</v>
      </c>
      <c r="AN1773">
        <f>IF(DAY(NOW())&lt;M3,INDIRECT(ADDRESS(1773,39))-INDIRECT(ADDRESS(1768,40))+INDIRECT(ADDRESS(1769,40))-INDIRECT(ADDRESS(1772,40)),INDIRECT(ADDRESS(1773,39))-INDIRECT(ADDRESS(1768,40))+INDIRECT(ADDRESS(1771,40))-INDIRECT(ADDRESS(1772,40)))</f>
        <v>0</v>
      </c>
      <c r="AO1773">
        <f>IF(DAY(NOW())&lt;M3,INDIRECT(ADDRESS(1773,40))-INDIRECT(ADDRESS(1768,41))+INDIRECT(ADDRESS(1769,41))-INDIRECT(ADDRESS(1772,41)),INDIRECT(ADDRESS(1773,40))-INDIRECT(ADDRESS(1768,41))+INDIRECT(ADDRESS(1771,41))-INDIRECT(ADDRESS(1772,41)))</f>
        <v>0</v>
      </c>
      <c r="AP1773">
        <f>IF(DAY(NOW())&lt;M3,INDIRECT(ADDRESS(1773,41))-INDIRECT(ADDRESS(1768,42))+INDIRECT(ADDRESS(1769,42))-INDIRECT(ADDRESS(1772,42)),INDIRECT(ADDRESS(1773,41))-INDIRECT(ADDRESS(1768,42))+INDIRECT(ADDRESS(1771,42))-INDIRECT(ADDRESS(1772,42)))</f>
        <v>0</v>
      </c>
      <c r="AQ1773">
        <f>IF(DAY(NOW())&lt;M3,INDIRECT(ADDRESS(1773,42))-INDIRECT(ADDRESS(1768,43))+INDIRECT(ADDRESS(1769,43))-INDIRECT(ADDRESS(1772,43)),INDIRECT(ADDRESS(1773,42))-INDIRECT(ADDRESS(1768,43))+INDIRECT(ADDRESS(1771,43))-INDIRECT(ADDRESS(1772,43)))</f>
        <v>0</v>
      </c>
      <c r="AR1773">
        <f>IF(DAY(NOW())&lt;M3,INDIRECT(ADDRESS(1773,43))-INDIRECT(ADDRESS(1768,44))+INDIRECT(ADDRESS(1769,44))-INDIRECT(ADDRESS(1772,44)),INDIRECT(ADDRESS(1773,43))-INDIRECT(ADDRESS(1768,44))+INDIRECT(ADDRESS(1771,44))-INDIRECT(ADDRESS(1772,44)))</f>
        <v>0</v>
      </c>
    </row>
    <row r="1774" spans="1:76">
      <c r="A1774" t="s">
        <v>14</v>
      </c>
      <c r="B1774" t="s">
        <v>627</v>
      </c>
      <c r="C1774" t="s">
        <v>628</v>
      </c>
      <c r="E1774" t="s">
        <v>625</v>
      </c>
      <c r="F1774" t="s">
        <v>626</v>
      </c>
      <c r="K1774" t="s">
        <v>657</v>
      </c>
      <c r="L1774" t="s">
        <v>21</v>
      </c>
      <c r="BX1774">
        <f>sum(j1774:an1774)</f>
        <v>0</v>
      </c>
    </row>
    <row r="1775" spans="1:76">
      <c r="A1775" t="s">
        <v>14</v>
      </c>
      <c r="B1775" t="s">
        <v>627</v>
      </c>
      <c r="C1775" t="s">
        <v>628</v>
      </c>
      <c r="E1775" t="s">
        <v>625</v>
      </c>
      <c r="F1775" t="s">
        <v>626</v>
      </c>
      <c r="K1775" t="s">
        <v>657</v>
      </c>
      <c r="L1775" t="s">
        <v>37</v>
      </c>
    </row>
    <row r="1776" spans="1:76">
      <c r="L1776" t="s">
        <v>662</v>
      </c>
    </row>
    <row r="1777" spans="1:76">
      <c r="L1777" t="s">
        <v>663</v>
      </c>
    </row>
    <row r="1778" spans="1:76">
      <c r="L1778" t="s">
        <v>664</v>
      </c>
    </row>
    <row r="1779" spans="1:76">
      <c r="L1779" t="s">
        <v>665</v>
      </c>
      <c r="M1779">
        <f>IF(DAY(NOW())&lt;M3,INDIRECT(ADDRESS(1779,7))-INDIRECT(ADDRESS(1774,13))+INDIRECT(ADDRESS(1775,13))-INDIRECT(ADDRESS(1778,13)),INDIRECT(ADDRESS(1779,7))-INDIRECT(ADDRESS(1774,13))+INDIRECT(ADDRESS(1777,13))-INDIRECT(ADDRESS(1778,13)))</f>
        <v>0</v>
      </c>
      <c r="N1779">
        <f>IF(DAY(NOW())&lt;M3,INDIRECT(ADDRESS(1779,13))-INDIRECT(ADDRESS(1774,14))+INDIRECT(ADDRESS(1775,14))-INDIRECT(ADDRESS(1778,14)),INDIRECT(ADDRESS(1779,13))-INDIRECT(ADDRESS(1774,14))+INDIRECT(ADDRESS(1777,14))-INDIRECT(ADDRESS(1778,14)))</f>
        <v>0</v>
      </c>
      <c r="O1779">
        <f>IF(DAY(NOW())&lt;M3,INDIRECT(ADDRESS(1779,14))-INDIRECT(ADDRESS(1774,15))+INDIRECT(ADDRESS(1775,15))-INDIRECT(ADDRESS(1778,15)),INDIRECT(ADDRESS(1779,14))-INDIRECT(ADDRESS(1774,15))+INDIRECT(ADDRESS(1777,15))-INDIRECT(ADDRESS(1778,15)))</f>
        <v>0</v>
      </c>
      <c r="P1779">
        <f>IF(DAY(NOW())&lt;M3,INDIRECT(ADDRESS(1779,15))-INDIRECT(ADDRESS(1774,16))+INDIRECT(ADDRESS(1775,16))-INDIRECT(ADDRESS(1778,16)),INDIRECT(ADDRESS(1779,15))-INDIRECT(ADDRESS(1774,16))+INDIRECT(ADDRESS(1777,16))-INDIRECT(ADDRESS(1778,16)))</f>
        <v>0</v>
      </c>
      <c r="Q1779">
        <f>IF(DAY(NOW())&lt;M3,INDIRECT(ADDRESS(1779,16))-INDIRECT(ADDRESS(1774,17))+INDIRECT(ADDRESS(1775,17))-INDIRECT(ADDRESS(1778,17)),INDIRECT(ADDRESS(1779,16))-INDIRECT(ADDRESS(1774,17))+INDIRECT(ADDRESS(1777,17))-INDIRECT(ADDRESS(1778,17)))</f>
        <v>0</v>
      </c>
      <c r="R1779">
        <f>IF(DAY(NOW())&lt;M3,INDIRECT(ADDRESS(1779,17))-INDIRECT(ADDRESS(1774,18))+INDIRECT(ADDRESS(1775,18))-INDIRECT(ADDRESS(1778,18)),INDIRECT(ADDRESS(1779,17))-INDIRECT(ADDRESS(1774,18))+INDIRECT(ADDRESS(1777,18))-INDIRECT(ADDRESS(1778,18)))</f>
        <v>0</v>
      </c>
      <c r="S1779">
        <f>IF(DAY(NOW())&lt;M3,INDIRECT(ADDRESS(1779,18))-INDIRECT(ADDRESS(1774,19))+INDIRECT(ADDRESS(1775,19))-INDIRECT(ADDRESS(1778,19)),INDIRECT(ADDRESS(1779,18))-INDIRECT(ADDRESS(1774,19))+INDIRECT(ADDRESS(1777,19))-INDIRECT(ADDRESS(1778,19)))</f>
        <v>0</v>
      </c>
      <c r="T1779">
        <f>IF(DAY(NOW())&lt;M3,INDIRECT(ADDRESS(1779,19))-INDIRECT(ADDRESS(1774,20))+INDIRECT(ADDRESS(1775,20))-INDIRECT(ADDRESS(1778,20)),INDIRECT(ADDRESS(1779,19))-INDIRECT(ADDRESS(1774,20))+INDIRECT(ADDRESS(1777,20))-INDIRECT(ADDRESS(1778,20)))</f>
        <v>0</v>
      </c>
      <c r="U1779">
        <f>IF(DAY(NOW())&lt;M3,INDIRECT(ADDRESS(1779,20))-INDIRECT(ADDRESS(1774,21))+INDIRECT(ADDRESS(1775,21))-INDIRECT(ADDRESS(1778,21)),INDIRECT(ADDRESS(1779,20))-INDIRECT(ADDRESS(1774,21))+INDIRECT(ADDRESS(1777,21))-INDIRECT(ADDRESS(1778,21)))</f>
        <v>0</v>
      </c>
      <c r="V1779">
        <f>IF(DAY(NOW())&lt;M3,INDIRECT(ADDRESS(1779,21))-INDIRECT(ADDRESS(1774,22))+INDIRECT(ADDRESS(1775,22))-INDIRECT(ADDRESS(1778,22)),INDIRECT(ADDRESS(1779,21))-INDIRECT(ADDRESS(1774,22))+INDIRECT(ADDRESS(1777,22))-INDIRECT(ADDRESS(1778,22)))</f>
        <v>0</v>
      </c>
      <c r="W1779">
        <f>IF(DAY(NOW())&lt;M3,INDIRECT(ADDRESS(1779,22))-INDIRECT(ADDRESS(1774,23))+INDIRECT(ADDRESS(1775,23))-INDIRECT(ADDRESS(1778,23)),INDIRECT(ADDRESS(1779,22))-INDIRECT(ADDRESS(1774,23))+INDIRECT(ADDRESS(1777,23))-INDIRECT(ADDRESS(1778,23)))</f>
        <v>0</v>
      </c>
      <c r="X1779">
        <f>IF(DAY(NOW())&lt;M3,INDIRECT(ADDRESS(1779,23))-INDIRECT(ADDRESS(1774,24))+INDIRECT(ADDRESS(1775,24))-INDIRECT(ADDRESS(1778,24)),INDIRECT(ADDRESS(1779,23))-INDIRECT(ADDRESS(1774,24))+INDIRECT(ADDRESS(1777,24))-INDIRECT(ADDRESS(1778,24)))</f>
        <v>0</v>
      </c>
      <c r="Y1779">
        <f>IF(DAY(NOW())&lt;M3,INDIRECT(ADDRESS(1779,24))-INDIRECT(ADDRESS(1774,25))+INDIRECT(ADDRESS(1775,25))-INDIRECT(ADDRESS(1778,25)),INDIRECT(ADDRESS(1779,24))-INDIRECT(ADDRESS(1774,25))+INDIRECT(ADDRESS(1777,25))-INDIRECT(ADDRESS(1778,25)))</f>
        <v>0</v>
      </c>
      <c r="Z1779">
        <f>IF(DAY(NOW())&lt;M3,INDIRECT(ADDRESS(1779,25))-INDIRECT(ADDRESS(1774,26))+INDIRECT(ADDRESS(1775,26))-INDIRECT(ADDRESS(1778,26)),INDIRECT(ADDRESS(1779,25))-INDIRECT(ADDRESS(1774,26))+INDIRECT(ADDRESS(1777,26))-INDIRECT(ADDRESS(1778,26)))</f>
        <v>0</v>
      </c>
      <c r="AA1779">
        <f>IF(DAY(NOW())&lt;M3,INDIRECT(ADDRESS(1779,26))-INDIRECT(ADDRESS(1774,27))+INDIRECT(ADDRESS(1775,27))-INDIRECT(ADDRESS(1778,27)),INDIRECT(ADDRESS(1779,26))-INDIRECT(ADDRESS(1774,27))+INDIRECT(ADDRESS(1777,27))-INDIRECT(ADDRESS(1778,27)))</f>
        <v>0</v>
      </c>
      <c r="AB1779">
        <f>IF(DAY(NOW())&lt;M3,INDIRECT(ADDRESS(1779,27))-INDIRECT(ADDRESS(1774,28))+INDIRECT(ADDRESS(1775,28))-INDIRECT(ADDRESS(1778,28)),INDIRECT(ADDRESS(1779,27))-INDIRECT(ADDRESS(1774,28))+INDIRECT(ADDRESS(1777,28))-INDIRECT(ADDRESS(1778,28)))</f>
        <v>0</v>
      </c>
      <c r="AC1779">
        <f>IF(DAY(NOW())&lt;M3,INDIRECT(ADDRESS(1779,28))-INDIRECT(ADDRESS(1774,29))+INDIRECT(ADDRESS(1775,29))-INDIRECT(ADDRESS(1778,29)),INDIRECT(ADDRESS(1779,28))-INDIRECT(ADDRESS(1774,29))+INDIRECT(ADDRESS(1777,29))-INDIRECT(ADDRESS(1778,29)))</f>
        <v>0</v>
      </c>
      <c r="AD1779">
        <f>IF(DAY(NOW())&lt;M3,INDIRECT(ADDRESS(1779,29))-INDIRECT(ADDRESS(1774,30))+INDIRECT(ADDRESS(1775,30))-INDIRECT(ADDRESS(1778,30)),INDIRECT(ADDRESS(1779,29))-INDIRECT(ADDRESS(1774,30))+INDIRECT(ADDRESS(1777,30))-INDIRECT(ADDRESS(1778,30)))</f>
        <v>0</v>
      </c>
      <c r="AE1779">
        <f>IF(DAY(NOW())&lt;M3,INDIRECT(ADDRESS(1779,30))-INDIRECT(ADDRESS(1774,31))+INDIRECT(ADDRESS(1775,31))-INDIRECT(ADDRESS(1778,31)),INDIRECT(ADDRESS(1779,30))-INDIRECT(ADDRESS(1774,31))+INDIRECT(ADDRESS(1777,31))-INDIRECT(ADDRESS(1778,31)))</f>
        <v>0</v>
      </c>
      <c r="AF1779">
        <f>IF(DAY(NOW())&lt;M3,INDIRECT(ADDRESS(1779,31))-INDIRECT(ADDRESS(1774,32))+INDIRECT(ADDRESS(1775,32))-INDIRECT(ADDRESS(1778,32)),INDIRECT(ADDRESS(1779,31))-INDIRECT(ADDRESS(1774,32))+INDIRECT(ADDRESS(1777,32))-INDIRECT(ADDRESS(1778,32)))</f>
        <v>0</v>
      </c>
      <c r="AG1779">
        <f>IF(DAY(NOW())&lt;M3,INDIRECT(ADDRESS(1779,32))-INDIRECT(ADDRESS(1774,33))+INDIRECT(ADDRESS(1775,33))-INDIRECT(ADDRESS(1778,33)),INDIRECT(ADDRESS(1779,32))-INDIRECT(ADDRESS(1774,33))+INDIRECT(ADDRESS(1777,33))-INDIRECT(ADDRESS(1778,33)))</f>
        <v>0</v>
      </c>
      <c r="AH1779">
        <f>IF(DAY(NOW())&lt;M3,INDIRECT(ADDRESS(1779,33))-INDIRECT(ADDRESS(1774,34))+INDIRECT(ADDRESS(1775,34))-INDIRECT(ADDRESS(1778,34)),INDIRECT(ADDRESS(1779,33))-INDIRECT(ADDRESS(1774,34))+INDIRECT(ADDRESS(1777,34))-INDIRECT(ADDRESS(1778,34)))</f>
        <v>0</v>
      </c>
      <c r="AI1779">
        <f>IF(DAY(NOW())&lt;M3,INDIRECT(ADDRESS(1779,34))-INDIRECT(ADDRESS(1774,35))+INDIRECT(ADDRESS(1775,35))-INDIRECT(ADDRESS(1778,35)),INDIRECT(ADDRESS(1779,34))-INDIRECT(ADDRESS(1774,35))+INDIRECT(ADDRESS(1777,35))-INDIRECT(ADDRESS(1778,35)))</f>
        <v>0</v>
      </c>
      <c r="AJ1779">
        <f>IF(DAY(NOW())&lt;M3,INDIRECT(ADDRESS(1779,35))-INDIRECT(ADDRESS(1774,36))+INDIRECT(ADDRESS(1775,36))-INDIRECT(ADDRESS(1778,36)),INDIRECT(ADDRESS(1779,35))-INDIRECT(ADDRESS(1774,36))+INDIRECT(ADDRESS(1777,36))-INDIRECT(ADDRESS(1778,36)))</f>
        <v>0</v>
      </c>
      <c r="AK1779">
        <f>IF(DAY(NOW())&lt;M3,INDIRECT(ADDRESS(1779,36))-INDIRECT(ADDRESS(1774,37))+INDIRECT(ADDRESS(1775,37))-INDIRECT(ADDRESS(1778,37)),INDIRECT(ADDRESS(1779,36))-INDIRECT(ADDRESS(1774,37))+INDIRECT(ADDRESS(1777,37))-INDIRECT(ADDRESS(1778,37)))</f>
        <v>0</v>
      </c>
      <c r="AL1779">
        <f>IF(DAY(NOW())&lt;M3,INDIRECT(ADDRESS(1779,37))-INDIRECT(ADDRESS(1774,38))+INDIRECT(ADDRESS(1775,38))-INDIRECT(ADDRESS(1778,38)),INDIRECT(ADDRESS(1779,37))-INDIRECT(ADDRESS(1774,38))+INDIRECT(ADDRESS(1777,38))-INDIRECT(ADDRESS(1778,38)))</f>
        <v>0</v>
      </c>
      <c r="AM1779">
        <f>IF(DAY(NOW())&lt;M3,INDIRECT(ADDRESS(1779,38))-INDIRECT(ADDRESS(1774,39))+INDIRECT(ADDRESS(1775,39))-INDIRECT(ADDRESS(1778,39)),INDIRECT(ADDRESS(1779,38))-INDIRECT(ADDRESS(1774,39))+INDIRECT(ADDRESS(1777,39))-INDIRECT(ADDRESS(1778,39)))</f>
        <v>0</v>
      </c>
      <c r="AN1779">
        <f>IF(DAY(NOW())&lt;M3,INDIRECT(ADDRESS(1779,39))-INDIRECT(ADDRESS(1774,40))+INDIRECT(ADDRESS(1775,40))-INDIRECT(ADDRESS(1778,40)),INDIRECT(ADDRESS(1779,39))-INDIRECT(ADDRESS(1774,40))+INDIRECT(ADDRESS(1777,40))-INDIRECT(ADDRESS(1778,40)))</f>
        <v>0</v>
      </c>
      <c r="AO1779">
        <f>IF(DAY(NOW())&lt;M3,INDIRECT(ADDRESS(1779,40))-INDIRECT(ADDRESS(1774,41))+INDIRECT(ADDRESS(1775,41))-INDIRECT(ADDRESS(1778,41)),INDIRECT(ADDRESS(1779,40))-INDIRECT(ADDRESS(1774,41))+INDIRECT(ADDRESS(1777,41))-INDIRECT(ADDRESS(1778,41)))</f>
        <v>0</v>
      </c>
      <c r="AP1779">
        <f>IF(DAY(NOW())&lt;M3,INDIRECT(ADDRESS(1779,41))-INDIRECT(ADDRESS(1774,42))+INDIRECT(ADDRESS(1775,42))-INDIRECT(ADDRESS(1778,42)),INDIRECT(ADDRESS(1779,41))-INDIRECT(ADDRESS(1774,42))+INDIRECT(ADDRESS(1777,42))-INDIRECT(ADDRESS(1778,42)))</f>
        <v>0</v>
      </c>
      <c r="AQ1779">
        <f>IF(DAY(NOW())&lt;M3,INDIRECT(ADDRESS(1779,42))-INDIRECT(ADDRESS(1774,43))+INDIRECT(ADDRESS(1775,43))-INDIRECT(ADDRESS(1778,43)),INDIRECT(ADDRESS(1779,42))-INDIRECT(ADDRESS(1774,43))+INDIRECT(ADDRESS(1777,43))-INDIRECT(ADDRESS(1778,43)))</f>
        <v>0</v>
      </c>
      <c r="AR1779">
        <f>IF(DAY(NOW())&lt;M3,INDIRECT(ADDRESS(1779,43))-INDIRECT(ADDRESS(1774,44))+INDIRECT(ADDRESS(1775,44))-INDIRECT(ADDRESS(1778,44)),INDIRECT(ADDRESS(1779,43))-INDIRECT(ADDRESS(1774,44))+INDIRECT(ADDRESS(1777,44))-INDIRECT(ADDRESS(1778,44)))</f>
        <v>0</v>
      </c>
    </row>
    <row r="1780" spans="1:76">
      <c r="A1780" t="s">
        <v>14</v>
      </c>
      <c r="B1780" t="s">
        <v>321</v>
      </c>
      <c r="C1780" t="s">
        <v>629</v>
      </c>
      <c r="E1780" t="s">
        <v>30</v>
      </c>
      <c r="F1780" t="s">
        <v>323</v>
      </c>
      <c r="K1780" t="s">
        <v>657</v>
      </c>
      <c r="L1780" t="s">
        <v>21</v>
      </c>
      <c r="BX1780">
        <f>sum(j1780:an1780)</f>
        <v>0</v>
      </c>
    </row>
    <row r="1781" spans="1:76">
      <c r="A1781" t="s">
        <v>14</v>
      </c>
      <c r="B1781" t="s">
        <v>321</v>
      </c>
      <c r="C1781" t="s">
        <v>629</v>
      </c>
      <c r="E1781" t="s">
        <v>30</v>
      </c>
      <c r="F1781" t="s">
        <v>323</v>
      </c>
      <c r="K1781" t="s">
        <v>657</v>
      </c>
      <c r="L1781" t="s">
        <v>37</v>
      </c>
    </row>
    <row r="1782" spans="1:76">
      <c r="L1782" t="s">
        <v>662</v>
      </c>
    </row>
    <row r="1783" spans="1:76">
      <c r="L1783" t="s">
        <v>663</v>
      </c>
    </row>
    <row r="1784" spans="1:76">
      <c r="L1784" t="s">
        <v>664</v>
      </c>
    </row>
    <row r="1785" spans="1:76">
      <c r="L1785" t="s">
        <v>665</v>
      </c>
      <c r="M1785">
        <f>IF(DAY(NOW())&lt;M3,INDIRECT(ADDRESS(1785,7))-INDIRECT(ADDRESS(1780,13))+INDIRECT(ADDRESS(1781,13))-INDIRECT(ADDRESS(1784,13)),INDIRECT(ADDRESS(1785,7))-INDIRECT(ADDRESS(1780,13))+INDIRECT(ADDRESS(1783,13))-INDIRECT(ADDRESS(1784,13)))</f>
        <v>0</v>
      </c>
      <c r="N1785">
        <f>IF(DAY(NOW())&lt;M3,INDIRECT(ADDRESS(1785,13))-INDIRECT(ADDRESS(1780,14))+INDIRECT(ADDRESS(1781,14))-INDIRECT(ADDRESS(1784,14)),INDIRECT(ADDRESS(1785,13))-INDIRECT(ADDRESS(1780,14))+INDIRECT(ADDRESS(1783,14))-INDIRECT(ADDRESS(1784,14)))</f>
        <v>0</v>
      </c>
      <c r="O1785">
        <f>IF(DAY(NOW())&lt;M3,INDIRECT(ADDRESS(1785,14))-INDIRECT(ADDRESS(1780,15))+INDIRECT(ADDRESS(1781,15))-INDIRECT(ADDRESS(1784,15)),INDIRECT(ADDRESS(1785,14))-INDIRECT(ADDRESS(1780,15))+INDIRECT(ADDRESS(1783,15))-INDIRECT(ADDRESS(1784,15)))</f>
        <v>0</v>
      </c>
      <c r="P1785">
        <f>IF(DAY(NOW())&lt;M3,INDIRECT(ADDRESS(1785,15))-INDIRECT(ADDRESS(1780,16))+INDIRECT(ADDRESS(1781,16))-INDIRECT(ADDRESS(1784,16)),INDIRECT(ADDRESS(1785,15))-INDIRECT(ADDRESS(1780,16))+INDIRECT(ADDRESS(1783,16))-INDIRECT(ADDRESS(1784,16)))</f>
        <v>0</v>
      </c>
      <c r="Q1785">
        <f>IF(DAY(NOW())&lt;M3,INDIRECT(ADDRESS(1785,16))-INDIRECT(ADDRESS(1780,17))+INDIRECT(ADDRESS(1781,17))-INDIRECT(ADDRESS(1784,17)),INDIRECT(ADDRESS(1785,16))-INDIRECT(ADDRESS(1780,17))+INDIRECT(ADDRESS(1783,17))-INDIRECT(ADDRESS(1784,17)))</f>
        <v>0</v>
      </c>
      <c r="R1785">
        <f>IF(DAY(NOW())&lt;M3,INDIRECT(ADDRESS(1785,17))-INDIRECT(ADDRESS(1780,18))+INDIRECT(ADDRESS(1781,18))-INDIRECT(ADDRESS(1784,18)),INDIRECT(ADDRESS(1785,17))-INDIRECT(ADDRESS(1780,18))+INDIRECT(ADDRESS(1783,18))-INDIRECT(ADDRESS(1784,18)))</f>
        <v>0</v>
      </c>
      <c r="S1785">
        <f>IF(DAY(NOW())&lt;M3,INDIRECT(ADDRESS(1785,18))-INDIRECT(ADDRESS(1780,19))+INDIRECT(ADDRESS(1781,19))-INDIRECT(ADDRESS(1784,19)),INDIRECT(ADDRESS(1785,18))-INDIRECT(ADDRESS(1780,19))+INDIRECT(ADDRESS(1783,19))-INDIRECT(ADDRESS(1784,19)))</f>
        <v>0</v>
      </c>
      <c r="T1785">
        <f>IF(DAY(NOW())&lt;M3,INDIRECT(ADDRESS(1785,19))-INDIRECT(ADDRESS(1780,20))+INDIRECT(ADDRESS(1781,20))-INDIRECT(ADDRESS(1784,20)),INDIRECT(ADDRESS(1785,19))-INDIRECT(ADDRESS(1780,20))+INDIRECT(ADDRESS(1783,20))-INDIRECT(ADDRESS(1784,20)))</f>
        <v>0</v>
      </c>
      <c r="U1785">
        <f>IF(DAY(NOW())&lt;M3,INDIRECT(ADDRESS(1785,20))-INDIRECT(ADDRESS(1780,21))+INDIRECT(ADDRESS(1781,21))-INDIRECT(ADDRESS(1784,21)),INDIRECT(ADDRESS(1785,20))-INDIRECT(ADDRESS(1780,21))+INDIRECT(ADDRESS(1783,21))-INDIRECT(ADDRESS(1784,21)))</f>
        <v>0</v>
      </c>
      <c r="V1785">
        <f>IF(DAY(NOW())&lt;M3,INDIRECT(ADDRESS(1785,21))-INDIRECT(ADDRESS(1780,22))+INDIRECT(ADDRESS(1781,22))-INDIRECT(ADDRESS(1784,22)),INDIRECT(ADDRESS(1785,21))-INDIRECT(ADDRESS(1780,22))+INDIRECT(ADDRESS(1783,22))-INDIRECT(ADDRESS(1784,22)))</f>
        <v>0</v>
      </c>
      <c r="W1785">
        <f>IF(DAY(NOW())&lt;M3,INDIRECT(ADDRESS(1785,22))-INDIRECT(ADDRESS(1780,23))+INDIRECT(ADDRESS(1781,23))-INDIRECT(ADDRESS(1784,23)),INDIRECT(ADDRESS(1785,22))-INDIRECT(ADDRESS(1780,23))+INDIRECT(ADDRESS(1783,23))-INDIRECT(ADDRESS(1784,23)))</f>
        <v>0</v>
      </c>
      <c r="X1785">
        <f>IF(DAY(NOW())&lt;M3,INDIRECT(ADDRESS(1785,23))-INDIRECT(ADDRESS(1780,24))+INDIRECT(ADDRESS(1781,24))-INDIRECT(ADDRESS(1784,24)),INDIRECT(ADDRESS(1785,23))-INDIRECT(ADDRESS(1780,24))+INDIRECT(ADDRESS(1783,24))-INDIRECT(ADDRESS(1784,24)))</f>
        <v>0</v>
      </c>
      <c r="Y1785">
        <f>IF(DAY(NOW())&lt;M3,INDIRECT(ADDRESS(1785,24))-INDIRECT(ADDRESS(1780,25))+INDIRECT(ADDRESS(1781,25))-INDIRECT(ADDRESS(1784,25)),INDIRECT(ADDRESS(1785,24))-INDIRECT(ADDRESS(1780,25))+INDIRECT(ADDRESS(1783,25))-INDIRECT(ADDRESS(1784,25)))</f>
        <v>0</v>
      </c>
      <c r="Z1785">
        <f>IF(DAY(NOW())&lt;M3,INDIRECT(ADDRESS(1785,25))-INDIRECT(ADDRESS(1780,26))+INDIRECT(ADDRESS(1781,26))-INDIRECT(ADDRESS(1784,26)),INDIRECT(ADDRESS(1785,25))-INDIRECT(ADDRESS(1780,26))+INDIRECT(ADDRESS(1783,26))-INDIRECT(ADDRESS(1784,26)))</f>
        <v>0</v>
      </c>
      <c r="AA1785">
        <f>IF(DAY(NOW())&lt;M3,INDIRECT(ADDRESS(1785,26))-INDIRECT(ADDRESS(1780,27))+INDIRECT(ADDRESS(1781,27))-INDIRECT(ADDRESS(1784,27)),INDIRECT(ADDRESS(1785,26))-INDIRECT(ADDRESS(1780,27))+INDIRECT(ADDRESS(1783,27))-INDIRECT(ADDRESS(1784,27)))</f>
        <v>0</v>
      </c>
      <c r="AB1785">
        <f>IF(DAY(NOW())&lt;M3,INDIRECT(ADDRESS(1785,27))-INDIRECT(ADDRESS(1780,28))+INDIRECT(ADDRESS(1781,28))-INDIRECT(ADDRESS(1784,28)),INDIRECT(ADDRESS(1785,27))-INDIRECT(ADDRESS(1780,28))+INDIRECT(ADDRESS(1783,28))-INDIRECT(ADDRESS(1784,28)))</f>
        <v>0</v>
      </c>
      <c r="AC1785">
        <f>IF(DAY(NOW())&lt;M3,INDIRECT(ADDRESS(1785,28))-INDIRECT(ADDRESS(1780,29))+INDIRECT(ADDRESS(1781,29))-INDIRECT(ADDRESS(1784,29)),INDIRECT(ADDRESS(1785,28))-INDIRECT(ADDRESS(1780,29))+INDIRECT(ADDRESS(1783,29))-INDIRECT(ADDRESS(1784,29)))</f>
        <v>0</v>
      </c>
      <c r="AD1785">
        <f>IF(DAY(NOW())&lt;M3,INDIRECT(ADDRESS(1785,29))-INDIRECT(ADDRESS(1780,30))+INDIRECT(ADDRESS(1781,30))-INDIRECT(ADDRESS(1784,30)),INDIRECT(ADDRESS(1785,29))-INDIRECT(ADDRESS(1780,30))+INDIRECT(ADDRESS(1783,30))-INDIRECT(ADDRESS(1784,30)))</f>
        <v>0</v>
      </c>
      <c r="AE1785">
        <f>IF(DAY(NOW())&lt;M3,INDIRECT(ADDRESS(1785,30))-INDIRECT(ADDRESS(1780,31))+INDIRECT(ADDRESS(1781,31))-INDIRECT(ADDRESS(1784,31)),INDIRECT(ADDRESS(1785,30))-INDIRECT(ADDRESS(1780,31))+INDIRECT(ADDRESS(1783,31))-INDIRECT(ADDRESS(1784,31)))</f>
        <v>0</v>
      </c>
      <c r="AF1785">
        <f>IF(DAY(NOW())&lt;M3,INDIRECT(ADDRESS(1785,31))-INDIRECT(ADDRESS(1780,32))+INDIRECT(ADDRESS(1781,32))-INDIRECT(ADDRESS(1784,32)),INDIRECT(ADDRESS(1785,31))-INDIRECT(ADDRESS(1780,32))+INDIRECT(ADDRESS(1783,32))-INDIRECT(ADDRESS(1784,32)))</f>
        <v>0</v>
      </c>
      <c r="AG1785">
        <f>IF(DAY(NOW())&lt;M3,INDIRECT(ADDRESS(1785,32))-INDIRECT(ADDRESS(1780,33))+INDIRECT(ADDRESS(1781,33))-INDIRECT(ADDRESS(1784,33)),INDIRECT(ADDRESS(1785,32))-INDIRECT(ADDRESS(1780,33))+INDIRECT(ADDRESS(1783,33))-INDIRECT(ADDRESS(1784,33)))</f>
        <v>0</v>
      </c>
      <c r="AH1785">
        <f>IF(DAY(NOW())&lt;M3,INDIRECT(ADDRESS(1785,33))-INDIRECT(ADDRESS(1780,34))+INDIRECT(ADDRESS(1781,34))-INDIRECT(ADDRESS(1784,34)),INDIRECT(ADDRESS(1785,33))-INDIRECT(ADDRESS(1780,34))+INDIRECT(ADDRESS(1783,34))-INDIRECT(ADDRESS(1784,34)))</f>
        <v>0</v>
      </c>
      <c r="AI1785">
        <f>IF(DAY(NOW())&lt;M3,INDIRECT(ADDRESS(1785,34))-INDIRECT(ADDRESS(1780,35))+INDIRECT(ADDRESS(1781,35))-INDIRECT(ADDRESS(1784,35)),INDIRECT(ADDRESS(1785,34))-INDIRECT(ADDRESS(1780,35))+INDIRECT(ADDRESS(1783,35))-INDIRECT(ADDRESS(1784,35)))</f>
        <v>0</v>
      </c>
      <c r="AJ1785">
        <f>IF(DAY(NOW())&lt;M3,INDIRECT(ADDRESS(1785,35))-INDIRECT(ADDRESS(1780,36))+INDIRECT(ADDRESS(1781,36))-INDIRECT(ADDRESS(1784,36)),INDIRECT(ADDRESS(1785,35))-INDIRECT(ADDRESS(1780,36))+INDIRECT(ADDRESS(1783,36))-INDIRECT(ADDRESS(1784,36)))</f>
        <v>0</v>
      </c>
      <c r="AK1785">
        <f>IF(DAY(NOW())&lt;M3,INDIRECT(ADDRESS(1785,36))-INDIRECT(ADDRESS(1780,37))+INDIRECT(ADDRESS(1781,37))-INDIRECT(ADDRESS(1784,37)),INDIRECT(ADDRESS(1785,36))-INDIRECT(ADDRESS(1780,37))+INDIRECT(ADDRESS(1783,37))-INDIRECT(ADDRESS(1784,37)))</f>
        <v>0</v>
      </c>
      <c r="AL1785">
        <f>IF(DAY(NOW())&lt;M3,INDIRECT(ADDRESS(1785,37))-INDIRECT(ADDRESS(1780,38))+INDIRECT(ADDRESS(1781,38))-INDIRECT(ADDRESS(1784,38)),INDIRECT(ADDRESS(1785,37))-INDIRECT(ADDRESS(1780,38))+INDIRECT(ADDRESS(1783,38))-INDIRECT(ADDRESS(1784,38)))</f>
        <v>0</v>
      </c>
      <c r="AM1785">
        <f>IF(DAY(NOW())&lt;M3,INDIRECT(ADDRESS(1785,38))-INDIRECT(ADDRESS(1780,39))+INDIRECT(ADDRESS(1781,39))-INDIRECT(ADDRESS(1784,39)),INDIRECT(ADDRESS(1785,38))-INDIRECT(ADDRESS(1780,39))+INDIRECT(ADDRESS(1783,39))-INDIRECT(ADDRESS(1784,39)))</f>
        <v>0</v>
      </c>
      <c r="AN1785">
        <f>IF(DAY(NOW())&lt;M3,INDIRECT(ADDRESS(1785,39))-INDIRECT(ADDRESS(1780,40))+INDIRECT(ADDRESS(1781,40))-INDIRECT(ADDRESS(1784,40)),INDIRECT(ADDRESS(1785,39))-INDIRECT(ADDRESS(1780,40))+INDIRECT(ADDRESS(1783,40))-INDIRECT(ADDRESS(1784,40)))</f>
        <v>0</v>
      </c>
      <c r="AO1785">
        <f>IF(DAY(NOW())&lt;M3,INDIRECT(ADDRESS(1785,40))-INDIRECT(ADDRESS(1780,41))+INDIRECT(ADDRESS(1781,41))-INDIRECT(ADDRESS(1784,41)),INDIRECT(ADDRESS(1785,40))-INDIRECT(ADDRESS(1780,41))+INDIRECT(ADDRESS(1783,41))-INDIRECT(ADDRESS(1784,41)))</f>
        <v>0</v>
      </c>
      <c r="AP1785">
        <f>IF(DAY(NOW())&lt;M3,INDIRECT(ADDRESS(1785,41))-INDIRECT(ADDRESS(1780,42))+INDIRECT(ADDRESS(1781,42))-INDIRECT(ADDRESS(1784,42)),INDIRECT(ADDRESS(1785,41))-INDIRECT(ADDRESS(1780,42))+INDIRECT(ADDRESS(1783,42))-INDIRECT(ADDRESS(1784,42)))</f>
        <v>0</v>
      </c>
      <c r="AQ1785">
        <f>IF(DAY(NOW())&lt;M3,INDIRECT(ADDRESS(1785,42))-INDIRECT(ADDRESS(1780,43))+INDIRECT(ADDRESS(1781,43))-INDIRECT(ADDRESS(1784,43)),INDIRECT(ADDRESS(1785,42))-INDIRECT(ADDRESS(1780,43))+INDIRECT(ADDRESS(1783,43))-INDIRECT(ADDRESS(1784,43)))</f>
        <v>0</v>
      </c>
      <c r="AR1785">
        <f>IF(DAY(NOW())&lt;M3,INDIRECT(ADDRESS(1785,43))-INDIRECT(ADDRESS(1780,44))+INDIRECT(ADDRESS(1781,44))-INDIRECT(ADDRESS(1784,44)),INDIRECT(ADDRESS(1785,43))-INDIRECT(ADDRESS(1780,44))+INDIRECT(ADDRESS(1783,44))-INDIRECT(ADDRESS(1784,44)))</f>
        <v>0</v>
      </c>
    </row>
    <row r="1786" spans="1:76">
      <c r="A1786" t="s">
        <v>14</v>
      </c>
      <c r="B1786" t="s">
        <v>631</v>
      </c>
      <c r="C1786" t="s">
        <v>632</v>
      </c>
      <c r="E1786" t="s">
        <v>238</v>
      </c>
      <c r="F1786" t="s">
        <v>630</v>
      </c>
      <c r="K1786" t="s">
        <v>657</v>
      </c>
      <c r="L1786" t="s">
        <v>21</v>
      </c>
      <c r="BX1786">
        <f>sum(j1786:an1786)</f>
        <v>0</v>
      </c>
    </row>
    <row r="1787" spans="1:76">
      <c r="A1787" t="s">
        <v>14</v>
      </c>
      <c r="B1787" t="s">
        <v>631</v>
      </c>
      <c r="C1787" t="s">
        <v>632</v>
      </c>
      <c r="E1787" t="s">
        <v>238</v>
      </c>
      <c r="F1787" t="s">
        <v>630</v>
      </c>
      <c r="K1787" t="s">
        <v>657</v>
      </c>
      <c r="L1787" t="s">
        <v>37</v>
      </c>
    </row>
    <row r="1788" spans="1:76">
      <c r="L1788" t="s">
        <v>662</v>
      </c>
    </row>
    <row r="1789" spans="1:76">
      <c r="L1789" t="s">
        <v>663</v>
      </c>
    </row>
    <row r="1790" spans="1:76">
      <c r="L1790" t="s">
        <v>664</v>
      </c>
    </row>
    <row r="1791" spans="1:76">
      <c r="L1791" t="s">
        <v>665</v>
      </c>
      <c r="M1791">
        <f>IF(DAY(NOW())&lt;M3,INDIRECT(ADDRESS(1791,7))-INDIRECT(ADDRESS(1786,13))+INDIRECT(ADDRESS(1787,13))-INDIRECT(ADDRESS(1790,13)),INDIRECT(ADDRESS(1791,7))-INDIRECT(ADDRESS(1786,13))+INDIRECT(ADDRESS(1789,13))-INDIRECT(ADDRESS(1790,13)))</f>
        <v>0</v>
      </c>
      <c r="N1791">
        <f>IF(DAY(NOW())&lt;M3,INDIRECT(ADDRESS(1791,13))-INDIRECT(ADDRESS(1786,14))+INDIRECT(ADDRESS(1787,14))-INDIRECT(ADDRESS(1790,14)),INDIRECT(ADDRESS(1791,13))-INDIRECT(ADDRESS(1786,14))+INDIRECT(ADDRESS(1789,14))-INDIRECT(ADDRESS(1790,14)))</f>
        <v>0</v>
      </c>
      <c r="O1791">
        <f>IF(DAY(NOW())&lt;M3,INDIRECT(ADDRESS(1791,14))-INDIRECT(ADDRESS(1786,15))+INDIRECT(ADDRESS(1787,15))-INDIRECT(ADDRESS(1790,15)),INDIRECT(ADDRESS(1791,14))-INDIRECT(ADDRESS(1786,15))+INDIRECT(ADDRESS(1789,15))-INDIRECT(ADDRESS(1790,15)))</f>
        <v>0</v>
      </c>
      <c r="P1791">
        <f>IF(DAY(NOW())&lt;M3,INDIRECT(ADDRESS(1791,15))-INDIRECT(ADDRESS(1786,16))+INDIRECT(ADDRESS(1787,16))-INDIRECT(ADDRESS(1790,16)),INDIRECT(ADDRESS(1791,15))-INDIRECT(ADDRESS(1786,16))+INDIRECT(ADDRESS(1789,16))-INDIRECT(ADDRESS(1790,16)))</f>
        <v>0</v>
      </c>
      <c r="Q1791">
        <f>IF(DAY(NOW())&lt;M3,INDIRECT(ADDRESS(1791,16))-INDIRECT(ADDRESS(1786,17))+INDIRECT(ADDRESS(1787,17))-INDIRECT(ADDRESS(1790,17)),INDIRECT(ADDRESS(1791,16))-INDIRECT(ADDRESS(1786,17))+INDIRECT(ADDRESS(1789,17))-INDIRECT(ADDRESS(1790,17)))</f>
        <v>0</v>
      </c>
      <c r="R1791">
        <f>IF(DAY(NOW())&lt;M3,INDIRECT(ADDRESS(1791,17))-INDIRECT(ADDRESS(1786,18))+INDIRECT(ADDRESS(1787,18))-INDIRECT(ADDRESS(1790,18)),INDIRECT(ADDRESS(1791,17))-INDIRECT(ADDRESS(1786,18))+INDIRECT(ADDRESS(1789,18))-INDIRECT(ADDRESS(1790,18)))</f>
        <v>0</v>
      </c>
      <c r="S1791">
        <f>IF(DAY(NOW())&lt;M3,INDIRECT(ADDRESS(1791,18))-INDIRECT(ADDRESS(1786,19))+INDIRECT(ADDRESS(1787,19))-INDIRECT(ADDRESS(1790,19)),INDIRECT(ADDRESS(1791,18))-INDIRECT(ADDRESS(1786,19))+INDIRECT(ADDRESS(1789,19))-INDIRECT(ADDRESS(1790,19)))</f>
        <v>0</v>
      </c>
      <c r="T1791">
        <f>IF(DAY(NOW())&lt;M3,INDIRECT(ADDRESS(1791,19))-INDIRECT(ADDRESS(1786,20))+INDIRECT(ADDRESS(1787,20))-INDIRECT(ADDRESS(1790,20)),INDIRECT(ADDRESS(1791,19))-INDIRECT(ADDRESS(1786,20))+INDIRECT(ADDRESS(1789,20))-INDIRECT(ADDRESS(1790,20)))</f>
        <v>0</v>
      </c>
      <c r="U1791">
        <f>IF(DAY(NOW())&lt;M3,INDIRECT(ADDRESS(1791,20))-INDIRECT(ADDRESS(1786,21))+INDIRECT(ADDRESS(1787,21))-INDIRECT(ADDRESS(1790,21)),INDIRECT(ADDRESS(1791,20))-INDIRECT(ADDRESS(1786,21))+INDIRECT(ADDRESS(1789,21))-INDIRECT(ADDRESS(1790,21)))</f>
        <v>0</v>
      </c>
      <c r="V1791">
        <f>IF(DAY(NOW())&lt;M3,INDIRECT(ADDRESS(1791,21))-INDIRECT(ADDRESS(1786,22))+INDIRECT(ADDRESS(1787,22))-INDIRECT(ADDRESS(1790,22)),INDIRECT(ADDRESS(1791,21))-INDIRECT(ADDRESS(1786,22))+INDIRECT(ADDRESS(1789,22))-INDIRECT(ADDRESS(1790,22)))</f>
        <v>0</v>
      </c>
      <c r="W1791">
        <f>IF(DAY(NOW())&lt;M3,INDIRECT(ADDRESS(1791,22))-INDIRECT(ADDRESS(1786,23))+INDIRECT(ADDRESS(1787,23))-INDIRECT(ADDRESS(1790,23)),INDIRECT(ADDRESS(1791,22))-INDIRECT(ADDRESS(1786,23))+INDIRECT(ADDRESS(1789,23))-INDIRECT(ADDRESS(1790,23)))</f>
        <v>0</v>
      </c>
      <c r="X1791">
        <f>IF(DAY(NOW())&lt;M3,INDIRECT(ADDRESS(1791,23))-INDIRECT(ADDRESS(1786,24))+INDIRECT(ADDRESS(1787,24))-INDIRECT(ADDRESS(1790,24)),INDIRECT(ADDRESS(1791,23))-INDIRECT(ADDRESS(1786,24))+INDIRECT(ADDRESS(1789,24))-INDIRECT(ADDRESS(1790,24)))</f>
        <v>0</v>
      </c>
      <c r="Y1791">
        <f>IF(DAY(NOW())&lt;M3,INDIRECT(ADDRESS(1791,24))-INDIRECT(ADDRESS(1786,25))+INDIRECT(ADDRESS(1787,25))-INDIRECT(ADDRESS(1790,25)),INDIRECT(ADDRESS(1791,24))-INDIRECT(ADDRESS(1786,25))+INDIRECT(ADDRESS(1789,25))-INDIRECT(ADDRESS(1790,25)))</f>
        <v>0</v>
      </c>
      <c r="Z1791">
        <f>IF(DAY(NOW())&lt;M3,INDIRECT(ADDRESS(1791,25))-INDIRECT(ADDRESS(1786,26))+INDIRECT(ADDRESS(1787,26))-INDIRECT(ADDRESS(1790,26)),INDIRECT(ADDRESS(1791,25))-INDIRECT(ADDRESS(1786,26))+INDIRECT(ADDRESS(1789,26))-INDIRECT(ADDRESS(1790,26)))</f>
        <v>0</v>
      </c>
      <c r="AA1791">
        <f>IF(DAY(NOW())&lt;M3,INDIRECT(ADDRESS(1791,26))-INDIRECT(ADDRESS(1786,27))+INDIRECT(ADDRESS(1787,27))-INDIRECT(ADDRESS(1790,27)),INDIRECT(ADDRESS(1791,26))-INDIRECT(ADDRESS(1786,27))+INDIRECT(ADDRESS(1789,27))-INDIRECT(ADDRESS(1790,27)))</f>
        <v>0</v>
      </c>
      <c r="AB1791">
        <f>IF(DAY(NOW())&lt;M3,INDIRECT(ADDRESS(1791,27))-INDIRECT(ADDRESS(1786,28))+INDIRECT(ADDRESS(1787,28))-INDIRECT(ADDRESS(1790,28)),INDIRECT(ADDRESS(1791,27))-INDIRECT(ADDRESS(1786,28))+INDIRECT(ADDRESS(1789,28))-INDIRECT(ADDRESS(1790,28)))</f>
        <v>0</v>
      </c>
      <c r="AC1791">
        <f>IF(DAY(NOW())&lt;M3,INDIRECT(ADDRESS(1791,28))-INDIRECT(ADDRESS(1786,29))+INDIRECT(ADDRESS(1787,29))-INDIRECT(ADDRESS(1790,29)),INDIRECT(ADDRESS(1791,28))-INDIRECT(ADDRESS(1786,29))+INDIRECT(ADDRESS(1789,29))-INDIRECT(ADDRESS(1790,29)))</f>
        <v>0</v>
      </c>
      <c r="AD1791">
        <f>IF(DAY(NOW())&lt;M3,INDIRECT(ADDRESS(1791,29))-INDIRECT(ADDRESS(1786,30))+INDIRECT(ADDRESS(1787,30))-INDIRECT(ADDRESS(1790,30)),INDIRECT(ADDRESS(1791,29))-INDIRECT(ADDRESS(1786,30))+INDIRECT(ADDRESS(1789,30))-INDIRECT(ADDRESS(1790,30)))</f>
        <v>0</v>
      </c>
      <c r="AE1791">
        <f>IF(DAY(NOW())&lt;M3,INDIRECT(ADDRESS(1791,30))-INDIRECT(ADDRESS(1786,31))+INDIRECT(ADDRESS(1787,31))-INDIRECT(ADDRESS(1790,31)),INDIRECT(ADDRESS(1791,30))-INDIRECT(ADDRESS(1786,31))+INDIRECT(ADDRESS(1789,31))-INDIRECT(ADDRESS(1790,31)))</f>
        <v>0</v>
      </c>
      <c r="AF1791">
        <f>IF(DAY(NOW())&lt;M3,INDIRECT(ADDRESS(1791,31))-INDIRECT(ADDRESS(1786,32))+INDIRECT(ADDRESS(1787,32))-INDIRECT(ADDRESS(1790,32)),INDIRECT(ADDRESS(1791,31))-INDIRECT(ADDRESS(1786,32))+INDIRECT(ADDRESS(1789,32))-INDIRECT(ADDRESS(1790,32)))</f>
        <v>0</v>
      </c>
      <c r="AG1791">
        <f>IF(DAY(NOW())&lt;M3,INDIRECT(ADDRESS(1791,32))-INDIRECT(ADDRESS(1786,33))+INDIRECT(ADDRESS(1787,33))-INDIRECT(ADDRESS(1790,33)),INDIRECT(ADDRESS(1791,32))-INDIRECT(ADDRESS(1786,33))+INDIRECT(ADDRESS(1789,33))-INDIRECT(ADDRESS(1790,33)))</f>
        <v>0</v>
      </c>
      <c r="AH1791">
        <f>IF(DAY(NOW())&lt;M3,INDIRECT(ADDRESS(1791,33))-INDIRECT(ADDRESS(1786,34))+INDIRECT(ADDRESS(1787,34))-INDIRECT(ADDRESS(1790,34)),INDIRECT(ADDRESS(1791,33))-INDIRECT(ADDRESS(1786,34))+INDIRECT(ADDRESS(1789,34))-INDIRECT(ADDRESS(1790,34)))</f>
        <v>0</v>
      </c>
      <c r="AI1791">
        <f>IF(DAY(NOW())&lt;M3,INDIRECT(ADDRESS(1791,34))-INDIRECT(ADDRESS(1786,35))+INDIRECT(ADDRESS(1787,35))-INDIRECT(ADDRESS(1790,35)),INDIRECT(ADDRESS(1791,34))-INDIRECT(ADDRESS(1786,35))+INDIRECT(ADDRESS(1789,35))-INDIRECT(ADDRESS(1790,35)))</f>
        <v>0</v>
      </c>
      <c r="AJ1791">
        <f>IF(DAY(NOW())&lt;M3,INDIRECT(ADDRESS(1791,35))-INDIRECT(ADDRESS(1786,36))+INDIRECT(ADDRESS(1787,36))-INDIRECT(ADDRESS(1790,36)),INDIRECT(ADDRESS(1791,35))-INDIRECT(ADDRESS(1786,36))+INDIRECT(ADDRESS(1789,36))-INDIRECT(ADDRESS(1790,36)))</f>
        <v>0</v>
      </c>
      <c r="AK1791">
        <f>IF(DAY(NOW())&lt;M3,INDIRECT(ADDRESS(1791,36))-INDIRECT(ADDRESS(1786,37))+INDIRECT(ADDRESS(1787,37))-INDIRECT(ADDRESS(1790,37)),INDIRECT(ADDRESS(1791,36))-INDIRECT(ADDRESS(1786,37))+INDIRECT(ADDRESS(1789,37))-INDIRECT(ADDRESS(1790,37)))</f>
        <v>0</v>
      </c>
      <c r="AL1791">
        <f>IF(DAY(NOW())&lt;M3,INDIRECT(ADDRESS(1791,37))-INDIRECT(ADDRESS(1786,38))+INDIRECT(ADDRESS(1787,38))-INDIRECT(ADDRESS(1790,38)),INDIRECT(ADDRESS(1791,37))-INDIRECT(ADDRESS(1786,38))+INDIRECT(ADDRESS(1789,38))-INDIRECT(ADDRESS(1790,38)))</f>
        <v>0</v>
      </c>
      <c r="AM1791">
        <f>IF(DAY(NOW())&lt;M3,INDIRECT(ADDRESS(1791,38))-INDIRECT(ADDRESS(1786,39))+INDIRECT(ADDRESS(1787,39))-INDIRECT(ADDRESS(1790,39)),INDIRECT(ADDRESS(1791,38))-INDIRECT(ADDRESS(1786,39))+INDIRECT(ADDRESS(1789,39))-INDIRECT(ADDRESS(1790,39)))</f>
        <v>0</v>
      </c>
      <c r="AN1791">
        <f>IF(DAY(NOW())&lt;M3,INDIRECT(ADDRESS(1791,39))-INDIRECT(ADDRESS(1786,40))+INDIRECT(ADDRESS(1787,40))-INDIRECT(ADDRESS(1790,40)),INDIRECT(ADDRESS(1791,39))-INDIRECT(ADDRESS(1786,40))+INDIRECT(ADDRESS(1789,40))-INDIRECT(ADDRESS(1790,40)))</f>
        <v>0</v>
      </c>
      <c r="AO1791">
        <f>IF(DAY(NOW())&lt;M3,INDIRECT(ADDRESS(1791,40))-INDIRECT(ADDRESS(1786,41))+INDIRECT(ADDRESS(1787,41))-INDIRECT(ADDRESS(1790,41)),INDIRECT(ADDRESS(1791,40))-INDIRECT(ADDRESS(1786,41))+INDIRECT(ADDRESS(1789,41))-INDIRECT(ADDRESS(1790,41)))</f>
        <v>0</v>
      </c>
      <c r="AP1791">
        <f>IF(DAY(NOW())&lt;M3,INDIRECT(ADDRESS(1791,41))-INDIRECT(ADDRESS(1786,42))+INDIRECT(ADDRESS(1787,42))-INDIRECT(ADDRESS(1790,42)),INDIRECT(ADDRESS(1791,41))-INDIRECT(ADDRESS(1786,42))+INDIRECT(ADDRESS(1789,42))-INDIRECT(ADDRESS(1790,42)))</f>
        <v>0</v>
      </c>
      <c r="AQ1791">
        <f>IF(DAY(NOW())&lt;M3,INDIRECT(ADDRESS(1791,42))-INDIRECT(ADDRESS(1786,43))+INDIRECT(ADDRESS(1787,43))-INDIRECT(ADDRESS(1790,43)),INDIRECT(ADDRESS(1791,42))-INDIRECT(ADDRESS(1786,43))+INDIRECT(ADDRESS(1789,43))-INDIRECT(ADDRESS(1790,43)))</f>
        <v>0</v>
      </c>
      <c r="AR1791">
        <f>IF(DAY(NOW())&lt;M3,INDIRECT(ADDRESS(1791,43))-INDIRECT(ADDRESS(1786,44))+INDIRECT(ADDRESS(1787,44))-INDIRECT(ADDRESS(1790,44)),INDIRECT(ADDRESS(1791,43))-INDIRECT(ADDRESS(1786,44))+INDIRECT(ADDRESS(1789,44))-INDIRECT(ADDRESS(1790,44)))</f>
        <v>0</v>
      </c>
    </row>
    <row r="1792" spans="1:76">
      <c r="A1792" t="s">
        <v>14</v>
      </c>
      <c r="B1792" t="s">
        <v>634</v>
      </c>
      <c r="C1792" t="s">
        <v>635</v>
      </c>
      <c r="E1792" t="s">
        <v>444</v>
      </c>
      <c r="F1792" t="s">
        <v>633</v>
      </c>
      <c r="K1792" t="s">
        <v>657</v>
      </c>
      <c r="L1792" t="s">
        <v>21</v>
      </c>
      <c r="BX1792">
        <f>sum(j1792:an1792)</f>
        <v>0</v>
      </c>
    </row>
    <row r="1793" spans="1:76">
      <c r="A1793" t="s">
        <v>14</v>
      </c>
      <c r="B1793" t="s">
        <v>634</v>
      </c>
      <c r="C1793" t="s">
        <v>635</v>
      </c>
      <c r="E1793" t="s">
        <v>444</v>
      </c>
      <c r="F1793" t="s">
        <v>633</v>
      </c>
      <c r="K1793" t="s">
        <v>657</v>
      </c>
      <c r="L1793" t="s">
        <v>37</v>
      </c>
    </row>
    <row r="1794" spans="1:76">
      <c r="L1794" t="s">
        <v>662</v>
      </c>
    </row>
    <row r="1795" spans="1:76">
      <c r="L1795" t="s">
        <v>663</v>
      </c>
    </row>
    <row r="1796" spans="1:76">
      <c r="L1796" t="s">
        <v>664</v>
      </c>
    </row>
    <row r="1797" spans="1:76">
      <c r="L1797" t="s">
        <v>665</v>
      </c>
      <c r="M1797">
        <f>IF(DAY(NOW())&lt;M3,INDIRECT(ADDRESS(1797,7))-INDIRECT(ADDRESS(1792,13))+INDIRECT(ADDRESS(1793,13))-INDIRECT(ADDRESS(1796,13)),INDIRECT(ADDRESS(1797,7))-INDIRECT(ADDRESS(1792,13))+INDIRECT(ADDRESS(1795,13))-INDIRECT(ADDRESS(1796,13)))</f>
        <v>0</v>
      </c>
      <c r="N1797">
        <f>IF(DAY(NOW())&lt;M3,INDIRECT(ADDRESS(1797,13))-INDIRECT(ADDRESS(1792,14))+INDIRECT(ADDRESS(1793,14))-INDIRECT(ADDRESS(1796,14)),INDIRECT(ADDRESS(1797,13))-INDIRECT(ADDRESS(1792,14))+INDIRECT(ADDRESS(1795,14))-INDIRECT(ADDRESS(1796,14)))</f>
        <v>0</v>
      </c>
      <c r="O1797">
        <f>IF(DAY(NOW())&lt;M3,INDIRECT(ADDRESS(1797,14))-INDIRECT(ADDRESS(1792,15))+INDIRECT(ADDRESS(1793,15))-INDIRECT(ADDRESS(1796,15)),INDIRECT(ADDRESS(1797,14))-INDIRECT(ADDRESS(1792,15))+INDIRECT(ADDRESS(1795,15))-INDIRECT(ADDRESS(1796,15)))</f>
        <v>0</v>
      </c>
      <c r="P1797">
        <f>IF(DAY(NOW())&lt;M3,INDIRECT(ADDRESS(1797,15))-INDIRECT(ADDRESS(1792,16))+INDIRECT(ADDRESS(1793,16))-INDIRECT(ADDRESS(1796,16)),INDIRECT(ADDRESS(1797,15))-INDIRECT(ADDRESS(1792,16))+INDIRECT(ADDRESS(1795,16))-INDIRECT(ADDRESS(1796,16)))</f>
        <v>0</v>
      </c>
      <c r="Q1797">
        <f>IF(DAY(NOW())&lt;M3,INDIRECT(ADDRESS(1797,16))-INDIRECT(ADDRESS(1792,17))+INDIRECT(ADDRESS(1793,17))-INDIRECT(ADDRESS(1796,17)),INDIRECT(ADDRESS(1797,16))-INDIRECT(ADDRESS(1792,17))+INDIRECT(ADDRESS(1795,17))-INDIRECT(ADDRESS(1796,17)))</f>
        <v>0</v>
      </c>
      <c r="R1797">
        <f>IF(DAY(NOW())&lt;M3,INDIRECT(ADDRESS(1797,17))-INDIRECT(ADDRESS(1792,18))+INDIRECT(ADDRESS(1793,18))-INDIRECT(ADDRESS(1796,18)),INDIRECT(ADDRESS(1797,17))-INDIRECT(ADDRESS(1792,18))+INDIRECT(ADDRESS(1795,18))-INDIRECT(ADDRESS(1796,18)))</f>
        <v>0</v>
      </c>
      <c r="S1797">
        <f>IF(DAY(NOW())&lt;M3,INDIRECT(ADDRESS(1797,18))-INDIRECT(ADDRESS(1792,19))+INDIRECT(ADDRESS(1793,19))-INDIRECT(ADDRESS(1796,19)),INDIRECT(ADDRESS(1797,18))-INDIRECT(ADDRESS(1792,19))+INDIRECT(ADDRESS(1795,19))-INDIRECT(ADDRESS(1796,19)))</f>
        <v>0</v>
      </c>
      <c r="T1797">
        <f>IF(DAY(NOW())&lt;M3,INDIRECT(ADDRESS(1797,19))-INDIRECT(ADDRESS(1792,20))+INDIRECT(ADDRESS(1793,20))-INDIRECT(ADDRESS(1796,20)),INDIRECT(ADDRESS(1797,19))-INDIRECT(ADDRESS(1792,20))+INDIRECT(ADDRESS(1795,20))-INDIRECT(ADDRESS(1796,20)))</f>
        <v>0</v>
      </c>
      <c r="U1797">
        <f>IF(DAY(NOW())&lt;M3,INDIRECT(ADDRESS(1797,20))-INDIRECT(ADDRESS(1792,21))+INDIRECT(ADDRESS(1793,21))-INDIRECT(ADDRESS(1796,21)),INDIRECT(ADDRESS(1797,20))-INDIRECT(ADDRESS(1792,21))+INDIRECT(ADDRESS(1795,21))-INDIRECT(ADDRESS(1796,21)))</f>
        <v>0</v>
      </c>
      <c r="V1797">
        <f>IF(DAY(NOW())&lt;M3,INDIRECT(ADDRESS(1797,21))-INDIRECT(ADDRESS(1792,22))+INDIRECT(ADDRESS(1793,22))-INDIRECT(ADDRESS(1796,22)),INDIRECT(ADDRESS(1797,21))-INDIRECT(ADDRESS(1792,22))+INDIRECT(ADDRESS(1795,22))-INDIRECT(ADDRESS(1796,22)))</f>
        <v>0</v>
      </c>
      <c r="W1797">
        <f>IF(DAY(NOW())&lt;M3,INDIRECT(ADDRESS(1797,22))-INDIRECT(ADDRESS(1792,23))+INDIRECT(ADDRESS(1793,23))-INDIRECT(ADDRESS(1796,23)),INDIRECT(ADDRESS(1797,22))-INDIRECT(ADDRESS(1792,23))+INDIRECT(ADDRESS(1795,23))-INDIRECT(ADDRESS(1796,23)))</f>
        <v>0</v>
      </c>
      <c r="X1797">
        <f>IF(DAY(NOW())&lt;M3,INDIRECT(ADDRESS(1797,23))-INDIRECT(ADDRESS(1792,24))+INDIRECT(ADDRESS(1793,24))-INDIRECT(ADDRESS(1796,24)),INDIRECT(ADDRESS(1797,23))-INDIRECT(ADDRESS(1792,24))+INDIRECT(ADDRESS(1795,24))-INDIRECT(ADDRESS(1796,24)))</f>
        <v>0</v>
      </c>
      <c r="Y1797">
        <f>IF(DAY(NOW())&lt;M3,INDIRECT(ADDRESS(1797,24))-INDIRECT(ADDRESS(1792,25))+INDIRECT(ADDRESS(1793,25))-INDIRECT(ADDRESS(1796,25)),INDIRECT(ADDRESS(1797,24))-INDIRECT(ADDRESS(1792,25))+INDIRECT(ADDRESS(1795,25))-INDIRECT(ADDRESS(1796,25)))</f>
        <v>0</v>
      </c>
      <c r="Z1797">
        <f>IF(DAY(NOW())&lt;M3,INDIRECT(ADDRESS(1797,25))-INDIRECT(ADDRESS(1792,26))+INDIRECT(ADDRESS(1793,26))-INDIRECT(ADDRESS(1796,26)),INDIRECT(ADDRESS(1797,25))-INDIRECT(ADDRESS(1792,26))+INDIRECT(ADDRESS(1795,26))-INDIRECT(ADDRESS(1796,26)))</f>
        <v>0</v>
      </c>
      <c r="AA1797">
        <f>IF(DAY(NOW())&lt;M3,INDIRECT(ADDRESS(1797,26))-INDIRECT(ADDRESS(1792,27))+INDIRECT(ADDRESS(1793,27))-INDIRECT(ADDRESS(1796,27)),INDIRECT(ADDRESS(1797,26))-INDIRECT(ADDRESS(1792,27))+INDIRECT(ADDRESS(1795,27))-INDIRECT(ADDRESS(1796,27)))</f>
        <v>0</v>
      </c>
      <c r="AB1797">
        <f>IF(DAY(NOW())&lt;M3,INDIRECT(ADDRESS(1797,27))-INDIRECT(ADDRESS(1792,28))+INDIRECT(ADDRESS(1793,28))-INDIRECT(ADDRESS(1796,28)),INDIRECT(ADDRESS(1797,27))-INDIRECT(ADDRESS(1792,28))+INDIRECT(ADDRESS(1795,28))-INDIRECT(ADDRESS(1796,28)))</f>
        <v>0</v>
      </c>
      <c r="AC1797">
        <f>IF(DAY(NOW())&lt;M3,INDIRECT(ADDRESS(1797,28))-INDIRECT(ADDRESS(1792,29))+INDIRECT(ADDRESS(1793,29))-INDIRECT(ADDRESS(1796,29)),INDIRECT(ADDRESS(1797,28))-INDIRECT(ADDRESS(1792,29))+INDIRECT(ADDRESS(1795,29))-INDIRECT(ADDRESS(1796,29)))</f>
        <v>0</v>
      </c>
      <c r="AD1797">
        <f>IF(DAY(NOW())&lt;M3,INDIRECT(ADDRESS(1797,29))-INDIRECT(ADDRESS(1792,30))+INDIRECT(ADDRESS(1793,30))-INDIRECT(ADDRESS(1796,30)),INDIRECT(ADDRESS(1797,29))-INDIRECT(ADDRESS(1792,30))+INDIRECT(ADDRESS(1795,30))-INDIRECT(ADDRESS(1796,30)))</f>
        <v>0</v>
      </c>
      <c r="AE1797">
        <f>IF(DAY(NOW())&lt;M3,INDIRECT(ADDRESS(1797,30))-INDIRECT(ADDRESS(1792,31))+INDIRECT(ADDRESS(1793,31))-INDIRECT(ADDRESS(1796,31)),INDIRECT(ADDRESS(1797,30))-INDIRECT(ADDRESS(1792,31))+INDIRECT(ADDRESS(1795,31))-INDIRECT(ADDRESS(1796,31)))</f>
        <v>0</v>
      </c>
      <c r="AF1797">
        <f>IF(DAY(NOW())&lt;M3,INDIRECT(ADDRESS(1797,31))-INDIRECT(ADDRESS(1792,32))+INDIRECT(ADDRESS(1793,32))-INDIRECT(ADDRESS(1796,32)),INDIRECT(ADDRESS(1797,31))-INDIRECT(ADDRESS(1792,32))+INDIRECT(ADDRESS(1795,32))-INDIRECT(ADDRESS(1796,32)))</f>
        <v>0</v>
      </c>
      <c r="AG1797">
        <f>IF(DAY(NOW())&lt;M3,INDIRECT(ADDRESS(1797,32))-INDIRECT(ADDRESS(1792,33))+INDIRECT(ADDRESS(1793,33))-INDIRECT(ADDRESS(1796,33)),INDIRECT(ADDRESS(1797,32))-INDIRECT(ADDRESS(1792,33))+INDIRECT(ADDRESS(1795,33))-INDIRECT(ADDRESS(1796,33)))</f>
        <v>0</v>
      </c>
      <c r="AH1797">
        <f>IF(DAY(NOW())&lt;M3,INDIRECT(ADDRESS(1797,33))-INDIRECT(ADDRESS(1792,34))+INDIRECT(ADDRESS(1793,34))-INDIRECT(ADDRESS(1796,34)),INDIRECT(ADDRESS(1797,33))-INDIRECT(ADDRESS(1792,34))+INDIRECT(ADDRESS(1795,34))-INDIRECT(ADDRESS(1796,34)))</f>
        <v>0</v>
      </c>
      <c r="AI1797">
        <f>IF(DAY(NOW())&lt;M3,INDIRECT(ADDRESS(1797,34))-INDIRECT(ADDRESS(1792,35))+INDIRECT(ADDRESS(1793,35))-INDIRECT(ADDRESS(1796,35)),INDIRECT(ADDRESS(1797,34))-INDIRECT(ADDRESS(1792,35))+INDIRECT(ADDRESS(1795,35))-INDIRECT(ADDRESS(1796,35)))</f>
        <v>0</v>
      </c>
      <c r="AJ1797">
        <f>IF(DAY(NOW())&lt;M3,INDIRECT(ADDRESS(1797,35))-INDIRECT(ADDRESS(1792,36))+INDIRECT(ADDRESS(1793,36))-INDIRECT(ADDRESS(1796,36)),INDIRECT(ADDRESS(1797,35))-INDIRECT(ADDRESS(1792,36))+INDIRECT(ADDRESS(1795,36))-INDIRECT(ADDRESS(1796,36)))</f>
        <v>0</v>
      </c>
      <c r="AK1797">
        <f>IF(DAY(NOW())&lt;M3,INDIRECT(ADDRESS(1797,36))-INDIRECT(ADDRESS(1792,37))+INDIRECT(ADDRESS(1793,37))-INDIRECT(ADDRESS(1796,37)),INDIRECT(ADDRESS(1797,36))-INDIRECT(ADDRESS(1792,37))+INDIRECT(ADDRESS(1795,37))-INDIRECT(ADDRESS(1796,37)))</f>
        <v>0</v>
      </c>
      <c r="AL1797">
        <f>IF(DAY(NOW())&lt;M3,INDIRECT(ADDRESS(1797,37))-INDIRECT(ADDRESS(1792,38))+INDIRECT(ADDRESS(1793,38))-INDIRECT(ADDRESS(1796,38)),INDIRECT(ADDRESS(1797,37))-INDIRECT(ADDRESS(1792,38))+INDIRECT(ADDRESS(1795,38))-INDIRECT(ADDRESS(1796,38)))</f>
        <v>0</v>
      </c>
      <c r="AM1797">
        <f>IF(DAY(NOW())&lt;M3,INDIRECT(ADDRESS(1797,38))-INDIRECT(ADDRESS(1792,39))+INDIRECT(ADDRESS(1793,39))-INDIRECT(ADDRESS(1796,39)),INDIRECT(ADDRESS(1797,38))-INDIRECT(ADDRESS(1792,39))+INDIRECT(ADDRESS(1795,39))-INDIRECT(ADDRESS(1796,39)))</f>
        <v>0</v>
      </c>
      <c r="AN1797">
        <f>IF(DAY(NOW())&lt;M3,INDIRECT(ADDRESS(1797,39))-INDIRECT(ADDRESS(1792,40))+INDIRECT(ADDRESS(1793,40))-INDIRECT(ADDRESS(1796,40)),INDIRECT(ADDRESS(1797,39))-INDIRECT(ADDRESS(1792,40))+INDIRECT(ADDRESS(1795,40))-INDIRECT(ADDRESS(1796,40)))</f>
        <v>0</v>
      </c>
      <c r="AO1797">
        <f>IF(DAY(NOW())&lt;M3,INDIRECT(ADDRESS(1797,40))-INDIRECT(ADDRESS(1792,41))+INDIRECT(ADDRESS(1793,41))-INDIRECT(ADDRESS(1796,41)),INDIRECT(ADDRESS(1797,40))-INDIRECT(ADDRESS(1792,41))+INDIRECT(ADDRESS(1795,41))-INDIRECT(ADDRESS(1796,41)))</f>
        <v>0</v>
      </c>
      <c r="AP1797">
        <f>IF(DAY(NOW())&lt;M3,INDIRECT(ADDRESS(1797,41))-INDIRECT(ADDRESS(1792,42))+INDIRECT(ADDRESS(1793,42))-INDIRECT(ADDRESS(1796,42)),INDIRECT(ADDRESS(1797,41))-INDIRECT(ADDRESS(1792,42))+INDIRECT(ADDRESS(1795,42))-INDIRECT(ADDRESS(1796,42)))</f>
        <v>0</v>
      </c>
      <c r="AQ1797">
        <f>IF(DAY(NOW())&lt;M3,INDIRECT(ADDRESS(1797,42))-INDIRECT(ADDRESS(1792,43))+INDIRECT(ADDRESS(1793,43))-INDIRECT(ADDRESS(1796,43)),INDIRECT(ADDRESS(1797,42))-INDIRECT(ADDRESS(1792,43))+INDIRECT(ADDRESS(1795,43))-INDIRECT(ADDRESS(1796,43)))</f>
        <v>0</v>
      </c>
      <c r="AR1797">
        <f>IF(DAY(NOW())&lt;M3,INDIRECT(ADDRESS(1797,43))-INDIRECT(ADDRESS(1792,44))+INDIRECT(ADDRESS(1793,44))-INDIRECT(ADDRESS(1796,44)),INDIRECT(ADDRESS(1797,43))-INDIRECT(ADDRESS(1792,44))+INDIRECT(ADDRESS(1795,44))-INDIRECT(ADDRESS(1796,44)))</f>
        <v>0</v>
      </c>
    </row>
    <row r="1798" spans="1:76">
      <c r="A1798" t="s">
        <v>14</v>
      </c>
      <c r="B1798" t="s">
        <v>637</v>
      </c>
      <c r="C1798" t="s">
        <v>638</v>
      </c>
      <c r="E1798" t="s">
        <v>444</v>
      </c>
      <c r="F1798" t="s">
        <v>636</v>
      </c>
      <c r="K1798" t="s">
        <v>657</v>
      </c>
      <c r="L1798" t="s">
        <v>21</v>
      </c>
      <c r="BX1798">
        <f>sum(j1798:an1798)</f>
        <v>0</v>
      </c>
    </row>
    <row r="1799" spans="1:76">
      <c r="A1799" t="s">
        <v>14</v>
      </c>
      <c r="B1799" t="s">
        <v>637</v>
      </c>
      <c r="C1799" t="s">
        <v>638</v>
      </c>
      <c r="E1799" t="s">
        <v>444</v>
      </c>
      <c r="F1799" t="s">
        <v>636</v>
      </c>
      <c r="K1799" t="s">
        <v>657</v>
      </c>
      <c r="L1799" t="s">
        <v>37</v>
      </c>
    </row>
    <row r="1800" spans="1:76">
      <c r="L1800" t="s">
        <v>662</v>
      </c>
    </row>
    <row r="1801" spans="1:76">
      <c r="L1801" t="s">
        <v>663</v>
      </c>
    </row>
    <row r="1802" spans="1:76">
      <c r="L1802" t="s">
        <v>664</v>
      </c>
    </row>
    <row r="1803" spans="1:76">
      <c r="L1803" t="s">
        <v>665</v>
      </c>
      <c r="M1803">
        <f>IF(DAY(NOW())&lt;M3,INDIRECT(ADDRESS(1803,7))-INDIRECT(ADDRESS(1798,13))+INDIRECT(ADDRESS(1799,13))-INDIRECT(ADDRESS(1802,13)),INDIRECT(ADDRESS(1803,7))-INDIRECT(ADDRESS(1798,13))+INDIRECT(ADDRESS(1801,13))-INDIRECT(ADDRESS(1802,13)))</f>
        <v>0</v>
      </c>
      <c r="N1803">
        <f>IF(DAY(NOW())&lt;M3,INDIRECT(ADDRESS(1803,13))-INDIRECT(ADDRESS(1798,14))+INDIRECT(ADDRESS(1799,14))-INDIRECT(ADDRESS(1802,14)),INDIRECT(ADDRESS(1803,13))-INDIRECT(ADDRESS(1798,14))+INDIRECT(ADDRESS(1801,14))-INDIRECT(ADDRESS(1802,14)))</f>
        <v>0</v>
      </c>
      <c r="O1803">
        <f>IF(DAY(NOW())&lt;M3,INDIRECT(ADDRESS(1803,14))-INDIRECT(ADDRESS(1798,15))+INDIRECT(ADDRESS(1799,15))-INDIRECT(ADDRESS(1802,15)),INDIRECT(ADDRESS(1803,14))-INDIRECT(ADDRESS(1798,15))+INDIRECT(ADDRESS(1801,15))-INDIRECT(ADDRESS(1802,15)))</f>
        <v>0</v>
      </c>
      <c r="P1803">
        <f>IF(DAY(NOW())&lt;M3,INDIRECT(ADDRESS(1803,15))-INDIRECT(ADDRESS(1798,16))+INDIRECT(ADDRESS(1799,16))-INDIRECT(ADDRESS(1802,16)),INDIRECT(ADDRESS(1803,15))-INDIRECT(ADDRESS(1798,16))+INDIRECT(ADDRESS(1801,16))-INDIRECT(ADDRESS(1802,16)))</f>
        <v>0</v>
      </c>
      <c r="Q1803">
        <f>IF(DAY(NOW())&lt;M3,INDIRECT(ADDRESS(1803,16))-INDIRECT(ADDRESS(1798,17))+INDIRECT(ADDRESS(1799,17))-INDIRECT(ADDRESS(1802,17)),INDIRECT(ADDRESS(1803,16))-INDIRECT(ADDRESS(1798,17))+INDIRECT(ADDRESS(1801,17))-INDIRECT(ADDRESS(1802,17)))</f>
        <v>0</v>
      </c>
      <c r="R1803">
        <f>IF(DAY(NOW())&lt;M3,INDIRECT(ADDRESS(1803,17))-INDIRECT(ADDRESS(1798,18))+INDIRECT(ADDRESS(1799,18))-INDIRECT(ADDRESS(1802,18)),INDIRECT(ADDRESS(1803,17))-INDIRECT(ADDRESS(1798,18))+INDIRECT(ADDRESS(1801,18))-INDIRECT(ADDRESS(1802,18)))</f>
        <v>0</v>
      </c>
      <c r="S1803">
        <f>IF(DAY(NOW())&lt;M3,INDIRECT(ADDRESS(1803,18))-INDIRECT(ADDRESS(1798,19))+INDIRECT(ADDRESS(1799,19))-INDIRECT(ADDRESS(1802,19)),INDIRECT(ADDRESS(1803,18))-INDIRECT(ADDRESS(1798,19))+INDIRECT(ADDRESS(1801,19))-INDIRECT(ADDRESS(1802,19)))</f>
        <v>0</v>
      </c>
      <c r="T1803">
        <f>IF(DAY(NOW())&lt;M3,INDIRECT(ADDRESS(1803,19))-INDIRECT(ADDRESS(1798,20))+INDIRECT(ADDRESS(1799,20))-INDIRECT(ADDRESS(1802,20)),INDIRECT(ADDRESS(1803,19))-INDIRECT(ADDRESS(1798,20))+INDIRECT(ADDRESS(1801,20))-INDIRECT(ADDRESS(1802,20)))</f>
        <v>0</v>
      </c>
      <c r="U1803">
        <f>IF(DAY(NOW())&lt;M3,INDIRECT(ADDRESS(1803,20))-INDIRECT(ADDRESS(1798,21))+INDIRECT(ADDRESS(1799,21))-INDIRECT(ADDRESS(1802,21)),INDIRECT(ADDRESS(1803,20))-INDIRECT(ADDRESS(1798,21))+INDIRECT(ADDRESS(1801,21))-INDIRECT(ADDRESS(1802,21)))</f>
        <v>0</v>
      </c>
      <c r="V1803">
        <f>IF(DAY(NOW())&lt;M3,INDIRECT(ADDRESS(1803,21))-INDIRECT(ADDRESS(1798,22))+INDIRECT(ADDRESS(1799,22))-INDIRECT(ADDRESS(1802,22)),INDIRECT(ADDRESS(1803,21))-INDIRECT(ADDRESS(1798,22))+INDIRECT(ADDRESS(1801,22))-INDIRECT(ADDRESS(1802,22)))</f>
        <v>0</v>
      </c>
      <c r="W1803">
        <f>IF(DAY(NOW())&lt;M3,INDIRECT(ADDRESS(1803,22))-INDIRECT(ADDRESS(1798,23))+INDIRECT(ADDRESS(1799,23))-INDIRECT(ADDRESS(1802,23)),INDIRECT(ADDRESS(1803,22))-INDIRECT(ADDRESS(1798,23))+INDIRECT(ADDRESS(1801,23))-INDIRECT(ADDRESS(1802,23)))</f>
        <v>0</v>
      </c>
      <c r="X1803">
        <f>IF(DAY(NOW())&lt;M3,INDIRECT(ADDRESS(1803,23))-INDIRECT(ADDRESS(1798,24))+INDIRECT(ADDRESS(1799,24))-INDIRECT(ADDRESS(1802,24)),INDIRECT(ADDRESS(1803,23))-INDIRECT(ADDRESS(1798,24))+INDIRECT(ADDRESS(1801,24))-INDIRECT(ADDRESS(1802,24)))</f>
        <v>0</v>
      </c>
      <c r="Y1803">
        <f>IF(DAY(NOW())&lt;M3,INDIRECT(ADDRESS(1803,24))-INDIRECT(ADDRESS(1798,25))+INDIRECT(ADDRESS(1799,25))-INDIRECT(ADDRESS(1802,25)),INDIRECT(ADDRESS(1803,24))-INDIRECT(ADDRESS(1798,25))+INDIRECT(ADDRESS(1801,25))-INDIRECT(ADDRESS(1802,25)))</f>
        <v>0</v>
      </c>
      <c r="Z1803">
        <f>IF(DAY(NOW())&lt;M3,INDIRECT(ADDRESS(1803,25))-INDIRECT(ADDRESS(1798,26))+INDIRECT(ADDRESS(1799,26))-INDIRECT(ADDRESS(1802,26)),INDIRECT(ADDRESS(1803,25))-INDIRECT(ADDRESS(1798,26))+INDIRECT(ADDRESS(1801,26))-INDIRECT(ADDRESS(1802,26)))</f>
        <v>0</v>
      </c>
      <c r="AA1803">
        <f>IF(DAY(NOW())&lt;M3,INDIRECT(ADDRESS(1803,26))-INDIRECT(ADDRESS(1798,27))+INDIRECT(ADDRESS(1799,27))-INDIRECT(ADDRESS(1802,27)),INDIRECT(ADDRESS(1803,26))-INDIRECT(ADDRESS(1798,27))+INDIRECT(ADDRESS(1801,27))-INDIRECT(ADDRESS(1802,27)))</f>
        <v>0</v>
      </c>
      <c r="AB1803">
        <f>IF(DAY(NOW())&lt;M3,INDIRECT(ADDRESS(1803,27))-INDIRECT(ADDRESS(1798,28))+INDIRECT(ADDRESS(1799,28))-INDIRECT(ADDRESS(1802,28)),INDIRECT(ADDRESS(1803,27))-INDIRECT(ADDRESS(1798,28))+INDIRECT(ADDRESS(1801,28))-INDIRECT(ADDRESS(1802,28)))</f>
        <v>0</v>
      </c>
      <c r="AC1803">
        <f>IF(DAY(NOW())&lt;M3,INDIRECT(ADDRESS(1803,28))-INDIRECT(ADDRESS(1798,29))+INDIRECT(ADDRESS(1799,29))-INDIRECT(ADDRESS(1802,29)),INDIRECT(ADDRESS(1803,28))-INDIRECT(ADDRESS(1798,29))+INDIRECT(ADDRESS(1801,29))-INDIRECT(ADDRESS(1802,29)))</f>
        <v>0</v>
      </c>
      <c r="AD1803">
        <f>IF(DAY(NOW())&lt;M3,INDIRECT(ADDRESS(1803,29))-INDIRECT(ADDRESS(1798,30))+INDIRECT(ADDRESS(1799,30))-INDIRECT(ADDRESS(1802,30)),INDIRECT(ADDRESS(1803,29))-INDIRECT(ADDRESS(1798,30))+INDIRECT(ADDRESS(1801,30))-INDIRECT(ADDRESS(1802,30)))</f>
        <v>0</v>
      </c>
      <c r="AE1803">
        <f>IF(DAY(NOW())&lt;M3,INDIRECT(ADDRESS(1803,30))-INDIRECT(ADDRESS(1798,31))+INDIRECT(ADDRESS(1799,31))-INDIRECT(ADDRESS(1802,31)),INDIRECT(ADDRESS(1803,30))-INDIRECT(ADDRESS(1798,31))+INDIRECT(ADDRESS(1801,31))-INDIRECT(ADDRESS(1802,31)))</f>
        <v>0</v>
      </c>
      <c r="AF1803">
        <f>IF(DAY(NOW())&lt;M3,INDIRECT(ADDRESS(1803,31))-INDIRECT(ADDRESS(1798,32))+INDIRECT(ADDRESS(1799,32))-INDIRECT(ADDRESS(1802,32)),INDIRECT(ADDRESS(1803,31))-INDIRECT(ADDRESS(1798,32))+INDIRECT(ADDRESS(1801,32))-INDIRECT(ADDRESS(1802,32)))</f>
        <v>0</v>
      </c>
      <c r="AG1803">
        <f>IF(DAY(NOW())&lt;M3,INDIRECT(ADDRESS(1803,32))-INDIRECT(ADDRESS(1798,33))+INDIRECT(ADDRESS(1799,33))-INDIRECT(ADDRESS(1802,33)),INDIRECT(ADDRESS(1803,32))-INDIRECT(ADDRESS(1798,33))+INDIRECT(ADDRESS(1801,33))-INDIRECT(ADDRESS(1802,33)))</f>
        <v>0</v>
      </c>
      <c r="AH1803">
        <f>IF(DAY(NOW())&lt;M3,INDIRECT(ADDRESS(1803,33))-INDIRECT(ADDRESS(1798,34))+INDIRECT(ADDRESS(1799,34))-INDIRECT(ADDRESS(1802,34)),INDIRECT(ADDRESS(1803,33))-INDIRECT(ADDRESS(1798,34))+INDIRECT(ADDRESS(1801,34))-INDIRECT(ADDRESS(1802,34)))</f>
        <v>0</v>
      </c>
      <c r="AI1803">
        <f>IF(DAY(NOW())&lt;M3,INDIRECT(ADDRESS(1803,34))-INDIRECT(ADDRESS(1798,35))+INDIRECT(ADDRESS(1799,35))-INDIRECT(ADDRESS(1802,35)),INDIRECT(ADDRESS(1803,34))-INDIRECT(ADDRESS(1798,35))+INDIRECT(ADDRESS(1801,35))-INDIRECT(ADDRESS(1802,35)))</f>
        <v>0</v>
      </c>
      <c r="AJ1803">
        <f>IF(DAY(NOW())&lt;M3,INDIRECT(ADDRESS(1803,35))-INDIRECT(ADDRESS(1798,36))+INDIRECT(ADDRESS(1799,36))-INDIRECT(ADDRESS(1802,36)),INDIRECT(ADDRESS(1803,35))-INDIRECT(ADDRESS(1798,36))+INDIRECT(ADDRESS(1801,36))-INDIRECT(ADDRESS(1802,36)))</f>
        <v>0</v>
      </c>
      <c r="AK1803">
        <f>IF(DAY(NOW())&lt;M3,INDIRECT(ADDRESS(1803,36))-INDIRECT(ADDRESS(1798,37))+INDIRECT(ADDRESS(1799,37))-INDIRECT(ADDRESS(1802,37)),INDIRECT(ADDRESS(1803,36))-INDIRECT(ADDRESS(1798,37))+INDIRECT(ADDRESS(1801,37))-INDIRECT(ADDRESS(1802,37)))</f>
        <v>0</v>
      </c>
      <c r="AL1803">
        <f>IF(DAY(NOW())&lt;M3,INDIRECT(ADDRESS(1803,37))-INDIRECT(ADDRESS(1798,38))+INDIRECT(ADDRESS(1799,38))-INDIRECT(ADDRESS(1802,38)),INDIRECT(ADDRESS(1803,37))-INDIRECT(ADDRESS(1798,38))+INDIRECT(ADDRESS(1801,38))-INDIRECT(ADDRESS(1802,38)))</f>
        <v>0</v>
      </c>
      <c r="AM1803">
        <f>IF(DAY(NOW())&lt;M3,INDIRECT(ADDRESS(1803,38))-INDIRECT(ADDRESS(1798,39))+INDIRECT(ADDRESS(1799,39))-INDIRECT(ADDRESS(1802,39)),INDIRECT(ADDRESS(1803,38))-INDIRECT(ADDRESS(1798,39))+INDIRECT(ADDRESS(1801,39))-INDIRECT(ADDRESS(1802,39)))</f>
        <v>0</v>
      </c>
      <c r="AN1803">
        <f>IF(DAY(NOW())&lt;M3,INDIRECT(ADDRESS(1803,39))-INDIRECT(ADDRESS(1798,40))+INDIRECT(ADDRESS(1799,40))-INDIRECT(ADDRESS(1802,40)),INDIRECT(ADDRESS(1803,39))-INDIRECT(ADDRESS(1798,40))+INDIRECT(ADDRESS(1801,40))-INDIRECT(ADDRESS(1802,40)))</f>
        <v>0</v>
      </c>
      <c r="AO1803">
        <f>IF(DAY(NOW())&lt;M3,INDIRECT(ADDRESS(1803,40))-INDIRECT(ADDRESS(1798,41))+INDIRECT(ADDRESS(1799,41))-INDIRECT(ADDRESS(1802,41)),INDIRECT(ADDRESS(1803,40))-INDIRECT(ADDRESS(1798,41))+INDIRECT(ADDRESS(1801,41))-INDIRECT(ADDRESS(1802,41)))</f>
        <v>0</v>
      </c>
      <c r="AP1803">
        <f>IF(DAY(NOW())&lt;M3,INDIRECT(ADDRESS(1803,41))-INDIRECT(ADDRESS(1798,42))+INDIRECT(ADDRESS(1799,42))-INDIRECT(ADDRESS(1802,42)),INDIRECT(ADDRESS(1803,41))-INDIRECT(ADDRESS(1798,42))+INDIRECT(ADDRESS(1801,42))-INDIRECT(ADDRESS(1802,42)))</f>
        <v>0</v>
      </c>
      <c r="AQ1803">
        <f>IF(DAY(NOW())&lt;M3,INDIRECT(ADDRESS(1803,42))-INDIRECT(ADDRESS(1798,43))+INDIRECT(ADDRESS(1799,43))-INDIRECT(ADDRESS(1802,43)),INDIRECT(ADDRESS(1803,42))-INDIRECT(ADDRESS(1798,43))+INDIRECT(ADDRESS(1801,43))-INDIRECT(ADDRESS(1802,43)))</f>
        <v>0</v>
      </c>
      <c r="AR1803">
        <f>IF(DAY(NOW())&lt;M3,INDIRECT(ADDRESS(1803,43))-INDIRECT(ADDRESS(1798,44))+INDIRECT(ADDRESS(1799,44))-INDIRECT(ADDRESS(1802,44)),INDIRECT(ADDRESS(1803,43))-INDIRECT(ADDRESS(1798,44))+INDIRECT(ADDRESS(1801,44))-INDIRECT(ADDRESS(1802,44)))</f>
        <v>0</v>
      </c>
    </row>
    <row r="1804" spans="1:76">
      <c r="A1804" t="s">
        <v>14</v>
      </c>
      <c r="B1804" t="s">
        <v>640</v>
      </c>
      <c r="C1804" t="s">
        <v>641</v>
      </c>
      <c r="D1804" t="s">
        <v>480</v>
      </c>
      <c r="E1804" t="s">
        <v>444</v>
      </c>
      <c r="F1804" t="s">
        <v>639</v>
      </c>
      <c r="K1804" t="s">
        <v>657</v>
      </c>
      <c r="L1804" t="s">
        <v>21</v>
      </c>
      <c r="BX1804">
        <f>sum(j1804:an1804)</f>
        <v>0</v>
      </c>
    </row>
    <row r="1805" spans="1:76">
      <c r="A1805" t="s">
        <v>14</v>
      </c>
      <c r="B1805" t="s">
        <v>640</v>
      </c>
      <c r="C1805" t="s">
        <v>641</v>
      </c>
      <c r="D1805" t="s">
        <v>480</v>
      </c>
      <c r="E1805" t="s">
        <v>444</v>
      </c>
      <c r="F1805" t="s">
        <v>639</v>
      </c>
      <c r="K1805" t="s">
        <v>657</v>
      </c>
      <c r="L1805" t="s">
        <v>37</v>
      </c>
    </row>
    <row r="1806" spans="1:76">
      <c r="L1806" t="s">
        <v>662</v>
      </c>
    </row>
    <row r="1807" spans="1:76">
      <c r="L1807" t="s">
        <v>663</v>
      </c>
    </row>
    <row r="1808" spans="1:76">
      <c r="L1808" t="s">
        <v>664</v>
      </c>
    </row>
    <row r="1809" spans="1:76">
      <c r="L1809" t="s">
        <v>665</v>
      </c>
      <c r="M1809">
        <f>IF(DAY(NOW())&lt;M3,INDIRECT(ADDRESS(1809,7))-INDIRECT(ADDRESS(1804,13))+INDIRECT(ADDRESS(1805,13))-INDIRECT(ADDRESS(1808,13)),INDIRECT(ADDRESS(1809,7))-INDIRECT(ADDRESS(1804,13))+INDIRECT(ADDRESS(1807,13))-INDIRECT(ADDRESS(1808,13)))</f>
        <v>0</v>
      </c>
      <c r="N1809">
        <f>IF(DAY(NOW())&lt;M3,INDIRECT(ADDRESS(1809,13))-INDIRECT(ADDRESS(1804,14))+INDIRECT(ADDRESS(1805,14))-INDIRECT(ADDRESS(1808,14)),INDIRECT(ADDRESS(1809,13))-INDIRECT(ADDRESS(1804,14))+INDIRECT(ADDRESS(1807,14))-INDIRECT(ADDRESS(1808,14)))</f>
        <v>0</v>
      </c>
      <c r="O1809">
        <f>IF(DAY(NOW())&lt;M3,INDIRECT(ADDRESS(1809,14))-INDIRECT(ADDRESS(1804,15))+INDIRECT(ADDRESS(1805,15))-INDIRECT(ADDRESS(1808,15)),INDIRECT(ADDRESS(1809,14))-INDIRECT(ADDRESS(1804,15))+INDIRECT(ADDRESS(1807,15))-INDIRECT(ADDRESS(1808,15)))</f>
        <v>0</v>
      </c>
      <c r="P1809">
        <f>IF(DAY(NOW())&lt;M3,INDIRECT(ADDRESS(1809,15))-INDIRECT(ADDRESS(1804,16))+INDIRECT(ADDRESS(1805,16))-INDIRECT(ADDRESS(1808,16)),INDIRECT(ADDRESS(1809,15))-INDIRECT(ADDRESS(1804,16))+INDIRECT(ADDRESS(1807,16))-INDIRECT(ADDRESS(1808,16)))</f>
        <v>0</v>
      </c>
      <c r="Q1809">
        <f>IF(DAY(NOW())&lt;M3,INDIRECT(ADDRESS(1809,16))-INDIRECT(ADDRESS(1804,17))+INDIRECT(ADDRESS(1805,17))-INDIRECT(ADDRESS(1808,17)),INDIRECT(ADDRESS(1809,16))-INDIRECT(ADDRESS(1804,17))+INDIRECT(ADDRESS(1807,17))-INDIRECT(ADDRESS(1808,17)))</f>
        <v>0</v>
      </c>
      <c r="R1809">
        <f>IF(DAY(NOW())&lt;M3,INDIRECT(ADDRESS(1809,17))-INDIRECT(ADDRESS(1804,18))+INDIRECT(ADDRESS(1805,18))-INDIRECT(ADDRESS(1808,18)),INDIRECT(ADDRESS(1809,17))-INDIRECT(ADDRESS(1804,18))+INDIRECT(ADDRESS(1807,18))-INDIRECT(ADDRESS(1808,18)))</f>
        <v>0</v>
      </c>
      <c r="S1809">
        <f>IF(DAY(NOW())&lt;M3,INDIRECT(ADDRESS(1809,18))-INDIRECT(ADDRESS(1804,19))+INDIRECT(ADDRESS(1805,19))-INDIRECT(ADDRESS(1808,19)),INDIRECT(ADDRESS(1809,18))-INDIRECT(ADDRESS(1804,19))+INDIRECT(ADDRESS(1807,19))-INDIRECT(ADDRESS(1808,19)))</f>
        <v>0</v>
      </c>
      <c r="T1809">
        <f>IF(DAY(NOW())&lt;M3,INDIRECT(ADDRESS(1809,19))-INDIRECT(ADDRESS(1804,20))+INDIRECT(ADDRESS(1805,20))-INDIRECT(ADDRESS(1808,20)),INDIRECT(ADDRESS(1809,19))-INDIRECT(ADDRESS(1804,20))+INDIRECT(ADDRESS(1807,20))-INDIRECT(ADDRESS(1808,20)))</f>
        <v>0</v>
      </c>
      <c r="U1809">
        <f>IF(DAY(NOW())&lt;M3,INDIRECT(ADDRESS(1809,20))-INDIRECT(ADDRESS(1804,21))+INDIRECT(ADDRESS(1805,21))-INDIRECT(ADDRESS(1808,21)),INDIRECT(ADDRESS(1809,20))-INDIRECT(ADDRESS(1804,21))+INDIRECT(ADDRESS(1807,21))-INDIRECT(ADDRESS(1808,21)))</f>
        <v>0</v>
      </c>
      <c r="V1809">
        <f>IF(DAY(NOW())&lt;M3,INDIRECT(ADDRESS(1809,21))-INDIRECT(ADDRESS(1804,22))+INDIRECT(ADDRESS(1805,22))-INDIRECT(ADDRESS(1808,22)),INDIRECT(ADDRESS(1809,21))-INDIRECT(ADDRESS(1804,22))+INDIRECT(ADDRESS(1807,22))-INDIRECT(ADDRESS(1808,22)))</f>
        <v>0</v>
      </c>
      <c r="W1809">
        <f>IF(DAY(NOW())&lt;M3,INDIRECT(ADDRESS(1809,22))-INDIRECT(ADDRESS(1804,23))+INDIRECT(ADDRESS(1805,23))-INDIRECT(ADDRESS(1808,23)),INDIRECT(ADDRESS(1809,22))-INDIRECT(ADDRESS(1804,23))+INDIRECT(ADDRESS(1807,23))-INDIRECT(ADDRESS(1808,23)))</f>
        <v>0</v>
      </c>
      <c r="X1809">
        <f>IF(DAY(NOW())&lt;M3,INDIRECT(ADDRESS(1809,23))-INDIRECT(ADDRESS(1804,24))+INDIRECT(ADDRESS(1805,24))-INDIRECT(ADDRESS(1808,24)),INDIRECT(ADDRESS(1809,23))-INDIRECT(ADDRESS(1804,24))+INDIRECT(ADDRESS(1807,24))-INDIRECT(ADDRESS(1808,24)))</f>
        <v>0</v>
      </c>
      <c r="Y1809">
        <f>IF(DAY(NOW())&lt;M3,INDIRECT(ADDRESS(1809,24))-INDIRECT(ADDRESS(1804,25))+INDIRECT(ADDRESS(1805,25))-INDIRECT(ADDRESS(1808,25)),INDIRECT(ADDRESS(1809,24))-INDIRECT(ADDRESS(1804,25))+INDIRECT(ADDRESS(1807,25))-INDIRECT(ADDRESS(1808,25)))</f>
        <v>0</v>
      </c>
      <c r="Z1809">
        <f>IF(DAY(NOW())&lt;M3,INDIRECT(ADDRESS(1809,25))-INDIRECT(ADDRESS(1804,26))+INDIRECT(ADDRESS(1805,26))-INDIRECT(ADDRESS(1808,26)),INDIRECT(ADDRESS(1809,25))-INDIRECT(ADDRESS(1804,26))+INDIRECT(ADDRESS(1807,26))-INDIRECT(ADDRESS(1808,26)))</f>
        <v>0</v>
      </c>
      <c r="AA1809">
        <f>IF(DAY(NOW())&lt;M3,INDIRECT(ADDRESS(1809,26))-INDIRECT(ADDRESS(1804,27))+INDIRECT(ADDRESS(1805,27))-INDIRECT(ADDRESS(1808,27)),INDIRECT(ADDRESS(1809,26))-INDIRECT(ADDRESS(1804,27))+INDIRECT(ADDRESS(1807,27))-INDIRECT(ADDRESS(1808,27)))</f>
        <v>0</v>
      </c>
      <c r="AB1809">
        <f>IF(DAY(NOW())&lt;M3,INDIRECT(ADDRESS(1809,27))-INDIRECT(ADDRESS(1804,28))+INDIRECT(ADDRESS(1805,28))-INDIRECT(ADDRESS(1808,28)),INDIRECT(ADDRESS(1809,27))-INDIRECT(ADDRESS(1804,28))+INDIRECT(ADDRESS(1807,28))-INDIRECT(ADDRESS(1808,28)))</f>
        <v>0</v>
      </c>
      <c r="AC1809">
        <f>IF(DAY(NOW())&lt;M3,INDIRECT(ADDRESS(1809,28))-INDIRECT(ADDRESS(1804,29))+INDIRECT(ADDRESS(1805,29))-INDIRECT(ADDRESS(1808,29)),INDIRECT(ADDRESS(1809,28))-INDIRECT(ADDRESS(1804,29))+INDIRECT(ADDRESS(1807,29))-INDIRECT(ADDRESS(1808,29)))</f>
        <v>0</v>
      </c>
      <c r="AD1809">
        <f>IF(DAY(NOW())&lt;M3,INDIRECT(ADDRESS(1809,29))-INDIRECT(ADDRESS(1804,30))+INDIRECT(ADDRESS(1805,30))-INDIRECT(ADDRESS(1808,30)),INDIRECT(ADDRESS(1809,29))-INDIRECT(ADDRESS(1804,30))+INDIRECT(ADDRESS(1807,30))-INDIRECT(ADDRESS(1808,30)))</f>
        <v>0</v>
      </c>
      <c r="AE1809">
        <f>IF(DAY(NOW())&lt;M3,INDIRECT(ADDRESS(1809,30))-INDIRECT(ADDRESS(1804,31))+INDIRECT(ADDRESS(1805,31))-INDIRECT(ADDRESS(1808,31)),INDIRECT(ADDRESS(1809,30))-INDIRECT(ADDRESS(1804,31))+INDIRECT(ADDRESS(1807,31))-INDIRECT(ADDRESS(1808,31)))</f>
        <v>0</v>
      </c>
      <c r="AF1809">
        <f>IF(DAY(NOW())&lt;M3,INDIRECT(ADDRESS(1809,31))-INDIRECT(ADDRESS(1804,32))+INDIRECT(ADDRESS(1805,32))-INDIRECT(ADDRESS(1808,32)),INDIRECT(ADDRESS(1809,31))-INDIRECT(ADDRESS(1804,32))+INDIRECT(ADDRESS(1807,32))-INDIRECT(ADDRESS(1808,32)))</f>
        <v>0</v>
      </c>
      <c r="AG1809">
        <f>IF(DAY(NOW())&lt;M3,INDIRECT(ADDRESS(1809,32))-INDIRECT(ADDRESS(1804,33))+INDIRECT(ADDRESS(1805,33))-INDIRECT(ADDRESS(1808,33)),INDIRECT(ADDRESS(1809,32))-INDIRECT(ADDRESS(1804,33))+INDIRECT(ADDRESS(1807,33))-INDIRECT(ADDRESS(1808,33)))</f>
        <v>0</v>
      </c>
      <c r="AH1809">
        <f>IF(DAY(NOW())&lt;M3,INDIRECT(ADDRESS(1809,33))-INDIRECT(ADDRESS(1804,34))+INDIRECT(ADDRESS(1805,34))-INDIRECT(ADDRESS(1808,34)),INDIRECT(ADDRESS(1809,33))-INDIRECT(ADDRESS(1804,34))+INDIRECT(ADDRESS(1807,34))-INDIRECT(ADDRESS(1808,34)))</f>
        <v>0</v>
      </c>
      <c r="AI1809">
        <f>IF(DAY(NOW())&lt;M3,INDIRECT(ADDRESS(1809,34))-INDIRECT(ADDRESS(1804,35))+INDIRECT(ADDRESS(1805,35))-INDIRECT(ADDRESS(1808,35)),INDIRECT(ADDRESS(1809,34))-INDIRECT(ADDRESS(1804,35))+INDIRECT(ADDRESS(1807,35))-INDIRECT(ADDRESS(1808,35)))</f>
        <v>0</v>
      </c>
      <c r="AJ1809">
        <f>IF(DAY(NOW())&lt;M3,INDIRECT(ADDRESS(1809,35))-INDIRECT(ADDRESS(1804,36))+INDIRECT(ADDRESS(1805,36))-INDIRECT(ADDRESS(1808,36)),INDIRECT(ADDRESS(1809,35))-INDIRECT(ADDRESS(1804,36))+INDIRECT(ADDRESS(1807,36))-INDIRECT(ADDRESS(1808,36)))</f>
        <v>0</v>
      </c>
      <c r="AK1809">
        <f>IF(DAY(NOW())&lt;M3,INDIRECT(ADDRESS(1809,36))-INDIRECT(ADDRESS(1804,37))+INDIRECT(ADDRESS(1805,37))-INDIRECT(ADDRESS(1808,37)),INDIRECT(ADDRESS(1809,36))-INDIRECT(ADDRESS(1804,37))+INDIRECT(ADDRESS(1807,37))-INDIRECT(ADDRESS(1808,37)))</f>
        <v>0</v>
      </c>
      <c r="AL1809">
        <f>IF(DAY(NOW())&lt;M3,INDIRECT(ADDRESS(1809,37))-INDIRECT(ADDRESS(1804,38))+INDIRECT(ADDRESS(1805,38))-INDIRECT(ADDRESS(1808,38)),INDIRECT(ADDRESS(1809,37))-INDIRECT(ADDRESS(1804,38))+INDIRECT(ADDRESS(1807,38))-INDIRECT(ADDRESS(1808,38)))</f>
        <v>0</v>
      </c>
      <c r="AM1809">
        <f>IF(DAY(NOW())&lt;M3,INDIRECT(ADDRESS(1809,38))-INDIRECT(ADDRESS(1804,39))+INDIRECT(ADDRESS(1805,39))-INDIRECT(ADDRESS(1808,39)),INDIRECT(ADDRESS(1809,38))-INDIRECT(ADDRESS(1804,39))+INDIRECT(ADDRESS(1807,39))-INDIRECT(ADDRESS(1808,39)))</f>
        <v>0</v>
      </c>
      <c r="AN1809">
        <f>IF(DAY(NOW())&lt;M3,INDIRECT(ADDRESS(1809,39))-INDIRECT(ADDRESS(1804,40))+INDIRECT(ADDRESS(1805,40))-INDIRECT(ADDRESS(1808,40)),INDIRECT(ADDRESS(1809,39))-INDIRECT(ADDRESS(1804,40))+INDIRECT(ADDRESS(1807,40))-INDIRECT(ADDRESS(1808,40)))</f>
        <v>0</v>
      </c>
      <c r="AO1809">
        <f>IF(DAY(NOW())&lt;M3,INDIRECT(ADDRESS(1809,40))-INDIRECT(ADDRESS(1804,41))+INDIRECT(ADDRESS(1805,41))-INDIRECT(ADDRESS(1808,41)),INDIRECT(ADDRESS(1809,40))-INDIRECT(ADDRESS(1804,41))+INDIRECT(ADDRESS(1807,41))-INDIRECT(ADDRESS(1808,41)))</f>
        <v>0</v>
      </c>
      <c r="AP1809">
        <f>IF(DAY(NOW())&lt;M3,INDIRECT(ADDRESS(1809,41))-INDIRECT(ADDRESS(1804,42))+INDIRECT(ADDRESS(1805,42))-INDIRECT(ADDRESS(1808,42)),INDIRECT(ADDRESS(1809,41))-INDIRECT(ADDRESS(1804,42))+INDIRECT(ADDRESS(1807,42))-INDIRECT(ADDRESS(1808,42)))</f>
        <v>0</v>
      </c>
      <c r="AQ1809">
        <f>IF(DAY(NOW())&lt;M3,INDIRECT(ADDRESS(1809,42))-INDIRECT(ADDRESS(1804,43))+INDIRECT(ADDRESS(1805,43))-INDIRECT(ADDRESS(1808,43)),INDIRECT(ADDRESS(1809,42))-INDIRECT(ADDRESS(1804,43))+INDIRECT(ADDRESS(1807,43))-INDIRECT(ADDRESS(1808,43)))</f>
        <v>0</v>
      </c>
      <c r="AR1809">
        <f>IF(DAY(NOW())&lt;M3,INDIRECT(ADDRESS(1809,43))-INDIRECT(ADDRESS(1804,44))+INDIRECT(ADDRESS(1805,44))-INDIRECT(ADDRESS(1808,44)),INDIRECT(ADDRESS(1809,43))-INDIRECT(ADDRESS(1804,44))+INDIRECT(ADDRESS(1807,44))-INDIRECT(ADDRESS(1808,44)))</f>
        <v>0</v>
      </c>
    </row>
    <row r="1810" spans="1:76">
      <c r="A1810" t="s">
        <v>14</v>
      </c>
      <c r="B1810" t="s">
        <v>643</v>
      </c>
      <c r="C1810" t="s">
        <v>644</v>
      </c>
      <c r="D1810" t="s">
        <v>480</v>
      </c>
      <c r="E1810" t="s">
        <v>444</v>
      </c>
      <c r="F1810" t="s">
        <v>642</v>
      </c>
      <c r="K1810" t="s">
        <v>657</v>
      </c>
      <c r="L1810" t="s">
        <v>21</v>
      </c>
      <c r="BX1810">
        <f>sum(j1810:an1810)</f>
        <v>0</v>
      </c>
    </row>
    <row r="1811" spans="1:76">
      <c r="A1811" t="s">
        <v>14</v>
      </c>
      <c r="B1811" t="s">
        <v>643</v>
      </c>
      <c r="C1811" t="s">
        <v>644</v>
      </c>
      <c r="D1811" t="s">
        <v>480</v>
      </c>
      <c r="E1811" t="s">
        <v>444</v>
      </c>
      <c r="F1811" t="s">
        <v>642</v>
      </c>
      <c r="K1811" t="s">
        <v>657</v>
      </c>
      <c r="L1811" t="s">
        <v>37</v>
      </c>
    </row>
    <row r="1812" spans="1:76">
      <c r="L1812" t="s">
        <v>662</v>
      </c>
    </row>
    <row r="1813" spans="1:76">
      <c r="L1813" t="s">
        <v>663</v>
      </c>
    </row>
    <row r="1814" spans="1:76">
      <c r="L1814" t="s">
        <v>664</v>
      </c>
    </row>
    <row r="1815" spans="1:76">
      <c r="L1815" t="s">
        <v>665</v>
      </c>
      <c r="M1815">
        <f>IF(DAY(NOW())&lt;M3,INDIRECT(ADDRESS(1815,7))-INDIRECT(ADDRESS(1810,13))+INDIRECT(ADDRESS(1811,13))-INDIRECT(ADDRESS(1814,13)),INDIRECT(ADDRESS(1815,7))-INDIRECT(ADDRESS(1810,13))+INDIRECT(ADDRESS(1813,13))-INDIRECT(ADDRESS(1814,13)))</f>
        <v>0</v>
      </c>
      <c r="N1815">
        <f>IF(DAY(NOW())&lt;M3,INDIRECT(ADDRESS(1815,13))-INDIRECT(ADDRESS(1810,14))+INDIRECT(ADDRESS(1811,14))-INDIRECT(ADDRESS(1814,14)),INDIRECT(ADDRESS(1815,13))-INDIRECT(ADDRESS(1810,14))+INDIRECT(ADDRESS(1813,14))-INDIRECT(ADDRESS(1814,14)))</f>
        <v>0</v>
      </c>
      <c r="O1815">
        <f>IF(DAY(NOW())&lt;M3,INDIRECT(ADDRESS(1815,14))-INDIRECT(ADDRESS(1810,15))+INDIRECT(ADDRESS(1811,15))-INDIRECT(ADDRESS(1814,15)),INDIRECT(ADDRESS(1815,14))-INDIRECT(ADDRESS(1810,15))+INDIRECT(ADDRESS(1813,15))-INDIRECT(ADDRESS(1814,15)))</f>
        <v>0</v>
      </c>
      <c r="P1815">
        <f>IF(DAY(NOW())&lt;M3,INDIRECT(ADDRESS(1815,15))-INDIRECT(ADDRESS(1810,16))+INDIRECT(ADDRESS(1811,16))-INDIRECT(ADDRESS(1814,16)),INDIRECT(ADDRESS(1815,15))-INDIRECT(ADDRESS(1810,16))+INDIRECT(ADDRESS(1813,16))-INDIRECT(ADDRESS(1814,16)))</f>
        <v>0</v>
      </c>
      <c r="Q1815">
        <f>IF(DAY(NOW())&lt;M3,INDIRECT(ADDRESS(1815,16))-INDIRECT(ADDRESS(1810,17))+INDIRECT(ADDRESS(1811,17))-INDIRECT(ADDRESS(1814,17)),INDIRECT(ADDRESS(1815,16))-INDIRECT(ADDRESS(1810,17))+INDIRECT(ADDRESS(1813,17))-INDIRECT(ADDRESS(1814,17)))</f>
        <v>0</v>
      </c>
      <c r="R1815">
        <f>IF(DAY(NOW())&lt;M3,INDIRECT(ADDRESS(1815,17))-INDIRECT(ADDRESS(1810,18))+INDIRECT(ADDRESS(1811,18))-INDIRECT(ADDRESS(1814,18)),INDIRECT(ADDRESS(1815,17))-INDIRECT(ADDRESS(1810,18))+INDIRECT(ADDRESS(1813,18))-INDIRECT(ADDRESS(1814,18)))</f>
        <v>0</v>
      </c>
      <c r="S1815">
        <f>IF(DAY(NOW())&lt;M3,INDIRECT(ADDRESS(1815,18))-INDIRECT(ADDRESS(1810,19))+INDIRECT(ADDRESS(1811,19))-INDIRECT(ADDRESS(1814,19)),INDIRECT(ADDRESS(1815,18))-INDIRECT(ADDRESS(1810,19))+INDIRECT(ADDRESS(1813,19))-INDIRECT(ADDRESS(1814,19)))</f>
        <v>0</v>
      </c>
      <c r="T1815">
        <f>IF(DAY(NOW())&lt;M3,INDIRECT(ADDRESS(1815,19))-INDIRECT(ADDRESS(1810,20))+INDIRECT(ADDRESS(1811,20))-INDIRECT(ADDRESS(1814,20)),INDIRECT(ADDRESS(1815,19))-INDIRECT(ADDRESS(1810,20))+INDIRECT(ADDRESS(1813,20))-INDIRECT(ADDRESS(1814,20)))</f>
        <v>0</v>
      </c>
      <c r="U1815">
        <f>IF(DAY(NOW())&lt;M3,INDIRECT(ADDRESS(1815,20))-INDIRECT(ADDRESS(1810,21))+INDIRECT(ADDRESS(1811,21))-INDIRECT(ADDRESS(1814,21)),INDIRECT(ADDRESS(1815,20))-INDIRECT(ADDRESS(1810,21))+INDIRECT(ADDRESS(1813,21))-INDIRECT(ADDRESS(1814,21)))</f>
        <v>0</v>
      </c>
      <c r="V1815">
        <f>IF(DAY(NOW())&lt;M3,INDIRECT(ADDRESS(1815,21))-INDIRECT(ADDRESS(1810,22))+INDIRECT(ADDRESS(1811,22))-INDIRECT(ADDRESS(1814,22)),INDIRECT(ADDRESS(1815,21))-INDIRECT(ADDRESS(1810,22))+INDIRECT(ADDRESS(1813,22))-INDIRECT(ADDRESS(1814,22)))</f>
        <v>0</v>
      </c>
      <c r="W1815">
        <f>IF(DAY(NOW())&lt;M3,INDIRECT(ADDRESS(1815,22))-INDIRECT(ADDRESS(1810,23))+INDIRECT(ADDRESS(1811,23))-INDIRECT(ADDRESS(1814,23)),INDIRECT(ADDRESS(1815,22))-INDIRECT(ADDRESS(1810,23))+INDIRECT(ADDRESS(1813,23))-INDIRECT(ADDRESS(1814,23)))</f>
        <v>0</v>
      </c>
      <c r="X1815">
        <f>IF(DAY(NOW())&lt;M3,INDIRECT(ADDRESS(1815,23))-INDIRECT(ADDRESS(1810,24))+INDIRECT(ADDRESS(1811,24))-INDIRECT(ADDRESS(1814,24)),INDIRECT(ADDRESS(1815,23))-INDIRECT(ADDRESS(1810,24))+INDIRECT(ADDRESS(1813,24))-INDIRECT(ADDRESS(1814,24)))</f>
        <v>0</v>
      </c>
      <c r="Y1815">
        <f>IF(DAY(NOW())&lt;M3,INDIRECT(ADDRESS(1815,24))-INDIRECT(ADDRESS(1810,25))+INDIRECT(ADDRESS(1811,25))-INDIRECT(ADDRESS(1814,25)),INDIRECT(ADDRESS(1815,24))-INDIRECT(ADDRESS(1810,25))+INDIRECT(ADDRESS(1813,25))-INDIRECT(ADDRESS(1814,25)))</f>
        <v>0</v>
      </c>
      <c r="Z1815">
        <f>IF(DAY(NOW())&lt;M3,INDIRECT(ADDRESS(1815,25))-INDIRECT(ADDRESS(1810,26))+INDIRECT(ADDRESS(1811,26))-INDIRECT(ADDRESS(1814,26)),INDIRECT(ADDRESS(1815,25))-INDIRECT(ADDRESS(1810,26))+INDIRECT(ADDRESS(1813,26))-INDIRECT(ADDRESS(1814,26)))</f>
        <v>0</v>
      </c>
      <c r="AA1815">
        <f>IF(DAY(NOW())&lt;M3,INDIRECT(ADDRESS(1815,26))-INDIRECT(ADDRESS(1810,27))+INDIRECT(ADDRESS(1811,27))-INDIRECT(ADDRESS(1814,27)),INDIRECT(ADDRESS(1815,26))-INDIRECT(ADDRESS(1810,27))+INDIRECT(ADDRESS(1813,27))-INDIRECT(ADDRESS(1814,27)))</f>
        <v>0</v>
      </c>
      <c r="AB1815">
        <f>IF(DAY(NOW())&lt;M3,INDIRECT(ADDRESS(1815,27))-INDIRECT(ADDRESS(1810,28))+INDIRECT(ADDRESS(1811,28))-INDIRECT(ADDRESS(1814,28)),INDIRECT(ADDRESS(1815,27))-INDIRECT(ADDRESS(1810,28))+INDIRECT(ADDRESS(1813,28))-INDIRECT(ADDRESS(1814,28)))</f>
        <v>0</v>
      </c>
      <c r="AC1815">
        <f>IF(DAY(NOW())&lt;M3,INDIRECT(ADDRESS(1815,28))-INDIRECT(ADDRESS(1810,29))+INDIRECT(ADDRESS(1811,29))-INDIRECT(ADDRESS(1814,29)),INDIRECT(ADDRESS(1815,28))-INDIRECT(ADDRESS(1810,29))+INDIRECT(ADDRESS(1813,29))-INDIRECT(ADDRESS(1814,29)))</f>
        <v>0</v>
      </c>
      <c r="AD1815">
        <f>IF(DAY(NOW())&lt;M3,INDIRECT(ADDRESS(1815,29))-INDIRECT(ADDRESS(1810,30))+INDIRECT(ADDRESS(1811,30))-INDIRECT(ADDRESS(1814,30)),INDIRECT(ADDRESS(1815,29))-INDIRECT(ADDRESS(1810,30))+INDIRECT(ADDRESS(1813,30))-INDIRECT(ADDRESS(1814,30)))</f>
        <v>0</v>
      </c>
      <c r="AE1815">
        <f>IF(DAY(NOW())&lt;M3,INDIRECT(ADDRESS(1815,30))-INDIRECT(ADDRESS(1810,31))+INDIRECT(ADDRESS(1811,31))-INDIRECT(ADDRESS(1814,31)),INDIRECT(ADDRESS(1815,30))-INDIRECT(ADDRESS(1810,31))+INDIRECT(ADDRESS(1813,31))-INDIRECT(ADDRESS(1814,31)))</f>
        <v>0</v>
      </c>
      <c r="AF1815">
        <f>IF(DAY(NOW())&lt;M3,INDIRECT(ADDRESS(1815,31))-INDIRECT(ADDRESS(1810,32))+INDIRECT(ADDRESS(1811,32))-INDIRECT(ADDRESS(1814,32)),INDIRECT(ADDRESS(1815,31))-INDIRECT(ADDRESS(1810,32))+INDIRECT(ADDRESS(1813,32))-INDIRECT(ADDRESS(1814,32)))</f>
        <v>0</v>
      </c>
      <c r="AG1815">
        <f>IF(DAY(NOW())&lt;M3,INDIRECT(ADDRESS(1815,32))-INDIRECT(ADDRESS(1810,33))+INDIRECT(ADDRESS(1811,33))-INDIRECT(ADDRESS(1814,33)),INDIRECT(ADDRESS(1815,32))-INDIRECT(ADDRESS(1810,33))+INDIRECT(ADDRESS(1813,33))-INDIRECT(ADDRESS(1814,33)))</f>
        <v>0</v>
      </c>
      <c r="AH1815">
        <f>IF(DAY(NOW())&lt;M3,INDIRECT(ADDRESS(1815,33))-INDIRECT(ADDRESS(1810,34))+INDIRECT(ADDRESS(1811,34))-INDIRECT(ADDRESS(1814,34)),INDIRECT(ADDRESS(1815,33))-INDIRECT(ADDRESS(1810,34))+INDIRECT(ADDRESS(1813,34))-INDIRECT(ADDRESS(1814,34)))</f>
        <v>0</v>
      </c>
      <c r="AI1815">
        <f>IF(DAY(NOW())&lt;M3,INDIRECT(ADDRESS(1815,34))-INDIRECT(ADDRESS(1810,35))+INDIRECT(ADDRESS(1811,35))-INDIRECT(ADDRESS(1814,35)),INDIRECT(ADDRESS(1815,34))-INDIRECT(ADDRESS(1810,35))+INDIRECT(ADDRESS(1813,35))-INDIRECT(ADDRESS(1814,35)))</f>
        <v>0</v>
      </c>
      <c r="AJ1815">
        <f>IF(DAY(NOW())&lt;M3,INDIRECT(ADDRESS(1815,35))-INDIRECT(ADDRESS(1810,36))+INDIRECT(ADDRESS(1811,36))-INDIRECT(ADDRESS(1814,36)),INDIRECT(ADDRESS(1815,35))-INDIRECT(ADDRESS(1810,36))+INDIRECT(ADDRESS(1813,36))-INDIRECT(ADDRESS(1814,36)))</f>
        <v>0</v>
      </c>
      <c r="AK1815">
        <f>IF(DAY(NOW())&lt;M3,INDIRECT(ADDRESS(1815,36))-INDIRECT(ADDRESS(1810,37))+INDIRECT(ADDRESS(1811,37))-INDIRECT(ADDRESS(1814,37)),INDIRECT(ADDRESS(1815,36))-INDIRECT(ADDRESS(1810,37))+INDIRECT(ADDRESS(1813,37))-INDIRECT(ADDRESS(1814,37)))</f>
        <v>0</v>
      </c>
      <c r="AL1815">
        <f>IF(DAY(NOW())&lt;M3,INDIRECT(ADDRESS(1815,37))-INDIRECT(ADDRESS(1810,38))+INDIRECT(ADDRESS(1811,38))-INDIRECT(ADDRESS(1814,38)),INDIRECT(ADDRESS(1815,37))-INDIRECT(ADDRESS(1810,38))+INDIRECT(ADDRESS(1813,38))-INDIRECT(ADDRESS(1814,38)))</f>
        <v>0</v>
      </c>
      <c r="AM1815">
        <f>IF(DAY(NOW())&lt;M3,INDIRECT(ADDRESS(1815,38))-INDIRECT(ADDRESS(1810,39))+INDIRECT(ADDRESS(1811,39))-INDIRECT(ADDRESS(1814,39)),INDIRECT(ADDRESS(1815,38))-INDIRECT(ADDRESS(1810,39))+INDIRECT(ADDRESS(1813,39))-INDIRECT(ADDRESS(1814,39)))</f>
        <v>0</v>
      </c>
      <c r="AN1815">
        <f>IF(DAY(NOW())&lt;M3,INDIRECT(ADDRESS(1815,39))-INDIRECT(ADDRESS(1810,40))+INDIRECT(ADDRESS(1811,40))-INDIRECT(ADDRESS(1814,40)),INDIRECT(ADDRESS(1815,39))-INDIRECT(ADDRESS(1810,40))+INDIRECT(ADDRESS(1813,40))-INDIRECT(ADDRESS(1814,40)))</f>
        <v>0</v>
      </c>
      <c r="AO1815">
        <f>IF(DAY(NOW())&lt;M3,INDIRECT(ADDRESS(1815,40))-INDIRECT(ADDRESS(1810,41))+INDIRECT(ADDRESS(1811,41))-INDIRECT(ADDRESS(1814,41)),INDIRECT(ADDRESS(1815,40))-INDIRECT(ADDRESS(1810,41))+INDIRECT(ADDRESS(1813,41))-INDIRECT(ADDRESS(1814,41)))</f>
        <v>0</v>
      </c>
      <c r="AP1815">
        <f>IF(DAY(NOW())&lt;M3,INDIRECT(ADDRESS(1815,41))-INDIRECT(ADDRESS(1810,42))+INDIRECT(ADDRESS(1811,42))-INDIRECT(ADDRESS(1814,42)),INDIRECT(ADDRESS(1815,41))-INDIRECT(ADDRESS(1810,42))+INDIRECT(ADDRESS(1813,42))-INDIRECT(ADDRESS(1814,42)))</f>
        <v>0</v>
      </c>
      <c r="AQ1815">
        <f>IF(DAY(NOW())&lt;M3,INDIRECT(ADDRESS(1815,42))-INDIRECT(ADDRESS(1810,43))+INDIRECT(ADDRESS(1811,43))-INDIRECT(ADDRESS(1814,43)),INDIRECT(ADDRESS(1815,42))-INDIRECT(ADDRESS(1810,43))+INDIRECT(ADDRESS(1813,43))-INDIRECT(ADDRESS(1814,43)))</f>
        <v>0</v>
      </c>
      <c r="AR1815">
        <f>IF(DAY(NOW())&lt;M3,INDIRECT(ADDRESS(1815,43))-INDIRECT(ADDRESS(1810,44))+INDIRECT(ADDRESS(1811,44))-INDIRECT(ADDRESS(1814,44)),INDIRECT(ADDRESS(1815,43))-INDIRECT(ADDRESS(1810,44))+INDIRECT(ADDRESS(1813,44))-INDIRECT(ADDRESS(1814,44)))</f>
        <v>0</v>
      </c>
    </row>
    <row r="1816" spans="1:76">
      <c r="A1816" t="s">
        <v>14</v>
      </c>
      <c r="B1816" t="s">
        <v>646</v>
      </c>
      <c r="C1816" t="s">
        <v>647</v>
      </c>
      <c r="E1816" t="s">
        <v>498</v>
      </c>
      <c r="F1816" t="s">
        <v>645</v>
      </c>
      <c r="K1816" t="s">
        <v>657</v>
      </c>
      <c r="L1816" t="s">
        <v>21</v>
      </c>
      <c r="BX1816">
        <f>sum(j1816:an1816)</f>
        <v>0</v>
      </c>
    </row>
    <row r="1817" spans="1:76">
      <c r="A1817" t="s">
        <v>14</v>
      </c>
      <c r="B1817" t="s">
        <v>646</v>
      </c>
      <c r="C1817" t="s">
        <v>647</v>
      </c>
      <c r="E1817" t="s">
        <v>498</v>
      </c>
      <c r="F1817" t="s">
        <v>645</v>
      </c>
      <c r="K1817" t="s">
        <v>657</v>
      </c>
      <c r="L1817" t="s">
        <v>37</v>
      </c>
    </row>
    <row r="1818" spans="1:76">
      <c r="L1818" t="s">
        <v>662</v>
      </c>
    </row>
    <row r="1819" spans="1:76">
      <c r="L1819" t="s">
        <v>663</v>
      </c>
    </row>
    <row r="1820" spans="1:76">
      <c r="L1820" t="s">
        <v>664</v>
      </c>
    </row>
    <row r="1821" spans="1:76">
      <c r="L1821" t="s">
        <v>665</v>
      </c>
      <c r="M1821">
        <f>IF(DAY(NOW())&lt;M3,INDIRECT(ADDRESS(1821,7))-INDIRECT(ADDRESS(1816,13))+INDIRECT(ADDRESS(1817,13))-INDIRECT(ADDRESS(1820,13)),INDIRECT(ADDRESS(1821,7))-INDIRECT(ADDRESS(1816,13))+INDIRECT(ADDRESS(1819,13))-INDIRECT(ADDRESS(1820,13)))</f>
        <v>0</v>
      </c>
      <c r="N1821">
        <f>IF(DAY(NOW())&lt;M3,INDIRECT(ADDRESS(1821,13))-INDIRECT(ADDRESS(1816,14))+INDIRECT(ADDRESS(1817,14))-INDIRECT(ADDRESS(1820,14)),INDIRECT(ADDRESS(1821,13))-INDIRECT(ADDRESS(1816,14))+INDIRECT(ADDRESS(1819,14))-INDIRECT(ADDRESS(1820,14)))</f>
        <v>0</v>
      </c>
      <c r="O1821">
        <f>IF(DAY(NOW())&lt;M3,INDIRECT(ADDRESS(1821,14))-INDIRECT(ADDRESS(1816,15))+INDIRECT(ADDRESS(1817,15))-INDIRECT(ADDRESS(1820,15)),INDIRECT(ADDRESS(1821,14))-INDIRECT(ADDRESS(1816,15))+INDIRECT(ADDRESS(1819,15))-INDIRECT(ADDRESS(1820,15)))</f>
        <v>0</v>
      </c>
      <c r="P1821">
        <f>IF(DAY(NOW())&lt;M3,INDIRECT(ADDRESS(1821,15))-INDIRECT(ADDRESS(1816,16))+INDIRECT(ADDRESS(1817,16))-INDIRECT(ADDRESS(1820,16)),INDIRECT(ADDRESS(1821,15))-INDIRECT(ADDRESS(1816,16))+INDIRECT(ADDRESS(1819,16))-INDIRECT(ADDRESS(1820,16)))</f>
        <v>0</v>
      </c>
      <c r="Q1821">
        <f>IF(DAY(NOW())&lt;M3,INDIRECT(ADDRESS(1821,16))-INDIRECT(ADDRESS(1816,17))+INDIRECT(ADDRESS(1817,17))-INDIRECT(ADDRESS(1820,17)),INDIRECT(ADDRESS(1821,16))-INDIRECT(ADDRESS(1816,17))+INDIRECT(ADDRESS(1819,17))-INDIRECT(ADDRESS(1820,17)))</f>
        <v>0</v>
      </c>
      <c r="R1821">
        <f>IF(DAY(NOW())&lt;M3,INDIRECT(ADDRESS(1821,17))-INDIRECT(ADDRESS(1816,18))+INDIRECT(ADDRESS(1817,18))-INDIRECT(ADDRESS(1820,18)),INDIRECT(ADDRESS(1821,17))-INDIRECT(ADDRESS(1816,18))+INDIRECT(ADDRESS(1819,18))-INDIRECT(ADDRESS(1820,18)))</f>
        <v>0</v>
      </c>
      <c r="S1821">
        <f>IF(DAY(NOW())&lt;M3,INDIRECT(ADDRESS(1821,18))-INDIRECT(ADDRESS(1816,19))+INDIRECT(ADDRESS(1817,19))-INDIRECT(ADDRESS(1820,19)),INDIRECT(ADDRESS(1821,18))-INDIRECT(ADDRESS(1816,19))+INDIRECT(ADDRESS(1819,19))-INDIRECT(ADDRESS(1820,19)))</f>
        <v>0</v>
      </c>
      <c r="T1821">
        <f>IF(DAY(NOW())&lt;M3,INDIRECT(ADDRESS(1821,19))-INDIRECT(ADDRESS(1816,20))+INDIRECT(ADDRESS(1817,20))-INDIRECT(ADDRESS(1820,20)),INDIRECT(ADDRESS(1821,19))-INDIRECT(ADDRESS(1816,20))+INDIRECT(ADDRESS(1819,20))-INDIRECT(ADDRESS(1820,20)))</f>
        <v>0</v>
      </c>
      <c r="U1821">
        <f>IF(DAY(NOW())&lt;M3,INDIRECT(ADDRESS(1821,20))-INDIRECT(ADDRESS(1816,21))+INDIRECT(ADDRESS(1817,21))-INDIRECT(ADDRESS(1820,21)),INDIRECT(ADDRESS(1821,20))-INDIRECT(ADDRESS(1816,21))+INDIRECT(ADDRESS(1819,21))-INDIRECT(ADDRESS(1820,21)))</f>
        <v>0</v>
      </c>
      <c r="V1821">
        <f>IF(DAY(NOW())&lt;M3,INDIRECT(ADDRESS(1821,21))-INDIRECT(ADDRESS(1816,22))+INDIRECT(ADDRESS(1817,22))-INDIRECT(ADDRESS(1820,22)),INDIRECT(ADDRESS(1821,21))-INDIRECT(ADDRESS(1816,22))+INDIRECT(ADDRESS(1819,22))-INDIRECT(ADDRESS(1820,22)))</f>
        <v>0</v>
      </c>
      <c r="W1821">
        <f>IF(DAY(NOW())&lt;M3,INDIRECT(ADDRESS(1821,22))-INDIRECT(ADDRESS(1816,23))+INDIRECT(ADDRESS(1817,23))-INDIRECT(ADDRESS(1820,23)),INDIRECT(ADDRESS(1821,22))-INDIRECT(ADDRESS(1816,23))+INDIRECT(ADDRESS(1819,23))-INDIRECT(ADDRESS(1820,23)))</f>
        <v>0</v>
      </c>
      <c r="X1821">
        <f>IF(DAY(NOW())&lt;M3,INDIRECT(ADDRESS(1821,23))-INDIRECT(ADDRESS(1816,24))+INDIRECT(ADDRESS(1817,24))-INDIRECT(ADDRESS(1820,24)),INDIRECT(ADDRESS(1821,23))-INDIRECT(ADDRESS(1816,24))+INDIRECT(ADDRESS(1819,24))-INDIRECT(ADDRESS(1820,24)))</f>
        <v>0</v>
      </c>
      <c r="Y1821">
        <f>IF(DAY(NOW())&lt;M3,INDIRECT(ADDRESS(1821,24))-INDIRECT(ADDRESS(1816,25))+INDIRECT(ADDRESS(1817,25))-INDIRECT(ADDRESS(1820,25)),INDIRECT(ADDRESS(1821,24))-INDIRECT(ADDRESS(1816,25))+INDIRECT(ADDRESS(1819,25))-INDIRECT(ADDRESS(1820,25)))</f>
        <v>0</v>
      </c>
      <c r="Z1821">
        <f>IF(DAY(NOW())&lt;M3,INDIRECT(ADDRESS(1821,25))-INDIRECT(ADDRESS(1816,26))+INDIRECT(ADDRESS(1817,26))-INDIRECT(ADDRESS(1820,26)),INDIRECT(ADDRESS(1821,25))-INDIRECT(ADDRESS(1816,26))+INDIRECT(ADDRESS(1819,26))-INDIRECT(ADDRESS(1820,26)))</f>
        <v>0</v>
      </c>
      <c r="AA1821">
        <f>IF(DAY(NOW())&lt;M3,INDIRECT(ADDRESS(1821,26))-INDIRECT(ADDRESS(1816,27))+INDIRECT(ADDRESS(1817,27))-INDIRECT(ADDRESS(1820,27)),INDIRECT(ADDRESS(1821,26))-INDIRECT(ADDRESS(1816,27))+INDIRECT(ADDRESS(1819,27))-INDIRECT(ADDRESS(1820,27)))</f>
        <v>0</v>
      </c>
      <c r="AB1821">
        <f>IF(DAY(NOW())&lt;M3,INDIRECT(ADDRESS(1821,27))-INDIRECT(ADDRESS(1816,28))+INDIRECT(ADDRESS(1817,28))-INDIRECT(ADDRESS(1820,28)),INDIRECT(ADDRESS(1821,27))-INDIRECT(ADDRESS(1816,28))+INDIRECT(ADDRESS(1819,28))-INDIRECT(ADDRESS(1820,28)))</f>
        <v>0</v>
      </c>
      <c r="AC1821">
        <f>IF(DAY(NOW())&lt;M3,INDIRECT(ADDRESS(1821,28))-INDIRECT(ADDRESS(1816,29))+INDIRECT(ADDRESS(1817,29))-INDIRECT(ADDRESS(1820,29)),INDIRECT(ADDRESS(1821,28))-INDIRECT(ADDRESS(1816,29))+INDIRECT(ADDRESS(1819,29))-INDIRECT(ADDRESS(1820,29)))</f>
        <v>0</v>
      </c>
      <c r="AD1821">
        <f>IF(DAY(NOW())&lt;M3,INDIRECT(ADDRESS(1821,29))-INDIRECT(ADDRESS(1816,30))+INDIRECT(ADDRESS(1817,30))-INDIRECT(ADDRESS(1820,30)),INDIRECT(ADDRESS(1821,29))-INDIRECT(ADDRESS(1816,30))+INDIRECT(ADDRESS(1819,30))-INDIRECT(ADDRESS(1820,30)))</f>
        <v>0</v>
      </c>
      <c r="AE1821">
        <f>IF(DAY(NOW())&lt;M3,INDIRECT(ADDRESS(1821,30))-INDIRECT(ADDRESS(1816,31))+INDIRECT(ADDRESS(1817,31))-INDIRECT(ADDRESS(1820,31)),INDIRECT(ADDRESS(1821,30))-INDIRECT(ADDRESS(1816,31))+INDIRECT(ADDRESS(1819,31))-INDIRECT(ADDRESS(1820,31)))</f>
        <v>0</v>
      </c>
      <c r="AF1821">
        <f>IF(DAY(NOW())&lt;M3,INDIRECT(ADDRESS(1821,31))-INDIRECT(ADDRESS(1816,32))+INDIRECT(ADDRESS(1817,32))-INDIRECT(ADDRESS(1820,32)),INDIRECT(ADDRESS(1821,31))-INDIRECT(ADDRESS(1816,32))+INDIRECT(ADDRESS(1819,32))-INDIRECT(ADDRESS(1820,32)))</f>
        <v>0</v>
      </c>
      <c r="AG1821">
        <f>IF(DAY(NOW())&lt;M3,INDIRECT(ADDRESS(1821,32))-INDIRECT(ADDRESS(1816,33))+INDIRECT(ADDRESS(1817,33))-INDIRECT(ADDRESS(1820,33)),INDIRECT(ADDRESS(1821,32))-INDIRECT(ADDRESS(1816,33))+INDIRECT(ADDRESS(1819,33))-INDIRECT(ADDRESS(1820,33)))</f>
        <v>0</v>
      </c>
      <c r="AH1821">
        <f>IF(DAY(NOW())&lt;M3,INDIRECT(ADDRESS(1821,33))-INDIRECT(ADDRESS(1816,34))+INDIRECT(ADDRESS(1817,34))-INDIRECT(ADDRESS(1820,34)),INDIRECT(ADDRESS(1821,33))-INDIRECT(ADDRESS(1816,34))+INDIRECT(ADDRESS(1819,34))-INDIRECT(ADDRESS(1820,34)))</f>
        <v>0</v>
      </c>
      <c r="AI1821">
        <f>IF(DAY(NOW())&lt;M3,INDIRECT(ADDRESS(1821,34))-INDIRECT(ADDRESS(1816,35))+INDIRECT(ADDRESS(1817,35))-INDIRECT(ADDRESS(1820,35)),INDIRECT(ADDRESS(1821,34))-INDIRECT(ADDRESS(1816,35))+INDIRECT(ADDRESS(1819,35))-INDIRECT(ADDRESS(1820,35)))</f>
        <v>0</v>
      </c>
      <c r="AJ1821">
        <f>IF(DAY(NOW())&lt;M3,INDIRECT(ADDRESS(1821,35))-INDIRECT(ADDRESS(1816,36))+INDIRECT(ADDRESS(1817,36))-INDIRECT(ADDRESS(1820,36)),INDIRECT(ADDRESS(1821,35))-INDIRECT(ADDRESS(1816,36))+INDIRECT(ADDRESS(1819,36))-INDIRECT(ADDRESS(1820,36)))</f>
        <v>0</v>
      </c>
      <c r="AK1821">
        <f>IF(DAY(NOW())&lt;M3,INDIRECT(ADDRESS(1821,36))-INDIRECT(ADDRESS(1816,37))+INDIRECT(ADDRESS(1817,37))-INDIRECT(ADDRESS(1820,37)),INDIRECT(ADDRESS(1821,36))-INDIRECT(ADDRESS(1816,37))+INDIRECT(ADDRESS(1819,37))-INDIRECT(ADDRESS(1820,37)))</f>
        <v>0</v>
      </c>
      <c r="AL1821">
        <f>IF(DAY(NOW())&lt;M3,INDIRECT(ADDRESS(1821,37))-INDIRECT(ADDRESS(1816,38))+INDIRECT(ADDRESS(1817,38))-INDIRECT(ADDRESS(1820,38)),INDIRECT(ADDRESS(1821,37))-INDIRECT(ADDRESS(1816,38))+INDIRECT(ADDRESS(1819,38))-INDIRECT(ADDRESS(1820,38)))</f>
        <v>0</v>
      </c>
      <c r="AM1821">
        <f>IF(DAY(NOW())&lt;M3,INDIRECT(ADDRESS(1821,38))-INDIRECT(ADDRESS(1816,39))+INDIRECT(ADDRESS(1817,39))-INDIRECT(ADDRESS(1820,39)),INDIRECT(ADDRESS(1821,38))-INDIRECT(ADDRESS(1816,39))+INDIRECT(ADDRESS(1819,39))-INDIRECT(ADDRESS(1820,39)))</f>
        <v>0</v>
      </c>
      <c r="AN1821">
        <f>IF(DAY(NOW())&lt;M3,INDIRECT(ADDRESS(1821,39))-INDIRECT(ADDRESS(1816,40))+INDIRECT(ADDRESS(1817,40))-INDIRECT(ADDRESS(1820,40)),INDIRECT(ADDRESS(1821,39))-INDIRECT(ADDRESS(1816,40))+INDIRECT(ADDRESS(1819,40))-INDIRECT(ADDRESS(1820,40)))</f>
        <v>0</v>
      </c>
      <c r="AO1821">
        <f>IF(DAY(NOW())&lt;M3,INDIRECT(ADDRESS(1821,40))-INDIRECT(ADDRESS(1816,41))+INDIRECT(ADDRESS(1817,41))-INDIRECT(ADDRESS(1820,41)),INDIRECT(ADDRESS(1821,40))-INDIRECT(ADDRESS(1816,41))+INDIRECT(ADDRESS(1819,41))-INDIRECT(ADDRESS(1820,41)))</f>
        <v>0</v>
      </c>
      <c r="AP1821">
        <f>IF(DAY(NOW())&lt;M3,INDIRECT(ADDRESS(1821,41))-INDIRECT(ADDRESS(1816,42))+INDIRECT(ADDRESS(1817,42))-INDIRECT(ADDRESS(1820,42)),INDIRECT(ADDRESS(1821,41))-INDIRECT(ADDRESS(1816,42))+INDIRECT(ADDRESS(1819,42))-INDIRECT(ADDRESS(1820,42)))</f>
        <v>0</v>
      </c>
      <c r="AQ1821">
        <f>IF(DAY(NOW())&lt;M3,INDIRECT(ADDRESS(1821,42))-INDIRECT(ADDRESS(1816,43))+INDIRECT(ADDRESS(1817,43))-INDIRECT(ADDRESS(1820,43)),INDIRECT(ADDRESS(1821,42))-INDIRECT(ADDRESS(1816,43))+INDIRECT(ADDRESS(1819,43))-INDIRECT(ADDRESS(1820,43)))</f>
        <v>0</v>
      </c>
      <c r="AR1821">
        <f>IF(DAY(NOW())&lt;M3,INDIRECT(ADDRESS(1821,43))-INDIRECT(ADDRESS(1816,44))+INDIRECT(ADDRESS(1817,44))-INDIRECT(ADDRESS(1820,44)),INDIRECT(ADDRESS(1821,43))-INDIRECT(ADDRESS(1816,44))+INDIRECT(ADDRESS(1819,44))-INDIRECT(ADDRESS(1820,44)))</f>
        <v>0</v>
      </c>
    </row>
    <row r="1822" spans="1:76">
      <c r="A1822" t="s">
        <v>14</v>
      </c>
      <c r="B1822" t="s">
        <v>649</v>
      </c>
      <c r="C1822" t="s">
        <v>650</v>
      </c>
      <c r="E1822" t="s">
        <v>444</v>
      </c>
      <c r="F1822" t="s">
        <v>648</v>
      </c>
      <c r="K1822" t="s">
        <v>657</v>
      </c>
      <c r="L1822" t="s">
        <v>21</v>
      </c>
      <c r="BX1822">
        <f>sum(j1822:an1822)</f>
        <v>0</v>
      </c>
    </row>
    <row r="1823" spans="1:76">
      <c r="A1823" t="s">
        <v>14</v>
      </c>
      <c r="B1823" t="s">
        <v>649</v>
      </c>
      <c r="C1823" t="s">
        <v>650</v>
      </c>
      <c r="E1823" t="s">
        <v>444</v>
      </c>
      <c r="F1823" t="s">
        <v>648</v>
      </c>
      <c r="K1823" t="s">
        <v>657</v>
      </c>
      <c r="L1823" t="s">
        <v>37</v>
      </c>
    </row>
    <row r="1824" spans="1:76">
      <c r="L1824" t="s">
        <v>662</v>
      </c>
    </row>
    <row r="1825" spans="1:76">
      <c r="L1825" t="s">
        <v>663</v>
      </c>
    </row>
    <row r="1826" spans="1:76">
      <c r="L1826" t="s">
        <v>664</v>
      </c>
    </row>
    <row r="1827" spans="1:76">
      <c r="L1827" t="s">
        <v>665</v>
      </c>
      <c r="M1827">
        <f>IF(DAY(NOW())&lt;M3,INDIRECT(ADDRESS(1827,7))-INDIRECT(ADDRESS(1822,13))+INDIRECT(ADDRESS(1823,13))-INDIRECT(ADDRESS(1826,13)),INDIRECT(ADDRESS(1827,7))-INDIRECT(ADDRESS(1822,13))+INDIRECT(ADDRESS(1825,13))-INDIRECT(ADDRESS(1826,13)))</f>
        <v>0</v>
      </c>
      <c r="N1827">
        <f>IF(DAY(NOW())&lt;M3,INDIRECT(ADDRESS(1827,13))-INDIRECT(ADDRESS(1822,14))+INDIRECT(ADDRESS(1823,14))-INDIRECT(ADDRESS(1826,14)),INDIRECT(ADDRESS(1827,13))-INDIRECT(ADDRESS(1822,14))+INDIRECT(ADDRESS(1825,14))-INDIRECT(ADDRESS(1826,14)))</f>
        <v>0</v>
      </c>
      <c r="O1827">
        <f>IF(DAY(NOW())&lt;M3,INDIRECT(ADDRESS(1827,14))-INDIRECT(ADDRESS(1822,15))+INDIRECT(ADDRESS(1823,15))-INDIRECT(ADDRESS(1826,15)),INDIRECT(ADDRESS(1827,14))-INDIRECT(ADDRESS(1822,15))+INDIRECT(ADDRESS(1825,15))-INDIRECT(ADDRESS(1826,15)))</f>
        <v>0</v>
      </c>
      <c r="P1827">
        <f>IF(DAY(NOW())&lt;M3,INDIRECT(ADDRESS(1827,15))-INDIRECT(ADDRESS(1822,16))+INDIRECT(ADDRESS(1823,16))-INDIRECT(ADDRESS(1826,16)),INDIRECT(ADDRESS(1827,15))-INDIRECT(ADDRESS(1822,16))+INDIRECT(ADDRESS(1825,16))-INDIRECT(ADDRESS(1826,16)))</f>
        <v>0</v>
      </c>
      <c r="Q1827">
        <f>IF(DAY(NOW())&lt;M3,INDIRECT(ADDRESS(1827,16))-INDIRECT(ADDRESS(1822,17))+INDIRECT(ADDRESS(1823,17))-INDIRECT(ADDRESS(1826,17)),INDIRECT(ADDRESS(1827,16))-INDIRECT(ADDRESS(1822,17))+INDIRECT(ADDRESS(1825,17))-INDIRECT(ADDRESS(1826,17)))</f>
        <v>0</v>
      </c>
      <c r="R1827">
        <f>IF(DAY(NOW())&lt;M3,INDIRECT(ADDRESS(1827,17))-INDIRECT(ADDRESS(1822,18))+INDIRECT(ADDRESS(1823,18))-INDIRECT(ADDRESS(1826,18)),INDIRECT(ADDRESS(1827,17))-INDIRECT(ADDRESS(1822,18))+INDIRECT(ADDRESS(1825,18))-INDIRECT(ADDRESS(1826,18)))</f>
        <v>0</v>
      </c>
      <c r="S1827">
        <f>IF(DAY(NOW())&lt;M3,INDIRECT(ADDRESS(1827,18))-INDIRECT(ADDRESS(1822,19))+INDIRECT(ADDRESS(1823,19))-INDIRECT(ADDRESS(1826,19)),INDIRECT(ADDRESS(1827,18))-INDIRECT(ADDRESS(1822,19))+INDIRECT(ADDRESS(1825,19))-INDIRECT(ADDRESS(1826,19)))</f>
        <v>0</v>
      </c>
      <c r="T1827">
        <f>IF(DAY(NOW())&lt;M3,INDIRECT(ADDRESS(1827,19))-INDIRECT(ADDRESS(1822,20))+INDIRECT(ADDRESS(1823,20))-INDIRECT(ADDRESS(1826,20)),INDIRECT(ADDRESS(1827,19))-INDIRECT(ADDRESS(1822,20))+INDIRECT(ADDRESS(1825,20))-INDIRECT(ADDRESS(1826,20)))</f>
        <v>0</v>
      </c>
      <c r="U1827">
        <f>IF(DAY(NOW())&lt;M3,INDIRECT(ADDRESS(1827,20))-INDIRECT(ADDRESS(1822,21))+INDIRECT(ADDRESS(1823,21))-INDIRECT(ADDRESS(1826,21)),INDIRECT(ADDRESS(1827,20))-INDIRECT(ADDRESS(1822,21))+INDIRECT(ADDRESS(1825,21))-INDIRECT(ADDRESS(1826,21)))</f>
        <v>0</v>
      </c>
      <c r="V1827">
        <f>IF(DAY(NOW())&lt;M3,INDIRECT(ADDRESS(1827,21))-INDIRECT(ADDRESS(1822,22))+INDIRECT(ADDRESS(1823,22))-INDIRECT(ADDRESS(1826,22)),INDIRECT(ADDRESS(1827,21))-INDIRECT(ADDRESS(1822,22))+INDIRECT(ADDRESS(1825,22))-INDIRECT(ADDRESS(1826,22)))</f>
        <v>0</v>
      </c>
      <c r="W1827">
        <f>IF(DAY(NOW())&lt;M3,INDIRECT(ADDRESS(1827,22))-INDIRECT(ADDRESS(1822,23))+INDIRECT(ADDRESS(1823,23))-INDIRECT(ADDRESS(1826,23)),INDIRECT(ADDRESS(1827,22))-INDIRECT(ADDRESS(1822,23))+INDIRECT(ADDRESS(1825,23))-INDIRECT(ADDRESS(1826,23)))</f>
        <v>0</v>
      </c>
      <c r="X1827">
        <f>IF(DAY(NOW())&lt;M3,INDIRECT(ADDRESS(1827,23))-INDIRECT(ADDRESS(1822,24))+INDIRECT(ADDRESS(1823,24))-INDIRECT(ADDRESS(1826,24)),INDIRECT(ADDRESS(1827,23))-INDIRECT(ADDRESS(1822,24))+INDIRECT(ADDRESS(1825,24))-INDIRECT(ADDRESS(1826,24)))</f>
        <v>0</v>
      </c>
      <c r="Y1827">
        <f>IF(DAY(NOW())&lt;M3,INDIRECT(ADDRESS(1827,24))-INDIRECT(ADDRESS(1822,25))+INDIRECT(ADDRESS(1823,25))-INDIRECT(ADDRESS(1826,25)),INDIRECT(ADDRESS(1827,24))-INDIRECT(ADDRESS(1822,25))+INDIRECT(ADDRESS(1825,25))-INDIRECT(ADDRESS(1826,25)))</f>
        <v>0</v>
      </c>
      <c r="Z1827">
        <f>IF(DAY(NOW())&lt;M3,INDIRECT(ADDRESS(1827,25))-INDIRECT(ADDRESS(1822,26))+INDIRECT(ADDRESS(1823,26))-INDIRECT(ADDRESS(1826,26)),INDIRECT(ADDRESS(1827,25))-INDIRECT(ADDRESS(1822,26))+INDIRECT(ADDRESS(1825,26))-INDIRECT(ADDRESS(1826,26)))</f>
        <v>0</v>
      </c>
      <c r="AA1827">
        <f>IF(DAY(NOW())&lt;M3,INDIRECT(ADDRESS(1827,26))-INDIRECT(ADDRESS(1822,27))+INDIRECT(ADDRESS(1823,27))-INDIRECT(ADDRESS(1826,27)),INDIRECT(ADDRESS(1827,26))-INDIRECT(ADDRESS(1822,27))+INDIRECT(ADDRESS(1825,27))-INDIRECT(ADDRESS(1826,27)))</f>
        <v>0</v>
      </c>
      <c r="AB1827">
        <f>IF(DAY(NOW())&lt;M3,INDIRECT(ADDRESS(1827,27))-INDIRECT(ADDRESS(1822,28))+INDIRECT(ADDRESS(1823,28))-INDIRECT(ADDRESS(1826,28)),INDIRECT(ADDRESS(1827,27))-INDIRECT(ADDRESS(1822,28))+INDIRECT(ADDRESS(1825,28))-INDIRECT(ADDRESS(1826,28)))</f>
        <v>0</v>
      </c>
      <c r="AC1827">
        <f>IF(DAY(NOW())&lt;M3,INDIRECT(ADDRESS(1827,28))-INDIRECT(ADDRESS(1822,29))+INDIRECT(ADDRESS(1823,29))-INDIRECT(ADDRESS(1826,29)),INDIRECT(ADDRESS(1827,28))-INDIRECT(ADDRESS(1822,29))+INDIRECT(ADDRESS(1825,29))-INDIRECT(ADDRESS(1826,29)))</f>
        <v>0</v>
      </c>
      <c r="AD1827">
        <f>IF(DAY(NOW())&lt;M3,INDIRECT(ADDRESS(1827,29))-INDIRECT(ADDRESS(1822,30))+INDIRECT(ADDRESS(1823,30))-INDIRECT(ADDRESS(1826,30)),INDIRECT(ADDRESS(1827,29))-INDIRECT(ADDRESS(1822,30))+INDIRECT(ADDRESS(1825,30))-INDIRECT(ADDRESS(1826,30)))</f>
        <v>0</v>
      </c>
      <c r="AE1827">
        <f>IF(DAY(NOW())&lt;M3,INDIRECT(ADDRESS(1827,30))-INDIRECT(ADDRESS(1822,31))+INDIRECT(ADDRESS(1823,31))-INDIRECT(ADDRESS(1826,31)),INDIRECT(ADDRESS(1827,30))-INDIRECT(ADDRESS(1822,31))+INDIRECT(ADDRESS(1825,31))-INDIRECT(ADDRESS(1826,31)))</f>
        <v>0</v>
      </c>
      <c r="AF1827">
        <f>IF(DAY(NOW())&lt;M3,INDIRECT(ADDRESS(1827,31))-INDIRECT(ADDRESS(1822,32))+INDIRECT(ADDRESS(1823,32))-INDIRECT(ADDRESS(1826,32)),INDIRECT(ADDRESS(1827,31))-INDIRECT(ADDRESS(1822,32))+INDIRECT(ADDRESS(1825,32))-INDIRECT(ADDRESS(1826,32)))</f>
        <v>0</v>
      </c>
      <c r="AG1827">
        <f>IF(DAY(NOW())&lt;M3,INDIRECT(ADDRESS(1827,32))-INDIRECT(ADDRESS(1822,33))+INDIRECT(ADDRESS(1823,33))-INDIRECT(ADDRESS(1826,33)),INDIRECT(ADDRESS(1827,32))-INDIRECT(ADDRESS(1822,33))+INDIRECT(ADDRESS(1825,33))-INDIRECT(ADDRESS(1826,33)))</f>
        <v>0</v>
      </c>
      <c r="AH1827">
        <f>IF(DAY(NOW())&lt;M3,INDIRECT(ADDRESS(1827,33))-INDIRECT(ADDRESS(1822,34))+INDIRECT(ADDRESS(1823,34))-INDIRECT(ADDRESS(1826,34)),INDIRECT(ADDRESS(1827,33))-INDIRECT(ADDRESS(1822,34))+INDIRECT(ADDRESS(1825,34))-INDIRECT(ADDRESS(1826,34)))</f>
        <v>0</v>
      </c>
      <c r="AI1827">
        <f>IF(DAY(NOW())&lt;M3,INDIRECT(ADDRESS(1827,34))-INDIRECT(ADDRESS(1822,35))+INDIRECT(ADDRESS(1823,35))-INDIRECT(ADDRESS(1826,35)),INDIRECT(ADDRESS(1827,34))-INDIRECT(ADDRESS(1822,35))+INDIRECT(ADDRESS(1825,35))-INDIRECT(ADDRESS(1826,35)))</f>
        <v>0</v>
      </c>
      <c r="AJ1827">
        <f>IF(DAY(NOW())&lt;M3,INDIRECT(ADDRESS(1827,35))-INDIRECT(ADDRESS(1822,36))+INDIRECT(ADDRESS(1823,36))-INDIRECT(ADDRESS(1826,36)),INDIRECT(ADDRESS(1827,35))-INDIRECT(ADDRESS(1822,36))+INDIRECT(ADDRESS(1825,36))-INDIRECT(ADDRESS(1826,36)))</f>
        <v>0</v>
      </c>
      <c r="AK1827">
        <f>IF(DAY(NOW())&lt;M3,INDIRECT(ADDRESS(1827,36))-INDIRECT(ADDRESS(1822,37))+INDIRECT(ADDRESS(1823,37))-INDIRECT(ADDRESS(1826,37)),INDIRECT(ADDRESS(1827,36))-INDIRECT(ADDRESS(1822,37))+INDIRECT(ADDRESS(1825,37))-INDIRECT(ADDRESS(1826,37)))</f>
        <v>0</v>
      </c>
      <c r="AL1827">
        <f>IF(DAY(NOW())&lt;M3,INDIRECT(ADDRESS(1827,37))-INDIRECT(ADDRESS(1822,38))+INDIRECT(ADDRESS(1823,38))-INDIRECT(ADDRESS(1826,38)),INDIRECT(ADDRESS(1827,37))-INDIRECT(ADDRESS(1822,38))+INDIRECT(ADDRESS(1825,38))-INDIRECT(ADDRESS(1826,38)))</f>
        <v>0</v>
      </c>
      <c r="AM1827">
        <f>IF(DAY(NOW())&lt;M3,INDIRECT(ADDRESS(1827,38))-INDIRECT(ADDRESS(1822,39))+INDIRECT(ADDRESS(1823,39))-INDIRECT(ADDRESS(1826,39)),INDIRECT(ADDRESS(1827,38))-INDIRECT(ADDRESS(1822,39))+INDIRECT(ADDRESS(1825,39))-INDIRECT(ADDRESS(1826,39)))</f>
        <v>0</v>
      </c>
      <c r="AN1827">
        <f>IF(DAY(NOW())&lt;M3,INDIRECT(ADDRESS(1827,39))-INDIRECT(ADDRESS(1822,40))+INDIRECT(ADDRESS(1823,40))-INDIRECT(ADDRESS(1826,40)),INDIRECT(ADDRESS(1827,39))-INDIRECT(ADDRESS(1822,40))+INDIRECT(ADDRESS(1825,40))-INDIRECT(ADDRESS(1826,40)))</f>
        <v>0</v>
      </c>
      <c r="AO1827">
        <f>IF(DAY(NOW())&lt;M3,INDIRECT(ADDRESS(1827,40))-INDIRECT(ADDRESS(1822,41))+INDIRECT(ADDRESS(1823,41))-INDIRECT(ADDRESS(1826,41)),INDIRECT(ADDRESS(1827,40))-INDIRECT(ADDRESS(1822,41))+INDIRECT(ADDRESS(1825,41))-INDIRECT(ADDRESS(1826,41)))</f>
        <v>0</v>
      </c>
      <c r="AP1827">
        <f>IF(DAY(NOW())&lt;M3,INDIRECT(ADDRESS(1827,41))-INDIRECT(ADDRESS(1822,42))+INDIRECT(ADDRESS(1823,42))-INDIRECT(ADDRESS(1826,42)),INDIRECT(ADDRESS(1827,41))-INDIRECT(ADDRESS(1822,42))+INDIRECT(ADDRESS(1825,42))-INDIRECT(ADDRESS(1826,42)))</f>
        <v>0</v>
      </c>
      <c r="AQ1827">
        <f>IF(DAY(NOW())&lt;M3,INDIRECT(ADDRESS(1827,42))-INDIRECT(ADDRESS(1822,43))+INDIRECT(ADDRESS(1823,43))-INDIRECT(ADDRESS(1826,43)),INDIRECT(ADDRESS(1827,42))-INDIRECT(ADDRESS(1822,43))+INDIRECT(ADDRESS(1825,43))-INDIRECT(ADDRESS(1826,43)))</f>
        <v>0</v>
      </c>
      <c r="AR1827">
        <f>IF(DAY(NOW())&lt;M3,INDIRECT(ADDRESS(1827,43))-INDIRECT(ADDRESS(1822,44))+INDIRECT(ADDRESS(1823,44))-INDIRECT(ADDRESS(1826,44)),INDIRECT(ADDRESS(1827,43))-INDIRECT(ADDRESS(1822,44))+INDIRECT(ADDRESS(1825,44))-INDIRECT(ADDRESS(1826,44)))</f>
        <v>0</v>
      </c>
    </row>
    <row r="1828" spans="1:76">
      <c r="A1828" t="s">
        <v>14</v>
      </c>
      <c r="B1828" t="s">
        <v>652</v>
      </c>
      <c r="C1828" t="s">
        <v>653</v>
      </c>
      <c r="F1828" t="s">
        <v>651</v>
      </c>
      <c r="K1828" t="s">
        <v>657</v>
      </c>
      <c r="L1828" t="s">
        <v>21</v>
      </c>
      <c r="BX1828">
        <f>sum(j1828:an1828)</f>
        <v>0</v>
      </c>
    </row>
    <row r="1829" spans="1:76">
      <c r="A1829" t="s">
        <v>14</v>
      </c>
      <c r="B1829" t="s">
        <v>652</v>
      </c>
      <c r="C1829" t="s">
        <v>653</v>
      </c>
      <c r="F1829" t="s">
        <v>651</v>
      </c>
      <c r="K1829" t="s">
        <v>657</v>
      </c>
      <c r="L1829" t="s">
        <v>37</v>
      </c>
    </row>
    <row r="1830" spans="1:76">
      <c r="L1830" t="s">
        <v>662</v>
      </c>
    </row>
    <row r="1831" spans="1:76">
      <c r="L1831" t="s">
        <v>663</v>
      </c>
    </row>
    <row r="1832" spans="1:76">
      <c r="L1832" t="s">
        <v>664</v>
      </c>
    </row>
    <row r="1833" spans="1:76">
      <c r="L1833" t="s">
        <v>665</v>
      </c>
      <c r="M1833">
        <f>IF(DAY(NOW())&lt;M3,INDIRECT(ADDRESS(1833,7))-INDIRECT(ADDRESS(1828,13))+INDIRECT(ADDRESS(1829,13))-INDIRECT(ADDRESS(1832,13)),INDIRECT(ADDRESS(1833,7))-INDIRECT(ADDRESS(1828,13))+INDIRECT(ADDRESS(1831,13))-INDIRECT(ADDRESS(1832,13)))</f>
        <v>0</v>
      </c>
      <c r="N1833">
        <f>IF(DAY(NOW())&lt;M3,INDIRECT(ADDRESS(1833,13))-INDIRECT(ADDRESS(1828,14))+INDIRECT(ADDRESS(1829,14))-INDIRECT(ADDRESS(1832,14)),INDIRECT(ADDRESS(1833,13))-INDIRECT(ADDRESS(1828,14))+INDIRECT(ADDRESS(1831,14))-INDIRECT(ADDRESS(1832,14)))</f>
        <v>0</v>
      </c>
      <c r="O1833">
        <f>IF(DAY(NOW())&lt;M3,INDIRECT(ADDRESS(1833,14))-INDIRECT(ADDRESS(1828,15))+INDIRECT(ADDRESS(1829,15))-INDIRECT(ADDRESS(1832,15)),INDIRECT(ADDRESS(1833,14))-INDIRECT(ADDRESS(1828,15))+INDIRECT(ADDRESS(1831,15))-INDIRECT(ADDRESS(1832,15)))</f>
        <v>0</v>
      </c>
      <c r="P1833">
        <f>IF(DAY(NOW())&lt;M3,INDIRECT(ADDRESS(1833,15))-INDIRECT(ADDRESS(1828,16))+INDIRECT(ADDRESS(1829,16))-INDIRECT(ADDRESS(1832,16)),INDIRECT(ADDRESS(1833,15))-INDIRECT(ADDRESS(1828,16))+INDIRECT(ADDRESS(1831,16))-INDIRECT(ADDRESS(1832,16)))</f>
        <v>0</v>
      </c>
      <c r="Q1833">
        <f>IF(DAY(NOW())&lt;M3,INDIRECT(ADDRESS(1833,16))-INDIRECT(ADDRESS(1828,17))+INDIRECT(ADDRESS(1829,17))-INDIRECT(ADDRESS(1832,17)),INDIRECT(ADDRESS(1833,16))-INDIRECT(ADDRESS(1828,17))+INDIRECT(ADDRESS(1831,17))-INDIRECT(ADDRESS(1832,17)))</f>
        <v>0</v>
      </c>
      <c r="R1833">
        <f>IF(DAY(NOW())&lt;M3,INDIRECT(ADDRESS(1833,17))-INDIRECT(ADDRESS(1828,18))+INDIRECT(ADDRESS(1829,18))-INDIRECT(ADDRESS(1832,18)),INDIRECT(ADDRESS(1833,17))-INDIRECT(ADDRESS(1828,18))+INDIRECT(ADDRESS(1831,18))-INDIRECT(ADDRESS(1832,18)))</f>
        <v>0</v>
      </c>
      <c r="S1833">
        <f>IF(DAY(NOW())&lt;M3,INDIRECT(ADDRESS(1833,18))-INDIRECT(ADDRESS(1828,19))+INDIRECT(ADDRESS(1829,19))-INDIRECT(ADDRESS(1832,19)),INDIRECT(ADDRESS(1833,18))-INDIRECT(ADDRESS(1828,19))+INDIRECT(ADDRESS(1831,19))-INDIRECT(ADDRESS(1832,19)))</f>
        <v>0</v>
      </c>
      <c r="T1833">
        <f>IF(DAY(NOW())&lt;M3,INDIRECT(ADDRESS(1833,19))-INDIRECT(ADDRESS(1828,20))+INDIRECT(ADDRESS(1829,20))-INDIRECT(ADDRESS(1832,20)),INDIRECT(ADDRESS(1833,19))-INDIRECT(ADDRESS(1828,20))+INDIRECT(ADDRESS(1831,20))-INDIRECT(ADDRESS(1832,20)))</f>
        <v>0</v>
      </c>
      <c r="U1833">
        <f>IF(DAY(NOW())&lt;M3,INDIRECT(ADDRESS(1833,20))-INDIRECT(ADDRESS(1828,21))+INDIRECT(ADDRESS(1829,21))-INDIRECT(ADDRESS(1832,21)),INDIRECT(ADDRESS(1833,20))-INDIRECT(ADDRESS(1828,21))+INDIRECT(ADDRESS(1831,21))-INDIRECT(ADDRESS(1832,21)))</f>
        <v>0</v>
      </c>
      <c r="V1833">
        <f>IF(DAY(NOW())&lt;M3,INDIRECT(ADDRESS(1833,21))-INDIRECT(ADDRESS(1828,22))+INDIRECT(ADDRESS(1829,22))-INDIRECT(ADDRESS(1832,22)),INDIRECT(ADDRESS(1833,21))-INDIRECT(ADDRESS(1828,22))+INDIRECT(ADDRESS(1831,22))-INDIRECT(ADDRESS(1832,22)))</f>
        <v>0</v>
      </c>
      <c r="W1833">
        <f>IF(DAY(NOW())&lt;M3,INDIRECT(ADDRESS(1833,22))-INDIRECT(ADDRESS(1828,23))+INDIRECT(ADDRESS(1829,23))-INDIRECT(ADDRESS(1832,23)),INDIRECT(ADDRESS(1833,22))-INDIRECT(ADDRESS(1828,23))+INDIRECT(ADDRESS(1831,23))-INDIRECT(ADDRESS(1832,23)))</f>
        <v>0</v>
      </c>
      <c r="X1833">
        <f>IF(DAY(NOW())&lt;M3,INDIRECT(ADDRESS(1833,23))-INDIRECT(ADDRESS(1828,24))+INDIRECT(ADDRESS(1829,24))-INDIRECT(ADDRESS(1832,24)),INDIRECT(ADDRESS(1833,23))-INDIRECT(ADDRESS(1828,24))+INDIRECT(ADDRESS(1831,24))-INDIRECT(ADDRESS(1832,24)))</f>
        <v>0</v>
      </c>
      <c r="Y1833">
        <f>IF(DAY(NOW())&lt;M3,INDIRECT(ADDRESS(1833,24))-INDIRECT(ADDRESS(1828,25))+INDIRECT(ADDRESS(1829,25))-INDIRECT(ADDRESS(1832,25)),INDIRECT(ADDRESS(1833,24))-INDIRECT(ADDRESS(1828,25))+INDIRECT(ADDRESS(1831,25))-INDIRECT(ADDRESS(1832,25)))</f>
        <v>0</v>
      </c>
      <c r="Z1833">
        <f>IF(DAY(NOW())&lt;M3,INDIRECT(ADDRESS(1833,25))-INDIRECT(ADDRESS(1828,26))+INDIRECT(ADDRESS(1829,26))-INDIRECT(ADDRESS(1832,26)),INDIRECT(ADDRESS(1833,25))-INDIRECT(ADDRESS(1828,26))+INDIRECT(ADDRESS(1831,26))-INDIRECT(ADDRESS(1832,26)))</f>
        <v>0</v>
      </c>
      <c r="AA1833">
        <f>IF(DAY(NOW())&lt;M3,INDIRECT(ADDRESS(1833,26))-INDIRECT(ADDRESS(1828,27))+INDIRECT(ADDRESS(1829,27))-INDIRECT(ADDRESS(1832,27)),INDIRECT(ADDRESS(1833,26))-INDIRECT(ADDRESS(1828,27))+INDIRECT(ADDRESS(1831,27))-INDIRECT(ADDRESS(1832,27)))</f>
        <v>0</v>
      </c>
      <c r="AB1833">
        <f>IF(DAY(NOW())&lt;M3,INDIRECT(ADDRESS(1833,27))-INDIRECT(ADDRESS(1828,28))+INDIRECT(ADDRESS(1829,28))-INDIRECT(ADDRESS(1832,28)),INDIRECT(ADDRESS(1833,27))-INDIRECT(ADDRESS(1828,28))+INDIRECT(ADDRESS(1831,28))-INDIRECT(ADDRESS(1832,28)))</f>
        <v>0</v>
      </c>
      <c r="AC1833">
        <f>IF(DAY(NOW())&lt;M3,INDIRECT(ADDRESS(1833,28))-INDIRECT(ADDRESS(1828,29))+INDIRECT(ADDRESS(1829,29))-INDIRECT(ADDRESS(1832,29)),INDIRECT(ADDRESS(1833,28))-INDIRECT(ADDRESS(1828,29))+INDIRECT(ADDRESS(1831,29))-INDIRECT(ADDRESS(1832,29)))</f>
        <v>0</v>
      </c>
      <c r="AD1833">
        <f>IF(DAY(NOW())&lt;M3,INDIRECT(ADDRESS(1833,29))-INDIRECT(ADDRESS(1828,30))+INDIRECT(ADDRESS(1829,30))-INDIRECT(ADDRESS(1832,30)),INDIRECT(ADDRESS(1833,29))-INDIRECT(ADDRESS(1828,30))+INDIRECT(ADDRESS(1831,30))-INDIRECT(ADDRESS(1832,30)))</f>
        <v>0</v>
      </c>
      <c r="AE1833">
        <f>IF(DAY(NOW())&lt;M3,INDIRECT(ADDRESS(1833,30))-INDIRECT(ADDRESS(1828,31))+INDIRECT(ADDRESS(1829,31))-INDIRECT(ADDRESS(1832,31)),INDIRECT(ADDRESS(1833,30))-INDIRECT(ADDRESS(1828,31))+INDIRECT(ADDRESS(1831,31))-INDIRECT(ADDRESS(1832,31)))</f>
        <v>0</v>
      </c>
      <c r="AF1833">
        <f>IF(DAY(NOW())&lt;M3,INDIRECT(ADDRESS(1833,31))-INDIRECT(ADDRESS(1828,32))+INDIRECT(ADDRESS(1829,32))-INDIRECT(ADDRESS(1832,32)),INDIRECT(ADDRESS(1833,31))-INDIRECT(ADDRESS(1828,32))+INDIRECT(ADDRESS(1831,32))-INDIRECT(ADDRESS(1832,32)))</f>
        <v>0</v>
      </c>
      <c r="AG1833">
        <f>IF(DAY(NOW())&lt;M3,INDIRECT(ADDRESS(1833,32))-INDIRECT(ADDRESS(1828,33))+INDIRECT(ADDRESS(1829,33))-INDIRECT(ADDRESS(1832,33)),INDIRECT(ADDRESS(1833,32))-INDIRECT(ADDRESS(1828,33))+INDIRECT(ADDRESS(1831,33))-INDIRECT(ADDRESS(1832,33)))</f>
        <v>0</v>
      </c>
      <c r="AH1833">
        <f>IF(DAY(NOW())&lt;M3,INDIRECT(ADDRESS(1833,33))-INDIRECT(ADDRESS(1828,34))+INDIRECT(ADDRESS(1829,34))-INDIRECT(ADDRESS(1832,34)),INDIRECT(ADDRESS(1833,33))-INDIRECT(ADDRESS(1828,34))+INDIRECT(ADDRESS(1831,34))-INDIRECT(ADDRESS(1832,34)))</f>
        <v>0</v>
      </c>
      <c r="AI1833">
        <f>IF(DAY(NOW())&lt;M3,INDIRECT(ADDRESS(1833,34))-INDIRECT(ADDRESS(1828,35))+INDIRECT(ADDRESS(1829,35))-INDIRECT(ADDRESS(1832,35)),INDIRECT(ADDRESS(1833,34))-INDIRECT(ADDRESS(1828,35))+INDIRECT(ADDRESS(1831,35))-INDIRECT(ADDRESS(1832,35)))</f>
        <v>0</v>
      </c>
      <c r="AJ1833">
        <f>IF(DAY(NOW())&lt;M3,INDIRECT(ADDRESS(1833,35))-INDIRECT(ADDRESS(1828,36))+INDIRECT(ADDRESS(1829,36))-INDIRECT(ADDRESS(1832,36)),INDIRECT(ADDRESS(1833,35))-INDIRECT(ADDRESS(1828,36))+INDIRECT(ADDRESS(1831,36))-INDIRECT(ADDRESS(1832,36)))</f>
        <v>0</v>
      </c>
      <c r="AK1833">
        <f>IF(DAY(NOW())&lt;M3,INDIRECT(ADDRESS(1833,36))-INDIRECT(ADDRESS(1828,37))+INDIRECT(ADDRESS(1829,37))-INDIRECT(ADDRESS(1832,37)),INDIRECT(ADDRESS(1833,36))-INDIRECT(ADDRESS(1828,37))+INDIRECT(ADDRESS(1831,37))-INDIRECT(ADDRESS(1832,37)))</f>
        <v>0</v>
      </c>
      <c r="AL1833">
        <f>IF(DAY(NOW())&lt;M3,INDIRECT(ADDRESS(1833,37))-INDIRECT(ADDRESS(1828,38))+INDIRECT(ADDRESS(1829,38))-INDIRECT(ADDRESS(1832,38)),INDIRECT(ADDRESS(1833,37))-INDIRECT(ADDRESS(1828,38))+INDIRECT(ADDRESS(1831,38))-INDIRECT(ADDRESS(1832,38)))</f>
        <v>0</v>
      </c>
      <c r="AM1833">
        <f>IF(DAY(NOW())&lt;M3,INDIRECT(ADDRESS(1833,38))-INDIRECT(ADDRESS(1828,39))+INDIRECT(ADDRESS(1829,39))-INDIRECT(ADDRESS(1832,39)),INDIRECT(ADDRESS(1833,38))-INDIRECT(ADDRESS(1828,39))+INDIRECT(ADDRESS(1831,39))-INDIRECT(ADDRESS(1832,39)))</f>
        <v>0</v>
      </c>
      <c r="AN1833">
        <f>IF(DAY(NOW())&lt;M3,INDIRECT(ADDRESS(1833,39))-INDIRECT(ADDRESS(1828,40))+INDIRECT(ADDRESS(1829,40))-INDIRECT(ADDRESS(1832,40)),INDIRECT(ADDRESS(1833,39))-INDIRECT(ADDRESS(1828,40))+INDIRECT(ADDRESS(1831,40))-INDIRECT(ADDRESS(1832,40)))</f>
        <v>0</v>
      </c>
      <c r="AO1833">
        <f>IF(DAY(NOW())&lt;M3,INDIRECT(ADDRESS(1833,40))-INDIRECT(ADDRESS(1828,41))+INDIRECT(ADDRESS(1829,41))-INDIRECT(ADDRESS(1832,41)),INDIRECT(ADDRESS(1833,40))-INDIRECT(ADDRESS(1828,41))+INDIRECT(ADDRESS(1831,41))-INDIRECT(ADDRESS(1832,41)))</f>
        <v>0</v>
      </c>
      <c r="AP1833">
        <f>IF(DAY(NOW())&lt;M3,INDIRECT(ADDRESS(1833,41))-INDIRECT(ADDRESS(1828,42))+INDIRECT(ADDRESS(1829,42))-INDIRECT(ADDRESS(1832,42)),INDIRECT(ADDRESS(1833,41))-INDIRECT(ADDRESS(1828,42))+INDIRECT(ADDRESS(1831,42))-INDIRECT(ADDRESS(1832,42)))</f>
        <v>0</v>
      </c>
      <c r="AQ1833">
        <f>IF(DAY(NOW())&lt;M3,INDIRECT(ADDRESS(1833,42))-INDIRECT(ADDRESS(1828,43))+INDIRECT(ADDRESS(1829,43))-INDIRECT(ADDRESS(1832,43)),INDIRECT(ADDRESS(1833,42))-INDIRECT(ADDRESS(1828,43))+INDIRECT(ADDRESS(1831,43))-INDIRECT(ADDRESS(1832,43)))</f>
        <v>0</v>
      </c>
      <c r="AR1833">
        <f>IF(DAY(NOW())&lt;M3,INDIRECT(ADDRESS(1833,43))-INDIRECT(ADDRESS(1828,44))+INDIRECT(ADDRESS(1829,44))-INDIRECT(ADDRESS(1832,44)),INDIRECT(ADDRESS(1833,43))-INDIRECT(ADDRESS(1828,44))+INDIRECT(ADDRESS(1831,44))-INDIRECT(ADDRESS(1832,44)))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生产发行表</vt:lpstr>
      <vt:lpstr>生产物料推移表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2020-05-04T09:01:15Z</dcterms:created>
  <dcterms:modified xsi:type="dcterms:W3CDTF">2020-05-04T09:01:15Z</dcterms:modified>
</cp:coreProperties>
</file>