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ye/Documents/ny-mini/2019/Scoresheets/"/>
    </mc:Choice>
  </mc:AlternateContent>
  <xr:revisionPtr revIDLastSave="0" documentId="13_ncr:1_{860B8C2E-47FA-C64D-8F4C-70315F6653A2}" xr6:coauthVersionLast="36" xr6:coauthVersionMax="36" xr10:uidLastSave="{00000000-0000-0000-0000-000000000000}"/>
  <bookViews>
    <workbookView xWindow="0" yWindow="460" windowWidth="28800" windowHeight="17540" activeTab="3" xr2:uid="{00000000-000D-0000-FFFF-FFFF00000000}"/>
  </bookViews>
  <sheets>
    <sheet name="ScoreDisp" sheetId="1" r:id="rId1"/>
    <sheet name="Men's Master" sheetId="2" r:id="rId2"/>
    <sheet name="Women's Master" sheetId="3" r:id="rId3"/>
    <sheet name="M_Scoresheets" sheetId="4" r:id="rId4"/>
    <sheet name="W_Scoresheets" sheetId="5" r:id="rId5"/>
    <sheet name="Pool Schedules" sheetId="6" r:id="rId6"/>
    <sheet name="CT01 (M)" sheetId="7" r:id="rId7"/>
    <sheet name="CT02 (M)" sheetId="8" r:id="rId8"/>
    <sheet name="CT03 (M)" sheetId="9" r:id="rId9"/>
    <sheet name="CT04 (M)" sheetId="10" r:id="rId10"/>
    <sheet name="CT07 (M)" sheetId="11" r:id="rId11"/>
    <sheet name="CT08 (M)" sheetId="12" r:id="rId12"/>
    <sheet name="CT12 (M)" sheetId="13" r:id="rId13"/>
    <sheet name="CT13 (M)" sheetId="14" r:id="rId14"/>
    <sheet name="CT14 (M)" sheetId="15" r:id="rId15"/>
    <sheet name="CT05 (W)" sheetId="16" r:id="rId16"/>
    <sheet name="CT06 (W)" sheetId="17" r:id="rId17"/>
    <sheet name="CT09 (W)" sheetId="18" r:id="rId18"/>
    <sheet name="CT10 (W)" sheetId="19" r:id="rId19"/>
    <sheet name="CT11 (W)" sheetId="20" r:id="rId20"/>
    <sheet name="CT15 (W)" sheetId="21" r:id="rId21"/>
    <sheet name="CT16 (W)" sheetId="22" r:id="rId22"/>
    <sheet name="CT17 (W)" sheetId="23" r:id="rId23"/>
    <sheet name="CT18 (W)" sheetId="24" r:id="rId24"/>
  </sheets>
  <calcPr calcId="181029"/>
</workbook>
</file>

<file path=xl/calcChain.xml><?xml version="1.0" encoding="utf-8"?>
<calcChain xmlns="http://schemas.openxmlformats.org/spreadsheetml/2006/main">
  <c r="F99" i="4" l="1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D97" i="4"/>
  <c r="D96" i="4"/>
  <c r="D93" i="4"/>
  <c r="D92" i="4"/>
  <c r="D89" i="4"/>
  <c r="D88" i="4"/>
  <c r="D85" i="4"/>
  <c r="D84" i="4"/>
  <c r="D81" i="4"/>
  <c r="D80" i="4"/>
  <c r="D77" i="4"/>
  <c r="D76" i="4"/>
  <c r="D73" i="4"/>
  <c r="D72" i="4"/>
  <c r="D69" i="4"/>
  <c r="D68" i="4"/>
  <c r="D65" i="4"/>
  <c r="D64" i="4"/>
  <c r="D61" i="4"/>
  <c r="D60" i="4"/>
  <c r="D57" i="4"/>
  <c r="D56" i="4"/>
  <c r="D53" i="4"/>
  <c r="D52" i="4"/>
  <c r="D49" i="4"/>
  <c r="D48" i="4"/>
  <c r="D45" i="4"/>
  <c r="D44" i="4"/>
  <c r="D41" i="4"/>
  <c r="D40" i="4"/>
  <c r="D37" i="4"/>
  <c r="D36" i="4"/>
  <c r="D33" i="4"/>
  <c r="D32" i="4"/>
  <c r="D29" i="4"/>
  <c r="D28" i="4"/>
  <c r="D25" i="4"/>
  <c r="D24" i="4"/>
  <c r="D21" i="4"/>
  <c r="D20" i="4"/>
  <c r="D17" i="4"/>
  <c r="D16" i="4"/>
  <c r="D13" i="4"/>
  <c r="D12" i="4"/>
  <c r="D9" i="4"/>
  <c r="D8" i="4"/>
  <c r="D5" i="4"/>
  <c r="D4" i="4"/>
  <c r="AH23" i="24"/>
  <c r="AH22" i="24"/>
  <c r="AH21" i="24"/>
  <c r="AH20" i="24"/>
  <c r="AH19" i="24"/>
  <c r="AH18" i="24"/>
  <c r="AH17" i="24"/>
  <c r="AH16" i="24"/>
  <c r="AH15" i="24"/>
  <c r="AH14" i="24"/>
  <c r="B9" i="24"/>
  <c r="E23" i="24" s="1"/>
  <c r="AG23" i="24" s="1"/>
  <c r="AF8" i="24"/>
  <c r="AC9" i="24" s="1"/>
  <c r="AE8" i="24"/>
  <c r="AB9" i="24" s="1"/>
  <c r="AD8" i="24"/>
  <c r="B8" i="24"/>
  <c r="E15" i="24" s="1"/>
  <c r="AF7" i="24"/>
  <c r="Z9" i="24" s="1"/>
  <c r="AE7" i="24"/>
  <c r="Y9" i="24" s="1"/>
  <c r="AD7" i="24"/>
  <c r="AC7" i="24"/>
  <c r="Z8" i="24" s="1"/>
  <c r="AB7" i="24"/>
  <c r="Y8" i="24" s="1"/>
  <c r="AA7" i="24"/>
  <c r="X8" i="24" s="1"/>
  <c r="V7" i="24"/>
  <c r="B7" i="24"/>
  <c r="E19" i="24" s="1"/>
  <c r="AF6" i="24"/>
  <c r="AE6" i="24"/>
  <c r="V9" i="24" s="1"/>
  <c r="AD6" i="24"/>
  <c r="U9" i="24" s="1"/>
  <c r="AC6" i="24"/>
  <c r="W8" i="24" s="1"/>
  <c r="AB6" i="24"/>
  <c r="V8" i="24" s="1"/>
  <c r="AA6" i="24"/>
  <c r="U8" i="24" s="1"/>
  <c r="Z6" i="24"/>
  <c r="W7" i="24" s="1"/>
  <c r="Y6" i="24"/>
  <c r="X6" i="24"/>
  <c r="U7" i="24" s="1"/>
  <c r="B6" i="24"/>
  <c r="C20" i="24" s="1"/>
  <c r="AG20" i="24" s="1"/>
  <c r="AF5" i="24"/>
  <c r="T9" i="24" s="1"/>
  <c r="AE5" i="24"/>
  <c r="S9" i="24" s="1"/>
  <c r="AD5" i="24"/>
  <c r="R9" i="24" s="1"/>
  <c r="AC5" i="24"/>
  <c r="T8" i="24" s="1"/>
  <c r="AB5" i="24"/>
  <c r="S8" i="24" s="1"/>
  <c r="AA5" i="24"/>
  <c r="R8" i="24" s="1"/>
  <c r="Z5" i="24"/>
  <c r="T7" i="24" s="1"/>
  <c r="Y5" i="24"/>
  <c r="S7" i="24" s="1"/>
  <c r="X5" i="24"/>
  <c r="R7" i="24" s="1"/>
  <c r="W5" i="24"/>
  <c r="T6" i="24" s="1"/>
  <c r="V5" i="24"/>
  <c r="S6" i="24" s="1"/>
  <c r="U5" i="24"/>
  <c r="R6" i="24" s="1"/>
  <c r="P5" i="24"/>
  <c r="B5" i="24"/>
  <c r="C16" i="24" s="1"/>
  <c r="A2" i="24"/>
  <c r="A3" i="24" s="1"/>
  <c r="AH23" i="23"/>
  <c r="AH22" i="23"/>
  <c r="AH21" i="23"/>
  <c r="AH20" i="23"/>
  <c r="AH19" i="23"/>
  <c r="AH18" i="23"/>
  <c r="AH17" i="23"/>
  <c r="AH16" i="23"/>
  <c r="AH15" i="23"/>
  <c r="AH14" i="23"/>
  <c r="B9" i="23"/>
  <c r="E21" i="23" s="1"/>
  <c r="AG21" i="23" s="1"/>
  <c r="AF8" i="23"/>
  <c r="AC9" i="23" s="1"/>
  <c r="AE8" i="23"/>
  <c r="AB9" i="23" s="1"/>
  <c r="AD8" i="23"/>
  <c r="AA9" i="23" s="1"/>
  <c r="B8" i="23"/>
  <c r="C18" i="23" s="1"/>
  <c r="AF7" i="23"/>
  <c r="Z9" i="23" s="1"/>
  <c r="AE7" i="23"/>
  <c r="Y9" i="23" s="1"/>
  <c r="AD7" i="23"/>
  <c r="X9" i="23" s="1"/>
  <c r="AC7" i="23"/>
  <c r="Z8" i="23" s="1"/>
  <c r="AB7" i="23"/>
  <c r="Y8" i="23" s="1"/>
  <c r="AA7" i="23"/>
  <c r="X8" i="23" s="1"/>
  <c r="B7" i="23"/>
  <c r="E17" i="23" s="1"/>
  <c r="AF6" i="23"/>
  <c r="AE6" i="23"/>
  <c r="V9" i="23" s="1"/>
  <c r="AD6" i="23"/>
  <c r="U9" i="23" s="1"/>
  <c r="AC6" i="23"/>
  <c r="W8" i="23" s="1"/>
  <c r="AB6" i="23"/>
  <c r="V8" i="23" s="1"/>
  <c r="AA6" i="23"/>
  <c r="U8" i="23" s="1"/>
  <c r="Z6" i="23"/>
  <c r="W7" i="23" s="1"/>
  <c r="Y6" i="23"/>
  <c r="V7" i="23" s="1"/>
  <c r="X6" i="23"/>
  <c r="U7" i="23" s="1"/>
  <c r="O7" i="23" s="1"/>
  <c r="R6" i="23"/>
  <c r="B6" i="23"/>
  <c r="AF5" i="23"/>
  <c r="T9" i="23" s="1"/>
  <c r="AE5" i="23"/>
  <c r="AD5" i="23"/>
  <c r="R9" i="23" s="1"/>
  <c r="AC5" i="23"/>
  <c r="T8" i="23" s="1"/>
  <c r="AB5" i="23"/>
  <c r="S8" i="23" s="1"/>
  <c r="AA5" i="23"/>
  <c r="R8" i="23" s="1"/>
  <c r="Z5" i="23"/>
  <c r="T7" i="23" s="1"/>
  <c r="Y5" i="23"/>
  <c r="S7" i="23" s="1"/>
  <c r="X5" i="23"/>
  <c r="R7" i="23" s="1"/>
  <c r="W5" i="23"/>
  <c r="V5" i="23"/>
  <c r="S6" i="23" s="1"/>
  <c r="U5" i="23"/>
  <c r="P5" i="23"/>
  <c r="B5" i="23"/>
  <c r="A2" i="23"/>
  <c r="A3" i="23" s="1"/>
  <c r="AH23" i="22"/>
  <c r="O23" i="22"/>
  <c r="E23" i="22"/>
  <c r="AH22" i="22"/>
  <c r="O22" i="22"/>
  <c r="AH21" i="22"/>
  <c r="AH20" i="22"/>
  <c r="E20" i="22"/>
  <c r="AH19" i="22"/>
  <c r="O19" i="22"/>
  <c r="E19" i="22"/>
  <c r="AH18" i="22"/>
  <c r="O18" i="22"/>
  <c r="AH17" i="22"/>
  <c r="AH16" i="22"/>
  <c r="E16" i="22"/>
  <c r="AG16" i="22" s="1"/>
  <c r="C16" i="22"/>
  <c r="AH15" i="22"/>
  <c r="E15" i="22"/>
  <c r="AH14" i="22"/>
  <c r="AA9" i="22"/>
  <c r="Z9" i="22"/>
  <c r="W9" i="22"/>
  <c r="V9" i="22"/>
  <c r="S9" i="22"/>
  <c r="R9" i="22"/>
  <c r="B9" i="22"/>
  <c r="E18" i="22" s="1"/>
  <c r="AG18" i="22" s="1"/>
  <c r="AF8" i="22"/>
  <c r="AE8" i="22"/>
  <c r="AB9" i="22" s="1"/>
  <c r="AD8" i="22"/>
  <c r="Z8" i="22"/>
  <c r="Y8" i="22"/>
  <c r="V8" i="22"/>
  <c r="U8" i="22"/>
  <c r="R8" i="22"/>
  <c r="B8" i="22"/>
  <c r="E22" i="22" s="1"/>
  <c r="AF7" i="22"/>
  <c r="AE7" i="22"/>
  <c r="AD7" i="22"/>
  <c r="X9" i="22" s="1"/>
  <c r="AC7" i="22"/>
  <c r="AB7" i="22"/>
  <c r="AA7" i="22"/>
  <c r="X8" i="22" s="1"/>
  <c r="U7" i="22"/>
  <c r="B7" i="22"/>
  <c r="AF6" i="22"/>
  <c r="AE6" i="22"/>
  <c r="AD6" i="22"/>
  <c r="AC6" i="22"/>
  <c r="W8" i="22" s="1"/>
  <c r="AB6" i="22"/>
  <c r="AA6" i="22"/>
  <c r="Z6" i="22"/>
  <c r="W7" i="22" s="1"/>
  <c r="Y6" i="22"/>
  <c r="V7" i="22" s="1"/>
  <c r="X6" i="22"/>
  <c r="T6" i="22"/>
  <c r="S6" i="22"/>
  <c r="B6" i="22"/>
  <c r="AF5" i="22"/>
  <c r="T9" i="22" s="1"/>
  <c r="AE5" i="22"/>
  <c r="AD5" i="22"/>
  <c r="AC5" i="22"/>
  <c r="T8" i="22" s="1"/>
  <c r="AB5" i="22"/>
  <c r="S8" i="22" s="1"/>
  <c r="AA5" i="22"/>
  <c r="Z5" i="22"/>
  <c r="T7" i="22" s="1"/>
  <c r="Y5" i="22"/>
  <c r="S7" i="22" s="1"/>
  <c r="X5" i="22"/>
  <c r="R7" i="22" s="1"/>
  <c r="W5" i="22"/>
  <c r="V5" i="22"/>
  <c r="U5" i="22"/>
  <c r="B5" i="22"/>
  <c r="C19" i="22" s="1"/>
  <c r="AG19" i="22" s="1"/>
  <c r="A3" i="22"/>
  <c r="A2" i="22"/>
  <c r="AH23" i="21"/>
  <c r="AH22" i="21"/>
  <c r="AH21" i="21"/>
  <c r="AH20" i="21"/>
  <c r="O20" i="21"/>
  <c r="AH19" i="21"/>
  <c r="AH18" i="21"/>
  <c r="C18" i="21"/>
  <c r="AG18" i="21" s="1"/>
  <c r="AH17" i="21"/>
  <c r="AH16" i="21"/>
  <c r="AG16" i="21"/>
  <c r="O16" i="21"/>
  <c r="AH15" i="21"/>
  <c r="AH14" i="21"/>
  <c r="AC9" i="21"/>
  <c r="X9" i="21"/>
  <c r="T9" i="21"/>
  <c r="B9" i="21"/>
  <c r="AF8" i="21"/>
  <c r="AE8" i="21"/>
  <c r="AD8" i="21"/>
  <c r="AA9" i="21" s="1"/>
  <c r="X8" i="21"/>
  <c r="W8" i="21"/>
  <c r="V8" i="21"/>
  <c r="S8" i="21"/>
  <c r="B8" i="21"/>
  <c r="AF7" i="21"/>
  <c r="Z9" i="21" s="1"/>
  <c r="AE7" i="21"/>
  <c r="AD7" i="21"/>
  <c r="AC7" i="21"/>
  <c r="Z8" i="21" s="1"/>
  <c r="AB7" i="21"/>
  <c r="Y8" i="21" s="1"/>
  <c r="AA7" i="21"/>
  <c r="V7" i="21"/>
  <c r="U7" i="21"/>
  <c r="R7" i="21"/>
  <c r="B7" i="21"/>
  <c r="AF6" i="21"/>
  <c r="W9" i="21" s="1"/>
  <c r="AE6" i="21"/>
  <c r="V9" i="21" s="1"/>
  <c r="AD6" i="21"/>
  <c r="AC6" i="21"/>
  <c r="AB6" i="21"/>
  <c r="AA6" i="21"/>
  <c r="U8" i="21" s="1"/>
  <c r="Z6" i="21"/>
  <c r="W7" i="21" s="1"/>
  <c r="P7" i="21" s="1"/>
  <c r="Y6" i="21"/>
  <c r="X6" i="21"/>
  <c r="S6" i="21"/>
  <c r="B6" i="21"/>
  <c r="AF5" i="21"/>
  <c r="AE5" i="21"/>
  <c r="S9" i="21" s="1"/>
  <c r="AD5" i="21"/>
  <c r="R9" i="21" s="1"/>
  <c r="AC5" i="21"/>
  <c r="T8" i="21" s="1"/>
  <c r="AB5" i="21"/>
  <c r="AA5" i="21"/>
  <c r="R8" i="21" s="1"/>
  <c r="Z5" i="21"/>
  <c r="T7" i="21" s="1"/>
  <c r="Y5" i="21"/>
  <c r="S7" i="21" s="1"/>
  <c r="X5" i="21"/>
  <c r="W5" i="21"/>
  <c r="T6" i="21" s="1"/>
  <c r="V5" i="21"/>
  <c r="U5" i="21"/>
  <c r="P5" i="21"/>
  <c r="O5" i="21"/>
  <c r="B5" i="21"/>
  <c r="C16" i="21" s="1"/>
  <c r="A3" i="21"/>
  <c r="A2" i="21"/>
  <c r="AH23" i="20"/>
  <c r="E23" i="20"/>
  <c r="C23" i="20"/>
  <c r="AG23" i="20" s="1"/>
  <c r="AH22" i="20"/>
  <c r="C22" i="20"/>
  <c r="AH21" i="20"/>
  <c r="O21" i="20"/>
  <c r="E21" i="20"/>
  <c r="AG21" i="20" s="1"/>
  <c r="AH20" i="20"/>
  <c r="O20" i="20"/>
  <c r="C20" i="20"/>
  <c r="AG20" i="20" s="1"/>
  <c r="J6" i="20" s="1"/>
  <c r="AH19" i="20"/>
  <c r="C19" i="20"/>
  <c r="AH18" i="20"/>
  <c r="E18" i="20"/>
  <c r="AH17" i="20"/>
  <c r="O17" i="20"/>
  <c r="AH16" i="20"/>
  <c r="C16" i="20"/>
  <c r="AH15" i="20"/>
  <c r="AH14" i="20"/>
  <c r="E14" i="20"/>
  <c r="AG14" i="20" s="1"/>
  <c r="C14" i="20"/>
  <c r="AC9" i="20"/>
  <c r="AB9" i="20"/>
  <c r="Z9" i="20"/>
  <c r="X9" i="20"/>
  <c r="V9" i="20"/>
  <c r="T9" i="20"/>
  <c r="R9" i="20"/>
  <c r="B9" i="20"/>
  <c r="AF8" i="20"/>
  <c r="AE8" i="20"/>
  <c r="AD8" i="20"/>
  <c r="Y8" i="20"/>
  <c r="U8" i="20"/>
  <c r="S8" i="20"/>
  <c r="B8" i="20"/>
  <c r="C18" i="20" s="1"/>
  <c r="AG18" i="20" s="1"/>
  <c r="AF7" i="20"/>
  <c r="AE7" i="20"/>
  <c r="Y9" i="20" s="1"/>
  <c r="AD7" i="20"/>
  <c r="AC7" i="20"/>
  <c r="Z8" i="20" s="1"/>
  <c r="AB7" i="20"/>
  <c r="AA7" i="20"/>
  <c r="X8" i="20" s="1"/>
  <c r="W7" i="20"/>
  <c r="T7" i="20"/>
  <c r="S7" i="20"/>
  <c r="R7" i="20"/>
  <c r="B7" i="20"/>
  <c r="E19" i="20" s="1"/>
  <c r="AG19" i="20" s="1"/>
  <c r="AF6" i="20"/>
  <c r="W9" i="20" s="1"/>
  <c r="AE6" i="20"/>
  <c r="AD6" i="20"/>
  <c r="AC6" i="20"/>
  <c r="W8" i="20" s="1"/>
  <c r="AB6" i="20"/>
  <c r="V8" i="20" s="1"/>
  <c r="AA6" i="20"/>
  <c r="Z6" i="20"/>
  <c r="Y6" i="20"/>
  <c r="V7" i="20" s="1"/>
  <c r="X6" i="20"/>
  <c r="U7" i="20" s="1"/>
  <c r="S6" i="20"/>
  <c r="B6" i="20"/>
  <c r="C17" i="20" s="1"/>
  <c r="AG17" i="20" s="1"/>
  <c r="AF5" i="20"/>
  <c r="AE5" i="20"/>
  <c r="AD5" i="20"/>
  <c r="AC5" i="20"/>
  <c r="T8" i="20" s="1"/>
  <c r="AB5" i="20"/>
  <c r="AA5" i="20"/>
  <c r="R8" i="20" s="1"/>
  <c r="AH8" i="20" s="1"/>
  <c r="Z5" i="20"/>
  <c r="Y5" i="20"/>
  <c r="X5" i="20"/>
  <c r="W5" i="20"/>
  <c r="T6" i="20" s="1"/>
  <c r="O6" i="20" s="1"/>
  <c r="V5" i="20"/>
  <c r="U5" i="20"/>
  <c r="R6" i="20" s="1"/>
  <c r="B5" i="20"/>
  <c r="A2" i="20"/>
  <c r="A3" i="20" s="1"/>
  <c r="AH23" i="19"/>
  <c r="O23" i="19"/>
  <c r="AH22" i="19"/>
  <c r="AG22" i="19"/>
  <c r="C22" i="19"/>
  <c r="AH21" i="19"/>
  <c r="C21" i="19"/>
  <c r="AH20" i="19"/>
  <c r="E20" i="19"/>
  <c r="AH19" i="19"/>
  <c r="AG19" i="19"/>
  <c r="E19" i="19"/>
  <c r="AH18" i="19"/>
  <c r="C18" i="19"/>
  <c r="AH17" i="19"/>
  <c r="AH16" i="19"/>
  <c r="O16" i="19"/>
  <c r="C16" i="19"/>
  <c r="AH15" i="19"/>
  <c r="AG15" i="19"/>
  <c r="E15" i="19"/>
  <c r="AH14" i="19"/>
  <c r="AB9" i="19"/>
  <c r="X9" i="19"/>
  <c r="W9" i="19"/>
  <c r="T9" i="19"/>
  <c r="R9" i="19"/>
  <c r="B9" i="19"/>
  <c r="AF8" i="19"/>
  <c r="AC9" i="19" s="1"/>
  <c r="AE8" i="19"/>
  <c r="AD8" i="19"/>
  <c r="AA9" i="19" s="1"/>
  <c r="W8" i="19"/>
  <c r="V8" i="19"/>
  <c r="S8" i="19"/>
  <c r="B8" i="19"/>
  <c r="E22" i="19" s="1"/>
  <c r="AJ7" i="19"/>
  <c r="AF7" i="19"/>
  <c r="Z9" i="19" s="1"/>
  <c r="AE7" i="19"/>
  <c r="AD7" i="19"/>
  <c r="AC7" i="19"/>
  <c r="Z8" i="19" s="1"/>
  <c r="AB7" i="19"/>
  <c r="Y8" i="19" s="1"/>
  <c r="AA7" i="19"/>
  <c r="X8" i="19" s="1"/>
  <c r="V7" i="19"/>
  <c r="U7" i="19"/>
  <c r="T7" i="19"/>
  <c r="R7" i="19"/>
  <c r="B7" i="19"/>
  <c r="C15" i="19" s="1"/>
  <c r="AF6" i="19"/>
  <c r="AE6" i="19"/>
  <c r="AD6" i="19"/>
  <c r="U9" i="19" s="1"/>
  <c r="AC6" i="19"/>
  <c r="AB6" i="19"/>
  <c r="AA6" i="19"/>
  <c r="U8" i="19" s="1"/>
  <c r="Z6" i="19"/>
  <c r="W7" i="19" s="1"/>
  <c r="Y6" i="19"/>
  <c r="X6" i="19"/>
  <c r="T6" i="19"/>
  <c r="B6" i="19"/>
  <c r="C20" i="19" s="1"/>
  <c r="AG20" i="19" s="1"/>
  <c r="AF5" i="19"/>
  <c r="AE5" i="19"/>
  <c r="S9" i="19" s="1"/>
  <c r="AD5" i="19"/>
  <c r="AC5" i="19"/>
  <c r="T8" i="19" s="1"/>
  <c r="AB5" i="19"/>
  <c r="AA5" i="19"/>
  <c r="R8" i="19" s="1"/>
  <c r="Z5" i="19"/>
  <c r="Y5" i="19"/>
  <c r="S7" i="19" s="1"/>
  <c r="P7" i="19" s="1"/>
  <c r="X5" i="19"/>
  <c r="W5" i="19"/>
  <c r="V5" i="19"/>
  <c r="S6" i="19" s="1"/>
  <c r="U5" i="19"/>
  <c r="B5" i="19"/>
  <c r="A3" i="19"/>
  <c r="A2" i="19"/>
  <c r="AH23" i="18"/>
  <c r="C23" i="18"/>
  <c r="AH22" i="18"/>
  <c r="O22" i="18"/>
  <c r="C22" i="18"/>
  <c r="AH21" i="18"/>
  <c r="E21" i="18"/>
  <c r="AG21" i="18" s="1"/>
  <c r="AH20" i="18"/>
  <c r="C20" i="18"/>
  <c r="AH19" i="18"/>
  <c r="AH18" i="18"/>
  <c r="C18" i="18"/>
  <c r="AH17" i="18"/>
  <c r="AG17" i="18"/>
  <c r="AH16" i="18"/>
  <c r="AH15" i="18"/>
  <c r="AH14" i="18"/>
  <c r="C14" i="18"/>
  <c r="AG14" i="18" s="1"/>
  <c r="AC9" i="18"/>
  <c r="AB9" i="18"/>
  <c r="Z9" i="18"/>
  <c r="V9" i="18"/>
  <c r="U9" i="18"/>
  <c r="R9" i="18"/>
  <c r="B9" i="18"/>
  <c r="AF8" i="18"/>
  <c r="AE8" i="18"/>
  <c r="AD8" i="18"/>
  <c r="AA9" i="18" s="1"/>
  <c r="Y8" i="18"/>
  <c r="W8" i="18"/>
  <c r="U8" i="18"/>
  <c r="B8" i="18"/>
  <c r="AF7" i="18"/>
  <c r="AE7" i="18"/>
  <c r="Y9" i="18" s="1"/>
  <c r="AD7" i="18"/>
  <c r="AC7" i="18"/>
  <c r="Z8" i="18" s="1"/>
  <c r="AB7" i="18"/>
  <c r="AA7" i="18"/>
  <c r="X8" i="18" s="1"/>
  <c r="W7" i="18"/>
  <c r="T7" i="18"/>
  <c r="S7" i="18"/>
  <c r="R7" i="18"/>
  <c r="B7" i="18"/>
  <c r="AF6" i="18"/>
  <c r="W9" i="18" s="1"/>
  <c r="AE6" i="18"/>
  <c r="AD6" i="18"/>
  <c r="AC6" i="18"/>
  <c r="AB6" i="18"/>
  <c r="V8" i="18" s="1"/>
  <c r="O8" i="18" s="1"/>
  <c r="AA6" i="18"/>
  <c r="Z6" i="18"/>
  <c r="Y6" i="18"/>
  <c r="V7" i="18" s="1"/>
  <c r="X6" i="18"/>
  <c r="U7" i="18" s="1"/>
  <c r="S6" i="18"/>
  <c r="B6" i="18"/>
  <c r="C17" i="18" s="1"/>
  <c r="AF5" i="18"/>
  <c r="T9" i="18" s="1"/>
  <c r="AE5" i="18"/>
  <c r="AD5" i="18"/>
  <c r="AC5" i="18"/>
  <c r="T8" i="18" s="1"/>
  <c r="AB5" i="18"/>
  <c r="S8" i="18" s="1"/>
  <c r="AA5" i="18"/>
  <c r="R8" i="18" s="1"/>
  <c r="AJ8" i="18" s="1"/>
  <c r="Z5" i="18"/>
  <c r="Y5" i="18"/>
  <c r="X5" i="18"/>
  <c r="W5" i="18"/>
  <c r="T6" i="18" s="1"/>
  <c r="V5" i="18"/>
  <c r="U5" i="18"/>
  <c r="B5" i="18"/>
  <c r="C16" i="18" s="1"/>
  <c r="AG16" i="18" s="1"/>
  <c r="A2" i="18"/>
  <c r="A3" i="18" s="1"/>
  <c r="AH23" i="17"/>
  <c r="AH22" i="17"/>
  <c r="AH21" i="17"/>
  <c r="AH20" i="17"/>
  <c r="O20" i="17"/>
  <c r="E20" i="17"/>
  <c r="AH19" i="17"/>
  <c r="AH18" i="17"/>
  <c r="AH17" i="17"/>
  <c r="AH16" i="17"/>
  <c r="O16" i="17"/>
  <c r="AH15" i="17"/>
  <c r="AH14" i="17"/>
  <c r="AB9" i="17"/>
  <c r="T9" i="17"/>
  <c r="B9" i="17"/>
  <c r="AF8" i="17"/>
  <c r="AC9" i="17" s="1"/>
  <c r="AE8" i="17"/>
  <c r="AD8" i="17"/>
  <c r="W8" i="17"/>
  <c r="V8" i="17"/>
  <c r="S8" i="17"/>
  <c r="R8" i="17"/>
  <c r="B8" i="17"/>
  <c r="AF7" i="17"/>
  <c r="Z9" i="17" s="1"/>
  <c r="AE7" i="17"/>
  <c r="Y9" i="17" s="1"/>
  <c r="AD7" i="17"/>
  <c r="X9" i="17" s="1"/>
  <c r="AC7" i="17"/>
  <c r="Z8" i="17" s="1"/>
  <c r="AB7" i="17"/>
  <c r="Y8" i="17" s="1"/>
  <c r="AA7" i="17"/>
  <c r="X8" i="17" s="1"/>
  <c r="V7" i="17"/>
  <c r="U7" i="17"/>
  <c r="R7" i="17"/>
  <c r="B7" i="17"/>
  <c r="C15" i="17" s="1"/>
  <c r="AF6" i="17"/>
  <c r="W9" i="17" s="1"/>
  <c r="AE6" i="17"/>
  <c r="AD6" i="17"/>
  <c r="U9" i="17" s="1"/>
  <c r="AC6" i="17"/>
  <c r="AB6" i="17"/>
  <c r="AA6" i="17"/>
  <c r="U8" i="17" s="1"/>
  <c r="Z6" i="17"/>
  <c r="W7" i="17" s="1"/>
  <c r="Y6" i="17"/>
  <c r="X6" i="17"/>
  <c r="T6" i="17"/>
  <c r="B6" i="17"/>
  <c r="AF5" i="17"/>
  <c r="AE5" i="17"/>
  <c r="S9" i="17" s="1"/>
  <c r="AD5" i="17"/>
  <c r="R9" i="17" s="1"/>
  <c r="AC5" i="17"/>
  <c r="T8" i="17" s="1"/>
  <c r="AB5" i="17"/>
  <c r="AA5" i="17"/>
  <c r="Z5" i="17"/>
  <c r="T7" i="17" s="1"/>
  <c r="Y5" i="17"/>
  <c r="S7" i="17" s="1"/>
  <c r="AJ7" i="17" s="1"/>
  <c r="X5" i="17"/>
  <c r="W5" i="17"/>
  <c r="V5" i="17"/>
  <c r="S6" i="17" s="1"/>
  <c r="U5" i="17"/>
  <c r="R6" i="17" s="1"/>
  <c r="O5" i="17"/>
  <c r="B5" i="17"/>
  <c r="A2" i="17"/>
  <c r="AH23" i="16"/>
  <c r="AG23" i="16"/>
  <c r="C23" i="16"/>
  <c r="AH22" i="16"/>
  <c r="AH21" i="16"/>
  <c r="O21" i="16"/>
  <c r="AH20" i="16"/>
  <c r="AH19" i="16"/>
  <c r="AH18" i="16"/>
  <c r="C18" i="16"/>
  <c r="AG18" i="16" s="1"/>
  <c r="AH17" i="16"/>
  <c r="E17" i="16"/>
  <c r="AG17" i="16" s="1"/>
  <c r="AH16" i="16"/>
  <c r="O16" i="16"/>
  <c r="AH15" i="16"/>
  <c r="C15" i="16"/>
  <c r="AH14" i="16"/>
  <c r="E14" i="16"/>
  <c r="AG14" i="16" s="1"/>
  <c r="AC9" i="16"/>
  <c r="AB9" i="16"/>
  <c r="Y9" i="16"/>
  <c r="X9" i="16"/>
  <c r="U9" i="16"/>
  <c r="T9" i="16"/>
  <c r="B9" i="16"/>
  <c r="O19" i="16" s="1"/>
  <c r="AF8" i="16"/>
  <c r="AE8" i="16"/>
  <c r="AD8" i="16"/>
  <c r="AA9" i="16" s="1"/>
  <c r="X8" i="16"/>
  <c r="W8" i="16"/>
  <c r="T8" i="16"/>
  <c r="S8" i="16"/>
  <c r="B8" i="16"/>
  <c r="O23" i="16" s="1"/>
  <c r="AF7" i="16"/>
  <c r="Z9" i="16" s="1"/>
  <c r="AE7" i="16"/>
  <c r="AD7" i="16"/>
  <c r="AC7" i="16"/>
  <c r="Z8" i="16" s="1"/>
  <c r="AB7" i="16"/>
  <c r="Y8" i="16" s="1"/>
  <c r="AA7" i="16"/>
  <c r="W7" i="16"/>
  <c r="V7" i="16"/>
  <c r="S7" i="16"/>
  <c r="R7" i="16"/>
  <c r="B7" i="16"/>
  <c r="C21" i="16" s="1"/>
  <c r="AG21" i="16" s="1"/>
  <c r="AF6" i="16"/>
  <c r="W9" i="16" s="1"/>
  <c r="AE6" i="16"/>
  <c r="V9" i="16" s="1"/>
  <c r="AD6" i="16"/>
  <c r="AC6" i="16"/>
  <c r="AB6" i="16"/>
  <c r="V8" i="16" s="1"/>
  <c r="AA6" i="16"/>
  <c r="U8" i="16" s="1"/>
  <c r="O8" i="16" s="1"/>
  <c r="Z6" i="16"/>
  <c r="Y6" i="16"/>
  <c r="X6" i="16"/>
  <c r="U7" i="16" s="1"/>
  <c r="R6" i="16"/>
  <c r="B6" i="16"/>
  <c r="C17" i="16" s="1"/>
  <c r="AF5" i="16"/>
  <c r="AE5" i="16"/>
  <c r="S9" i="16" s="1"/>
  <c r="AD5" i="16"/>
  <c r="R9" i="16" s="1"/>
  <c r="AC5" i="16"/>
  <c r="AB5" i="16"/>
  <c r="AA5" i="16"/>
  <c r="R8" i="16" s="1"/>
  <c r="Z5" i="16"/>
  <c r="T7" i="16" s="1"/>
  <c r="Y5" i="16"/>
  <c r="X5" i="16"/>
  <c r="W5" i="16"/>
  <c r="T6" i="16" s="1"/>
  <c r="V5" i="16"/>
  <c r="S6" i="16" s="1"/>
  <c r="AJ6" i="16" s="1"/>
  <c r="U5" i="16"/>
  <c r="P5" i="16"/>
  <c r="B5" i="16"/>
  <c r="C16" i="16" s="1"/>
  <c r="AG16" i="16" s="1"/>
  <c r="A2" i="16"/>
  <c r="AH23" i="15"/>
  <c r="AH22" i="15"/>
  <c r="C22" i="15"/>
  <c r="AH21" i="15"/>
  <c r="C21" i="15"/>
  <c r="AG21" i="15" s="1"/>
  <c r="AH20" i="15"/>
  <c r="E20" i="15"/>
  <c r="AG20" i="15" s="1"/>
  <c r="AH19" i="15"/>
  <c r="O19" i="15"/>
  <c r="AH18" i="15"/>
  <c r="AH17" i="15"/>
  <c r="AH16" i="15"/>
  <c r="E16" i="15"/>
  <c r="AG16" i="15" s="1"/>
  <c r="C16" i="15"/>
  <c r="AH15" i="15"/>
  <c r="E15" i="15"/>
  <c r="AG15" i="15" s="1"/>
  <c r="AH14" i="15"/>
  <c r="AA9" i="15"/>
  <c r="W9" i="15"/>
  <c r="S9" i="15"/>
  <c r="B9" i="15"/>
  <c r="AF8" i="15"/>
  <c r="AC9" i="15" s="1"/>
  <c r="AE8" i="15"/>
  <c r="AB9" i="15" s="1"/>
  <c r="AD8" i="15"/>
  <c r="Z8" i="15"/>
  <c r="V8" i="15"/>
  <c r="R8" i="15"/>
  <c r="B8" i="15"/>
  <c r="O23" i="15" s="1"/>
  <c r="AF7" i="15"/>
  <c r="AE7" i="15"/>
  <c r="Y9" i="15" s="1"/>
  <c r="AD7" i="15"/>
  <c r="X9" i="15" s="1"/>
  <c r="AC7" i="15"/>
  <c r="AB7" i="15"/>
  <c r="Y8" i="15" s="1"/>
  <c r="AA7" i="15"/>
  <c r="X8" i="15" s="1"/>
  <c r="U7" i="15"/>
  <c r="B7" i="15"/>
  <c r="E19" i="15" s="1"/>
  <c r="AG19" i="15" s="1"/>
  <c r="AF6" i="15"/>
  <c r="AE6" i="15"/>
  <c r="V9" i="15" s="1"/>
  <c r="AD6" i="15"/>
  <c r="U9" i="15" s="1"/>
  <c r="AC6" i="15"/>
  <c r="W8" i="15" s="1"/>
  <c r="AB6" i="15"/>
  <c r="AA6" i="15"/>
  <c r="U8" i="15" s="1"/>
  <c r="Z6" i="15"/>
  <c r="W7" i="15" s="1"/>
  <c r="Y6" i="15"/>
  <c r="V7" i="15" s="1"/>
  <c r="X6" i="15"/>
  <c r="T6" i="15"/>
  <c r="B6" i="15"/>
  <c r="AF5" i="15"/>
  <c r="T9" i="15" s="1"/>
  <c r="AE5" i="15"/>
  <c r="AD5" i="15"/>
  <c r="AC5" i="15"/>
  <c r="T8" i="15" s="1"/>
  <c r="AB5" i="15"/>
  <c r="S8" i="15" s="1"/>
  <c r="AA5" i="15"/>
  <c r="Z5" i="15"/>
  <c r="T7" i="15" s="1"/>
  <c r="AJ7" i="15" s="1"/>
  <c r="Y5" i="15"/>
  <c r="S7" i="15" s="1"/>
  <c r="X5" i="15"/>
  <c r="R7" i="15" s="1"/>
  <c r="W5" i="15"/>
  <c r="V5" i="15"/>
  <c r="S6" i="15" s="1"/>
  <c r="U5" i="15"/>
  <c r="B5" i="15"/>
  <c r="C19" i="15" s="1"/>
  <c r="A3" i="15"/>
  <c r="A2" i="15"/>
  <c r="AH23" i="14"/>
  <c r="AH22" i="14"/>
  <c r="E22" i="14"/>
  <c r="C22" i="14"/>
  <c r="AG22" i="14" s="1"/>
  <c r="AH21" i="14"/>
  <c r="E21" i="14"/>
  <c r="AH20" i="14"/>
  <c r="O20" i="14"/>
  <c r="AH19" i="14"/>
  <c r="AG19" i="14"/>
  <c r="C19" i="14"/>
  <c r="AH18" i="14"/>
  <c r="E18" i="14"/>
  <c r="AG18" i="14" s="1"/>
  <c r="C18" i="14"/>
  <c r="AH17" i="14"/>
  <c r="O17" i="14"/>
  <c r="E17" i="14"/>
  <c r="AH16" i="14"/>
  <c r="O16" i="14"/>
  <c r="AH15" i="14"/>
  <c r="AH14" i="14"/>
  <c r="E14" i="14"/>
  <c r="C14" i="14"/>
  <c r="AG14" i="14" s="1"/>
  <c r="AB9" i="14"/>
  <c r="X9" i="14"/>
  <c r="W9" i="14"/>
  <c r="T9" i="14"/>
  <c r="S9" i="14"/>
  <c r="B9" i="14"/>
  <c r="A9" i="14"/>
  <c r="AF8" i="14"/>
  <c r="AC9" i="14" s="1"/>
  <c r="AE8" i="14"/>
  <c r="AD8" i="14"/>
  <c r="Z8" i="14"/>
  <c r="W8" i="14"/>
  <c r="V8" i="14"/>
  <c r="S8" i="14"/>
  <c r="R8" i="14"/>
  <c r="B8" i="14"/>
  <c r="O23" i="14" s="1"/>
  <c r="AF7" i="14"/>
  <c r="Z9" i="14" s="1"/>
  <c r="AE7" i="14"/>
  <c r="AD7" i="14"/>
  <c r="AC7" i="14"/>
  <c r="AB7" i="14"/>
  <c r="Y8" i="14" s="1"/>
  <c r="AA7" i="14"/>
  <c r="X8" i="14" s="1"/>
  <c r="U7" i="14"/>
  <c r="B7" i="14"/>
  <c r="A7" i="14"/>
  <c r="AF6" i="14"/>
  <c r="AE6" i="14"/>
  <c r="V9" i="14" s="1"/>
  <c r="AD6" i="14"/>
  <c r="U9" i="14" s="1"/>
  <c r="AC6" i="14"/>
  <c r="AB6" i="14"/>
  <c r="AA6" i="14"/>
  <c r="U8" i="14" s="1"/>
  <c r="Z6" i="14"/>
  <c r="W7" i="14" s="1"/>
  <c r="Y6" i="14"/>
  <c r="V7" i="14" s="1"/>
  <c r="X6" i="14"/>
  <c r="T6" i="14"/>
  <c r="S6" i="14"/>
  <c r="B6" i="14"/>
  <c r="AF5" i="14"/>
  <c r="AE5" i="14"/>
  <c r="AD5" i="14"/>
  <c r="AC5" i="14"/>
  <c r="T8" i="14" s="1"/>
  <c r="AB5" i="14"/>
  <c r="AA5" i="14"/>
  <c r="Z5" i="14"/>
  <c r="T7" i="14" s="1"/>
  <c r="Y5" i="14"/>
  <c r="S7" i="14" s="1"/>
  <c r="X5" i="14"/>
  <c r="R7" i="14" s="1"/>
  <c r="W5" i="14"/>
  <c r="V5" i="14"/>
  <c r="U5" i="14"/>
  <c r="O5" i="14"/>
  <c r="B5" i="14"/>
  <c r="C16" i="14" s="1"/>
  <c r="AG16" i="14" s="1"/>
  <c r="A3" i="14"/>
  <c r="A2" i="14"/>
  <c r="AH23" i="13"/>
  <c r="C23" i="13"/>
  <c r="AG23" i="13" s="1"/>
  <c r="AH22" i="13"/>
  <c r="AH21" i="13"/>
  <c r="O21" i="13"/>
  <c r="AH20" i="13"/>
  <c r="O20" i="13"/>
  <c r="AH19" i="13"/>
  <c r="AH18" i="13"/>
  <c r="AH17" i="13"/>
  <c r="O17" i="13"/>
  <c r="E17" i="13"/>
  <c r="AG17" i="13" s="1"/>
  <c r="AH16" i="13"/>
  <c r="AH15" i="13"/>
  <c r="C15" i="13"/>
  <c r="AG15" i="13" s="1"/>
  <c r="AH14" i="13"/>
  <c r="E14" i="13"/>
  <c r="AC9" i="13"/>
  <c r="Y9" i="13"/>
  <c r="U9" i="13"/>
  <c r="B9" i="13"/>
  <c r="AF8" i="13"/>
  <c r="AE8" i="13"/>
  <c r="O8" i="13" s="1"/>
  <c r="AD8" i="13"/>
  <c r="AA9" i="13" s="1"/>
  <c r="X8" i="13"/>
  <c r="T8" i="13"/>
  <c r="B8" i="13"/>
  <c r="AF7" i="13"/>
  <c r="Z9" i="13" s="1"/>
  <c r="AE7" i="13"/>
  <c r="AD7" i="13"/>
  <c r="AC7" i="13"/>
  <c r="Z8" i="13" s="1"/>
  <c r="AB7" i="13"/>
  <c r="Y8" i="13" s="1"/>
  <c r="AA7" i="13"/>
  <c r="W7" i="13"/>
  <c r="S7" i="13"/>
  <c r="B7" i="13"/>
  <c r="C21" i="13" s="1"/>
  <c r="AG21" i="13" s="1"/>
  <c r="AF6" i="13"/>
  <c r="AE6" i="13"/>
  <c r="V9" i="13" s="1"/>
  <c r="AD6" i="13"/>
  <c r="AC6" i="13"/>
  <c r="W8" i="13" s="1"/>
  <c r="AB6" i="13"/>
  <c r="V8" i="13" s="1"/>
  <c r="AA6" i="13"/>
  <c r="U8" i="13" s="1"/>
  <c r="Z6" i="13"/>
  <c r="Y6" i="13"/>
  <c r="V7" i="13" s="1"/>
  <c r="X6" i="13"/>
  <c r="U7" i="13" s="1"/>
  <c r="R6" i="13"/>
  <c r="AJ6" i="13" s="1"/>
  <c r="B6" i="13"/>
  <c r="C17" i="13" s="1"/>
  <c r="AF5" i="13"/>
  <c r="P5" i="13" s="1"/>
  <c r="AE5" i="13"/>
  <c r="AD5" i="13"/>
  <c r="R9" i="13" s="1"/>
  <c r="AC5" i="13"/>
  <c r="AB5" i="13"/>
  <c r="S8" i="13" s="1"/>
  <c r="AA5" i="13"/>
  <c r="R8" i="13" s="1"/>
  <c r="AH8" i="13" s="1"/>
  <c r="Z5" i="13"/>
  <c r="T7" i="13" s="1"/>
  <c r="Y5" i="13"/>
  <c r="X5" i="13"/>
  <c r="R7" i="13" s="1"/>
  <c r="AJ7" i="13" s="1"/>
  <c r="W5" i="13"/>
  <c r="T6" i="13" s="1"/>
  <c r="V5" i="13"/>
  <c r="S6" i="13" s="1"/>
  <c r="U5" i="13"/>
  <c r="B5" i="13"/>
  <c r="C16" i="13" s="1"/>
  <c r="AG16" i="13" s="1"/>
  <c r="A2" i="13"/>
  <c r="A3" i="13" s="1"/>
  <c r="AH23" i="12"/>
  <c r="O23" i="12"/>
  <c r="E23" i="12"/>
  <c r="AG23" i="12" s="1"/>
  <c r="AH22" i="12"/>
  <c r="O22" i="12"/>
  <c r="AH21" i="12"/>
  <c r="AH20" i="12"/>
  <c r="E20" i="12"/>
  <c r="AG20" i="12" s="1"/>
  <c r="AH19" i="12"/>
  <c r="O19" i="12"/>
  <c r="E19" i="12"/>
  <c r="AH18" i="12"/>
  <c r="AH17" i="12"/>
  <c r="AH16" i="12"/>
  <c r="E16" i="12"/>
  <c r="AG16" i="12" s="1"/>
  <c r="AH15" i="12"/>
  <c r="E15" i="12"/>
  <c r="AG15" i="12" s="1"/>
  <c r="AH14" i="12"/>
  <c r="AA9" i="12"/>
  <c r="W9" i="12"/>
  <c r="B9" i="12"/>
  <c r="E18" i="12" s="1"/>
  <c r="AG18" i="12" s="1"/>
  <c r="AF8" i="12"/>
  <c r="AE8" i="12"/>
  <c r="AB9" i="12" s="1"/>
  <c r="AD8" i="12"/>
  <c r="Z8" i="12"/>
  <c r="V8" i="12"/>
  <c r="U8" i="12"/>
  <c r="B8" i="12"/>
  <c r="E22" i="12" s="1"/>
  <c r="AF7" i="12"/>
  <c r="AE7" i="12"/>
  <c r="AD7" i="12"/>
  <c r="X9" i="12" s="1"/>
  <c r="AC7" i="12"/>
  <c r="AB7" i="12"/>
  <c r="Y8" i="12" s="1"/>
  <c r="AA7" i="12"/>
  <c r="X8" i="12" s="1"/>
  <c r="U7" i="12"/>
  <c r="B7" i="12"/>
  <c r="AF6" i="12"/>
  <c r="AE6" i="12"/>
  <c r="V9" i="12" s="1"/>
  <c r="AD6" i="12"/>
  <c r="U9" i="12" s="1"/>
  <c r="AC6" i="12"/>
  <c r="W8" i="12" s="1"/>
  <c r="AB6" i="12"/>
  <c r="AA6" i="12"/>
  <c r="Z6" i="12"/>
  <c r="W7" i="12" s="1"/>
  <c r="Y6" i="12"/>
  <c r="V7" i="12" s="1"/>
  <c r="X6" i="12"/>
  <c r="B6" i="12"/>
  <c r="AF5" i="12"/>
  <c r="T9" i="12" s="1"/>
  <c r="AE5" i="12"/>
  <c r="S9" i="12" s="1"/>
  <c r="AD5" i="12"/>
  <c r="R9" i="12" s="1"/>
  <c r="AC5" i="12"/>
  <c r="T8" i="12" s="1"/>
  <c r="AB5" i="12"/>
  <c r="S8" i="12" s="1"/>
  <c r="AA5" i="12"/>
  <c r="R8" i="12" s="1"/>
  <c r="Z5" i="12"/>
  <c r="T7" i="12" s="1"/>
  <c r="Y5" i="12"/>
  <c r="S7" i="12" s="1"/>
  <c r="X5" i="12"/>
  <c r="R7" i="12" s="1"/>
  <c r="W5" i="12"/>
  <c r="T6" i="12" s="1"/>
  <c r="V5" i="12"/>
  <c r="S6" i="12" s="1"/>
  <c r="U5" i="12"/>
  <c r="R6" i="12" s="1"/>
  <c r="O5" i="12"/>
  <c r="B5" i="12"/>
  <c r="A3" i="12"/>
  <c r="A2" i="12"/>
  <c r="AH23" i="11"/>
  <c r="E23" i="11"/>
  <c r="AG23" i="11" s="1"/>
  <c r="C23" i="11"/>
  <c r="AH22" i="11"/>
  <c r="O22" i="11"/>
  <c r="AH21" i="11"/>
  <c r="O21" i="11"/>
  <c r="AH20" i="11"/>
  <c r="AG20" i="11"/>
  <c r="C20" i="11"/>
  <c r="AH19" i="11"/>
  <c r="C19" i="11"/>
  <c r="AH18" i="11"/>
  <c r="E18" i="11"/>
  <c r="AG18" i="11" s="1"/>
  <c r="AH17" i="11"/>
  <c r="O17" i="11"/>
  <c r="AH16" i="11"/>
  <c r="C16" i="11"/>
  <c r="AH15" i="11"/>
  <c r="C15" i="11"/>
  <c r="AG15" i="11" s="1"/>
  <c r="AH14" i="11"/>
  <c r="E14" i="11"/>
  <c r="AG14" i="11" s="1"/>
  <c r="AC9" i="11"/>
  <c r="Z9" i="11"/>
  <c r="Y9" i="11"/>
  <c r="V9" i="11"/>
  <c r="U9" i="11"/>
  <c r="R9" i="11"/>
  <c r="B9" i="11"/>
  <c r="E21" i="11" s="1"/>
  <c r="AF8" i="11"/>
  <c r="AE8" i="11"/>
  <c r="AB9" i="11" s="1"/>
  <c r="AD8" i="11"/>
  <c r="AA9" i="11" s="1"/>
  <c r="Y8" i="11"/>
  <c r="X8" i="11"/>
  <c r="U8" i="11"/>
  <c r="T8" i="11"/>
  <c r="B8" i="11"/>
  <c r="C18" i="11" s="1"/>
  <c r="AF7" i="11"/>
  <c r="AE7" i="11"/>
  <c r="AD7" i="11"/>
  <c r="X9" i="11" s="1"/>
  <c r="AC7" i="11"/>
  <c r="Z8" i="11" s="1"/>
  <c r="AB7" i="11"/>
  <c r="AA7" i="11"/>
  <c r="W7" i="11"/>
  <c r="T7" i="11"/>
  <c r="S7" i="11"/>
  <c r="B7" i="11"/>
  <c r="E17" i="11" s="1"/>
  <c r="AG17" i="11" s="1"/>
  <c r="AF6" i="11"/>
  <c r="W9" i="11" s="1"/>
  <c r="AE6" i="11"/>
  <c r="AD6" i="11"/>
  <c r="AC6" i="11"/>
  <c r="W8" i="11" s="1"/>
  <c r="AB6" i="11"/>
  <c r="V8" i="11" s="1"/>
  <c r="AA6" i="11"/>
  <c r="Z6" i="11"/>
  <c r="Y6" i="11"/>
  <c r="V7" i="11" s="1"/>
  <c r="X6" i="11"/>
  <c r="U7" i="11" s="1"/>
  <c r="S6" i="11"/>
  <c r="R6" i="11"/>
  <c r="AJ6" i="11" s="1"/>
  <c r="B6" i="11"/>
  <c r="C17" i="11" s="1"/>
  <c r="AF5" i="11"/>
  <c r="T9" i="11" s="1"/>
  <c r="AE5" i="11"/>
  <c r="S9" i="11" s="1"/>
  <c r="AD5" i="11"/>
  <c r="AC5" i="11"/>
  <c r="AB5" i="11"/>
  <c r="S8" i="11" s="1"/>
  <c r="AA5" i="11"/>
  <c r="R8" i="11" s="1"/>
  <c r="Z5" i="11"/>
  <c r="Y5" i="11"/>
  <c r="X5" i="11"/>
  <c r="R7" i="11" s="1"/>
  <c r="W5" i="11"/>
  <c r="T6" i="11" s="1"/>
  <c r="V5" i="11"/>
  <c r="U5" i="11"/>
  <c r="B5" i="11"/>
  <c r="C22" i="11" s="1"/>
  <c r="AG22" i="11" s="1"/>
  <c r="A2" i="11"/>
  <c r="A3" i="11" s="1"/>
  <c r="AH23" i="10"/>
  <c r="O23" i="10"/>
  <c r="AH22" i="10"/>
  <c r="AH21" i="10"/>
  <c r="C21" i="10"/>
  <c r="AG21" i="10" s="1"/>
  <c r="AH20" i="10"/>
  <c r="E20" i="10"/>
  <c r="AH19" i="10"/>
  <c r="O19" i="10"/>
  <c r="AH18" i="10"/>
  <c r="C18" i="10"/>
  <c r="AH17" i="10"/>
  <c r="E17" i="10"/>
  <c r="AH16" i="10"/>
  <c r="O16" i="10"/>
  <c r="E16" i="10"/>
  <c r="AG16" i="10" s="1"/>
  <c r="AH15" i="10"/>
  <c r="AH14" i="10"/>
  <c r="AB9" i="10"/>
  <c r="AA9" i="10"/>
  <c r="X9" i="10"/>
  <c r="W9" i="10"/>
  <c r="T9" i="10"/>
  <c r="S9" i="10"/>
  <c r="B9" i="10"/>
  <c r="E23" i="10" s="1"/>
  <c r="AG23" i="10" s="1"/>
  <c r="AF8" i="10"/>
  <c r="AC9" i="10" s="1"/>
  <c r="AE8" i="10"/>
  <c r="AD8" i="10"/>
  <c r="Z8" i="10"/>
  <c r="W8" i="10"/>
  <c r="V8" i="10"/>
  <c r="S8" i="10"/>
  <c r="R8" i="10"/>
  <c r="B8" i="10"/>
  <c r="E15" i="10" s="1"/>
  <c r="AF7" i="10"/>
  <c r="Z9" i="10" s="1"/>
  <c r="AE7" i="10"/>
  <c r="Y9" i="10" s="1"/>
  <c r="AD7" i="10"/>
  <c r="AC7" i="10"/>
  <c r="AB7" i="10"/>
  <c r="Y8" i="10" s="1"/>
  <c r="AA7" i="10"/>
  <c r="X8" i="10" s="1"/>
  <c r="V7" i="10"/>
  <c r="U7" i="10"/>
  <c r="R7" i="10"/>
  <c r="B7" i="10"/>
  <c r="E19" i="10" s="1"/>
  <c r="AG19" i="10" s="1"/>
  <c r="AF6" i="10"/>
  <c r="AE6" i="10"/>
  <c r="V9" i="10" s="1"/>
  <c r="AD6" i="10"/>
  <c r="U9" i="10" s="1"/>
  <c r="AC6" i="10"/>
  <c r="AB6" i="10"/>
  <c r="AA6" i="10"/>
  <c r="U8" i="10" s="1"/>
  <c r="O8" i="10" s="1"/>
  <c r="Z6" i="10"/>
  <c r="W7" i="10" s="1"/>
  <c r="Y6" i="10"/>
  <c r="X6" i="10"/>
  <c r="T6" i="10"/>
  <c r="B6" i="10"/>
  <c r="C20" i="10" s="1"/>
  <c r="AG20" i="10" s="1"/>
  <c r="AF5" i="10"/>
  <c r="AE5" i="10"/>
  <c r="AD5" i="10"/>
  <c r="R9" i="10" s="1"/>
  <c r="AC5" i="10"/>
  <c r="T8" i="10" s="1"/>
  <c r="AB5" i="10"/>
  <c r="AA5" i="10"/>
  <c r="Z5" i="10"/>
  <c r="T7" i="10" s="1"/>
  <c r="Y5" i="10"/>
  <c r="S7" i="10" s="1"/>
  <c r="X5" i="10"/>
  <c r="W5" i="10"/>
  <c r="V5" i="10"/>
  <c r="S6" i="10" s="1"/>
  <c r="U5" i="10"/>
  <c r="R6" i="10" s="1"/>
  <c r="O5" i="10"/>
  <c r="B5" i="10"/>
  <c r="C16" i="10" s="1"/>
  <c r="A2" i="10"/>
  <c r="A3" i="10" s="1"/>
  <c r="AH23" i="9"/>
  <c r="E23" i="9"/>
  <c r="C23" i="9"/>
  <c r="AG23" i="9" s="1"/>
  <c r="AH22" i="9"/>
  <c r="O22" i="9"/>
  <c r="AH21" i="9"/>
  <c r="O21" i="9"/>
  <c r="AH20" i="9"/>
  <c r="C20" i="9"/>
  <c r="AH19" i="9"/>
  <c r="C19" i="9"/>
  <c r="AG19" i="9" s="1"/>
  <c r="AH18" i="9"/>
  <c r="E18" i="9"/>
  <c r="AG18" i="9" s="1"/>
  <c r="AH17" i="9"/>
  <c r="O17" i="9"/>
  <c r="AH16" i="9"/>
  <c r="AG16" i="9"/>
  <c r="C16" i="9"/>
  <c r="AH15" i="9"/>
  <c r="C15" i="9"/>
  <c r="AG15" i="9" s="1"/>
  <c r="AH14" i="9"/>
  <c r="E14" i="9"/>
  <c r="AC9" i="9"/>
  <c r="Z9" i="9"/>
  <c r="Y9" i="9"/>
  <c r="V9" i="9"/>
  <c r="U9" i="9"/>
  <c r="R9" i="9"/>
  <c r="B9" i="9"/>
  <c r="E21" i="9" s="1"/>
  <c r="AF8" i="9"/>
  <c r="AE8" i="9"/>
  <c r="AB9" i="9" s="1"/>
  <c r="AD8" i="9"/>
  <c r="AA9" i="9" s="1"/>
  <c r="Y8" i="9"/>
  <c r="X8" i="9"/>
  <c r="U8" i="9"/>
  <c r="T8" i="9"/>
  <c r="B8" i="9"/>
  <c r="C18" i="9" s="1"/>
  <c r="AF7" i="9"/>
  <c r="AE7" i="9"/>
  <c r="AD7" i="9"/>
  <c r="X9" i="9" s="1"/>
  <c r="AC7" i="9"/>
  <c r="Z8" i="9" s="1"/>
  <c r="AB7" i="9"/>
  <c r="AA7" i="9"/>
  <c r="W7" i="9"/>
  <c r="T7" i="9"/>
  <c r="S7" i="9"/>
  <c r="B7" i="9"/>
  <c r="E17" i="9" s="1"/>
  <c r="AG17" i="9" s="1"/>
  <c r="AF6" i="9"/>
  <c r="W9" i="9" s="1"/>
  <c r="AE6" i="9"/>
  <c r="AD6" i="9"/>
  <c r="AC6" i="9"/>
  <c r="W8" i="9" s="1"/>
  <c r="AB6" i="9"/>
  <c r="V8" i="9" s="1"/>
  <c r="AA6" i="9"/>
  <c r="Z6" i="9"/>
  <c r="Y6" i="9"/>
  <c r="V7" i="9" s="1"/>
  <c r="X6" i="9"/>
  <c r="U7" i="9" s="1"/>
  <c r="S6" i="9"/>
  <c r="R6" i="9"/>
  <c r="B6" i="9"/>
  <c r="C17" i="9" s="1"/>
  <c r="AF5" i="9"/>
  <c r="T9" i="9" s="1"/>
  <c r="AE5" i="9"/>
  <c r="S9" i="9" s="1"/>
  <c r="AD5" i="9"/>
  <c r="AC5" i="9"/>
  <c r="AB5" i="9"/>
  <c r="S8" i="9" s="1"/>
  <c r="AA5" i="9"/>
  <c r="R8" i="9" s="1"/>
  <c r="Z5" i="9"/>
  <c r="Y5" i="9"/>
  <c r="X5" i="9"/>
  <c r="R7" i="9" s="1"/>
  <c r="AJ7" i="9" s="1"/>
  <c r="W5" i="9"/>
  <c r="T6" i="9" s="1"/>
  <c r="V5" i="9"/>
  <c r="U5" i="9"/>
  <c r="B5" i="9"/>
  <c r="C22" i="9" s="1"/>
  <c r="AG22" i="9" s="1"/>
  <c r="A2" i="9"/>
  <c r="A3" i="9" s="1"/>
  <c r="AH23" i="8"/>
  <c r="O23" i="8"/>
  <c r="AH22" i="8"/>
  <c r="AH21" i="8"/>
  <c r="C21" i="8"/>
  <c r="AH20" i="8"/>
  <c r="E20" i="8"/>
  <c r="AG20" i="8" s="1"/>
  <c r="AH19" i="8"/>
  <c r="O19" i="8"/>
  <c r="AH18" i="8"/>
  <c r="C18" i="8"/>
  <c r="AH17" i="8"/>
  <c r="E17" i="8"/>
  <c r="AH16" i="8"/>
  <c r="O16" i="8"/>
  <c r="E16" i="8"/>
  <c r="AG16" i="8" s="1"/>
  <c r="AH15" i="8"/>
  <c r="AH14" i="8"/>
  <c r="AB9" i="8"/>
  <c r="AA9" i="8"/>
  <c r="X9" i="8"/>
  <c r="W9" i="8"/>
  <c r="T9" i="8"/>
  <c r="S9" i="8"/>
  <c r="B9" i="8"/>
  <c r="E23" i="8" s="1"/>
  <c r="AG23" i="8" s="1"/>
  <c r="AF8" i="8"/>
  <c r="AC9" i="8" s="1"/>
  <c r="AE8" i="8"/>
  <c r="AD8" i="8"/>
  <c r="Z8" i="8"/>
  <c r="W8" i="8"/>
  <c r="V8" i="8"/>
  <c r="S8" i="8"/>
  <c r="R8" i="8"/>
  <c r="B8" i="8"/>
  <c r="E15" i="8" s="1"/>
  <c r="AG15" i="8" s="1"/>
  <c r="AF7" i="8"/>
  <c r="Z9" i="8" s="1"/>
  <c r="AE7" i="8"/>
  <c r="Y9" i="8" s="1"/>
  <c r="AD7" i="8"/>
  <c r="AC7" i="8"/>
  <c r="AB7" i="8"/>
  <c r="Y8" i="8" s="1"/>
  <c r="AA7" i="8"/>
  <c r="X8" i="8" s="1"/>
  <c r="V7" i="8"/>
  <c r="U7" i="8"/>
  <c r="R7" i="8"/>
  <c r="B7" i="8"/>
  <c r="E19" i="8" s="1"/>
  <c r="AF6" i="8"/>
  <c r="AE6" i="8"/>
  <c r="V9" i="8" s="1"/>
  <c r="AD6" i="8"/>
  <c r="U9" i="8" s="1"/>
  <c r="AC6" i="8"/>
  <c r="AB6" i="8"/>
  <c r="AA6" i="8"/>
  <c r="U8" i="8" s="1"/>
  <c r="Z6" i="8"/>
  <c r="W7" i="8" s="1"/>
  <c r="Y6" i="8"/>
  <c r="X6" i="8"/>
  <c r="T6" i="8"/>
  <c r="B6" i="8"/>
  <c r="C20" i="8" s="1"/>
  <c r="AF5" i="8"/>
  <c r="AE5" i="8"/>
  <c r="AD5" i="8"/>
  <c r="R9" i="8" s="1"/>
  <c r="AC5" i="8"/>
  <c r="T8" i="8" s="1"/>
  <c r="AB5" i="8"/>
  <c r="AA5" i="8"/>
  <c r="Z5" i="8"/>
  <c r="T7" i="8" s="1"/>
  <c r="Y5" i="8"/>
  <c r="S7" i="8" s="1"/>
  <c r="AJ7" i="8" s="1"/>
  <c r="X5" i="8"/>
  <c r="W5" i="8"/>
  <c r="V5" i="8"/>
  <c r="S6" i="8" s="1"/>
  <c r="U5" i="8"/>
  <c r="R6" i="8" s="1"/>
  <c r="O5" i="8"/>
  <c r="B5" i="8"/>
  <c r="C16" i="8" s="1"/>
  <c r="A2" i="8"/>
  <c r="A3" i="8" s="1"/>
  <c r="AH23" i="7"/>
  <c r="E23" i="7"/>
  <c r="C23" i="7"/>
  <c r="AG23" i="7" s="1"/>
  <c r="AH22" i="7"/>
  <c r="O22" i="7"/>
  <c r="AH21" i="7"/>
  <c r="O21" i="7"/>
  <c r="AH20" i="7"/>
  <c r="C20" i="7"/>
  <c r="AH19" i="7"/>
  <c r="C19" i="7"/>
  <c r="AH18" i="7"/>
  <c r="E18" i="7"/>
  <c r="AH17" i="7"/>
  <c r="O17" i="7"/>
  <c r="AH16" i="7"/>
  <c r="AG16" i="7"/>
  <c r="C16" i="7"/>
  <c r="AH15" i="7"/>
  <c r="C15" i="7"/>
  <c r="AH14" i="7"/>
  <c r="E14" i="7"/>
  <c r="AC9" i="7"/>
  <c r="Z9" i="7"/>
  <c r="Y9" i="7"/>
  <c r="V9" i="7"/>
  <c r="U9" i="7"/>
  <c r="R9" i="7"/>
  <c r="B9" i="7"/>
  <c r="E21" i="7" s="1"/>
  <c r="AF8" i="7"/>
  <c r="AE8" i="7"/>
  <c r="AB9" i="7" s="1"/>
  <c r="AD8" i="7"/>
  <c r="AA9" i="7" s="1"/>
  <c r="Y8" i="7"/>
  <c r="X8" i="7"/>
  <c r="U8" i="7"/>
  <c r="T8" i="7"/>
  <c r="B8" i="7"/>
  <c r="C18" i="7" s="1"/>
  <c r="AG18" i="7" s="1"/>
  <c r="AF7" i="7"/>
  <c r="AE7" i="7"/>
  <c r="AD7" i="7"/>
  <c r="X9" i="7" s="1"/>
  <c r="AC7" i="7"/>
  <c r="Z8" i="7" s="1"/>
  <c r="AB7" i="7"/>
  <c r="AA7" i="7"/>
  <c r="W7" i="7"/>
  <c r="T7" i="7"/>
  <c r="S7" i="7"/>
  <c r="B7" i="7"/>
  <c r="E17" i="7" s="1"/>
  <c r="AG17" i="7" s="1"/>
  <c r="AF6" i="7"/>
  <c r="W9" i="7" s="1"/>
  <c r="AE6" i="7"/>
  <c r="AD6" i="7"/>
  <c r="AC6" i="7"/>
  <c r="W8" i="7" s="1"/>
  <c r="AB6" i="7"/>
  <c r="V8" i="7" s="1"/>
  <c r="AA6" i="7"/>
  <c r="Z6" i="7"/>
  <c r="Y6" i="7"/>
  <c r="V7" i="7" s="1"/>
  <c r="X6" i="7"/>
  <c r="U7" i="7" s="1"/>
  <c r="S6" i="7"/>
  <c r="R6" i="7"/>
  <c r="B6" i="7"/>
  <c r="C17" i="7" s="1"/>
  <c r="AF5" i="7"/>
  <c r="T9" i="7" s="1"/>
  <c r="AE5" i="7"/>
  <c r="S9" i="7" s="1"/>
  <c r="AD5" i="7"/>
  <c r="P5" i="7" s="1"/>
  <c r="AC5" i="7"/>
  <c r="AB5" i="7"/>
  <c r="S8" i="7" s="1"/>
  <c r="AA5" i="7"/>
  <c r="R8" i="7" s="1"/>
  <c r="Z5" i="7"/>
  <c r="Y5" i="7"/>
  <c r="X5" i="7"/>
  <c r="R7" i="7" s="1"/>
  <c r="AJ7" i="7" s="1"/>
  <c r="W5" i="7"/>
  <c r="T6" i="7" s="1"/>
  <c r="V5" i="7"/>
  <c r="U5" i="7"/>
  <c r="B5" i="7"/>
  <c r="C22" i="7" s="1"/>
  <c r="A2" i="7"/>
  <c r="E91" i="5"/>
  <c r="D91" i="5"/>
  <c r="C91" i="5"/>
  <c r="A91" i="5"/>
  <c r="E90" i="5"/>
  <c r="D90" i="5"/>
  <c r="C90" i="5"/>
  <c r="A90" i="5"/>
  <c r="E89" i="5"/>
  <c r="D89" i="5"/>
  <c r="C89" i="5"/>
  <c r="A89" i="5"/>
  <c r="E88" i="5"/>
  <c r="D88" i="5"/>
  <c r="C88" i="5"/>
  <c r="A88" i="5"/>
  <c r="E87" i="5"/>
  <c r="D87" i="5"/>
  <c r="C87" i="5"/>
  <c r="A87" i="5"/>
  <c r="E86" i="5"/>
  <c r="D86" i="5"/>
  <c r="C86" i="5"/>
  <c r="A86" i="5"/>
  <c r="E85" i="5"/>
  <c r="D85" i="5"/>
  <c r="C85" i="5"/>
  <c r="A85" i="5"/>
  <c r="E84" i="5"/>
  <c r="D84" i="5"/>
  <c r="C84" i="5"/>
  <c r="A84" i="5"/>
  <c r="E83" i="5"/>
  <c r="D83" i="5"/>
  <c r="C83" i="5"/>
  <c r="A83" i="5"/>
  <c r="E82" i="5"/>
  <c r="D82" i="5"/>
  <c r="C82" i="5"/>
  <c r="A82" i="5"/>
  <c r="E81" i="5"/>
  <c r="D81" i="5"/>
  <c r="C81" i="5"/>
  <c r="A81" i="5"/>
  <c r="E80" i="5"/>
  <c r="D80" i="5"/>
  <c r="C80" i="5"/>
  <c r="A80" i="5"/>
  <c r="E79" i="5"/>
  <c r="D79" i="5"/>
  <c r="C79" i="5"/>
  <c r="A79" i="5"/>
  <c r="E78" i="5"/>
  <c r="D78" i="5"/>
  <c r="C78" i="5"/>
  <c r="A78" i="5"/>
  <c r="E77" i="5"/>
  <c r="D77" i="5"/>
  <c r="C77" i="5"/>
  <c r="A77" i="5"/>
  <c r="E76" i="5"/>
  <c r="D76" i="5"/>
  <c r="C76" i="5"/>
  <c r="A76" i="5"/>
  <c r="E75" i="5"/>
  <c r="D75" i="5"/>
  <c r="C75" i="5"/>
  <c r="A75" i="5"/>
  <c r="E74" i="5"/>
  <c r="D74" i="5"/>
  <c r="C74" i="5"/>
  <c r="A74" i="5"/>
  <c r="E73" i="5"/>
  <c r="D73" i="5"/>
  <c r="C73" i="5"/>
  <c r="A73" i="5"/>
  <c r="E72" i="5"/>
  <c r="D72" i="5"/>
  <c r="C72" i="5"/>
  <c r="A72" i="5"/>
  <c r="E71" i="5"/>
  <c r="D71" i="5"/>
  <c r="C71" i="5"/>
  <c r="A71" i="5"/>
  <c r="E70" i="5"/>
  <c r="D70" i="5"/>
  <c r="C70" i="5"/>
  <c r="A70" i="5"/>
  <c r="E69" i="5"/>
  <c r="D69" i="5"/>
  <c r="C69" i="5"/>
  <c r="A69" i="5"/>
  <c r="E68" i="5"/>
  <c r="D68" i="5"/>
  <c r="C68" i="5"/>
  <c r="A68" i="5"/>
  <c r="E67" i="5"/>
  <c r="D67" i="5"/>
  <c r="C67" i="5"/>
  <c r="A67" i="5"/>
  <c r="E66" i="5"/>
  <c r="D66" i="5"/>
  <c r="C66" i="5"/>
  <c r="A66" i="5"/>
  <c r="E65" i="5"/>
  <c r="D65" i="5"/>
  <c r="C65" i="5"/>
  <c r="A65" i="5"/>
  <c r="E64" i="5"/>
  <c r="D64" i="5"/>
  <c r="C64" i="5"/>
  <c r="A64" i="5"/>
  <c r="E63" i="5"/>
  <c r="D63" i="5"/>
  <c r="C63" i="5"/>
  <c r="A63" i="5"/>
  <c r="E62" i="5"/>
  <c r="D62" i="5"/>
  <c r="C62" i="5"/>
  <c r="A62" i="5"/>
  <c r="E61" i="5"/>
  <c r="D61" i="5"/>
  <c r="C61" i="5"/>
  <c r="A61" i="5"/>
  <c r="E60" i="5"/>
  <c r="D60" i="5"/>
  <c r="C60" i="5"/>
  <c r="A60" i="5"/>
  <c r="E59" i="5"/>
  <c r="D59" i="5"/>
  <c r="C59" i="5"/>
  <c r="A59" i="5"/>
  <c r="E58" i="5"/>
  <c r="D58" i="5"/>
  <c r="C58" i="5"/>
  <c r="A58" i="5"/>
  <c r="E57" i="5"/>
  <c r="D57" i="5"/>
  <c r="C57" i="5"/>
  <c r="A57" i="5"/>
  <c r="E56" i="5"/>
  <c r="D56" i="5"/>
  <c r="C56" i="5"/>
  <c r="A56" i="5"/>
  <c r="E55" i="5"/>
  <c r="D55" i="5"/>
  <c r="C55" i="5"/>
  <c r="A55" i="5"/>
  <c r="E54" i="5"/>
  <c r="D54" i="5"/>
  <c r="C54" i="5"/>
  <c r="A54" i="5"/>
  <c r="E53" i="5"/>
  <c r="D53" i="5"/>
  <c r="C53" i="5"/>
  <c r="A53" i="5"/>
  <c r="E52" i="5"/>
  <c r="D52" i="5"/>
  <c r="C52" i="5"/>
  <c r="A52" i="5"/>
  <c r="E51" i="5"/>
  <c r="D51" i="5"/>
  <c r="C51" i="5"/>
  <c r="A51" i="5"/>
  <c r="E50" i="5"/>
  <c r="D50" i="5"/>
  <c r="C50" i="5"/>
  <c r="A50" i="5"/>
  <c r="E49" i="5"/>
  <c r="D49" i="5"/>
  <c r="C49" i="5"/>
  <c r="A49" i="5"/>
  <c r="E48" i="5"/>
  <c r="D48" i="5"/>
  <c r="C48" i="5"/>
  <c r="A48" i="5"/>
  <c r="E47" i="5"/>
  <c r="D47" i="5"/>
  <c r="C47" i="5"/>
  <c r="A47" i="5"/>
  <c r="E46" i="5"/>
  <c r="D46" i="5"/>
  <c r="C46" i="5"/>
  <c r="A46" i="5"/>
  <c r="E45" i="5"/>
  <c r="D45" i="5"/>
  <c r="C45" i="5"/>
  <c r="A45" i="5"/>
  <c r="E44" i="5"/>
  <c r="D44" i="5"/>
  <c r="C44" i="5"/>
  <c r="A44" i="5"/>
  <c r="E43" i="5"/>
  <c r="D43" i="5"/>
  <c r="C43" i="5"/>
  <c r="A43" i="5"/>
  <c r="E42" i="5"/>
  <c r="D42" i="5"/>
  <c r="C42" i="5"/>
  <c r="A42" i="5"/>
  <c r="E41" i="5"/>
  <c r="D41" i="5"/>
  <c r="C41" i="5"/>
  <c r="A41" i="5"/>
  <c r="E40" i="5"/>
  <c r="D40" i="5"/>
  <c r="C40" i="5"/>
  <c r="A40" i="5"/>
  <c r="E39" i="5"/>
  <c r="D39" i="5"/>
  <c r="C39" i="5"/>
  <c r="A39" i="5"/>
  <c r="E38" i="5"/>
  <c r="D38" i="5"/>
  <c r="C38" i="5"/>
  <c r="A38" i="5"/>
  <c r="E37" i="5"/>
  <c r="D37" i="5"/>
  <c r="C37" i="5"/>
  <c r="A37" i="5"/>
  <c r="E36" i="5"/>
  <c r="D36" i="5"/>
  <c r="C36" i="5"/>
  <c r="A36" i="5"/>
  <c r="E35" i="5"/>
  <c r="D35" i="5"/>
  <c r="C35" i="5"/>
  <c r="A35" i="5"/>
  <c r="E34" i="5"/>
  <c r="D34" i="5"/>
  <c r="C34" i="5"/>
  <c r="A34" i="5"/>
  <c r="E33" i="5"/>
  <c r="D33" i="5"/>
  <c r="C33" i="5"/>
  <c r="A33" i="5"/>
  <c r="E32" i="5"/>
  <c r="D32" i="5"/>
  <c r="C32" i="5"/>
  <c r="A32" i="5"/>
  <c r="E31" i="5"/>
  <c r="D31" i="5"/>
  <c r="C31" i="5"/>
  <c r="A31" i="5"/>
  <c r="E30" i="5"/>
  <c r="D30" i="5"/>
  <c r="C30" i="5"/>
  <c r="A30" i="5"/>
  <c r="E29" i="5"/>
  <c r="D29" i="5"/>
  <c r="C29" i="5"/>
  <c r="A29" i="5"/>
  <c r="E28" i="5"/>
  <c r="D28" i="5"/>
  <c r="C28" i="5"/>
  <c r="A28" i="5"/>
  <c r="E27" i="5"/>
  <c r="D27" i="5"/>
  <c r="C27" i="5"/>
  <c r="A27" i="5"/>
  <c r="E26" i="5"/>
  <c r="D26" i="5"/>
  <c r="C26" i="5"/>
  <c r="A26" i="5"/>
  <c r="E25" i="5"/>
  <c r="D25" i="5"/>
  <c r="C25" i="5"/>
  <c r="A25" i="5"/>
  <c r="E24" i="5"/>
  <c r="D24" i="5"/>
  <c r="C24" i="5"/>
  <c r="A24" i="5"/>
  <c r="E23" i="5"/>
  <c r="D23" i="5"/>
  <c r="C23" i="5"/>
  <c r="A23" i="5"/>
  <c r="E22" i="5"/>
  <c r="D22" i="5"/>
  <c r="C22" i="5"/>
  <c r="A22" i="5"/>
  <c r="E21" i="5"/>
  <c r="D21" i="5"/>
  <c r="C21" i="5"/>
  <c r="A21" i="5"/>
  <c r="E20" i="5"/>
  <c r="D20" i="5"/>
  <c r="C20" i="5"/>
  <c r="A20" i="5"/>
  <c r="E19" i="5"/>
  <c r="D19" i="5"/>
  <c r="C19" i="5"/>
  <c r="A19" i="5"/>
  <c r="E18" i="5"/>
  <c r="D18" i="5"/>
  <c r="C18" i="5"/>
  <c r="A18" i="5"/>
  <c r="E17" i="5"/>
  <c r="D17" i="5"/>
  <c r="C17" i="5"/>
  <c r="A17" i="5"/>
  <c r="E16" i="5"/>
  <c r="D16" i="5"/>
  <c r="C16" i="5"/>
  <c r="A16" i="5"/>
  <c r="E15" i="5"/>
  <c r="D15" i="5"/>
  <c r="C15" i="5"/>
  <c r="A15" i="5"/>
  <c r="E14" i="5"/>
  <c r="D14" i="5"/>
  <c r="C14" i="5"/>
  <c r="A14" i="5"/>
  <c r="E13" i="5"/>
  <c r="D13" i="5"/>
  <c r="C13" i="5"/>
  <c r="A13" i="5"/>
  <c r="E12" i="5"/>
  <c r="D12" i="5"/>
  <c r="C12" i="5"/>
  <c r="A12" i="5"/>
  <c r="E11" i="5"/>
  <c r="D11" i="5"/>
  <c r="C11" i="5"/>
  <c r="A11" i="5"/>
  <c r="E10" i="5"/>
  <c r="D10" i="5"/>
  <c r="C10" i="5"/>
  <c r="A10" i="5"/>
  <c r="E9" i="5"/>
  <c r="D9" i="5"/>
  <c r="C9" i="5"/>
  <c r="A9" i="5"/>
  <c r="E8" i="5"/>
  <c r="D8" i="5"/>
  <c r="C8" i="5"/>
  <c r="A8" i="5"/>
  <c r="E7" i="5"/>
  <c r="D7" i="5"/>
  <c r="C7" i="5"/>
  <c r="A7" i="5"/>
  <c r="E6" i="5"/>
  <c r="D6" i="5"/>
  <c r="C6" i="5"/>
  <c r="A6" i="5"/>
  <c r="E5" i="5"/>
  <c r="D5" i="5"/>
  <c r="C5" i="5"/>
  <c r="A5" i="5"/>
  <c r="E4" i="5"/>
  <c r="D4" i="5"/>
  <c r="C4" i="5"/>
  <c r="A4" i="5"/>
  <c r="E3" i="5"/>
  <c r="D3" i="5"/>
  <c r="C3" i="5"/>
  <c r="A3" i="5"/>
  <c r="E2" i="5"/>
  <c r="D2" i="5"/>
  <c r="C2" i="5"/>
  <c r="A2" i="5"/>
  <c r="G99" i="4"/>
  <c r="E99" i="4"/>
  <c r="C99" i="4"/>
  <c r="D99" i="4" s="1"/>
  <c r="A99" i="4"/>
  <c r="G98" i="4"/>
  <c r="E98" i="4"/>
  <c r="C98" i="4"/>
  <c r="D98" i="4" s="1"/>
  <c r="A98" i="4"/>
  <c r="G97" i="4"/>
  <c r="E97" i="4"/>
  <c r="C97" i="4"/>
  <c r="A97" i="4"/>
  <c r="G96" i="4"/>
  <c r="E96" i="4"/>
  <c r="C96" i="4"/>
  <c r="A96" i="4"/>
  <c r="G95" i="4"/>
  <c r="E95" i="4"/>
  <c r="C95" i="4"/>
  <c r="D95" i="4" s="1"/>
  <c r="A95" i="4"/>
  <c r="G94" i="4"/>
  <c r="E94" i="4"/>
  <c r="C94" i="4"/>
  <c r="D94" i="4" s="1"/>
  <c r="A94" i="4"/>
  <c r="G93" i="4"/>
  <c r="E93" i="4"/>
  <c r="C93" i="4"/>
  <c r="A93" i="4"/>
  <c r="G92" i="4"/>
  <c r="E92" i="4"/>
  <c r="C92" i="4"/>
  <c r="A92" i="4"/>
  <c r="G91" i="4"/>
  <c r="E91" i="4"/>
  <c r="C91" i="4"/>
  <c r="D91" i="4" s="1"/>
  <c r="A91" i="4"/>
  <c r="G90" i="4"/>
  <c r="E90" i="4"/>
  <c r="C90" i="4"/>
  <c r="D90" i="4" s="1"/>
  <c r="A90" i="4"/>
  <c r="G89" i="4"/>
  <c r="E89" i="4"/>
  <c r="C89" i="4"/>
  <c r="A89" i="4"/>
  <c r="G88" i="4"/>
  <c r="E88" i="4"/>
  <c r="C88" i="4"/>
  <c r="A88" i="4"/>
  <c r="G87" i="4"/>
  <c r="E87" i="4"/>
  <c r="C87" i="4"/>
  <c r="D87" i="4" s="1"/>
  <c r="A87" i="4"/>
  <c r="G86" i="4"/>
  <c r="E86" i="4"/>
  <c r="C86" i="4"/>
  <c r="D86" i="4" s="1"/>
  <c r="A86" i="4"/>
  <c r="G85" i="4"/>
  <c r="E85" i="4"/>
  <c r="C85" i="4"/>
  <c r="A85" i="4"/>
  <c r="G84" i="4"/>
  <c r="E84" i="4"/>
  <c r="C84" i="4"/>
  <c r="A84" i="4"/>
  <c r="G83" i="4"/>
  <c r="E83" i="4"/>
  <c r="C83" i="4"/>
  <c r="D83" i="4" s="1"/>
  <c r="A83" i="4"/>
  <c r="G82" i="4"/>
  <c r="E82" i="4"/>
  <c r="C82" i="4"/>
  <c r="D82" i="4" s="1"/>
  <c r="A82" i="4"/>
  <c r="G81" i="4"/>
  <c r="E81" i="4"/>
  <c r="C81" i="4"/>
  <c r="A81" i="4"/>
  <c r="G80" i="4"/>
  <c r="E80" i="4"/>
  <c r="C80" i="4"/>
  <c r="A80" i="4"/>
  <c r="G79" i="4"/>
  <c r="E79" i="4"/>
  <c r="C79" i="4"/>
  <c r="D79" i="4" s="1"/>
  <c r="A79" i="4"/>
  <c r="G78" i="4"/>
  <c r="E78" i="4"/>
  <c r="C78" i="4"/>
  <c r="D78" i="4" s="1"/>
  <c r="A78" i="4"/>
  <c r="G77" i="4"/>
  <c r="E77" i="4"/>
  <c r="C77" i="4"/>
  <c r="A77" i="4"/>
  <c r="G76" i="4"/>
  <c r="E76" i="4"/>
  <c r="C76" i="4"/>
  <c r="A76" i="4"/>
  <c r="G75" i="4"/>
  <c r="E75" i="4"/>
  <c r="C75" i="4"/>
  <c r="D75" i="4" s="1"/>
  <c r="A75" i="4"/>
  <c r="G74" i="4"/>
  <c r="E74" i="4"/>
  <c r="C74" i="4"/>
  <c r="D74" i="4" s="1"/>
  <c r="A74" i="4"/>
  <c r="G73" i="4"/>
  <c r="E73" i="4"/>
  <c r="C73" i="4"/>
  <c r="A73" i="4"/>
  <c r="G72" i="4"/>
  <c r="E72" i="4"/>
  <c r="C72" i="4"/>
  <c r="A72" i="4"/>
  <c r="G71" i="4"/>
  <c r="E71" i="4"/>
  <c r="C71" i="4"/>
  <c r="D71" i="4" s="1"/>
  <c r="A71" i="4"/>
  <c r="G70" i="4"/>
  <c r="E70" i="4"/>
  <c r="C70" i="4"/>
  <c r="D70" i="4" s="1"/>
  <c r="A70" i="4"/>
  <c r="G69" i="4"/>
  <c r="E69" i="4"/>
  <c r="C69" i="4"/>
  <c r="A69" i="4"/>
  <c r="G68" i="4"/>
  <c r="E68" i="4"/>
  <c r="C68" i="4"/>
  <c r="A68" i="4"/>
  <c r="G67" i="4"/>
  <c r="E67" i="4"/>
  <c r="C67" i="4"/>
  <c r="D67" i="4" s="1"/>
  <c r="A67" i="4"/>
  <c r="G66" i="4"/>
  <c r="E66" i="4"/>
  <c r="C66" i="4"/>
  <c r="D66" i="4" s="1"/>
  <c r="A66" i="4"/>
  <c r="G65" i="4"/>
  <c r="E65" i="4"/>
  <c r="C65" i="4"/>
  <c r="A65" i="4"/>
  <c r="G64" i="4"/>
  <c r="E64" i="4"/>
  <c r="C64" i="4"/>
  <c r="A64" i="4"/>
  <c r="G63" i="4"/>
  <c r="E63" i="4"/>
  <c r="C63" i="4"/>
  <c r="D63" i="4" s="1"/>
  <c r="A63" i="4"/>
  <c r="G62" i="4"/>
  <c r="E62" i="4"/>
  <c r="C62" i="4"/>
  <c r="D62" i="4" s="1"/>
  <c r="A62" i="4"/>
  <c r="G61" i="4"/>
  <c r="E61" i="4"/>
  <c r="C61" i="4"/>
  <c r="A61" i="4"/>
  <c r="G60" i="4"/>
  <c r="E60" i="4"/>
  <c r="C60" i="4"/>
  <c r="A60" i="4"/>
  <c r="G59" i="4"/>
  <c r="E59" i="4"/>
  <c r="C59" i="4"/>
  <c r="D59" i="4" s="1"/>
  <c r="A59" i="4"/>
  <c r="G58" i="4"/>
  <c r="E58" i="4"/>
  <c r="C58" i="4"/>
  <c r="D58" i="4" s="1"/>
  <c r="A58" i="4"/>
  <c r="G57" i="4"/>
  <c r="E57" i="4"/>
  <c r="C57" i="4"/>
  <c r="A57" i="4"/>
  <c r="G56" i="4"/>
  <c r="E56" i="4"/>
  <c r="C56" i="4"/>
  <c r="A56" i="4"/>
  <c r="G55" i="4"/>
  <c r="E55" i="4"/>
  <c r="C55" i="4"/>
  <c r="D55" i="4" s="1"/>
  <c r="A55" i="4"/>
  <c r="G54" i="4"/>
  <c r="E54" i="4"/>
  <c r="C54" i="4"/>
  <c r="D54" i="4" s="1"/>
  <c r="A54" i="4"/>
  <c r="G53" i="4"/>
  <c r="E53" i="4"/>
  <c r="C53" i="4"/>
  <c r="A53" i="4"/>
  <c r="G52" i="4"/>
  <c r="E52" i="4"/>
  <c r="C52" i="4"/>
  <c r="A52" i="4"/>
  <c r="G51" i="4"/>
  <c r="E51" i="4"/>
  <c r="C51" i="4"/>
  <c r="D51" i="4" s="1"/>
  <c r="A51" i="4"/>
  <c r="G50" i="4"/>
  <c r="E50" i="4"/>
  <c r="C50" i="4"/>
  <c r="D50" i="4" s="1"/>
  <c r="A50" i="4"/>
  <c r="G49" i="4"/>
  <c r="E49" i="4"/>
  <c r="C49" i="4"/>
  <c r="A49" i="4"/>
  <c r="G48" i="4"/>
  <c r="E48" i="4"/>
  <c r="C48" i="4"/>
  <c r="A48" i="4"/>
  <c r="G47" i="4"/>
  <c r="E47" i="4"/>
  <c r="C47" i="4"/>
  <c r="D47" i="4" s="1"/>
  <c r="A47" i="4"/>
  <c r="G46" i="4"/>
  <c r="E46" i="4"/>
  <c r="C46" i="4"/>
  <c r="D46" i="4" s="1"/>
  <c r="A46" i="4"/>
  <c r="G45" i="4"/>
  <c r="E45" i="4"/>
  <c r="C45" i="4"/>
  <c r="A45" i="4"/>
  <c r="G44" i="4"/>
  <c r="E44" i="4"/>
  <c r="C44" i="4"/>
  <c r="A44" i="4"/>
  <c r="G43" i="4"/>
  <c r="E43" i="4"/>
  <c r="C43" i="4"/>
  <c r="D43" i="4" s="1"/>
  <c r="A43" i="4"/>
  <c r="G42" i="4"/>
  <c r="E42" i="4"/>
  <c r="C42" i="4"/>
  <c r="D42" i="4" s="1"/>
  <c r="A42" i="4"/>
  <c r="G41" i="4"/>
  <c r="E41" i="4"/>
  <c r="C41" i="4"/>
  <c r="A41" i="4"/>
  <c r="G40" i="4"/>
  <c r="E40" i="4"/>
  <c r="C40" i="4"/>
  <c r="A40" i="4"/>
  <c r="G39" i="4"/>
  <c r="E39" i="4"/>
  <c r="C39" i="4"/>
  <c r="D39" i="4" s="1"/>
  <c r="A39" i="4"/>
  <c r="G38" i="4"/>
  <c r="E38" i="4"/>
  <c r="C38" i="4"/>
  <c r="D38" i="4" s="1"/>
  <c r="A38" i="4"/>
  <c r="G37" i="4"/>
  <c r="E37" i="4"/>
  <c r="C37" i="4"/>
  <c r="A37" i="4"/>
  <c r="G36" i="4"/>
  <c r="E36" i="4"/>
  <c r="C36" i="4"/>
  <c r="A36" i="4"/>
  <c r="G35" i="4"/>
  <c r="E35" i="4"/>
  <c r="C35" i="4"/>
  <c r="D35" i="4" s="1"/>
  <c r="A35" i="4"/>
  <c r="G34" i="4"/>
  <c r="E34" i="4"/>
  <c r="C34" i="4"/>
  <c r="D34" i="4" s="1"/>
  <c r="A34" i="4"/>
  <c r="G33" i="4"/>
  <c r="E33" i="4"/>
  <c r="C33" i="4"/>
  <c r="A33" i="4"/>
  <c r="G32" i="4"/>
  <c r="E32" i="4"/>
  <c r="C32" i="4"/>
  <c r="A32" i="4"/>
  <c r="G31" i="4"/>
  <c r="E31" i="4"/>
  <c r="C31" i="4"/>
  <c r="D31" i="4" s="1"/>
  <c r="A31" i="4"/>
  <c r="G30" i="4"/>
  <c r="E30" i="4"/>
  <c r="C30" i="4"/>
  <c r="D30" i="4" s="1"/>
  <c r="A30" i="4"/>
  <c r="G29" i="4"/>
  <c r="E29" i="4"/>
  <c r="C29" i="4"/>
  <c r="A29" i="4"/>
  <c r="G28" i="4"/>
  <c r="E28" i="4"/>
  <c r="C28" i="4"/>
  <c r="A28" i="4"/>
  <c r="G27" i="4"/>
  <c r="E27" i="4"/>
  <c r="C27" i="4"/>
  <c r="D27" i="4" s="1"/>
  <c r="A27" i="4"/>
  <c r="G26" i="4"/>
  <c r="E26" i="4"/>
  <c r="C26" i="4"/>
  <c r="D26" i="4" s="1"/>
  <c r="A26" i="4"/>
  <c r="G25" i="4"/>
  <c r="E25" i="4"/>
  <c r="C25" i="4"/>
  <c r="A25" i="4"/>
  <c r="G24" i="4"/>
  <c r="E24" i="4"/>
  <c r="C24" i="4"/>
  <c r="A24" i="4"/>
  <c r="G23" i="4"/>
  <c r="E23" i="4"/>
  <c r="C23" i="4"/>
  <c r="D23" i="4" s="1"/>
  <c r="A23" i="4"/>
  <c r="G22" i="4"/>
  <c r="E22" i="4"/>
  <c r="C22" i="4"/>
  <c r="D22" i="4" s="1"/>
  <c r="A22" i="4"/>
  <c r="G21" i="4"/>
  <c r="E21" i="4"/>
  <c r="C21" i="4"/>
  <c r="A21" i="4"/>
  <c r="G20" i="4"/>
  <c r="E20" i="4"/>
  <c r="C20" i="4"/>
  <c r="A20" i="4"/>
  <c r="G19" i="4"/>
  <c r="E19" i="4"/>
  <c r="C19" i="4"/>
  <c r="D19" i="4" s="1"/>
  <c r="A19" i="4"/>
  <c r="G18" i="4"/>
  <c r="E18" i="4"/>
  <c r="C18" i="4"/>
  <c r="D18" i="4" s="1"/>
  <c r="A18" i="4"/>
  <c r="G17" i="4"/>
  <c r="E17" i="4"/>
  <c r="C17" i="4"/>
  <c r="A17" i="4"/>
  <c r="G16" i="4"/>
  <c r="E16" i="4"/>
  <c r="C16" i="4"/>
  <c r="A16" i="4"/>
  <c r="G15" i="4"/>
  <c r="E15" i="4"/>
  <c r="C15" i="4"/>
  <c r="D15" i="4" s="1"/>
  <c r="A15" i="4"/>
  <c r="G14" i="4"/>
  <c r="E14" i="4"/>
  <c r="C14" i="4"/>
  <c r="D14" i="4" s="1"/>
  <c r="A14" i="4"/>
  <c r="G13" i="4"/>
  <c r="E13" i="4"/>
  <c r="C13" i="4"/>
  <c r="A13" i="4"/>
  <c r="G12" i="4"/>
  <c r="E12" i="4"/>
  <c r="C12" i="4"/>
  <c r="A12" i="4"/>
  <c r="G11" i="4"/>
  <c r="E11" i="4"/>
  <c r="C11" i="4"/>
  <c r="D11" i="4" s="1"/>
  <c r="A11" i="4"/>
  <c r="G10" i="4"/>
  <c r="E10" i="4"/>
  <c r="C10" i="4"/>
  <c r="D10" i="4" s="1"/>
  <c r="A10" i="4"/>
  <c r="G9" i="4"/>
  <c r="E9" i="4"/>
  <c r="C9" i="4"/>
  <c r="A9" i="4"/>
  <c r="G8" i="4"/>
  <c r="E8" i="4"/>
  <c r="C8" i="4"/>
  <c r="A8" i="4"/>
  <c r="G7" i="4"/>
  <c r="E7" i="4"/>
  <c r="C7" i="4"/>
  <c r="D7" i="4" s="1"/>
  <c r="A7" i="4"/>
  <c r="G6" i="4"/>
  <c r="E6" i="4"/>
  <c r="C6" i="4"/>
  <c r="D6" i="4" s="1"/>
  <c r="A6" i="4"/>
  <c r="G5" i="4"/>
  <c r="E5" i="4"/>
  <c r="C5" i="4"/>
  <c r="A5" i="4"/>
  <c r="G4" i="4"/>
  <c r="E4" i="4"/>
  <c r="C4" i="4"/>
  <c r="A4" i="4"/>
  <c r="G3" i="4"/>
  <c r="E3" i="4"/>
  <c r="C3" i="4"/>
  <c r="D3" i="4" s="1"/>
  <c r="A3" i="4"/>
  <c r="G2" i="4"/>
  <c r="E2" i="4"/>
  <c r="C2" i="4"/>
  <c r="D2" i="4" s="1"/>
  <c r="A2" i="4"/>
  <c r="AH8" i="7" l="1"/>
  <c r="AJ8" i="7"/>
  <c r="AP7" i="8"/>
  <c r="O7" i="9"/>
  <c r="J8" i="9"/>
  <c r="P9" i="10"/>
  <c r="AJ9" i="10"/>
  <c r="O9" i="10"/>
  <c r="J5" i="14"/>
  <c r="O7" i="7"/>
  <c r="P8" i="7"/>
  <c r="P9" i="7"/>
  <c r="P9" i="8"/>
  <c r="AJ9" i="8"/>
  <c r="O9" i="8"/>
  <c r="O8" i="8"/>
  <c r="P7" i="10"/>
  <c r="AJ8" i="10"/>
  <c r="P6" i="11"/>
  <c r="E6" i="11"/>
  <c r="AL6" i="11" s="1"/>
  <c r="J6" i="11"/>
  <c r="AH8" i="12"/>
  <c r="AJ8" i="12"/>
  <c r="O7" i="13"/>
  <c r="AJ7" i="14"/>
  <c r="AJ6" i="8"/>
  <c r="P6" i="8"/>
  <c r="P8" i="9"/>
  <c r="P9" i="9"/>
  <c r="O9" i="12"/>
  <c r="P7" i="12"/>
  <c r="AJ8" i="8"/>
  <c r="AJ6" i="9"/>
  <c r="AK7" i="9" s="1"/>
  <c r="P6" i="9"/>
  <c r="P8" i="10"/>
  <c r="AN8" i="10" s="1"/>
  <c r="AH8" i="11"/>
  <c r="AJ8" i="11"/>
  <c r="AJ7" i="12"/>
  <c r="AJ6" i="7"/>
  <c r="P6" i="7"/>
  <c r="P8" i="8"/>
  <c r="E9" i="8"/>
  <c r="AH8" i="9"/>
  <c r="AJ8" i="9"/>
  <c r="AJ6" i="10"/>
  <c r="P6" i="10"/>
  <c r="AJ7" i="10"/>
  <c r="AJ7" i="11"/>
  <c r="O7" i="11"/>
  <c r="P8" i="11"/>
  <c r="P9" i="11"/>
  <c r="J8" i="11"/>
  <c r="P7" i="14"/>
  <c r="AJ5" i="7"/>
  <c r="C17" i="8"/>
  <c r="AG17" i="8" s="1"/>
  <c r="AJ5" i="9"/>
  <c r="O15" i="10"/>
  <c r="C17" i="10"/>
  <c r="AG17" i="10" s="1"/>
  <c r="E22" i="11"/>
  <c r="C23" i="12"/>
  <c r="O21" i="12"/>
  <c r="E14" i="12"/>
  <c r="E9" i="12"/>
  <c r="W9" i="13"/>
  <c r="O6" i="13"/>
  <c r="O23" i="13"/>
  <c r="E20" i="13"/>
  <c r="E15" i="13"/>
  <c r="J8" i="13" s="1"/>
  <c r="O19" i="13"/>
  <c r="E16" i="13"/>
  <c r="J9" i="13" s="1"/>
  <c r="E23" i="13"/>
  <c r="E9" i="13" s="1"/>
  <c r="O22" i="13"/>
  <c r="T9" i="13"/>
  <c r="AB9" i="13"/>
  <c r="O16" i="13"/>
  <c r="O7" i="14"/>
  <c r="Y9" i="14"/>
  <c r="P8" i="14"/>
  <c r="R9" i="15"/>
  <c r="P5" i="15"/>
  <c r="P8" i="15"/>
  <c r="AJ9" i="16"/>
  <c r="O9" i="16"/>
  <c r="P9" i="16"/>
  <c r="AN8" i="16"/>
  <c r="E22" i="7"/>
  <c r="AG22" i="7" s="1"/>
  <c r="O15" i="8"/>
  <c r="E22" i="9"/>
  <c r="AJ5" i="11"/>
  <c r="O6" i="7"/>
  <c r="P7" i="7"/>
  <c r="O14" i="7"/>
  <c r="E15" i="7"/>
  <c r="AG15" i="7" s="1"/>
  <c r="O18" i="7"/>
  <c r="E19" i="7"/>
  <c r="AG19" i="7" s="1"/>
  <c r="P5" i="8"/>
  <c r="AN5" i="8" s="1"/>
  <c r="AH8" i="8"/>
  <c r="C14" i="8"/>
  <c r="O20" i="8"/>
  <c r="E21" i="8"/>
  <c r="AG21" i="8" s="1"/>
  <c r="C22" i="8"/>
  <c r="AG22" i="8" s="1"/>
  <c r="O6" i="9"/>
  <c r="P7" i="9"/>
  <c r="AP7" i="9" s="1"/>
  <c r="O14" i="9"/>
  <c r="E15" i="9"/>
  <c r="E8" i="9" s="1"/>
  <c r="AL8" i="9" s="1"/>
  <c r="O18" i="9"/>
  <c r="E19" i="9"/>
  <c r="E7" i="9" s="1"/>
  <c r="P5" i="10"/>
  <c r="AN5" i="10" s="1"/>
  <c r="AH8" i="10"/>
  <c r="C14" i="10"/>
  <c r="O20" i="10"/>
  <c r="E21" i="10"/>
  <c r="C22" i="10"/>
  <c r="AG22" i="10" s="1"/>
  <c r="O6" i="11"/>
  <c r="P7" i="11"/>
  <c r="O14" i="11"/>
  <c r="E15" i="11"/>
  <c r="E8" i="11" s="1"/>
  <c r="AL8" i="11" s="1"/>
  <c r="O18" i="11"/>
  <c r="E19" i="11"/>
  <c r="AG19" i="11" s="1"/>
  <c r="E7" i="11" s="1"/>
  <c r="C19" i="12"/>
  <c r="AG19" i="12" s="1"/>
  <c r="O17" i="12"/>
  <c r="C22" i="12"/>
  <c r="AG22" i="12" s="1"/>
  <c r="O20" i="12"/>
  <c r="C14" i="12"/>
  <c r="AG14" i="12" s="1"/>
  <c r="P5" i="12"/>
  <c r="AN5" i="12" s="1"/>
  <c r="C15" i="12"/>
  <c r="J7" i="12" s="1"/>
  <c r="E17" i="12"/>
  <c r="Z9" i="12"/>
  <c r="O14" i="12"/>
  <c r="O15" i="12"/>
  <c r="O18" i="12"/>
  <c r="C19" i="13"/>
  <c r="AG19" i="13" s="1"/>
  <c r="E7" i="13" s="1"/>
  <c r="AL7" i="13" s="1"/>
  <c r="C17" i="14"/>
  <c r="AG17" i="14" s="1"/>
  <c r="O15" i="14"/>
  <c r="C20" i="14"/>
  <c r="AG20" i="14" s="1"/>
  <c r="AA9" i="14"/>
  <c r="O21" i="14"/>
  <c r="AJ8" i="15"/>
  <c r="O5" i="7"/>
  <c r="O9" i="7"/>
  <c r="AJ9" i="7"/>
  <c r="O15" i="7"/>
  <c r="E16" i="7"/>
  <c r="E9" i="7" s="1"/>
  <c r="O19" i="7"/>
  <c r="E20" i="7"/>
  <c r="AG20" i="7" s="1"/>
  <c r="C21" i="7"/>
  <c r="AG21" i="7" s="1"/>
  <c r="O23" i="7"/>
  <c r="AJ5" i="8"/>
  <c r="O7" i="8"/>
  <c r="E14" i="8"/>
  <c r="AG14" i="8" s="1"/>
  <c r="C15" i="8"/>
  <c r="E7" i="8" s="1"/>
  <c r="AL7" i="8" s="1"/>
  <c r="O17" i="8"/>
  <c r="E18" i="8"/>
  <c r="AG18" i="8" s="1"/>
  <c r="J8" i="8" s="1"/>
  <c r="C19" i="8"/>
  <c r="AG19" i="8" s="1"/>
  <c r="J7" i="8" s="1"/>
  <c r="O21" i="8"/>
  <c r="E22" i="8"/>
  <c r="C23" i="8"/>
  <c r="O5" i="9"/>
  <c r="O9" i="9"/>
  <c r="AJ9" i="9"/>
  <c r="O15" i="9"/>
  <c r="E16" i="9"/>
  <c r="E9" i="9" s="1"/>
  <c r="O19" i="9"/>
  <c r="E20" i="9"/>
  <c r="AG20" i="9" s="1"/>
  <c r="C21" i="9"/>
  <c r="AG21" i="9" s="1"/>
  <c r="O23" i="9"/>
  <c r="AJ5" i="10"/>
  <c r="O7" i="10"/>
  <c r="E14" i="10"/>
  <c r="AG14" i="10" s="1"/>
  <c r="C15" i="10"/>
  <c r="AG15" i="10" s="1"/>
  <c r="O17" i="10"/>
  <c r="E18" i="10"/>
  <c r="AG18" i="10" s="1"/>
  <c r="J9" i="10" s="1"/>
  <c r="C19" i="10"/>
  <c r="O21" i="10"/>
  <c r="E22" i="10"/>
  <c r="C23" i="10"/>
  <c r="O5" i="11"/>
  <c r="O9" i="11"/>
  <c r="AJ9" i="11"/>
  <c r="O15" i="11"/>
  <c r="E16" i="11"/>
  <c r="AG16" i="11" s="1"/>
  <c r="E5" i="11" s="1"/>
  <c r="O19" i="11"/>
  <c r="E20" i="11"/>
  <c r="C21" i="11"/>
  <c r="AG21" i="11" s="1"/>
  <c r="O23" i="11"/>
  <c r="AJ5" i="12"/>
  <c r="O6" i="12"/>
  <c r="AC9" i="12"/>
  <c r="P8" i="12"/>
  <c r="O8" i="12"/>
  <c r="C17" i="12"/>
  <c r="AG17" i="12" s="1"/>
  <c r="E7" i="12" s="1"/>
  <c r="AL7" i="12" s="1"/>
  <c r="C21" i="12"/>
  <c r="AJ5" i="13"/>
  <c r="AK6" i="13" s="1"/>
  <c r="P6" i="13"/>
  <c r="P7" i="13"/>
  <c r="AP7" i="13" s="1"/>
  <c r="P8" i="13"/>
  <c r="AN8" i="13" s="1"/>
  <c r="X9" i="13"/>
  <c r="C14" i="13"/>
  <c r="AG14" i="13" s="1"/>
  <c r="C18" i="13"/>
  <c r="AG18" i="13" s="1"/>
  <c r="C22" i="13"/>
  <c r="AG22" i="13" s="1"/>
  <c r="R6" i="14"/>
  <c r="AJ6" i="14" s="1"/>
  <c r="AJ5" i="14"/>
  <c r="C21" i="14"/>
  <c r="AG21" i="14" s="1"/>
  <c r="E9" i="14" s="1"/>
  <c r="E19" i="14"/>
  <c r="O18" i="14"/>
  <c r="O14" i="14"/>
  <c r="O8" i="14"/>
  <c r="O19" i="14"/>
  <c r="E16" i="14"/>
  <c r="J9" i="14" s="1"/>
  <c r="E23" i="14"/>
  <c r="O22" i="14"/>
  <c r="C15" i="14"/>
  <c r="C23" i="14"/>
  <c r="AG23" i="14" s="1"/>
  <c r="O5" i="15"/>
  <c r="C23" i="15"/>
  <c r="AG23" i="15" s="1"/>
  <c r="C20" i="15"/>
  <c r="O21" i="15"/>
  <c r="E14" i="15"/>
  <c r="AG14" i="15" s="1"/>
  <c r="O15" i="15"/>
  <c r="O8" i="7"/>
  <c r="C14" i="7"/>
  <c r="AG14" i="7" s="1"/>
  <c r="O16" i="7"/>
  <c r="O20" i="7"/>
  <c r="O6" i="8"/>
  <c r="P7" i="8"/>
  <c r="O14" i="8"/>
  <c r="O18" i="8"/>
  <c r="O22" i="8"/>
  <c r="P5" i="9"/>
  <c r="O8" i="9"/>
  <c r="C14" i="9"/>
  <c r="AG14" i="9" s="1"/>
  <c r="O16" i="9"/>
  <c r="O20" i="9"/>
  <c r="O6" i="10"/>
  <c r="O14" i="10"/>
  <c r="O18" i="10"/>
  <c r="O22" i="10"/>
  <c r="P5" i="11"/>
  <c r="O8" i="11"/>
  <c r="C14" i="11"/>
  <c r="J5" i="11" s="1"/>
  <c r="O16" i="11"/>
  <c r="O20" i="11"/>
  <c r="AJ6" i="12"/>
  <c r="P6" i="12"/>
  <c r="Y9" i="12"/>
  <c r="P9" i="12" s="1"/>
  <c r="O7" i="12"/>
  <c r="J9" i="12"/>
  <c r="C16" i="12"/>
  <c r="C20" i="12"/>
  <c r="AJ8" i="13"/>
  <c r="S9" i="13"/>
  <c r="AJ9" i="13" s="1"/>
  <c r="O5" i="13"/>
  <c r="E18" i="13"/>
  <c r="E21" i="13"/>
  <c r="E22" i="13"/>
  <c r="R9" i="14"/>
  <c r="P5" i="14"/>
  <c r="AN5" i="14" s="1"/>
  <c r="P6" i="14"/>
  <c r="AJ8" i="14"/>
  <c r="J6" i="14"/>
  <c r="E5" i="14"/>
  <c r="AL5" i="14" s="1"/>
  <c r="E6" i="14"/>
  <c r="AL6" i="14" s="1"/>
  <c r="R6" i="15"/>
  <c r="AJ5" i="15"/>
  <c r="Z9" i="15"/>
  <c r="P7" i="15"/>
  <c r="C17" i="15"/>
  <c r="AG17" i="15" s="1"/>
  <c r="O16" i="12"/>
  <c r="C18" i="12"/>
  <c r="J8" i="12" s="1"/>
  <c r="E21" i="12"/>
  <c r="AG21" i="12" s="1"/>
  <c r="O14" i="13"/>
  <c r="O18" i="13"/>
  <c r="E19" i="13"/>
  <c r="J7" i="13" s="1"/>
  <c r="C20" i="13"/>
  <c r="AG20" i="13" s="1"/>
  <c r="E15" i="14"/>
  <c r="AG15" i="14" s="1"/>
  <c r="O8" i="15"/>
  <c r="E23" i="15"/>
  <c r="O22" i="15"/>
  <c r="C14" i="15"/>
  <c r="O16" i="15"/>
  <c r="E17" i="15"/>
  <c r="C18" i="15"/>
  <c r="AG18" i="15" s="1"/>
  <c r="J9" i="15" s="1"/>
  <c r="O20" i="15"/>
  <c r="E21" i="15"/>
  <c r="E22" i="15"/>
  <c r="AG22" i="15" s="1"/>
  <c r="E8" i="15" s="1"/>
  <c r="AJ8" i="16"/>
  <c r="AH8" i="16"/>
  <c r="O7" i="16"/>
  <c r="AJ6" i="17"/>
  <c r="P6" i="17"/>
  <c r="AP7" i="17"/>
  <c r="O15" i="13"/>
  <c r="E20" i="14"/>
  <c r="O7" i="15"/>
  <c r="AP7" i="15" s="1"/>
  <c r="C15" i="15"/>
  <c r="J7" i="15" s="1"/>
  <c r="O17" i="15"/>
  <c r="E18" i="15"/>
  <c r="P7" i="16"/>
  <c r="O6" i="17"/>
  <c r="O14" i="15"/>
  <c r="O18" i="15"/>
  <c r="AJ7" i="16"/>
  <c r="AJ8" i="17"/>
  <c r="P8" i="17"/>
  <c r="C14" i="16"/>
  <c r="J5" i="16" s="1"/>
  <c r="O20" i="16"/>
  <c r="E21" i="16"/>
  <c r="C22" i="16"/>
  <c r="E5" i="16" s="1"/>
  <c r="AL5" i="16" s="1"/>
  <c r="C23" i="17"/>
  <c r="O21" i="17"/>
  <c r="E14" i="17"/>
  <c r="AH8" i="17"/>
  <c r="V9" i="17"/>
  <c r="AJ9" i="17" s="1"/>
  <c r="AA9" i="17"/>
  <c r="AP8" i="18"/>
  <c r="P9" i="18"/>
  <c r="V9" i="19"/>
  <c r="P8" i="21"/>
  <c r="O8" i="21"/>
  <c r="AB9" i="21"/>
  <c r="AJ5" i="16"/>
  <c r="P8" i="16"/>
  <c r="O17" i="16"/>
  <c r="E18" i="16"/>
  <c r="C19" i="16"/>
  <c r="E22" i="16"/>
  <c r="AG22" i="16" s="1"/>
  <c r="C19" i="17"/>
  <c r="AG19" i="17" s="1"/>
  <c r="O17" i="17"/>
  <c r="C22" i="17"/>
  <c r="AG22" i="17" s="1"/>
  <c r="P5" i="17"/>
  <c r="AN5" i="17" s="1"/>
  <c r="O8" i="17"/>
  <c r="E18" i="17"/>
  <c r="AG18" i="17" s="1"/>
  <c r="O22" i="17"/>
  <c r="E21" i="17"/>
  <c r="AG21" i="17" s="1"/>
  <c r="E23" i="17"/>
  <c r="AG23" i="17" s="1"/>
  <c r="C21" i="18"/>
  <c r="O15" i="18"/>
  <c r="E19" i="18"/>
  <c r="C15" i="18"/>
  <c r="O14" i="18"/>
  <c r="R6" i="19"/>
  <c r="AJ6" i="19" s="1"/>
  <c r="AJ5" i="19"/>
  <c r="O5" i="19"/>
  <c r="O9" i="19"/>
  <c r="S9" i="20"/>
  <c r="O5" i="20"/>
  <c r="P5" i="20"/>
  <c r="AJ8" i="20"/>
  <c r="R6" i="22"/>
  <c r="AJ5" i="22"/>
  <c r="O5" i="22"/>
  <c r="O6" i="16"/>
  <c r="AP6" i="16" s="1"/>
  <c r="O14" i="16"/>
  <c r="E15" i="16"/>
  <c r="AG15" i="16" s="1"/>
  <c r="O18" i="16"/>
  <c r="E19" i="16"/>
  <c r="AG19" i="16" s="1"/>
  <c r="C20" i="16"/>
  <c r="O22" i="16"/>
  <c r="E23" i="16"/>
  <c r="AJ5" i="17"/>
  <c r="O7" i="17"/>
  <c r="E22" i="17"/>
  <c r="O23" i="17"/>
  <c r="C14" i="17"/>
  <c r="AG14" i="17" s="1"/>
  <c r="E15" i="17"/>
  <c r="AG15" i="17" s="1"/>
  <c r="C16" i="17"/>
  <c r="AG16" i="17" s="1"/>
  <c r="C17" i="17"/>
  <c r="C18" i="17"/>
  <c r="E19" i="17"/>
  <c r="C20" i="17"/>
  <c r="AG20" i="17" s="1"/>
  <c r="C21" i="17"/>
  <c r="R6" i="18"/>
  <c r="AJ6" i="18" s="1"/>
  <c r="AJ5" i="18"/>
  <c r="P5" i="18"/>
  <c r="O6" i="18"/>
  <c r="X9" i="18"/>
  <c r="P7" i="18"/>
  <c r="O7" i="18"/>
  <c r="O23" i="18"/>
  <c r="E20" i="18"/>
  <c r="AG20" i="18" s="1"/>
  <c r="E22" i="18"/>
  <c r="AG22" i="18" s="1"/>
  <c r="O16" i="18"/>
  <c r="E15" i="18"/>
  <c r="AG15" i="18" s="1"/>
  <c r="O19" i="18"/>
  <c r="E16" i="18"/>
  <c r="E23" i="18"/>
  <c r="AG23" i="18" s="1"/>
  <c r="J9" i="18" s="1"/>
  <c r="E18" i="18"/>
  <c r="AG18" i="18" s="1"/>
  <c r="E17" i="18"/>
  <c r="O18" i="18"/>
  <c r="AA9" i="20"/>
  <c r="O8" i="20"/>
  <c r="P8" i="20"/>
  <c r="C17" i="21"/>
  <c r="AG17" i="21" s="1"/>
  <c r="O15" i="21"/>
  <c r="C20" i="21"/>
  <c r="AG20" i="21" s="1"/>
  <c r="E14" i="21"/>
  <c r="AG14" i="21" s="1"/>
  <c r="O21" i="21"/>
  <c r="C23" i="21"/>
  <c r="AG23" i="21" s="1"/>
  <c r="O5" i="16"/>
  <c r="P6" i="16"/>
  <c r="O15" i="16"/>
  <c r="E16" i="16"/>
  <c r="J9" i="16" s="1"/>
  <c r="E20" i="16"/>
  <c r="AG20" i="16" s="1"/>
  <c r="E6" i="16" s="1"/>
  <c r="P7" i="17"/>
  <c r="O14" i="17"/>
  <c r="O15" i="17"/>
  <c r="E16" i="17"/>
  <c r="E17" i="17"/>
  <c r="AG17" i="17" s="1"/>
  <c r="O18" i="17"/>
  <c r="O19" i="17"/>
  <c r="AJ7" i="18"/>
  <c r="P8" i="18"/>
  <c r="AN8" i="18" s="1"/>
  <c r="AH8" i="18"/>
  <c r="AJ8" i="19"/>
  <c r="AH8" i="19"/>
  <c r="C23" i="19"/>
  <c r="O21" i="19"/>
  <c r="E14" i="19"/>
  <c r="AG14" i="19" s="1"/>
  <c r="O15" i="19"/>
  <c r="C17" i="19"/>
  <c r="AJ6" i="20"/>
  <c r="AJ5" i="20"/>
  <c r="AC9" i="22"/>
  <c r="O9" i="22" s="1"/>
  <c r="O8" i="22"/>
  <c r="S9" i="18"/>
  <c r="AJ9" i="18" s="1"/>
  <c r="O5" i="18"/>
  <c r="C19" i="19"/>
  <c r="O17" i="19"/>
  <c r="P5" i="19"/>
  <c r="Y9" i="19"/>
  <c r="P9" i="19" s="1"/>
  <c r="O7" i="19"/>
  <c r="E18" i="19"/>
  <c r="AG18" i="19" s="1"/>
  <c r="O22" i="19"/>
  <c r="E21" i="19"/>
  <c r="AG21" i="19" s="1"/>
  <c r="O19" i="19"/>
  <c r="E16" i="19"/>
  <c r="AG16" i="19" s="1"/>
  <c r="O7" i="20"/>
  <c r="P7" i="20"/>
  <c r="O19" i="20"/>
  <c r="E16" i="20"/>
  <c r="AG16" i="20" s="1"/>
  <c r="O22" i="20"/>
  <c r="O9" i="20"/>
  <c r="C15" i="20"/>
  <c r="O16" i="20"/>
  <c r="AJ7" i="21"/>
  <c r="W9" i="23"/>
  <c r="P6" i="23"/>
  <c r="O20" i="18"/>
  <c r="O17" i="18"/>
  <c r="P6" i="18"/>
  <c r="C19" i="18"/>
  <c r="AG19" i="18" s="1"/>
  <c r="E5" i="18" s="1"/>
  <c r="C14" i="19"/>
  <c r="O20" i="19"/>
  <c r="E23" i="19"/>
  <c r="AG23" i="19" s="1"/>
  <c r="AJ7" i="20"/>
  <c r="E15" i="20"/>
  <c r="AG15" i="20" s="1"/>
  <c r="AN5" i="21"/>
  <c r="AJ8" i="21"/>
  <c r="AH8" i="21"/>
  <c r="U9" i="21"/>
  <c r="P9" i="21" s="1"/>
  <c r="C21" i="21"/>
  <c r="E19" i="21"/>
  <c r="O18" i="21"/>
  <c r="O14" i="21"/>
  <c r="E17" i="21"/>
  <c r="C15" i="21"/>
  <c r="P8" i="19"/>
  <c r="O8" i="19"/>
  <c r="C21" i="20"/>
  <c r="O18" i="20"/>
  <c r="O14" i="20"/>
  <c r="O23" i="20"/>
  <c r="E20" i="20"/>
  <c r="E6" i="20"/>
  <c r="AL6" i="20" s="1"/>
  <c r="E17" i="20"/>
  <c r="E22" i="20"/>
  <c r="AG22" i="20" s="1"/>
  <c r="AJ8" i="22"/>
  <c r="P7" i="22"/>
  <c r="E14" i="18"/>
  <c r="E6" i="18" s="1"/>
  <c r="O21" i="18"/>
  <c r="O14" i="19"/>
  <c r="E17" i="19"/>
  <c r="AG17" i="19" s="1"/>
  <c r="O18" i="19"/>
  <c r="P6" i="20"/>
  <c r="AN6" i="20" s="1"/>
  <c r="U9" i="20"/>
  <c r="P9" i="20" s="1"/>
  <c r="R6" i="21"/>
  <c r="AJ6" i="21" s="1"/>
  <c r="AJ5" i="21"/>
  <c r="Y9" i="21"/>
  <c r="O7" i="21"/>
  <c r="C14" i="21"/>
  <c r="O17" i="21"/>
  <c r="C19" i="21"/>
  <c r="AG19" i="21" s="1"/>
  <c r="C22" i="21"/>
  <c r="AG22" i="21" s="1"/>
  <c r="P8" i="22"/>
  <c r="AJ9" i="21"/>
  <c r="O9" i="21"/>
  <c r="O19" i="21"/>
  <c r="E16" i="21"/>
  <c r="E9" i="21" s="1"/>
  <c r="E23" i="21"/>
  <c r="O22" i="21"/>
  <c r="E21" i="21"/>
  <c r="AG21" i="21" s="1"/>
  <c r="E18" i="21"/>
  <c r="U9" i="22"/>
  <c r="P9" i="22" s="1"/>
  <c r="P6" i="22"/>
  <c r="AJ9" i="22"/>
  <c r="O7" i="24"/>
  <c r="O6" i="24"/>
  <c r="AJ7" i="22"/>
  <c r="C23" i="22"/>
  <c r="AG23" i="22" s="1"/>
  <c r="O21" i="22"/>
  <c r="E14" i="22"/>
  <c r="C17" i="22"/>
  <c r="O15" i="22"/>
  <c r="C15" i="22"/>
  <c r="AG15" i="22" s="1"/>
  <c r="E17" i="22"/>
  <c r="AG17" i="22" s="1"/>
  <c r="C21" i="22"/>
  <c r="Y9" i="22"/>
  <c r="O7" i="22"/>
  <c r="AH8" i="22"/>
  <c r="C20" i="22"/>
  <c r="AG20" i="22" s="1"/>
  <c r="O15" i="20"/>
  <c r="O23" i="21"/>
  <c r="E20" i="21"/>
  <c r="E15" i="21"/>
  <c r="AG15" i="21" s="1"/>
  <c r="E22" i="21"/>
  <c r="P5" i="22"/>
  <c r="O14" i="22"/>
  <c r="C22" i="23"/>
  <c r="AG22" i="23" s="1"/>
  <c r="O20" i="23"/>
  <c r="C14" i="23"/>
  <c r="C16" i="23"/>
  <c r="AG16" i="23" s="1"/>
  <c r="C19" i="23"/>
  <c r="AG19" i="23" s="1"/>
  <c r="O17" i="23"/>
  <c r="T6" i="23"/>
  <c r="AJ6" i="23" s="1"/>
  <c r="AJ5" i="23"/>
  <c r="AH8" i="23"/>
  <c r="AJ8" i="23"/>
  <c r="S9" i="23"/>
  <c r="P9" i="23" s="1"/>
  <c r="O5" i="23"/>
  <c r="AJ7" i="23"/>
  <c r="AJ8" i="24"/>
  <c r="AH8" i="24"/>
  <c r="C14" i="22"/>
  <c r="AG14" i="22" s="1"/>
  <c r="O16" i="22"/>
  <c r="C18" i="22"/>
  <c r="O20" i="22"/>
  <c r="E21" i="22"/>
  <c r="AG21" i="22" s="1"/>
  <c r="E9" i="22" s="1"/>
  <c r="C22" i="22"/>
  <c r="AG22" i="22" s="1"/>
  <c r="AJ7" i="24"/>
  <c r="P7" i="24"/>
  <c r="P8" i="24"/>
  <c r="O17" i="22"/>
  <c r="AJ9" i="23"/>
  <c r="O9" i="23"/>
  <c r="C17" i="23"/>
  <c r="AG17" i="23" s="1"/>
  <c r="O15" i="23"/>
  <c r="C20" i="23"/>
  <c r="AG20" i="23" s="1"/>
  <c r="C23" i="23"/>
  <c r="AG23" i="23" s="1"/>
  <c r="O21" i="23"/>
  <c r="E14" i="23"/>
  <c r="AG14" i="23" s="1"/>
  <c r="O8" i="23"/>
  <c r="P8" i="23"/>
  <c r="AJ6" i="24"/>
  <c r="O8" i="24"/>
  <c r="C15" i="23"/>
  <c r="AG15" i="23" s="1"/>
  <c r="E18" i="23"/>
  <c r="AG18" i="23" s="1"/>
  <c r="E22" i="23"/>
  <c r="O5" i="24"/>
  <c r="P6" i="24"/>
  <c r="W9" i="24"/>
  <c r="AJ9" i="24" s="1"/>
  <c r="AA9" i="24"/>
  <c r="O15" i="24"/>
  <c r="E16" i="24"/>
  <c r="AG16" i="24" s="1"/>
  <c r="C17" i="24"/>
  <c r="AG17" i="24" s="1"/>
  <c r="O19" i="24"/>
  <c r="E20" i="24"/>
  <c r="C21" i="24"/>
  <c r="O23" i="24"/>
  <c r="P7" i="23"/>
  <c r="AN7" i="23" s="1"/>
  <c r="O14" i="23"/>
  <c r="E15" i="23"/>
  <c r="O18" i="23"/>
  <c r="E19" i="23"/>
  <c r="O22" i="23"/>
  <c r="E23" i="23"/>
  <c r="X9" i="24"/>
  <c r="C14" i="24"/>
  <c r="AG14" i="24" s="1"/>
  <c r="O16" i="24"/>
  <c r="E17" i="24"/>
  <c r="C18" i="24"/>
  <c r="O20" i="24"/>
  <c r="E21" i="24"/>
  <c r="AG21" i="24" s="1"/>
  <c r="C22" i="24"/>
  <c r="AG22" i="24" s="1"/>
  <c r="E16" i="23"/>
  <c r="O19" i="23"/>
  <c r="E20" i="23"/>
  <c r="C21" i="23"/>
  <c r="O23" i="23"/>
  <c r="AJ5" i="24"/>
  <c r="E14" i="24"/>
  <c r="C15" i="24"/>
  <c r="AG15" i="24" s="1"/>
  <c r="O17" i="24"/>
  <c r="E18" i="24"/>
  <c r="AG18" i="24" s="1"/>
  <c r="C19" i="24"/>
  <c r="AG19" i="24" s="1"/>
  <c r="O21" i="24"/>
  <c r="E22" i="24"/>
  <c r="C23" i="24"/>
  <c r="O16" i="23"/>
  <c r="O14" i="24"/>
  <c r="O18" i="24"/>
  <c r="O22" i="24"/>
  <c r="AK8" i="18" l="1"/>
  <c r="AN9" i="22"/>
  <c r="AK9" i="13"/>
  <c r="AL9" i="14"/>
  <c r="AL9" i="13"/>
  <c r="AO5" i="10"/>
  <c r="AK9" i="24"/>
  <c r="AK9" i="18"/>
  <c r="AP9" i="18"/>
  <c r="AK9" i="17"/>
  <c r="AL8" i="15"/>
  <c r="AL5" i="11"/>
  <c r="J9" i="23"/>
  <c r="E9" i="23"/>
  <c r="AL9" i="23" s="1"/>
  <c r="AN6" i="24"/>
  <c r="P9" i="24"/>
  <c r="AP9" i="22"/>
  <c r="AK9" i="22"/>
  <c r="J7" i="19"/>
  <c r="E7" i="19"/>
  <c r="AL7" i="19" s="1"/>
  <c r="AN9" i="20"/>
  <c r="Q9" i="20"/>
  <c r="AN7" i="18"/>
  <c r="E9" i="17"/>
  <c r="J9" i="17"/>
  <c r="AN8" i="17"/>
  <c r="AN6" i="17"/>
  <c r="Q6" i="17"/>
  <c r="AJ6" i="15"/>
  <c r="P6" i="15"/>
  <c r="AP6" i="12"/>
  <c r="AN8" i="14"/>
  <c r="AN5" i="11"/>
  <c r="Q5" i="11"/>
  <c r="P9" i="15"/>
  <c r="AJ9" i="15"/>
  <c r="O9" i="15"/>
  <c r="AP6" i="10"/>
  <c r="AK6" i="10"/>
  <c r="AP8" i="8"/>
  <c r="AK8" i="8"/>
  <c r="AP6" i="8"/>
  <c r="AK6" i="8"/>
  <c r="AN7" i="7"/>
  <c r="Q7" i="7"/>
  <c r="AP9" i="10"/>
  <c r="AK9" i="10"/>
  <c r="J9" i="24"/>
  <c r="E9" i="24"/>
  <c r="AL9" i="24" s="1"/>
  <c r="J7" i="23"/>
  <c r="J8" i="23"/>
  <c r="E7" i="23"/>
  <c r="E8" i="23"/>
  <c r="AL8" i="23" s="1"/>
  <c r="AN8" i="23"/>
  <c r="AK9" i="23"/>
  <c r="AP9" i="23"/>
  <c r="AK6" i="23"/>
  <c r="AN7" i="22"/>
  <c r="J7" i="22"/>
  <c r="J8" i="22"/>
  <c r="E7" i="22"/>
  <c r="E8" i="22"/>
  <c r="AL8" i="22" s="1"/>
  <c r="AN7" i="24"/>
  <c r="J9" i="22"/>
  <c r="AL9" i="22" s="1"/>
  <c r="AN7" i="21"/>
  <c r="Q7" i="21"/>
  <c r="AP8" i="22"/>
  <c r="AJ9" i="20"/>
  <c r="AK5" i="20" s="1"/>
  <c r="AN5" i="18"/>
  <c r="AP5" i="18"/>
  <c r="AK5" i="18"/>
  <c r="E8" i="17"/>
  <c r="J7" i="17"/>
  <c r="J8" i="17"/>
  <c r="E7" i="17"/>
  <c r="AL7" i="17" s="1"/>
  <c r="AN7" i="17"/>
  <c r="J8" i="16"/>
  <c r="E7" i="16"/>
  <c r="AL7" i="16" s="1"/>
  <c r="E8" i="16"/>
  <c r="J7" i="16"/>
  <c r="AP5" i="22"/>
  <c r="AK5" i="22"/>
  <c r="Q5" i="20"/>
  <c r="AN5" i="20"/>
  <c r="AJ9" i="19"/>
  <c r="P6" i="19"/>
  <c r="O9" i="18"/>
  <c r="Q7" i="18" s="1"/>
  <c r="P9" i="17"/>
  <c r="AK8" i="16"/>
  <c r="AP8" i="16"/>
  <c r="AN8" i="15"/>
  <c r="E7" i="15"/>
  <c r="AL7" i="15" s="1"/>
  <c r="AK8" i="13"/>
  <c r="AP8" i="13"/>
  <c r="AN7" i="12"/>
  <c r="Q7" i="12"/>
  <c r="AN6" i="10"/>
  <c r="Q6" i="10"/>
  <c r="AN8" i="9"/>
  <c r="Q8" i="9"/>
  <c r="J6" i="15"/>
  <c r="E5" i="15"/>
  <c r="E6" i="15"/>
  <c r="AL6" i="15" s="1"/>
  <c r="J5" i="15"/>
  <c r="AN5" i="15"/>
  <c r="O6" i="14"/>
  <c r="O9" i="13"/>
  <c r="AP9" i="13" s="1"/>
  <c r="AQ9" i="13" s="1"/>
  <c r="AN8" i="12"/>
  <c r="Q8" i="12"/>
  <c r="AN6" i="12"/>
  <c r="Q6" i="12"/>
  <c r="AN7" i="10"/>
  <c r="Q7" i="10"/>
  <c r="AN7" i="8"/>
  <c r="Q7" i="8"/>
  <c r="E9" i="15"/>
  <c r="AL9" i="15" s="1"/>
  <c r="AH8" i="15"/>
  <c r="AN6" i="11"/>
  <c r="Q6" i="11"/>
  <c r="AN6" i="9"/>
  <c r="Q6" i="9"/>
  <c r="AN6" i="7"/>
  <c r="Q6" i="7"/>
  <c r="J6" i="16"/>
  <c r="AL6" i="16" s="1"/>
  <c r="E8" i="13"/>
  <c r="AL8" i="13" s="1"/>
  <c r="J7" i="11"/>
  <c r="AL7" i="11" s="1"/>
  <c r="AK7" i="11"/>
  <c r="AP7" i="11"/>
  <c r="J9" i="9"/>
  <c r="AL9" i="9" s="1"/>
  <c r="J9" i="8"/>
  <c r="AP6" i="7"/>
  <c r="AQ6" i="7" s="1"/>
  <c r="AK6" i="7"/>
  <c r="AJ9" i="12"/>
  <c r="AK6" i="12" s="1"/>
  <c r="AP7" i="14"/>
  <c r="AK7" i="14"/>
  <c r="E8" i="8"/>
  <c r="AL8" i="8" s="1"/>
  <c r="AP7" i="7"/>
  <c r="J7" i="9"/>
  <c r="AL7" i="9" s="1"/>
  <c r="J9" i="7"/>
  <c r="AL9" i="7" s="1"/>
  <c r="AN5" i="23"/>
  <c r="AL9" i="21"/>
  <c r="J9" i="21"/>
  <c r="P6" i="21"/>
  <c r="AN7" i="19"/>
  <c r="AN9" i="19"/>
  <c r="AN8" i="21"/>
  <c r="Q8" i="21"/>
  <c r="Q6" i="20"/>
  <c r="AN8" i="11"/>
  <c r="Q8" i="11"/>
  <c r="P9" i="13"/>
  <c r="AP5" i="13"/>
  <c r="AK5" i="13"/>
  <c r="J5" i="10"/>
  <c r="J6" i="10"/>
  <c r="E5" i="10"/>
  <c r="AL5" i="10" s="1"/>
  <c r="E6" i="10"/>
  <c r="AL6" i="10" s="1"/>
  <c r="Q5" i="9"/>
  <c r="AN5" i="9"/>
  <c r="J5" i="8"/>
  <c r="J6" i="8"/>
  <c r="E5" i="8"/>
  <c r="E6" i="8"/>
  <c r="AL9" i="12"/>
  <c r="AP5" i="9"/>
  <c r="AQ5" i="9" s="1"/>
  <c r="AK5" i="9"/>
  <c r="AL9" i="8"/>
  <c r="AP8" i="11"/>
  <c r="AK8" i="11"/>
  <c r="Q9" i="12"/>
  <c r="AN9" i="12"/>
  <c r="AO9" i="12" s="1"/>
  <c r="AP8" i="10"/>
  <c r="AK8" i="10"/>
  <c r="AP9" i="8"/>
  <c r="AK9" i="8"/>
  <c r="E8" i="24"/>
  <c r="AL8" i="24" s="1"/>
  <c r="J7" i="24"/>
  <c r="J8" i="24"/>
  <c r="E7" i="24"/>
  <c r="AL7" i="24" s="1"/>
  <c r="AN5" i="24"/>
  <c r="AN8" i="24"/>
  <c r="Q8" i="24"/>
  <c r="J5" i="23"/>
  <c r="J6" i="23"/>
  <c r="E5" i="23"/>
  <c r="E6" i="23"/>
  <c r="AL6" i="23" s="1"/>
  <c r="AP7" i="24"/>
  <c r="AK7" i="24"/>
  <c r="AP8" i="24"/>
  <c r="AK8" i="24"/>
  <c r="AP8" i="23"/>
  <c r="AK8" i="23"/>
  <c r="O9" i="24"/>
  <c r="AP9" i="24" s="1"/>
  <c r="AQ9" i="24" s="1"/>
  <c r="AN9" i="21"/>
  <c r="Q9" i="21"/>
  <c r="AN8" i="19"/>
  <c r="J8" i="20"/>
  <c r="E7" i="20"/>
  <c r="AL7" i="20" s="1"/>
  <c r="E8" i="20"/>
  <c r="J7" i="20"/>
  <c r="AN7" i="20"/>
  <c r="Q7" i="20"/>
  <c r="AP5" i="20"/>
  <c r="J6" i="19"/>
  <c r="E5" i="19"/>
  <c r="AL5" i="19" s="1"/>
  <c r="E6" i="19"/>
  <c r="J5" i="19"/>
  <c r="AP8" i="19"/>
  <c r="AK8" i="19"/>
  <c r="AP7" i="18"/>
  <c r="AK7" i="18"/>
  <c r="J6" i="21"/>
  <c r="E5" i="21"/>
  <c r="AL5" i="21" s="1"/>
  <c r="J5" i="21"/>
  <c r="E6" i="21"/>
  <c r="AK6" i="18"/>
  <c r="AP6" i="18"/>
  <c r="AQ6" i="18" s="1"/>
  <c r="J5" i="17"/>
  <c r="J6" i="17"/>
  <c r="E5" i="17"/>
  <c r="AL5" i="17" s="1"/>
  <c r="E6" i="17"/>
  <c r="AL6" i="17" s="1"/>
  <c r="AK5" i="17"/>
  <c r="AP5" i="17"/>
  <c r="AJ6" i="22"/>
  <c r="O6" i="22"/>
  <c r="Q7" i="22" s="1"/>
  <c r="AN5" i="19"/>
  <c r="J6" i="18"/>
  <c r="AL6" i="18" s="1"/>
  <c r="AP5" i="16"/>
  <c r="AQ6" i="16" s="1"/>
  <c r="AK5" i="16"/>
  <c r="O9" i="17"/>
  <c r="AP6" i="17"/>
  <c r="AK6" i="17"/>
  <c r="E9" i="16"/>
  <c r="AL9" i="16" s="1"/>
  <c r="E8" i="14"/>
  <c r="AL8" i="14" s="1"/>
  <c r="J7" i="14"/>
  <c r="E7" i="14"/>
  <c r="AL7" i="14" s="1"/>
  <c r="AM7" i="14" s="1"/>
  <c r="J8" i="14"/>
  <c r="O6" i="15"/>
  <c r="E6" i="7"/>
  <c r="AL6" i="7" s="1"/>
  <c r="J5" i="7"/>
  <c r="E5" i="7"/>
  <c r="AL5" i="7" s="1"/>
  <c r="J6" i="7"/>
  <c r="AP5" i="14"/>
  <c r="J5" i="13"/>
  <c r="E5" i="13"/>
  <c r="AL5" i="13" s="1"/>
  <c r="J6" i="13"/>
  <c r="E6" i="13"/>
  <c r="AK5" i="12"/>
  <c r="AP5" i="12"/>
  <c r="AK9" i="11"/>
  <c r="AP9" i="11"/>
  <c r="AK5" i="10"/>
  <c r="AP5" i="10"/>
  <c r="AK9" i="9"/>
  <c r="AP9" i="9"/>
  <c r="AK5" i="8"/>
  <c r="AP5" i="8"/>
  <c r="AQ5" i="8" s="1"/>
  <c r="AK9" i="7"/>
  <c r="AP9" i="7"/>
  <c r="AP8" i="15"/>
  <c r="AK8" i="15"/>
  <c r="J7" i="7"/>
  <c r="J8" i="7"/>
  <c r="E7" i="7"/>
  <c r="E8" i="7"/>
  <c r="AL8" i="7" s="1"/>
  <c r="AP5" i="11"/>
  <c r="AQ5" i="11" s="1"/>
  <c r="AK5" i="11"/>
  <c r="AN9" i="16"/>
  <c r="Q9" i="16"/>
  <c r="Q6" i="13"/>
  <c r="AN6" i="13"/>
  <c r="AP5" i="7"/>
  <c r="AK5" i="7"/>
  <c r="AP7" i="10"/>
  <c r="AQ7" i="10" s="1"/>
  <c r="AK7" i="10"/>
  <c r="AP8" i="9"/>
  <c r="AK8" i="9"/>
  <c r="Q8" i="10"/>
  <c r="AP7" i="12"/>
  <c r="AK7" i="12"/>
  <c r="E9" i="10"/>
  <c r="AL9" i="10" s="1"/>
  <c r="AP6" i="13"/>
  <c r="AN7" i="13"/>
  <c r="AK6" i="11"/>
  <c r="AN8" i="8"/>
  <c r="Q8" i="8"/>
  <c r="AK7" i="7"/>
  <c r="E8" i="12"/>
  <c r="AL8" i="12" s="1"/>
  <c r="AN7" i="9"/>
  <c r="AO7" i="9" s="1"/>
  <c r="Q7" i="9"/>
  <c r="AP8" i="7"/>
  <c r="AK8" i="7"/>
  <c r="AN9" i="23"/>
  <c r="J6" i="22"/>
  <c r="E5" i="22"/>
  <c r="AL5" i="22" s="1"/>
  <c r="E6" i="22"/>
  <c r="AL6" i="22" s="1"/>
  <c r="J5" i="22"/>
  <c r="AP5" i="23"/>
  <c r="AK5" i="23"/>
  <c r="AK6" i="21"/>
  <c r="AP7" i="21"/>
  <c r="AK7" i="21"/>
  <c r="AN5" i="22"/>
  <c r="AK6" i="19"/>
  <c r="O6" i="19"/>
  <c r="AP7" i="16"/>
  <c r="AK7" i="16"/>
  <c r="AN7" i="15"/>
  <c r="Q7" i="15"/>
  <c r="AP8" i="14"/>
  <c r="E6" i="9"/>
  <c r="AL6" i="9" s="1"/>
  <c r="J5" i="9"/>
  <c r="J6" i="9"/>
  <c r="E5" i="9"/>
  <c r="J9" i="11"/>
  <c r="E9" i="11"/>
  <c r="AL9" i="11" s="1"/>
  <c r="AN5" i="7"/>
  <c r="Q5" i="7"/>
  <c r="AK6" i="16"/>
  <c r="AN7" i="11"/>
  <c r="AO7" i="11" s="1"/>
  <c r="Q7" i="11"/>
  <c r="AK5" i="24"/>
  <c r="AP5" i="24"/>
  <c r="J5" i="24"/>
  <c r="J6" i="24"/>
  <c r="E5" i="24"/>
  <c r="E6" i="24"/>
  <c r="AL6" i="24" s="1"/>
  <c r="AP6" i="24"/>
  <c r="AK6" i="24"/>
  <c r="AK7" i="23"/>
  <c r="AP7" i="23"/>
  <c r="E8" i="21"/>
  <c r="AL8" i="21" s="1"/>
  <c r="J7" i="21"/>
  <c r="E7" i="21"/>
  <c r="AL7" i="21" s="1"/>
  <c r="J8" i="21"/>
  <c r="AP7" i="22"/>
  <c r="AK7" i="22"/>
  <c r="AK9" i="21"/>
  <c r="AP9" i="21"/>
  <c r="AP5" i="21"/>
  <c r="AK5" i="21"/>
  <c r="O6" i="21"/>
  <c r="AK8" i="21"/>
  <c r="AP8" i="21"/>
  <c r="AP7" i="20"/>
  <c r="O6" i="23"/>
  <c r="Q5" i="23" s="1"/>
  <c r="J9" i="20"/>
  <c r="E5" i="20"/>
  <c r="E9" i="20"/>
  <c r="AL9" i="20" s="1"/>
  <c r="J5" i="20"/>
  <c r="E9" i="19"/>
  <c r="J9" i="19"/>
  <c r="E8" i="19"/>
  <c r="J8" i="19"/>
  <c r="AN8" i="22"/>
  <c r="AP6" i="20"/>
  <c r="E9" i="18"/>
  <c r="AL9" i="18" s="1"/>
  <c r="AN5" i="16"/>
  <c r="Q5" i="16"/>
  <c r="AN8" i="20"/>
  <c r="AO8" i="20" s="1"/>
  <c r="Q8" i="20"/>
  <c r="J8" i="18"/>
  <c r="E7" i="18"/>
  <c r="AL7" i="18" s="1"/>
  <c r="E8" i="18"/>
  <c r="AL8" i="18" s="1"/>
  <c r="J7" i="18"/>
  <c r="AN6" i="18"/>
  <c r="Q6" i="18"/>
  <c r="Q5" i="17"/>
  <c r="AN6" i="16"/>
  <c r="AO8" i="16" s="1"/>
  <c r="Q6" i="16"/>
  <c r="AP8" i="20"/>
  <c r="AP5" i="19"/>
  <c r="AK5" i="19"/>
  <c r="J5" i="18"/>
  <c r="AL5" i="18" s="1"/>
  <c r="AM5" i="18" s="1"/>
  <c r="AP7" i="19"/>
  <c r="Q8" i="18"/>
  <c r="AP8" i="17"/>
  <c r="AK8" i="17"/>
  <c r="AK7" i="17"/>
  <c r="AN7" i="16"/>
  <c r="AO7" i="16" s="1"/>
  <c r="Q7" i="16"/>
  <c r="J8" i="15"/>
  <c r="AK5" i="15"/>
  <c r="AP5" i="15"/>
  <c r="AJ9" i="14"/>
  <c r="O9" i="14"/>
  <c r="P9" i="14"/>
  <c r="AN5" i="13"/>
  <c r="AN6" i="8"/>
  <c r="AO6" i="8" s="1"/>
  <c r="Q6" i="8"/>
  <c r="AN8" i="7"/>
  <c r="Q8" i="7"/>
  <c r="AK6" i="14"/>
  <c r="AP6" i="14"/>
  <c r="Q5" i="12"/>
  <c r="AN9" i="11"/>
  <c r="Q9" i="11"/>
  <c r="E8" i="10"/>
  <c r="J7" i="10"/>
  <c r="J8" i="10"/>
  <c r="E7" i="10"/>
  <c r="AL7" i="10" s="1"/>
  <c r="Q5" i="10"/>
  <c r="AN9" i="9"/>
  <c r="Q9" i="9"/>
  <c r="Q5" i="8"/>
  <c r="AN9" i="7"/>
  <c r="AO9" i="7" s="1"/>
  <c r="Q9" i="7"/>
  <c r="J6" i="12"/>
  <c r="J5" i="12"/>
  <c r="E5" i="12"/>
  <c r="E6" i="12"/>
  <c r="Q8" i="16"/>
  <c r="AP9" i="16"/>
  <c r="AQ9" i="16" s="1"/>
  <c r="AK9" i="16"/>
  <c r="AN7" i="14"/>
  <c r="Q7" i="14"/>
  <c r="AK7" i="13"/>
  <c r="AP6" i="9"/>
  <c r="AQ7" i="9" s="1"/>
  <c r="AK6" i="9"/>
  <c r="AP8" i="12"/>
  <c r="AK8" i="12"/>
  <c r="AP6" i="11"/>
  <c r="Q9" i="8"/>
  <c r="AN9" i="8"/>
  <c r="Q9" i="10"/>
  <c r="AN9" i="10"/>
  <c r="AO9" i="10" s="1"/>
  <c r="AK7" i="8"/>
  <c r="AM6" i="18" l="1"/>
  <c r="AM7" i="11"/>
  <c r="AM8" i="11"/>
  <c r="AM6" i="11"/>
  <c r="AR9" i="11"/>
  <c r="A9" i="11" s="1"/>
  <c r="AN6" i="19"/>
  <c r="AO6" i="19" s="1"/>
  <c r="Q6" i="19"/>
  <c r="AQ6" i="13"/>
  <c r="AG7" i="20"/>
  <c r="AH7" i="20"/>
  <c r="Q7" i="19"/>
  <c r="AR6" i="7"/>
  <c r="A6" i="7" s="1"/>
  <c r="AH6" i="7"/>
  <c r="AG6" i="7"/>
  <c r="AG6" i="12"/>
  <c r="AR6" i="12"/>
  <c r="A6" i="12" s="1"/>
  <c r="AH6" i="12"/>
  <c r="AG8" i="9"/>
  <c r="AR8" i="9"/>
  <c r="A8" i="9" s="1"/>
  <c r="AQ8" i="16"/>
  <c r="AH5" i="11"/>
  <c r="AG5" i="11"/>
  <c r="AI9" i="11" s="1"/>
  <c r="AR5" i="11"/>
  <c r="A5" i="11" s="1"/>
  <c r="AO9" i="8"/>
  <c r="AO9" i="11"/>
  <c r="AM7" i="18"/>
  <c r="AH5" i="16"/>
  <c r="AG5" i="16"/>
  <c r="AR5" i="16"/>
  <c r="A5" i="16" s="1"/>
  <c r="AK6" i="20"/>
  <c r="AL8" i="19"/>
  <c r="AQ5" i="24"/>
  <c r="AP6" i="19"/>
  <c r="AR9" i="16"/>
  <c r="A9" i="16" s="1"/>
  <c r="AM8" i="7"/>
  <c r="AQ5" i="10"/>
  <c r="AM5" i="14"/>
  <c r="AK6" i="22"/>
  <c r="AP6" i="22"/>
  <c r="AQ6" i="22" s="1"/>
  <c r="AO7" i="20"/>
  <c r="AG8" i="24"/>
  <c r="AQ8" i="11"/>
  <c r="AM5" i="10"/>
  <c r="AQ5" i="13"/>
  <c r="AO7" i="19"/>
  <c r="AO6" i="7"/>
  <c r="AO6" i="11"/>
  <c r="AO7" i="8"/>
  <c r="AO6" i="12"/>
  <c r="AN6" i="14"/>
  <c r="Q6" i="14"/>
  <c r="Q5" i="14"/>
  <c r="AO8" i="9"/>
  <c r="AO7" i="12"/>
  <c r="AP9" i="19"/>
  <c r="AQ9" i="19" s="1"/>
  <c r="AK9" i="19"/>
  <c r="AQ5" i="22"/>
  <c r="AQ5" i="18"/>
  <c r="AQ9" i="10"/>
  <c r="AQ6" i="8"/>
  <c r="AQ6" i="10"/>
  <c r="AO5" i="11"/>
  <c r="AL9" i="17"/>
  <c r="AO9" i="20"/>
  <c r="AO5" i="12"/>
  <c r="AM7" i="10"/>
  <c r="AM8" i="18"/>
  <c r="AM9" i="11"/>
  <c r="AO5" i="22"/>
  <c r="AN6" i="22"/>
  <c r="AO6" i="22" s="1"/>
  <c r="Q6" i="22"/>
  <c r="AG8" i="21"/>
  <c r="AR6" i="11"/>
  <c r="A6" i="11" s="1"/>
  <c r="AH6" i="11"/>
  <c r="AG6" i="11"/>
  <c r="AN9" i="13"/>
  <c r="AO9" i="13" s="1"/>
  <c r="Q9" i="13"/>
  <c r="Q8" i="13"/>
  <c r="AH7" i="12"/>
  <c r="AG7" i="12"/>
  <c r="AR7" i="12"/>
  <c r="A7" i="12" s="1"/>
  <c r="AM6" i="14"/>
  <c r="AH7" i="21"/>
  <c r="AG7" i="21"/>
  <c r="AQ9" i="18"/>
  <c r="AR9" i="9"/>
  <c r="A9" i="9" s="1"/>
  <c r="AG8" i="7"/>
  <c r="AR8" i="7"/>
  <c r="A8" i="7" s="1"/>
  <c r="Q5" i="13"/>
  <c r="AL6" i="12"/>
  <c r="AM9" i="12" s="1"/>
  <c r="AR9" i="7"/>
  <c r="A9" i="7" s="1"/>
  <c r="AO9" i="9"/>
  <c r="AG5" i="12"/>
  <c r="AI6" i="12" s="1"/>
  <c r="AH5" i="12"/>
  <c r="AO8" i="7"/>
  <c r="AO5" i="13"/>
  <c r="AP9" i="14"/>
  <c r="AQ9" i="14" s="1"/>
  <c r="AK9" i="14"/>
  <c r="AR7" i="16"/>
  <c r="A7" i="16" s="1"/>
  <c r="AH7" i="16"/>
  <c r="AG7" i="16"/>
  <c r="AH6" i="16"/>
  <c r="AG6" i="16"/>
  <c r="AI5" i="16" s="1"/>
  <c r="AR6" i="16"/>
  <c r="A6" i="16" s="1"/>
  <c r="AO5" i="16"/>
  <c r="Q8" i="22"/>
  <c r="AH7" i="22" s="1"/>
  <c r="AL5" i="20"/>
  <c r="Q6" i="21"/>
  <c r="AN6" i="21"/>
  <c r="AO7" i="21" s="1"/>
  <c r="Q5" i="21"/>
  <c r="AL5" i="24"/>
  <c r="AM5" i="24" s="1"/>
  <c r="AI5" i="7"/>
  <c r="AH5" i="7"/>
  <c r="AG5" i="7"/>
  <c r="AI6" i="7" s="1"/>
  <c r="AR5" i="7"/>
  <c r="A5" i="7" s="1"/>
  <c r="AL5" i="9"/>
  <c r="AM5" i="9" s="1"/>
  <c r="AQ5" i="23"/>
  <c r="AQ8" i="7"/>
  <c r="Q7" i="13"/>
  <c r="AG6" i="13" s="1"/>
  <c r="AQ8" i="9"/>
  <c r="AQ5" i="7"/>
  <c r="AO9" i="16"/>
  <c r="AL7" i="7"/>
  <c r="AM7" i="7" s="1"/>
  <c r="AM5" i="7"/>
  <c r="AN6" i="15"/>
  <c r="AO6" i="15" s="1"/>
  <c r="Q6" i="15"/>
  <c r="AM8" i="14"/>
  <c r="Q9" i="17"/>
  <c r="AN9" i="17"/>
  <c r="AO9" i="17" s="1"/>
  <c r="Q5" i="19"/>
  <c r="AL6" i="21"/>
  <c r="AM6" i="21" s="1"/>
  <c r="Q8" i="19"/>
  <c r="Q9" i="24"/>
  <c r="AN9" i="24"/>
  <c r="AO9" i="24" s="1"/>
  <c r="AQ8" i="24"/>
  <c r="AL5" i="23"/>
  <c r="AQ9" i="8"/>
  <c r="AL6" i="8"/>
  <c r="AM9" i="8" s="1"/>
  <c r="AO5" i="9"/>
  <c r="AH6" i="20"/>
  <c r="AG6" i="20"/>
  <c r="AO9" i="19"/>
  <c r="AQ7" i="7"/>
  <c r="AP9" i="12"/>
  <c r="AQ9" i="12" s="1"/>
  <c r="AK9" i="12"/>
  <c r="AR5" i="12" s="1"/>
  <c r="A5" i="12" s="1"/>
  <c r="AR6" i="9"/>
  <c r="A6" i="9" s="1"/>
  <c r="AI6" i="9"/>
  <c r="AH6" i="9"/>
  <c r="AG6" i="9"/>
  <c r="AH7" i="10"/>
  <c r="AG7" i="10"/>
  <c r="AR7" i="10"/>
  <c r="A7" i="10" s="1"/>
  <c r="AG8" i="12"/>
  <c r="AI9" i="12" s="1"/>
  <c r="AR8" i="12"/>
  <c r="A8" i="12" s="1"/>
  <c r="Q5" i="15"/>
  <c r="AR7" i="15" s="1"/>
  <c r="A7" i="15" s="1"/>
  <c r="AL5" i="15"/>
  <c r="AM5" i="15" s="1"/>
  <c r="AH6" i="10"/>
  <c r="AG6" i="10"/>
  <c r="AR6" i="10"/>
  <c r="A6" i="10" s="1"/>
  <c r="AQ8" i="13"/>
  <c r="Q8" i="15"/>
  <c r="AG7" i="15" s="1"/>
  <c r="AO5" i="20"/>
  <c r="Q7" i="17"/>
  <c r="AO5" i="18"/>
  <c r="AK8" i="22"/>
  <c r="AL7" i="22"/>
  <c r="AM7" i="22" s="1"/>
  <c r="AO7" i="22"/>
  <c r="AL7" i="23"/>
  <c r="AM7" i="23" s="1"/>
  <c r="AG7" i="7"/>
  <c r="AR7" i="7"/>
  <c r="A7" i="7" s="1"/>
  <c r="AH7" i="7"/>
  <c r="AI7" i="7" s="1"/>
  <c r="Q9" i="15"/>
  <c r="AN9" i="15"/>
  <c r="Q8" i="14"/>
  <c r="AO8" i="17"/>
  <c r="AM5" i="11"/>
  <c r="AP9" i="17"/>
  <c r="AQ9" i="17" s="1"/>
  <c r="AQ7" i="13"/>
  <c r="AR9" i="10"/>
  <c r="A9" i="10" s="1"/>
  <c r="AG5" i="8"/>
  <c r="AI7" i="8" s="1"/>
  <c r="AR5" i="8"/>
  <c r="A5" i="8" s="1"/>
  <c r="AH5" i="8"/>
  <c r="AQ7" i="19"/>
  <c r="AH5" i="17"/>
  <c r="AN6" i="23"/>
  <c r="Q6" i="23"/>
  <c r="AG5" i="23" s="1"/>
  <c r="Q7" i="23"/>
  <c r="AQ6" i="24"/>
  <c r="AM6" i="22"/>
  <c r="AO8" i="8"/>
  <c r="AR8" i="10"/>
  <c r="A8" i="10" s="1"/>
  <c r="AG8" i="10"/>
  <c r="AI6" i="10" s="1"/>
  <c r="AQ5" i="14"/>
  <c r="AQ5" i="16"/>
  <c r="AR9" i="21"/>
  <c r="A9" i="21" s="1"/>
  <c r="AQ7" i="24"/>
  <c r="AO5" i="24"/>
  <c r="AQ8" i="10"/>
  <c r="AO8" i="11"/>
  <c r="AH7" i="8"/>
  <c r="AG7" i="8"/>
  <c r="AR7" i="8"/>
  <c r="A7" i="8" s="1"/>
  <c r="AP9" i="20"/>
  <c r="AQ9" i="20" s="1"/>
  <c r="AK9" i="20"/>
  <c r="AR6" i="20" s="1"/>
  <c r="A6" i="20" s="1"/>
  <c r="AP6" i="23"/>
  <c r="AQ6" i="23" s="1"/>
  <c r="AH6" i="17"/>
  <c r="AG6" i="17"/>
  <c r="Q9" i="22"/>
  <c r="AG8" i="16"/>
  <c r="AR8" i="16"/>
  <c r="A8" i="16" s="1"/>
  <c r="AI8" i="16"/>
  <c r="Q9" i="14"/>
  <c r="AN9" i="14"/>
  <c r="AO9" i="14" s="1"/>
  <c r="AK8" i="20"/>
  <c r="AR8" i="20" s="1"/>
  <c r="A8" i="20" s="1"/>
  <c r="AR9" i="8"/>
  <c r="A9" i="8" s="1"/>
  <c r="AQ6" i="11"/>
  <c r="AQ6" i="9"/>
  <c r="AL5" i="12"/>
  <c r="AM5" i="12" s="1"/>
  <c r="AG5" i="10"/>
  <c r="AR5" i="10"/>
  <c r="A5" i="10" s="1"/>
  <c r="AH5" i="10"/>
  <c r="AI5" i="10" s="1"/>
  <c r="AL8" i="10"/>
  <c r="AM8" i="10" s="1"/>
  <c r="AQ6" i="14"/>
  <c r="AH6" i="8"/>
  <c r="AG6" i="8"/>
  <c r="AI9" i="8" s="1"/>
  <c r="AR6" i="8"/>
  <c r="A6" i="8" s="1"/>
  <c r="AQ5" i="19"/>
  <c r="AO6" i="16"/>
  <c r="AG8" i="20"/>
  <c r="AM9" i="18"/>
  <c r="AO8" i="22"/>
  <c r="AL9" i="19"/>
  <c r="AK7" i="20"/>
  <c r="AR7" i="20" s="1"/>
  <c r="A7" i="20" s="1"/>
  <c r="AG7" i="11"/>
  <c r="AI7" i="11" s="1"/>
  <c r="AR7" i="11"/>
  <c r="A7" i="11" s="1"/>
  <c r="AH7" i="11"/>
  <c r="AO5" i="7"/>
  <c r="AK8" i="14"/>
  <c r="AQ7" i="16"/>
  <c r="Q5" i="22"/>
  <c r="AP6" i="21"/>
  <c r="AQ6" i="21" s="1"/>
  <c r="Q9" i="23"/>
  <c r="AG7" i="9"/>
  <c r="AR7" i="9"/>
  <c r="A7" i="9" s="1"/>
  <c r="AI7" i="9"/>
  <c r="AH7" i="9"/>
  <c r="AR8" i="8"/>
  <c r="A8" i="8" s="1"/>
  <c r="AG8" i="8"/>
  <c r="AO7" i="13"/>
  <c r="AO6" i="13"/>
  <c r="AQ9" i="7"/>
  <c r="AQ9" i="9"/>
  <c r="AQ9" i="11"/>
  <c r="AL6" i="13"/>
  <c r="AK5" i="14"/>
  <c r="AO5" i="19"/>
  <c r="AQ7" i="18"/>
  <c r="AL6" i="19"/>
  <c r="AM6" i="19" s="1"/>
  <c r="AL8" i="20"/>
  <c r="AM8" i="20" s="1"/>
  <c r="AO8" i="19"/>
  <c r="Q5" i="24"/>
  <c r="AR9" i="12"/>
  <c r="A9" i="12" s="1"/>
  <c r="AL5" i="8"/>
  <c r="AI5" i="9"/>
  <c r="AH5" i="9"/>
  <c r="AG5" i="9"/>
  <c r="AI8" i="9" s="1"/>
  <c r="AR5" i="9"/>
  <c r="A5" i="9" s="1"/>
  <c r="AG8" i="11"/>
  <c r="AR8" i="11"/>
  <c r="A8" i="11" s="1"/>
  <c r="AQ8" i="18"/>
  <c r="Q9" i="19"/>
  <c r="AO5" i="23"/>
  <c r="AQ7" i="11"/>
  <c r="AO6" i="9"/>
  <c r="AO7" i="10"/>
  <c r="AO8" i="12"/>
  <c r="AO5" i="15"/>
  <c r="AO6" i="10"/>
  <c r="AN9" i="18"/>
  <c r="AO9" i="18" s="1"/>
  <c r="Q9" i="18"/>
  <c r="AH5" i="20"/>
  <c r="AG5" i="20"/>
  <c r="AI9" i="20" s="1"/>
  <c r="AR5" i="20"/>
  <c r="A5" i="20" s="1"/>
  <c r="AL8" i="16"/>
  <c r="AM8" i="16" s="1"/>
  <c r="AL8" i="17"/>
  <c r="AM8" i="17" s="1"/>
  <c r="Q5" i="18"/>
  <c r="AQ8" i="22"/>
  <c r="Q7" i="24"/>
  <c r="Q8" i="23"/>
  <c r="AQ7" i="8"/>
  <c r="AO7" i="7"/>
  <c r="AQ8" i="8"/>
  <c r="AP9" i="15"/>
  <c r="AK9" i="15"/>
  <c r="AO8" i="14"/>
  <c r="AK6" i="15"/>
  <c r="AP6" i="15"/>
  <c r="AK7" i="15"/>
  <c r="Q8" i="17"/>
  <c r="Q6" i="24"/>
  <c r="AM8" i="9"/>
  <c r="AK7" i="19"/>
  <c r="AO5" i="8"/>
  <c r="AO8" i="10"/>
  <c r="AM9" i="14"/>
  <c r="AO9" i="22"/>
  <c r="AO6" i="20"/>
  <c r="F31" i="12" l="1"/>
  <c r="G30" i="12"/>
  <c r="C30" i="12"/>
  <c r="D29" i="12"/>
  <c r="E28" i="12"/>
  <c r="F27" i="12"/>
  <c r="E31" i="12"/>
  <c r="F30" i="12"/>
  <c r="G29" i="12"/>
  <c r="C29" i="12"/>
  <c r="D28" i="12"/>
  <c r="E27" i="12"/>
  <c r="G31" i="12"/>
  <c r="D30" i="12"/>
  <c r="F28" i="12"/>
  <c r="C27" i="12"/>
  <c r="D31" i="12"/>
  <c r="F29" i="12"/>
  <c r="C28" i="12"/>
  <c r="C31" i="12"/>
  <c r="E29" i="12"/>
  <c r="G27" i="12"/>
  <c r="E30" i="12"/>
  <c r="G28" i="12"/>
  <c r="D27" i="12"/>
  <c r="AR9" i="18"/>
  <c r="A9" i="18" s="1"/>
  <c r="AM5" i="23"/>
  <c r="AR8" i="19"/>
  <c r="A8" i="19" s="1"/>
  <c r="AG8" i="19"/>
  <c r="AI6" i="19" s="1"/>
  <c r="AQ6" i="15"/>
  <c r="AQ7" i="15"/>
  <c r="AQ9" i="15"/>
  <c r="AM6" i="13"/>
  <c r="AM7" i="13"/>
  <c r="AI8" i="8"/>
  <c r="AQ5" i="15"/>
  <c r="AR8" i="14"/>
  <c r="A8" i="14" s="1"/>
  <c r="AG8" i="14"/>
  <c r="AH8" i="14" s="1"/>
  <c r="AH7" i="17"/>
  <c r="AG7" i="17"/>
  <c r="AI8" i="12"/>
  <c r="AI7" i="10"/>
  <c r="E31" i="7"/>
  <c r="F30" i="7"/>
  <c r="G29" i="7"/>
  <c r="C29" i="7"/>
  <c r="D28" i="7"/>
  <c r="E27" i="7"/>
  <c r="D31" i="7"/>
  <c r="E30" i="7"/>
  <c r="F29" i="7"/>
  <c r="G28" i="7"/>
  <c r="C28" i="7"/>
  <c r="D27" i="7"/>
  <c r="G31" i="7"/>
  <c r="C31" i="7"/>
  <c r="D30" i="7"/>
  <c r="E29" i="7"/>
  <c r="F28" i="7"/>
  <c r="G27" i="7"/>
  <c r="C27" i="7"/>
  <c r="D29" i="7"/>
  <c r="F31" i="7"/>
  <c r="G30" i="7"/>
  <c r="C30" i="7"/>
  <c r="E28" i="7"/>
  <c r="F27" i="7"/>
  <c r="AG6" i="21"/>
  <c r="AI5" i="21" s="1"/>
  <c r="AR6" i="21"/>
  <c r="A6" i="21" s="1"/>
  <c r="AH6" i="21"/>
  <c r="AI5" i="12"/>
  <c r="AI9" i="7"/>
  <c r="AG6" i="18"/>
  <c r="AH5" i="13"/>
  <c r="AG5" i="13"/>
  <c r="AI6" i="13" s="1"/>
  <c r="AR5" i="13"/>
  <c r="A5" i="13" s="1"/>
  <c r="AI9" i="9"/>
  <c r="AH7" i="14"/>
  <c r="AR9" i="20"/>
  <c r="A9" i="20" s="1"/>
  <c r="AI7" i="12"/>
  <c r="AG8" i="13"/>
  <c r="AR8" i="13"/>
  <c r="A8" i="13" s="1"/>
  <c r="AR8" i="21"/>
  <c r="A8" i="21" s="1"/>
  <c r="AG6" i="22"/>
  <c r="AR6" i="22"/>
  <c r="A6" i="22" s="1"/>
  <c r="AH6" i="22"/>
  <c r="AM9" i="17"/>
  <c r="AQ9" i="23"/>
  <c r="AG6" i="14"/>
  <c r="AR6" i="14"/>
  <c r="A6" i="14" s="1"/>
  <c r="AH6" i="14"/>
  <c r="AO9" i="21"/>
  <c r="AM5" i="13"/>
  <c r="AI9" i="16"/>
  <c r="AM5" i="22"/>
  <c r="AM9" i="20"/>
  <c r="D31" i="16"/>
  <c r="E30" i="16"/>
  <c r="F29" i="16"/>
  <c r="G28" i="16"/>
  <c r="C28" i="16"/>
  <c r="D27" i="16"/>
  <c r="G31" i="16"/>
  <c r="C31" i="16"/>
  <c r="D30" i="16"/>
  <c r="E29" i="16"/>
  <c r="F28" i="16"/>
  <c r="G27" i="16"/>
  <c r="C27" i="16"/>
  <c r="F31" i="16"/>
  <c r="G30" i="16"/>
  <c r="C30" i="16"/>
  <c r="D29" i="16"/>
  <c r="E28" i="16"/>
  <c r="F27" i="16"/>
  <c r="E31" i="16"/>
  <c r="F30" i="16"/>
  <c r="G29" i="16"/>
  <c r="C29" i="16"/>
  <c r="D28" i="16"/>
  <c r="E27" i="16"/>
  <c r="AM7" i="17"/>
  <c r="AI7" i="20"/>
  <c r="AQ7" i="22"/>
  <c r="AG7" i="22"/>
  <c r="AG7" i="18"/>
  <c r="AO8" i="13"/>
  <c r="AH5" i="18"/>
  <c r="AR5" i="18"/>
  <c r="A5" i="18" s="1"/>
  <c r="AG5" i="18"/>
  <c r="AI5" i="18" s="1"/>
  <c r="AR9" i="19"/>
  <c r="A9" i="19" s="1"/>
  <c r="AM6" i="8"/>
  <c r="AM7" i="8"/>
  <c r="AG8" i="23"/>
  <c r="AR8" i="23"/>
  <c r="A8" i="23" s="1"/>
  <c r="E31" i="9"/>
  <c r="F30" i="9"/>
  <c r="G29" i="9"/>
  <c r="C29" i="9"/>
  <c r="D28" i="9"/>
  <c r="E27" i="9"/>
  <c r="D31" i="9"/>
  <c r="E30" i="9"/>
  <c r="F29" i="9"/>
  <c r="G28" i="9"/>
  <c r="C28" i="9"/>
  <c r="D27" i="9"/>
  <c r="G31" i="9"/>
  <c r="C31" i="9"/>
  <c r="D30" i="9"/>
  <c r="E29" i="9"/>
  <c r="F28" i="9"/>
  <c r="G27" i="9"/>
  <c r="C27" i="9"/>
  <c r="G30" i="9"/>
  <c r="C30" i="9"/>
  <c r="D29" i="9"/>
  <c r="F27" i="9"/>
  <c r="F31" i="9"/>
  <c r="E28" i="9"/>
  <c r="AR5" i="22"/>
  <c r="A5" i="22" s="1"/>
  <c r="AH5" i="22"/>
  <c r="AG5" i="22"/>
  <c r="AI7" i="22" s="1"/>
  <c r="AI8" i="20"/>
  <c r="AR6" i="23"/>
  <c r="A6" i="23" s="1"/>
  <c r="AH6" i="23"/>
  <c r="AI9" i="23" s="1"/>
  <c r="AG6" i="23"/>
  <c r="AI5" i="23" s="1"/>
  <c r="AI5" i="20"/>
  <c r="AO8" i="15"/>
  <c r="AM8" i="8"/>
  <c r="AI8" i="11"/>
  <c r="AQ7" i="12"/>
  <c r="AM9" i="19"/>
  <c r="AI6" i="8"/>
  <c r="G31" i="10"/>
  <c r="C31" i="10"/>
  <c r="D30" i="10"/>
  <c r="E29" i="10"/>
  <c r="F28" i="10"/>
  <c r="G27" i="10"/>
  <c r="C27" i="10"/>
  <c r="F31" i="10"/>
  <c r="G30" i="10"/>
  <c r="C30" i="10"/>
  <c r="D29" i="10"/>
  <c r="E28" i="10"/>
  <c r="F27" i="10"/>
  <c r="E31" i="10"/>
  <c r="F30" i="10"/>
  <c r="G29" i="10"/>
  <c r="C29" i="10"/>
  <c r="D28" i="10"/>
  <c r="E27" i="10"/>
  <c r="E30" i="10"/>
  <c r="C28" i="10"/>
  <c r="D31" i="10"/>
  <c r="F29" i="10"/>
  <c r="G28" i="10"/>
  <c r="D27" i="10"/>
  <c r="AM5" i="19"/>
  <c r="AI8" i="10"/>
  <c r="AO6" i="23"/>
  <c r="AO7" i="23"/>
  <c r="AI5" i="8"/>
  <c r="AI9" i="10"/>
  <c r="AO9" i="15"/>
  <c r="AR5" i="15"/>
  <c r="A5" i="15" s="1"/>
  <c r="AG5" i="15"/>
  <c r="AI7" i="15" s="1"/>
  <c r="AH5" i="15"/>
  <c r="AM8" i="13"/>
  <c r="AI6" i="20"/>
  <c r="AQ5" i="17"/>
  <c r="AQ8" i="15"/>
  <c r="AQ7" i="21"/>
  <c r="AM7" i="21"/>
  <c r="AQ7" i="20"/>
  <c r="AO6" i="18"/>
  <c r="AI6" i="16"/>
  <c r="AI7" i="16"/>
  <c r="AR6" i="18"/>
  <c r="A6" i="18" s="1"/>
  <c r="AI8" i="7"/>
  <c r="AQ6" i="12"/>
  <c r="AR9" i="13"/>
  <c r="A9" i="13" s="1"/>
  <c r="AI9" i="13"/>
  <c r="AI6" i="11"/>
  <c r="AM8" i="21"/>
  <c r="AM9" i="23"/>
  <c r="AO6" i="17"/>
  <c r="AM8" i="22"/>
  <c r="AO6" i="14"/>
  <c r="AO5" i="14"/>
  <c r="AO8" i="21"/>
  <c r="AQ5" i="12"/>
  <c r="AQ6" i="19"/>
  <c r="AM6" i="24"/>
  <c r="AM8" i="19"/>
  <c r="AH7" i="19"/>
  <c r="AG7" i="19"/>
  <c r="AR7" i="19"/>
  <c r="A7" i="19" s="1"/>
  <c r="AR6" i="13"/>
  <c r="A6" i="13" s="1"/>
  <c r="AO9" i="23"/>
  <c r="AQ8" i="21"/>
  <c r="AM9" i="9"/>
  <c r="AM7" i="9"/>
  <c r="AH5" i="23"/>
  <c r="AR7" i="18"/>
  <c r="A7" i="18" s="1"/>
  <c r="AM9" i="22"/>
  <c r="D31" i="20"/>
  <c r="E30" i="20"/>
  <c r="F29" i="20"/>
  <c r="G28" i="20"/>
  <c r="C28" i="20"/>
  <c r="D27" i="20"/>
  <c r="C31" i="20"/>
  <c r="C30" i="20"/>
  <c r="C29" i="20"/>
  <c r="G27" i="20"/>
  <c r="G31" i="20"/>
  <c r="G30" i="20"/>
  <c r="G29" i="20"/>
  <c r="F28" i="20"/>
  <c r="F27" i="20"/>
  <c r="F30" i="20"/>
  <c r="E28" i="20"/>
  <c r="D30" i="20"/>
  <c r="D28" i="20"/>
  <c r="F31" i="20"/>
  <c r="E29" i="20"/>
  <c r="E27" i="20"/>
  <c r="E31" i="20"/>
  <c r="D29" i="20"/>
  <c r="C27" i="20"/>
  <c r="AG5" i="24"/>
  <c r="AR5" i="24"/>
  <c r="A5" i="24" s="1"/>
  <c r="AI5" i="24"/>
  <c r="AH5" i="24"/>
  <c r="AG8" i="18"/>
  <c r="AR9" i="22"/>
  <c r="A9" i="22" s="1"/>
  <c r="AI9" i="22"/>
  <c r="AG7" i="23"/>
  <c r="AR7" i="23"/>
  <c r="A7" i="23" s="1"/>
  <c r="AH7" i="23"/>
  <c r="AH6" i="24"/>
  <c r="AG6" i="24"/>
  <c r="AR6" i="24"/>
  <c r="A6" i="24" s="1"/>
  <c r="AI6" i="24"/>
  <c r="AM5" i="8"/>
  <c r="AM9" i="13"/>
  <c r="AO5" i="17"/>
  <c r="AO7" i="18"/>
  <c r="AH7" i="24"/>
  <c r="AG7" i="24"/>
  <c r="AI7" i="24" s="1"/>
  <c r="AR7" i="24"/>
  <c r="A7" i="24" s="1"/>
  <c r="AO7" i="17"/>
  <c r="AG8" i="17"/>
  <c r="AM9" i="15"/>
  <c r="AQ5" i="20"/>
  <c r="AM9" i="16"/>
  <c r="AR9" i="23"/>
  <c r="A9" i="23" s="1"/>
  <c r="AR8" i="18"/>
  <c r="A8" i="18" s="1"/>
  <c r="AQ8" i="12"/>
  <c r="AR6" i="17"/>
  <c r="A6" i="17" s="1"/>
  <c r="AO7" i="24"/>
  <c r="AM6" i="10"/>
  <c r="AQ8" i="23"/>
  <c r="AQ5" i="21"/>
  <c r="AQ6" i="20"/>
  <c r="AG5" i="17"/>
  <c r="G31" i="8"/>
  <c r="C31" i="8"/>
  <c r="D30" i="8"/>
  <c r="E29" i="8"/>
  <c r="F28" i="8"/>
  <c r="G27" i="8"/>
  <c r="C27" i="8"/>
  <c r="F31" i="8"/>
  <c r="G30" i="8"/>
  <c r="C30" i="8"/>
  <c r="D29" i="8"/>
  <c r="E28" i="8"/>
  <c r="F27" i="8"/>
  <c r="E31" i="8"/>
  <c r="F30" i="8"/>
  <c r="G29" i="8"/>
  <c r="C29" i="8"/>
  <c r="D28" i="8"/>
  <c r="E27" i="8"/>
  <c r="D31" i="8"/>
  <c r="E30" i="8"/>
  <c r="F29" i="8"/>
  <c r="G28" i="8"/>
  <c r="C28" i="8"/>
  <c r="D27" i="8"/>
  <c r="AO8" i="18"/>
  <c r="AM7" i="19"/>
  <c r="AR9" i="15"/>
  <c r="A9" i="15" s="1"/>
  <c r="AR8" i="15"/>
  <c r="A8" i="15" s="1"/>
  <c r="AG8" i="15"/>
  <c r="AO8" i="24"/>
  <c r="AI9" i="24"/>
  <c r="AR9" i="24"/>
  <c r="A9" i="24" s="1"/>
  <c r="AR5" i="19"/>
  <c r="A5" i="19" s="1"/>
  <c r="AH5" i="19"/>
  <c r="AG5" i="19"/>
  <c r="AI8" i="19" s="1"/>
  <c r="AG6" i="15"/>
  <c r="AR6" i="15"/>
  <c r="A6" i="15" s="1"/>
  <c r="AH6" i="15"/>
  <c r="AR7" i="13"/>
  <c r="A7" i="13" s="1"/>
  <c r="AI7" i="13"/>
  <c r="AH7" i="13"/>
  <c r="AG7" i="13"/>
  <c r="AQ8" i="14"/>
  <c r="AR5" i="21"/>
  <c r="A5" i="21" s="1"/>
  <c r="AH5" i="21"/>
  <c r="AG5" i="21"/>
  <c r="AM5" i="20"/>
  <c r="AM6" i="20"/>
  <c r="AQ8" i="17"/>
  <c r="AM6" i="12"/>
  <c r="AM7" i="12"/>
  <c r="AH6" i="18"/>
  <c r="AM8" i="15"/>
  <c r="AM7" i="16"/>
  <c r="AM7" i="20"/>
  <c r="AM6" i="7"/>
  <c r="AH7" i="15"/>
  <c r="AQ9" i="22"/>
  <c r="AM9" i="24"/>
  <c r="AM6" i="15"/>
  <c r="AQ7" i="14"/>
  <c r="AQ7" i="17"/>
  <c r="AR8" i="24"/>
  <c r="A8" i="24" s="1"/>
  <c r="AQ8" i="19"/>
  <c r="AQ6" i="17"/>
  <c r="AM9" i="10"/>
  <c r="AO7" i="15"/>
  <c r="AQ7" i="23"/>
  <c r="AO6" i="24"/>
  <c r="AI5" i="11"/>
  <c r="AM8" i="24"/>
  <c r="AH6" i="13"/>
  <c r="AG6" i="19"/>
  <c r="AH6" i="19"/>
  <c r="AI5" i="19" s="1"/>
  <c r="AR6" i="19"/>
  <c r="A6" i="19" s="1"/>
  <c r="AQ8" i="20"/>
  <c r="AH7" i="18"/>
  <c r="AM9" i="7"/>
  <c r="AM5" i="16"/>
  <c r="AO6" i="21"/>
  <c r="AO5" i="21"/>
  <c r="AI8" i="22"/>
  <c r="AG8" i="22"/>
  <c r="AR8" i="22"/>
  <c r="A8" i="22" s="1"/>
  <c r="AO7" i="14"/>
  <c r="AG7" i="14"/>
  <c r="AR7" i="21"/>
  <c r="A7" i="21" s="1"/>
  <c r="AM5" i="21"/>
  <c r="AM8" i="23"/>
  <c r="AM7" i="15"/>
  <c r="AR5" i="14"/>
  <c r="A5" i="14" s="1"/>
  <c r="AH5" i="14"/>
  <c r="AG5" i="14"/>
  <c r="AI7" i="14" s="1"/>
  <c r="AM9" i="21"/>
  <c r="AM7" i="24"/>
  <c r="AM6" i="23"/>
  <c r="AM5" i="17"/>
  <c r="AM8" i="12"/>
  <c r="AM6" i="9"/>
  <c r="AQ9" i="21"/>
  <c r="E31" i="11"/>
  <c r="F30" i="11"/>
  <c r="G29" i="11"/>
  <c r="C29" i="11"/>
  <c r="D28" i="11"/>
  <c r="E27" i="11"/>
  <c r="D31" i="11"/>
  <c r="E30" i="11"/>
  <c r="F29" i="11"/>
  <c r="G28" i="11"/>
  <c r="C28" i="11"/>
  <c r="D27" i="11"/>
  <c r="G31" i="11"/>
  <c r="C31" i="11"/>
  <c r="D30" i="11"/>
  <c r="E29" i="11"/>
  <c r="F28" i="11"/>
  <c r="G27" i="11"/>
  <c r="C27" i="11"/>
  <c r="F31" i="11"/>
  <c r="E28" i="11"/>
  <c r="G30" i="11"/>
  <c r="C30" i="11"/>
  <c r="D29" i="11"/>
  <c r="F27" i="11"/>
  <c r="AO8" i="23"/>
  <c r="AM6" i="17"/>
  <c r="AR7" i="22"/>
  <c r="A7" i="22" s="1"/>
  <c r="AR5" i="23"/>
  <c r="A5" i="23" s="1"/>
  <c r="AM6" i="16"/>
  <c r="F31" i="19" l="1"/>
  <c r="G30" i="19"/>
  <c r="C30" i="19"/>
  <c r="D29" i="19"/>
  <c r="E28" i="19"/>
  <c r="F27" i="19"/>
  <c r="E31" i="19"/>
  <c r="E30" i="19"/>
  <c r="E29" i="19"/>
  <c r="D28" i="19"/>
  <c r="D27" i="19"/>
  <c r="G31" i="19"/>
  <c r="D30" i="19"/>
  <c r="G28" i="19"/>
  <c r="E27" i="19"/>
  <c r="D31" i="19"/>
  <c r="G29" i="19"/>
  <c r="F28" i="19"/>
  <c r="C27" i="19"/>
  <c r="C31" i="19"/>
  <c r="F29" i="19"/>
  <c r="C28" i="19"/>
  <c r="F30" i="19"/>
  <c r="C29" i="19"/>
  <c r="G27" i="19"/>
  <c r="AI9" i="15"/>
  <c r="AI5" i="17"/>
  <c r="AI6" i="17"/>
  <c r="AI9" i="14"/>
  <c r="AI7" i="23"/>
  <c r="G31" i="24"/>
  <c r="C31" i="24"/>
  <c r="D30" i="24"/>
  <c r="E29" i="24"/>
  <c r="F28" i="24"/>
  <c r="G27" i="24"/>
  <c r="C27" i="24"/>
  <c r="F31" i="24"/>
  <c r="G30" i="24"/>
  <c r="C30" i="24"/>
  <c r="D29" i="24"/>
  <c r="E28" i="24"/>
  <c r="F27" i="24"/>
  <c r="E31" i="24"/>
  <c r="F30" i="24"/>
  <c r="G29" i="24"/>
  <c r="C29" i="24"/>
  <c r="D28" i="24"/>
  <c r="E27" i="24"/>
  <c r="D31" i="24"/>
  <c r="E30" i="24"/>
  <c r="F29" i="24"/>
  <c r="G28" i="24"/>
  <c r="C28" i="24"/>
  <c r="D27" i="24"/>
  <c r="AI5" i="15"/>
  <c r="AI6" i="23"/>
  <c r="AI8" i="23"/>
  <c r="D31" i="18"/>
  <c r="E30" i="18"/>
  <c r="F29" i="18"/>
  <c r="G28" i="18"/>
  <c r="C28" i="18"/>
  <c r="D27" i="18"/>
  <c r="F31" i="18"/>
  <c r="F30" i="18"/>
  <c r="E29" i="18"/>
  <c r="E28" i="18"/>
  <c r="E27" i="18"/>
  <c r="G30" i="18"/>
  <c r="D29" i="18"/>
  <c r="G27" i="18"/>
  <c r="G31" i="18"/>
  <c r="D30" i="18"/>
  <c r="C29" i="18"/>
  <c r="F27" i="18"/>
  <c r="E31" i="18"/>
  <c r="C30" i="18"/>
  <c r="F28" i="18"/>
  <c r="C27" i="18"/>
  <c r="D28" i="18"/>
  <c r="C31" i="18"/>
  <c r="G29" i="18"/>
  <c r="AI7" i="17"/>
  <c r="AR7" i="17" s="1"/>
  <c r="A7" i="17" s="1"/>
  <c r="AI6" i="14"/>
  <c r="AI5" i="14"/>
  <c r="AI8" i="21"/>
  <c r="AI9" i="21"/>
  <c r="AI7" i="21"/>
  <c r="AI8" i="15"/>
  <c r="AI8" i="17"/>
  <c r="AI8" i="24"/>
  <c r="AI7" i="19"/>
  <c r="E31" i="15"/>
  <c r="F30" i="15"/>
  <c r="G29" i="15"/>
  <c r="C29" i="15"/>
  <c r="D28" i="15"/>
  <c r="E27" i="15"/>
  <c r="D31" i="15"/>
  <c r="E30" i="15"/>
  <c r="F29" i="15"/>
  <c r="G28" i="15"/>
  <c r="C28" i="15"/>
  <c r="D27" i="15"/>
  <c r="G31" i="15"/>
  <c r="C31" i="15"/>
  <c r="D30" i="15"/>
  <c r="E29" i="15"/>
  <c r="F28" i="15"/>
  <c r="G27" i="15"/>
  <c r="C27" i="15"/>
  <c r="F31" i="15"/>
  <c r="G30" i="15"/>
  <c r="C30" i="15"/>
  <c r="D29" i="15"/>
  <c r="E28" i="15"/>
  <c r="F27" i="15"/>
  <c r="AI5" i="22"/>
  <c r="AI9" i="19"/>
  <c r="AI6" i="22"/>
  <c r="AI5" i="13"/>
  <c r="E31" i="23"/>
  <c r="F30" i="23"/>
  <c r="G29" i="23"/>
  <c r="C29" i="23"/>
  <c r="D28" i="23"/>
  <c r="E27" i="23"/>
  <c r="D31" i="23"/>
  <c r="E30" i="23"/>
  <c r="F29" i="23"/>
  <c r="G28" i="23"/>
  <c r="C28" i="23"/>
  <c r="D27" i="23"/>
  <c r="G31" i="23"/>
  <c r="C31" i="23"/>
  <c r="D30" i="23"/>
  <c r="E29" i="23"/>
  <c r="F28" i="23"/>
  <c r="G27" i="23"/>
  <c r="C27" i="23"/>
  <c r="F31" i="23"/>
  <c r="G30" i="23"/>
  <c r="C30" i="23"/>
  <c r="D29" i="23"/>
  <c r="E28" i="23"/>
  <c r="F27" i="23"/>
  <c r="D31" i="21"/>
  <c r="E30" i="21"/>
  <c r="F29" i="21"/>
  <c r="G28" i="21"/>
  <c r="C28" i="21"/>
  <c r="D27" i="21"/>
  <c r="G31" i="21"/>
  <c r="C31" i="21"/>
  <c r="D30" i="21"/>
  <c r="E29" i="21"/>
  <c r="F28" i="21"/>
  <c r="G27" i="21"/>
  <c r="C27" i="21"/>
  <c r="F31" i="21"/>
  <c r="C30" i="21"/>
  <c r="E28" i="21"/>
  <c r="E31" i="21"/>
  <c r="D29" i="21"/>
  <c r="E27" i="21"/>
  <c r="G30" i="21"/>
  <c r="C29" i="21"/>
  <c r="F30" i="21"/>
  <c r="G29" i="21"/>
  <c r="D28" i="21"/>
  <c r="F27" i="21"/>
  <c r="AI7" i="18"/>
  <c r="AI6" i="18"/>
  <c r="AI8" i="18"/>
  <c r="AI9" i="18"/>
  <c r="D31" i="14"/>
  <c r="E30" i="14"/>
  <c r="F29" i="14"/>
  <c r="G28" i="14"/>
  <c r="C28" i="14"/>
  <c r="D27" i="14"/>
  <c r="G31" i="14"/>
  <c r="C31" i="14"/>
  <c r="D30" i="14"/>
  <c r="E29" i="14"/>
  <c r="F28" i="14"/>
  <c r="G27" i="14"/>
  <c r="C27" i="14"/>
  <c r="E31" i="14"/>
  <c r="G29" i="14"/>
  <c r="D28" i="14"/>
  <c r="G30" i="14"/>
  <c r="D29" i="14"/>
  <c r="F27" i="14"/>
  <c r="F30" i="14"/>
  <c r="C29" i="14"/>
  <c r="E27" i="14"/>
  <c r="F31" i="14"/>
  <c r="C30" i="14"/>
  <c r="E28" i="14"/>
  <c r="AI6" i="15"/>
  <c r="F31" i="22"/>
  <c r="G30" i="22"/>
  <c r="C30" i="22"/>
  <c r="D29" i="22"/>
  <c r="E28" i="22"/>
  <c r="F27" i="22"/>
  <c r="E31" i="22"/>
  <c r="F30" i="22"/>
  <c r="G29" i="22"/>
  <c r="C29" i="22"/>
  <c r="D28" i="22"/>
  <c r="E27" i="22"/>
  <c r="D31" i="22"/>
  <c r="E30" i="22"/>
  <c r="F29" i="22"/>
  <c r="G28" i="22"/>
  <c r="C28" i="22"/>
  <c r="D27" i="22"/>
  <c r="D30" i="22"/>
  <c r="C27" i="22"/>
  <c r="G31" i="22"/>
  <c r="F28" i="22"/>
  <c r="C31" i="22"/>
  <c r="E29" i="22"/>
  <c r="G27" i="22"/>
  <c r="AI8" i="13"/>
  <c r="D31" i="13"/>
  <c r="E30" i="13"/>
  <c r="F29" i="13"/>
  <c r="G28" i="13"/>
  <c r="C28" i="13"/>
  <c r="D27" i="13"/>
  <c r="G31" i="13"/>
  <c r="C31" i="13"/>
  <c r="D30" i="13"/>
  <c r="E29" i="13"/>
  <c r="F28" i="13"/>
  <c r="G27" i="13"/>
  <c r="C27" i="13"/>
  <c r="F31" i="13"/>
  <c r="C30" i="13"/>
  <c r="E28" i="13"/>
  <c r="E31" i="13"/>
  <c r="G29" i="13"/>
  <c r="D28" i="13"/>
  <c r="G30" i="13"/>
  <c r="D29" i="13"/>
  <c r="F27" i="13"/>
  <c r="F30" i="13"/>
  <c r="C29" i="13"/>
  <c r="E27" i="13"/>
  <c r="AI6" i="21"/>
  <c r="AI9" i="17"/>
  <c r="AI8" i="14"/>
  <c r="AR9" i="17" l="1"/>
  <c r="A9" i="17" s="1"/>
  <c r="AR8" i="17"/>
  <c r="A8" i="17" s="1"/>
  <c r="AR5" i="17"/>
  <c r="A5" i="17" s="1"/>
  <c r="F31" i="17" l="1"/>
  <c r="G30" i="17"/>
  <c r="C30" i="17"/>
  <c r="D29" i="17"/>
  <c r="E28" i="17"/>
  <c r="F27" i="17"/>
  <c r="E31" i="17"/>
  <c r="E30" i="17"/>
  <c r="E29" i="17"/>
  <c r="D28" i="17"/>
  <c r="D27" i="17"/>
  <c r="D31" i="17"/>
  <c r="D30" i="17"/>
  <c r="C29" i="17"/>
  <c r="C28" i="17"/>
  <c r="C27" i="17"/>
  <c r="F30" i="17"/>
  <c r="F28" i="17"/>
  <c r="G29" i="17"/>
  <c r="G27" i="17"/>
  <c r="G31" i="17"/>
  <c r="F29" i="17"/>
  <c r="E27" i="17"/>
  <c r="C31" i="17"/>
  <c r="G28" i="17"/>
</calcChain>
</file>

<file path=xl/sharedStrings.xml><?xml version="1.0" encoding="utf-8"?>
<sst xmlns="http://schemas.openxmlformats.org/spreadsheetml/2006/main" count="1105" uniqueCount="184">
  <si>
    <t>NY MINI 2019 - 1st Round Scores</t>
  </si>
  <si>
    <t>Women's Master - 1st Round</t>
  </si>
  <si>
    <t>Men's Master - 1st Round</t>
  </si>
  <si>
    <t>CT01</t>
  </si>
  <si>
    <t>CT02</t>
  </si>
  <si>
    <t>CT03</t>
  </si>
  <si>
    <t>CT04</t>
  </si>
  <si>
    <t>CT07</t>
  </si>
  <si>
    <t>CT08</t>
  </si>
  <si>
    <t>CT12</t>
  </si>
  <si>
    <t>CT13</t>
  </si>
  <si>
    <t>CT14</t>
  </si>
  <si>
    <t>Men's Standings</t>
  </si>
  <si>
    <t>Copy and paste from this list</t>
  </si>
  <si>
    <t>Women's Standings</t>
  </si>
  <si>
    <t>Boston Hurricanes Blue</t>
  </si>
  <si>
    <t>Boston Knights X</t>
  </si>
  <si>
    <t>CT05</t>
  </si>
  <si>
    <t>CT06</t>
  </si>
  <si>
    <t>CT09</t>
  </si>
  <si>
    <t>CT10</t>
  </si>
  <si>
    <t>CT11</t>
  </si>
  <si>
    <t>CT15</t>
  </si>
  <si>
    <t>CT16</t>
  </si>
  <si>
    <t>CT17</t>
  </si>
  <si>
    <t>CT18</t>
  </si>
  <si>
    <t>DC CYC Red</t>
  </si>
  <si>
    <t>Toronto Phoenix</t>
  </si>
  <si>
    <t>NJ Vikings Blue</t>
  </si>
  <si>
    <t>DC Yee Fung Toy Thunder B</t>
  </si>
  <si>
    <t>Boston Knights C</t>
  </si>
  <si>
    <t>Toronto Ngun Lam White</t>
  </si>
  <si>
    <t>Boston Hurricanes Black</t>
  </si>
  <si>
    <t>DC CYC C</t>
  </si>
  <si>
    <t>BOS Freemasons</t>
  </si>
  <si>
    <t>Philly Super CIA</t>
  </si>
  <si>
    <t>DC Yee Fung Toy Thunder A</t>
  </si>
  <si>
    <t>NY BCVA</t>
  </si>
  <si>
    <t>DC MVP A</t>
  </si>
  <si>
    <t>Philly Fastball-Horizon</t>
  </si>
  <si>
    <t>Chicago United</t>
  </si>
  <si>
    <t>Boston Knights B</t>
  </si>
  <si>
    <t>Toronto Flying Tigers</t>
  </si>
  <si>
    <t>Toronto Ngun Lam Blue</t>
  </si>
  <si>
    <t>BOS Hurricanes Blue</t>
  </si>
  <si>
    <t>NY Vikings SPA</t>
  </si>
  <si>
    <t>DC Jin Long</t>
  </si>
  <si>
    <t>NY Impact</t>
  </si>
  <si>
    <t>Boston GHOTANE White</t>
  </si>
  <si>
    <t>NJ Ronin</t>
  </si>
  <si>
    <t>NY Freemason B</t>
  </si>
  <si>
    <t>Boston Hurricanes Orange</t>
  </si>
  <si>
    <t>Philly Lady Suns Sunsations</t>
  </si>
  <si>
    <t>Philly CIA Jrs.</t>
  </si>
  <si>
    <t>Toronto Bats</t>
  </si>
  <si>
    <t>Toronto Connex B</t>
  </si>
  <si>
    <t>Toronto Thunder Blue</t>
  </si>
  <si>
    <t>Toronto Connex C</t>
  </si>
  <si>
    <t>NY Fresh</t>
  </si>
  <si>
    <t>Boston Rising Tide</t>
  </si>
  <si>
    <t>BOS Hurricaness Black</t>
  </si>
  <si>
    <t>BOS 1UP Freemasons</t>
  </si>
  <si>
    <t>Toronto Connex A</t>
  </si>
  <si>
    <t>NY Panda Glass</t>
  </si>
  <si>
    <t>Boston Knights A</t>
  </si>
  <si>
    <t>Philly CIA</t>
  </si>
  <si>
    <t>NY Strangers Blue</t>
  </si>
  <si>
    <t>Toronto Storm X</t>
  </si>
  <si>
    <t>Montreal Freemason</t>
  </si>
  <si>
    <t>NY Strangers Alumni</t>
  </si>
  <si>
    <t>NY Super mom</t>
  </si>
  <si>
    <t>Philly CIA Fire</t>
  </si>
  <si>
    <t>NY Vikings</t>
  </si>
  <si>
    <t>NY Freemason A</t>
  </si>
  <si>
    <t>Philly CIA A</t>
  </si>
  <si>
    <t>NY Impact Dynamic</t>
  </si>
  <si>
    <t>DC MVP Bolts</t>
  </si>
  <si>
    <t>NY Cranky Pandas</t>
  </si>
  <si>
    <t>Philly CIA Agents</t>
  </si>
  <si>
    <t>BOS Knights A</t>
  </si>
  <si>
    <t>NY Impact Booming</t>
  </si>
  <si>
    <t>DC CYC B</t>
  </si>
  <si>
    <t>NJ Fastbelles Jr</t>
  </si>
  <si>
    <t>Court</t>
  </si>
  <si>
    <t>Boston Lady Knights B</t>
  </si>
  <si>
    <t>Toronto Ngun Lam Red</t>
  </si>
  <si>
    <t>Philly CIA Red</t>
  </si>
  <si>
    <t>Philly Lady Suns</t>
  </si>
  <si>
    <t>DC CYC Black</t>
  </si>
  <si>
    <t>Toronto LEGACY</t>
  </si>
  <si>
    <t>NY CASCSA</t>
  </si>
  <si>
    <t>NY Strangers Black</t>
  </si>
  <si>
    <t>Boston GHOTANE Black</t>
  </si>
  <si>
    <t>DC CYC A</t>
  </si>
  <si>
    <t>Philly Rising Suns</t>
  </si>
  <si>
    <t>BOS Hurricanes Black</t>
  </si>
  <si>
    <t>NY Vikings Rogue</t>
  </si>
  <si>
    <t>NY Strangers Fire</t>
  </si>
  <si>
    <t>NY Strangers Earth</t>
  </si>
  <si>
    <t>NY Impact Synergy</t>
  </si>
  <si>
    <t>Toronto Phoenix Blaze</t>
  </si>
  <si>
    <t>NJ FUNimania</t>
  </si>
  <si>
    <t>Team Name</t>
  </si>
  <si>
    <t>Boston Hurricanes Gold</t>
  </si>
  <si>
    <t>Wins</t>
  </si>
  <si>
    <t>Overall Pts</t>
  </si>
  <si>
    <t>Boston Lady Knights A</t>
  </si>
  <si>
    <t>NY Strangers Wind</t>
  </si>
  <si>
    <t>Toronto Thunder Grey</t>
  </si>
  <si>
    <t>NY Vikings Storm</t>
  </si>
  <si>
    <t>Toronto United</t>
  </si>
  <si>
    <t>BOS Lady Knights A</t>
  </si>
  <si>
    <t>BOS Lady Knights B</t>
  </si>
  <si>
    <t>DC MVP B</t>
  </si>
  <si>
    <t>NY Gong Hoy</t>
  </si>
  <si>
    <t>BOS Knights B</t>
  </si>
  <si>
    <t>NY Strangers White</t>
  </si>
  <si>
    <t>X</t>
  </si>
  <si>
    <t>NY Strangers Lo Chai</t>
  </si>
  <si>
    <t>BOS Knights C</t>
  </si>
  <si>
    <t>NY Strangers B</t>
  </si>
  <si>
    <t>Wash DC CYC C</t>
  </si>
  <si>
    <t>Wash DC Yee Fung Toy Lightning</t>
  </si>
  <si>
    <t>BOS Freemason</t>
  </si>
  <si>
    <t>Wash DC MVP B</t>
  </si>
  <si>
    <t>BOS Knights X</t>
  </si>
  <si>
    <t>Game</t>
  </si>
  <si>
    <t>Team 1</t>
  </si>
  <si>
    <t>Team 2</t>
  </si>
  <si>
    <t>Work Team</t>
  </si>
  <si>
    <t>Wash DC CYC A</t>
  </si>
  <si>
    <t>NY Horizon</t>
  </si>
  <si>
    <t>NY Strangers A</t>
  </si>
  <si>
    <t>Wash DC Yee Fung Toy Thunder</t>
  </si>
  <si>
    <t>BOS Rising Tide</t>
  </si>
  <si>
    <t>NY Strangers LoChai</t>
  </si>
  <si>
    <t>Wash DC Super CIA</t>
  </si>
  <si>
    <t>Philly CIA "A"</t>
  </si>
  <si>
    <t>CHI Chicago United</t>
  </si>
  <si>
    <t>NJ Just CIA</t>
  </si>
  <si>
    <t>Wash DC CYC B</t>
  </si>
  <si>
    <t>Toronto United Volleyball</t>
  </si>
  <si>
    <t>NY NLN Warriors</t>
  </si>
  <si>
    <t>NY Strangers Jr's</t>
  </si>
  <si>
    <t>Wash DC MVP A</t>
  </si>
  <si>
    <t>Toronto Bao</t>
  </si>
  <si>
    <t>Wash DC Jin Long</t>
  </si>
  <si>
    <t>Wash DC CYC Rebels</t>
  </si>
  <si>
    <t>Schedules</t>
  </si>
  <si>
    <t>5 teams</t>
  </si>
  <si>
    <t>6 teams</t>
  </si>
  <si>
    <t>Work</t>
  </si>
  <si>
    <t>Men's 1st Round</t>
  </si>
  <si>
    <t>Game and HH</t>
  </si>
  <si>
    <t>Game &amp; Points</t>
  </si>
  <si>
    <t>Matches Won</t>
  </si>
  <si>
    <t>Matches Lost</t>
  </si>
  <si>
    <t>Games Won</t>
  </si>
  <si>
    <t>Games Lost</t>
  </si>
  <si>
    <t>Points</t>
  </si>
  <si>
    <t>Head to Head Winner</t>
  </si>
  <si>
    <t>Against</t>
  </si>
  <si>
    <t>HH Rank</t>
  </si>
  <si>
    <t>Total</t>
  </si>
  <si>
    <t>Match Ratio</t>
  </si>
  <si>
    <t>Game Ratio</t>
  </si>
  <si>
    <t>Point Ratio</t>
  </si>
  <si>
    <t>Finish</t>
  </si>
  <si>
    <t>x</t>
  </si>
  <si>
    <t>Team</t>
  </si>
  <si>
    <t>vs</t>
  </si>
  <si>
    <t>Ref</t>
  </si>
  <si>
    <t>Game One</t>
  </si>
  <si>
    <t>Game Two</t>
  </si>
  <si>
    <t>Game Three</t>
  </si>
  <si>
    <t>Winner</t>
  </si>
  <si>
    <t>Head to Head</t>
  </si>
  <si>
    <t>Match Starts</t>
  </si>
  <si>
    <t>-</t>
  </si>
  <si>
    <t>Pool Ranking</t>
  </si>
  <si>
    <t>Overall Points</t>
  </si>
  <si>
    <t>Women's 1st Round</t>
  </si>
  <si>
    <t>Team 1 City</t>
  </si>
  <si>
    <t>Team 2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</si>
</sst>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General_)"/>
    <numFmt numFmtId="165" formatCode="0.0000"/>
  </numFmts>
  <fonts count="27" x14ac:knownFonts="1">
    <font>
      <sz val="11"/>
      <color rgb="FF000000"/>
      <name val="Calibri"/>
    </font>
    <font>
      <sz val="26"/>
      <color rgb="FF000000"/>
      <name val="Arial"/>
    </font>
    <font>
      <b/>
      <sz val="18"/>
      <color rgb="FFFFFFFF"/>
      <name val="Calibri"/>
    </font>
    <font>
      <b/>
      <sz val="26"/>
      <color rgb="FF000000"/>
      <name val="Arial"/>
    </font>
    <font>
      <b/>
      <sz val="25"/>
      <color rgb="FF000000"/>
      <name val="Arial"/>
    </font>
    <font>
      <sz val="11"/>
      <name val="Arial"/>
    </font>
    <font>
      <sz val="11"/>
      <color rgb="FF000000"/>
      <name val="Arial"/>
    </font>
    <font>
      <b/>
      <sz val="15"/>
      <name val="Arial"/>
    </font>
    <font>
      <b/>
      <sz val="18"/>
      <name val="Calibri"/>
    </font>
    <font>
      <sz val="14"/>
      <color rgb="FFFFFFFF"/>
      <name val="Calibri"/>
    </font>
    <font>
      <b/>
      <sz val="15"/>
      <color rgb="FF000000"/>
      <name val="Arial"/>
    </font>
    <font>
      <sz val="11"/>
      <color rgb="FFFFFFFF"/>
      <name val="Calibri"/>
    </font>
    <font>
      <sz val="12"/>
      <name val="Arial"/>
    </font>
    <font>
      <sz val="10"/>
      <name val="Calibri"/>
    </font>
    <font>
      <sz val="11"/>
      <name val="Calibri"/>
    </font>
    <font>
      <b/>
      <sz val="26"/>
      <name val="Arial"/>
    </font>
    <font>
      <sz val="26"/>
      <name val="Arial"/>
    </font>
    <font>
      <b/>
      <sz val="24"/>
      <name val="Arial"/>
    </font>
    <font>
      <b/>
      <sz val="36"/>
      <name val="Arial"/>
    </font>
    <font>
      <sz val="10"/>
      <name val="Arial"/>
    </font>
    <font>
      <b/>
      <sz val="11"/>
      <name val="Arial"/>
    </font>
    <font>
      <b/>
      <sz val="11"/>
      <color rgb="FF000000"/>
      <name val="Arial"/>
    </font>
    <font>
      <b/>
      <sz val="10"/>
      <name val="Arial"/>
    </font>
    <font>
      <b/>
      <sz val="26"/>
      <color rgb="FFFFFFFF"/>
      <name val="Arial"/>
    </font>
    <font>
      <sz val="11"/>
      <name val="Calibri"/>
    </font>
    <font>
      <sz val="8"/>
      <name val="Arial"/>
    </font>
    <font>
      <sz val="12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CF305"/>
        <bgColor rgb="FFFCF305"/>
      </patternFill>
    </fill>
    <fill>
      <patternFill patternType="solid">
        <fgColor rgb="FFB7B7B7"/>
        <bgColor rgb="FFB7B7B7"/>
      </patternFill>
    </fill>
  </fills>
  <borders count="6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06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/>
    <xf numFmtId="0" fontId="6" fillId="0" borderId="0" xfId="0" applyFont="1" applyAlignment="1"/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2" borderId="0" xfId="0" applyFont="1" applyFill="1"/>
    <xf numFmtId="0" fontId="7" fillId="3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/>
    <xf numFmtId="164" fontId="12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/>
    <xf numFmtId="0" fontId="10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1" fillId="2" borderId="3" xfId="0" applyFont="1" applyFill="1" applyBorder="1" applyAlignment="1"/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/>
    <xf numFmtId="0" fontId="11" fillId="2" borderId="3" xfId="0" applyFont="1" applyFill="1" applyBorder="1"/>
    <xf numFmtId="0" fontId="11" fillId="2" borderId="4" xfId="0" applyFont="1" applyFill="1" applyBorder="1"/>
    <xf numFmtId="0" fontId="11" fillId="2" borderId="5" xfId="0" applyFont="1" applyFill="1" applyBorder="1" applyAlignment="1"/>
    <xf numFmtId="0" fontId="11" fillId="2" borderId="6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6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11" fillId="2" borderId="5" xfId="0" applyFont="1" applyFill="1" applyBorder="1"/>
    <xf numFmtId="164" fontId="11" fillId="2" borderId="5" xfId="0" applyNumberFormat="1" applyFont="1" applyFill="1" applyBorder="1"/>
    <xf numFmtId="164" fontId="11" fillId="2" borderId="6" xfId="0" applyNumberFormat="1" applyFont="1" applyFill="1" applyBorder="1" applyAlignment="1">
      <alignment horizontal="center"/>
    </xf>
    <xf numFmtId="0" fontId="14" fillId="0" borderId="0" xfId="0" applyFont="1" applyAlignment="1"/>
    <xf numFmtId="164" fontId="14" fillId="0" borderId="0" xfId="0" applyNumberFormat="1" applyFont="1"/>
    <xf numFmtId="0" fontId="11" fillId="2" borderId="6" xfId="0" applyFont="1" applyFill="1" applyBorder="1" applyAlignment="1">
      <alignment horizontal="center"/>
    </xf>
    <xf numFmtId="0" fontId="11" fillId="2" borderId="8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5" fillId="0" borderId="0" xfId="0" applyFont="1" applyAlignment="1">
      <alignment horizontal="center"/>
    </xf>
    <xf numFmtId="0" fontId="16" fillId="0" borderId="0" xfId="0" applyFont="1" applyAlignment="1"/>
    <xf numFmtId="0" fontId="18" fillId="0" borderId="0" xfId="0" applyFont="1" applyAlignment="1">
      <alignment horizontal="center"/>
    </xf>
    <xf numFmtId="0" fontId="19" fillId="0" borderId="0" xfId="0" applyFont="1" applyAlignment="1"/>
    <xf numFmtId="0" fontId="5" fillId="0" borderId="0" xfId="0" applyFont="1" applyAlignment="1"/>
    <xf numFmtId="0" fontId="20" fillId="0" borderId="13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1" fillId="0" borderId="15" xfId="0" applyFont="1" applyBorder="1" applyAlignment="1"/>
    <xf numFmtId="0" fontId="20" fillId="0" borderId="21" xfId="0" applyFont="1" applyBorder="1" applyAlignment="1">
      <alignment horizontal="center" wrapText="1"/>
    </xf>
    <xf numFmtId="0" fontId="20" fillId="0" borderId="21" xfId="0" applyFont="1" applyBorder="1" applyAlignment="1">
      <alignment horizontal="center"/>
    </xf>
    <xf numFmtId="0" fontId="21" fillId="0" borderId="23" xfId="0" applyFont="1" applyBorder="1" applyAlignment="1"/>
    <xf numFmtId="0" fontId="22" fillId="0" borderId="24" xfId="0" applyFont="1" applyBorder="1" applyAlignment="1">
      <alignment horizontal="center"/>
    </xf>
    <xf numFmtId="0" fontId="22" fillId="5" borderId="25" xfId="0" applyFont="1" applyFill="1" applyBorder="1" applyAlignment="1">
      <alignment horizontal="center"/>
    </xf>
    <xf numFmtId="0" fontId="20" fillId="6" borderId="26" xfId="0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1" fontId="19" fillId="6" borderId="1" xfId="0" applyNumberFormat="1" applyFont="1" applyFill="1" applyBorder="1" applyAlignment="1"/>
    <xf numFmtId="0" fontId="19" fillId="5" borderId="29" xfId="0" applyFont="1" applyFill="1" applyBorder="1" applyAlignment="1"/>
    <xf numFmtId="0" fontId="19" fillId="5" borderId="1" xfId="0" applyFont="1" applyFill="1" applyBorder="1" applyAlignment="1"/>
    <xf numFmtId="0" fontId="19" fillId="0" borderId="1" xfId="0" applyFont="1" applyBorder="1" applyAlignment="1"/>
    <xf numFmtId="0" fontId="19" fillId="0" borderId="1" xfId="0" applyFont="1" applyBorder="1" applyAlignment="1">
      <alignment horizontal="center"/>
    </xf>
    <xf numFmtId="164" fontId="19" fillId="0" borderId="1" xfId="0" applyNumberFormat="1" applyFont="1" applyBorder="1" applyAlignment="1">
      <alignment horizontal="center"/>
    </xf>
    <xf numFmtId="1" fontId="19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19" fillId="6" borderId="30" xfId="0" applyNumberFormat="1" applyFont="1" applyFill="1" applyBorder="1" applyAlignment="1"/>
    <xf numFmtId="2" fontId="19" fillId="0" borderId="1" xfId="0" applyNumberFormat="1" applyFont="1" applyBorder="1" applyAlignment="1">
      <alignment horizontal="center"/>
    </xf>
    <xf numFmtId="165" fontId="19" fillId="4" borderId="31" xfId="0" applyNumberFormat="1" applyFont="1" applyFill="1" applyBorder="1" applyAlignment="1">
      <alignment horizontal="center"/>
    </xf>
    <xf numFmtId="1" fontId="19" fillId="6" borderId="31" xfId="0" applyNumberFormat="1" applyFont="1" applyFill="1" applyBorder="1" applyAlignment="1"/>
    <xf numFmtId="165" fontId="19" fillId="7" borderId="31" xfId="0" applyNumberFormat="1" applyFont="1" applyFill="1" applyBorder="1" applyAlignment="1">
      <alignment horizontal="center"/>
    </xf>
    <xf numFmtId="1" fontId="19" fillId="6" borderId="32" xfId="0" applyNumberFormat="1" applyFont="1" applyFill="1" applyBorder="1" applyAlignment="1"/>
    <xf numFmtId="0" fontId="19" fillId="6" borderId="33" xfId="0" applyFont="1" applyFill="1" applyBorder="1" applyAlignment="1">
      <alignment horizontal="center"/>
    </xf>
    <xf numFmtId="0" fontId="19" fillId="0" borderId="34" xfId="0" applyFont="1" applyBorder="1" applyAlignment="1">
      <alignment horizontal="center"/>
    </xf>
    <xf numFmtId="1" fontId="19" fillId="6" borderId="35" xfId="0" applyNumberFormat="1" applyFont="1" applyFill="1" applyBorder="1" applyAlignment="1"/>
    <xf numFmtId="0" fontId="19" fillId="5" borderId="1" xfId="0" applyFont="1" applyFill="1" applyBorder="1" applyAlignment="1">
      <alignment horizontal="center"/>
    </xf>
    <xf numFmtId="1" fontId="19" fillId="6" borderId="36" xfId="0" applyNumberFormat="1" applyFont="1" applyFill="1" applyBorder="1" applyAlignment="1"/>
    <xf numFmtId="1" fontId="19" fillId="6" borderId="37" xfId="0" applyNumberFormat="1" applyFont="1" applyFill="1" applyBorder="1" applyAlignment="1"/>
    <xf numFmtId="0" fontId="19" fillId="0" borderId="38" xfId="0" applyFont="1" applyBorder="1" applyAlignment="1">
      <alignment horizontal="center"/>
    </xf>
    <xf numFmtId="0" fontId="19" fillId="0" borderId="39" xfId="0" applyFont="1" applyBorder="1" applyAlignment="1">
      <alignment horizontal="center"/>
    </xf>
    <xf numFmtId="0" fontId="19" fillId="5" borderId="39" xfId="0" applyFont="1" applyFill="1" applyBorder="1" applyAlignment="1">
      <alignment horizontal="center"/>
    </xf>
    <xf numFmtId="0" fontId="19" fillId="4" borderId="39" xfId="0" applyFont="1" applyFill="1" applyBorder="1" applyAlignment="1">
      <alignment horizontal="center"/>
    </xf>
    <xf numFmtId="0" fontId="5" fillId="0" borderId="39" xfId="0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20" fillId="0" borderId="40" xfId="0" applyFont="1" applyBorder="1" applyAlignment="1">
      <alignment horizontal="center"/>
    </xf>
    <xf numFmtId="0" fontId="20" fillId="0" borderId="41" xfId="0" applyFont="1" applyBorder="1" applyAlignment="1">
      <alignment horizontal="center"/>
    </xf>
    <xf numFmtId="0" fontId="20" fillId="0" borderId="45" xfId="0" applyFont="1" applyBorder="1" applyAlignment="1">
      <alignment horizontal="center"/>
    </xf>
    <xf numFmtId="0" fontId="20" fillId="0" borderId="46" xfId="0" applyFont="1" applyBorder="1" applyAlignment="1">
      <alignment horizontal="center"/>
    </xf>
    <xf numFmtId="0" fontId="20" fillId="0" borderId="48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164" fontId="12" fillId="0" borderId="28" xfId="0" applyNumberFormat="1" applyFont="1" applyBorder="1" applyAlignment="1">
      <alignment horizontal="left"/>
    </xf>
    <xf numFmtId="0" fontId="5" fillId="0" borderId="21" xfId="0" applyFont="1" applyBorder="1" applyAlignment="1">
      <alignment horizontal="center"/>
    </xf>
    <xf numFmtId="0" fontId="5" fillId="5" borderId="21" xfId="0" applyFont="1" applyFill="1" applyBorder="1" applyAlignment="1">
      <alignment horizontal="center"/>
    </xf>
    <xf numFmtId="0" fontId="12" fillId="0" borderId="11" xfId="0" applyFont="1" applyBorder="1" applyAlignment="1">
      <alignment horizontal="left"/>
    </xf>
    <xf numFmtId="0" fontId="24" fillId="4" borderId="34" xfId="0" applyFont="1" applyFill="1" applyBorder="1" applyAlignment="1"/>
    <xf numFmtId="0" fontId="24" fillId="8" borderId="34" xfId="0" applyFont="1" applyFill="1" applyBorder="1" applyAlignment="1"/>
    <xf numFmtId="0" fontId="12" fillId="0" borderId="21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164" fontId="25" fillId="0" borderId="28" xfId="0" applyNumberFormat="1" applyFont="1" applyBorder="1" applyAlignment="1">
      <alignment horizontal="left"/>
    </xf>
    <xf numFmtId="0" fontId="19" fillId="0" borderId="22" xfId="0" applyFont="1" applyBorder="1" applyAlignment="1">
      <alignment horizontal="center"/>
    </xf>
    <xf numFmtId="0" fontId="20" fillId="0" borderId="52" xfId="0" applyFont="1" applyBorder="1" applyAlignment="1">
      <alignment horizontal="center"/>
    </xf>
    <xf numFmtId="0" fontId="5" fillId="0" borderId="53" xfId="0" applyFont="1" applyBorder="1" applyAlignment="1">
      <alignment horizontal="center"/>
    </xf>
    <xf numFmtId="0" fontId="12" fillId="0" borderId="54" xfId="0" applyFont="1" applyBorder="1" applyAlignment="1">
      <alignment horizontal="left"/>
    </xf>
    <xf numFmtId="0" fontId="5" fillId="5" borderId="1" xfId="0" applyFont="1" applyFill="1" applyBorder="1" applyAlignment="1">
      <alignment horizontal="center"/>
    </xf>
    <xf numFmtId="0" fontId="24" fillId="4" borderId="56" xfId="0" applyFont="1" applyFill="1" applyBorder="1" applyAlignment="1"/>
    <xf numFmtId="0" fontId="24" fillId="8" borderId="56" xfId="0" applyFont="1" applyFill="1" applyBorder="1" applyAlignment="1"/>
    <xf numFmtId="0" fontId="12" fillId="0" borderId="1" xfId="0" applyFont="1" applyBorder="1" applyAlignment="1">
      <alignment horizontal="center"/>
    </xf>
    <xf numFmtId="0" fontId="25" fillId="0" borderId="28" xfId="0" applyFont="1" applyBorder="1" applyAlignment="1">
      <alignment horizontal="left"/>
    </xf>
    <xf numFmtId="164" fontId="12" fillId="0" borderId="54" xfId="0" applyNumberFormat="1" applyFont="1" applyBorder="1" applyAlignment="1">
      <alignment horizontal="left"/>
    </xf>
    <xf numFmtId="165" fontId="19" fillId="6" borderId="31" xfId="0" applyNumberFormat="1" applyFont="1" applyFill="1" applyBorder="1" applyAlignment="1">
      <alignment horizontal="center"/>
    </xf>
    <xf numFmtId="0" fontId="24" fillId="4" borderId="56" xfId="0" applyFont="1" applyFill="1" applyBorder="1" applyAlignment="1"/>
    <xf numFmtId="0" fontId="24" fillId="8" borderId="56" xfId="0" applyFont="1" applyFill="1" applyBorder="1" applyAlignment="1"/>
    <xf numFmtId="0" fontId="20" fillId="0" borderId="59" xfId="0" applyFont="1" applyBorder="1" applyAlignment="1">
      <alignment horizontal="center"/>
    </xf>
    <xf numFmtId="0" fontId="5" fillId="0" borderId="60" xfId="0" applyFont="1" applyBorder="1" applyAlignment="1">
      <alignment horizontal="center"/>
    </xf>
    <xf numFmtId="0" fontId="12" fillId="0" borderId="61" xfId="0" applyFont="1" applyBorder="1" applyAlignment="1">
      <alignment horizontal="left"/>
    </xf>
    <xf numFmtId="0" fontId="5" fillId="5" borderId="39" xfId="0" applyFont="1" applyFill="1" applyBorder="1" applyAlignment="1">
      <alignment horizontal="center"/>
    </xf>
    <xf numFmtId="0" fontId="12" fillId="0" borderId="39" xfId="0" applyFont="1" applyBorder="1" applyAlignment="1">
      <alignment horizontal="center"/>
    </xf>
    <xf numFmtId="165" fontId="19" fillId="0" borderId="1" xfId="0" applyNumberFormat="1" applyFont="1" applyBorder="1" applyAlignment="1"/>
    <xf numFmtId="0" fontId="19" fillId="0" borderId="0" xfId="0" applyFont="1" applyAlignment="1">
      <alignment horizontal="center"/>
    </xf>
    <xf numFmtId="164" fontId="19" fillId="0" borderId="1" xfId="0" applyNumberFormat="1" applyFont="1" applyBorder="1" applyAlignment="1"/>
    <xf numFmtId="0" fontId="12" fillId="0" borderId="28" xfId="0" applyFont="1" applyBorder="1" applyAlignment="1">
      <alignment horizontal="left"/>
    </xf>
    <xf numFmtId="0" fontId="13" fillId="4" borderId="1" xfId="0" applyFont="1" applyFill="1" applyBorder="1" applyAlignment="1"/>
    <xf numFmtId="0" fontId="13" fillId="4" borderId="1" xfId="0" applyFont="1" applyFill="1" applyBorder="1" applyAlignment="1"/>
    <xf numFmtId="0" fontId="12" fillId="0" borderId="45" xfId="0" applyFont="1" applyBorder="1" applyAlignment="1">
      <alignment horizontal="center"/>
    </xf>
    <xf numFmtId="0" fontId="6" fillId="0" borderId="0" xfId="0" applyFont="1" applyAlignment="1"/>
    <xf numFmtId="0" fontId="20" fillId="0" borderId="52" xfId="0" applyFont="1" applyBorder="1" applyAlignment="1">
      <alignment horizontal="center"/>
    </xf>
    <xf numFmtId="0" fontId="19" fillId="0" borderId="0" xfId="0" applyFont="1" applyAlignment="1"/>
    <xf numFmtId="0" fontId="12" fillId="0" borderId="28" xfId="0" applyFont="1" applyBorder="1" applyAlignment="1">
      <alignment horizontal="left"/>
    </xf>
    <xf numFmtId="0" fontId="12" fillId="0" borderId="54" xfId="0" applyFont="1" applyBorder="1" applyAlignment="1">
      <alignment horizontal="left"/>
    </xf>
    <xf numFmtId="0" fontId="19" fillId="6" borderId="33" xfId="0" applyFont="1" applyFill="1" applyBorder="1" applyAlignment="1">
      <alignment horizontal="center"/>
    </xf>
    <xf numFmtId="0" fontId="24" fillId="0" borderId="56" xfId="0" applyFont="1" applyBorder="1" applyAlignment="1"/>
    <xf numFmtId="0" fontId="20" fillId="6" borderId="26" xfId="0" applyFont="1" applyFill="1" applyBorder="1" applyAlignment="1">
      <alignment horizontal="center"/>
    </xf>
    <xf numFmtId="0" fontId="25" fillId="0" borderId="54" xfId="0" applyFont="1" applyBorder="1" applyAlignment="1">
      <alignment horizontal="left"/>
    </xf>
    <xf numFmtId="164" fontId="25" fillId="0" borderId="54" xfId="0" applyNumberFormat="1" applyFont="1" applyBorder="1" applyAlignment="1">
      <alignment horizontal="left"/>
    </xf>
    <xf numFmtId="0" fontId="25" fillId="0" borderId="61" xfId="0" applyFont="1" applyBorder="1" applyAlignment="1">
      <alignment horizontal="left"/>
    </xf>
    <xf numFmtId="0" fontId="12" fillId="0" borderId="12" xfId="0" applyFont="1" applyBorder="1" applyAlignment="1">
      <alignment horizontal="left"/>
    </xf>
    <xf numFmtId="0" fontId="5" fillId="5" borderId="1" xfId="0" applyFont="1" applyFill="1" applyBorder="1" applyAlignment="1">
      <alignment horizontal="center"/>
    </xf>
    <xf numFmtId="0" fontId="19" fillId="0" borderId="0" xfId="0" applyFont="1" applyAlignment="1"/>
    <xf numFmtId="0" fontId="9" fillId="2" borderId="0" xfId="0" applyFont="1" applyFill="1" applyAlignment="1">
      <alignment horizontal="center"/>
    </xf>
    <xf numFmtId="0" fontId="0" fillId="0" borderId="0" xfId="0" applyFont="1" applyAlignment="1"/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4" fillId="8" borderId="55" xfId="0" applyFont="1" applyFill="1" applyBorder="1" applyAlignment="1">
      <alignment horizontal="center"/>
    </xf>
    <xf numFmtId="0" fontId="14" fillId="0" borderId="56" xfId="0" applyFont="1" applyBorder="1"/>
    <xf numFmtId="0" fontId="12" fillId="0" borderId="45" xfId="0" applyFont="1" applyBorder="1" applyAlignment="1">
      <alignment horizontal="center"/>
    </xf>
    <xf numFmtId="0" fontId="14" fillId="0" borderId="34" xfId="0" applyFont="1" applyBorder="1"/>
    <xf numFmtId="0" fontId="24" fillId="4" borderId="55" xfId="0" applyFont="1" applyFill="1" applyBorder="1" applyAlignment="1">
      <alignment horizontal="center"/>
    </xf>
    <xf numFmtId="0" fontId="12" fillId="0" borderId="62" xfId="0" applyFont="1" applyBorder="1" applyAlignment="1">
      <alignment horizontal="center"/>
    </xf>
    <xf numFmtId="0" fontId="14" fillId="0" borderId="38" xfId="0" applyFont="1" applyBorder="1"/>
    <xf numFmtId="20" fontId="22" fillId="0" borderId="50" xfId="0" applyNumberFormat="1" applyFont="1" applyBorder="1" applyAlignment="1">
      <alignment horizontal="center"/>
    </xf>
    <xf numFmtId="0" fontId="14" fillId="0" borderId="51" xfId="0" applyFont="1" applyBorder="1"/>
    <xf numFmtId="20" fontId="22" fillId="0" borderId="57" xfId="0" applyNumberFormat="1" applyFont="1" applyBorder="1" applyAlignment="1">
      <alignment horizontal="center"/>
    </xf>
    <xf numFmtId="0" fontId="14" fillId="0" borderId="58" xfId="0" applyFont="1" applyBorder="1"/>
    <xf numFmtId="0" fontId="24" fillId="4" borderId="49" xfId="0" applyFont="1" applyFill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4" fillId="0" borderId="20" xfId="0" applyFont="1" applyBorder="1"/>
    <xf numFmtId="0" fontId="24" fillId="8" borderId="49" xfId="0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4" fillId="0" borderId="14" xfId="0" applyFont="1" applyBorder="1"/>
    <xf numFmtId="0" fontId="14" fillId="0" borderId="15" xfId="0" applyFont="1" applyBorder="1"/>
    <xf numFmtId="0" fontId="22" fillId="0" borderId="11" xfId="0" applyFont="1" applyBorder="1" applyAlignment="1">
      <alignment horizontal="center"/>
    </xf>
    <xf numFmtId="0" fontId="14" fillId="0" borderId="47" xfId="0" applyFont="1" applyBorder="1"/>
    <xf numFmtId="0" fontId="12" fillId="5" borderId="22" xfId="0" applyFont="1" applyFill="1" applyBorder="1" applyAlignment="1">
      <alignment horizontal="left"/>
    </xf>
    <xf numFmtId="0" fontId="12" fillId="0" borderId="22" xfId="0" applyFont="1" applyBorder="1" applyAlignment="1">
      <alignment horizontal="left"/>
    </xf>
    <xf numFmtId="0" fontId="14" fillId="0" borderId="19" xfId="0" applyFont="1" applyBorder="1"/>
    <xf numFmtId="0" fontId="12" fillId="0" borderId="45" xfId="0" applyFont="1" applyBorder="1" applyAlignment="1">
      <alignment horizontal="left"/>
    </xf>
    <xf numFmtId="0" fontId="14" fillId="0" borderId="49" xfId="0" applyFont="1" applyBorder="1"/>
    <xf numFmtId="0" fontId="20" fillId="0" borderId="16" xfId="0" applyFont="1" applyBorder="1" applyAlignment="1">
      <alignment horizontal="center"/>
    </xf>
    <xf numFmtId="0" fontId="14" fillId="0" borderId="17" xfId="0" applyFont="1" applyBorder="1"/>
    <xf numFmtId="0" fontId="5" fillId="0" borderId="0" xfId="0" applyFont="1" applyAlignment="1">
      <alignment horizontal="center"/>
    </xf>
    <xf numFmtId="0" fontId="12" fillId="5" borderId="45" xfId="0" applyFont="1" applyFill="1" applyBorder="1" applyAlignment="1">
      <alignment horizontal="left"/>
    </xf>
    <xf numFmtId="0" fontId="5" fillId="0" borderId="22" xfId="0" applyFont="1" applyBorder="1" applyAlignment="1">
      <alignment horizontal="center"/>
    </xf>
    <xf numFmtId="0" fontId="14" fillId="0" borderId="27" xfId="0" applyFont="1" applyBorder="1"/>
    <xf numFmtId="0" fontId="5" fillId="0" borderId="18" xfId="0" applyFont="1" applyBorder="1" applyAlignment="1">
      <alignment horizontal="center"/>
    </xf>
    <xf numFmtId="0" fontId="12" fillId="0" borderId="11" xfId="0" applyFont="1" applyBorder="1" applyAlignment="1">
      <alignment horizontal="left"/>
    </xf>
    <xf numFmtId="0" fontId="14" fillId="0" borderId="12" xfId="0" applyFont="1" applyBorder="1"/>
    <xf numFmtId="0" fontId="5" fillId="0" borderId="14" xfId="0" applyFont="1" applyBorder="1" applyAlignment="1">
      <alignment horizontal="center"/>
    </xf>
    <xf numFmtId="0" fontId="20" fillId="8" borderId="13" xfId="0" applyFont="1" applyFill="1" applyBorder="1" applyAlignment="1">
      <alignment horizontal="center"/>
    </xf>
    <xf numFmtId="0" fontId="20" fillId="5" borderId="42" xfId="0" applyFont="1" applyFill="1" applyBorder="1" applyAlignment="1">
      <alignment horizontal="center"/>
    </xf>
    <xf numFmtId="0" fontId="14" fillId="0" borderId="43" xfId="0" applyFont="1" applyBorder="1"/>
    <xf numFmtId="0" fontId="14" fillId="0" borderId="44" xfId="0" applyFont="1" applyBorder="1"/>
    <xf numFmtId="0" fontId="20" fillId="0" borderId="1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164" fontId="12" fillId="0" borderId="11" xfId="0" applyNumberFormat="1" applyFont="1" applyBorder="1" applyAlignment="1">
      <alignment horizontal="left"/>
    </xf>
    <xf numFmtId="0" fontId="19" fillId="0" borderId="0" xfId="0" applyFont="1" applyAlignment="1">
      <alignment horizontal="center"/>
    </xf>
    <xf numFmtId="20" fontId="22" fillId="0" borderId="64" xfId="0" applyNumberFormat="1" applyFont="1" applyBorder="1" applyAlignment="1">
      <alignment horizontal="center"/>
    </xf>
    <xf numFmtId="0" fontId="14" fillId="0" borderId="65" xfId="0" applyFont="1" applyBorder="1"/>
    <xf numFmtId="164" fontId="12" fillId="5" borderId="45" xfId="0" applyNumberFormat="1" applyFont="1" applyFill="1" applyBorder="1" applyAlignment="1">
      <alignment horizontal="left"/>
    </xf>
    <xf numFmtId="0" fontId="12" fillId="5" borderId="62" xfId="0" applyFont="1" applyFill="1" applyBorder="1" applyAlignment="1">
      <alignment horizontal="left"/>
    </xf>
    <xf numFmtId="0" fontId="12" fillId="0" borderId="62" xfId="0" applyFont="1" applyBorder="1" applyAlignment="1">
      <alignment horizontal="left"/>
    </xf>
    <xf numFmtId="0" fontId="14" fillId="0" borderId="63" xfId="0" applyFont="1" applyBorder="1"/>
    <xf numFmtId="0" fontId="22" fillId="4" borderId="24" xfId="0" applyFont="1" applyFill="1" applyBorder="1" applyAlignment="1">
      <alignment horizontal="center"/>
    </xf>
    <xf numFmtId="0" fontId="14" fillId="0" borderId="23" xfId="0" applyFont="1" applyBorder="1"/>
    <xf numFmtId="0" fontId="22" fillId="0" borderId="24" xfId="0" applyFont="1" applyBorder="1" applyAlignment="1">
      <alignment horizontal="center"/>
    </xf>
    <xf numFmtId="0" fontId="20" fillId="0" borderId="22" xfId="0" applyFont="1" applyBorder="1" applyAlignment="1"/>
    <xf numFmtId="0" fontId="20" fillId="0" borderId="18" xfId="0" applyFont="1" applyBorder="1" applyAlignment="1">
      <alignment horizontal="center"/>
    </xf>
    <xf numFmtId="0" fontId="24" fillId="4" borderId="66" xfId="0" applyFont="1" applyFill="1" applyBorder="1" applyAlignment="1">
      <alignment horizontal="center"/>
    </xf>
    <xf numFmtId="0" fontId="24" fillId="4" borderId="45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164" fontId="12" fillId="5" borderId="22" xfId="0" applyNumberFormat="1" applyFont="1" applyFill="1" applyBorder="1" applyAlignment="1">
      <alignment horizontal="left"/>
    </xf>
    <xf numFmtId="49" fontId="23" fillId="0" borderId="0" xfId="0" applyNumberFormat="1" applyFont="1" applyAlignment="1">
      <alignment horizontal="center"/>
    </xf>
    <xf numFmtId="0" fontId="13" fillId="4" borderId="45" xfId="0" applyFont="1" applyFill="1" applyBorder="1" applyAlignment="1">
      <alignment horizontal="center"/>
    </xf>
    <xf numFmtId="164" fontId="12" fillId="0" borderId="45" xfId="0" applyNumberFormat="1" applyFont="1" applyBorder="1" applyAlignment="1">
      <alignment horizontal="left"/>
    </xf>
    <xf numFmtId="0" fontId="3" fillId="0" borderId="0" xfId="0" applyFont="1" applyAlignment="1">
      <alignment horizontal="center"/>
    </xf>
    <xf numFmtId="0" fontId="26" fillId="0" borderId="11" xfId="0" applyFont="1" applyBorder="1" applyAlignment="1">
      <alignment horizontal="left"/>
    </xf>
    <xf numFmtId="0" fontId="24" fillId="0" borderId="55" xfId="0" applyFont="1" applyBorder="1" applyAlignment="1">
      <alignment horizontal="center"/>
    </xf>
    <xf numFmtId="0" fontId="24" fillId="0" borderId="66" xfId="0" applyFont="1" applyBorder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</dxfs>
  <tableStyles count="2">
    <tableStyle name="ScoreDisp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ScoreDisp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L49">
  <tableColumns count="4">
    <tableColumn id="1" xr3:uid="{00000000-0010-0000-0000-000001000000}" name="Court"/>
    <tableColumn id="2" xr3:uid="{00000000-0010-0000-0000-000002000000}" name="Team Name"/>
    <tableColumn id="3" xr3:uid="{00000000-0010-0000-0000-000003000000}" name="Wins"/>
    <tableColumn id="4" xr3:uid="{00000000-0010-0000-0000-000004000000}" name="Overall Pts"/>
  </tableColumns>
  <tableStyleInfo name="ScoreDisp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4:E53">
  <tableColumns count="4">
    <tableColumn id="1" xr3:uid="{00000000-0010-0000-0100-000001000000}" name="Court"/>
    <tableColumn id="2" xr3:uid="{00000000-0010-0000-0100-000002000000}" name="Team Name"/>
    <tableColumn id="3" xr3:uid="{00000000-0010-0000-0100-000003000000}" name="Wins"/>
    <tableColumn id="4" xr3:uid="{00000000-0010-0000-0100-000004000000}" name="Overall Pts"/>
  </tableColumns>
  <tableStyleInfo name="ScoreDisp-style 2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55"/>
  <sheetViews>
    <sheetView workbookViewId="0">
      <selection sqref="A1:M1"/>
    </sheetView>
  </sheetViews>
  <sheetFormatPr baseColWidth="10" defaultColWidth="17.33203125" defaultRowHeight="15" customHeight="1" x14ac:dyDescent="0.2"/>
  <cols>
    <col min="1" max="1" width="6.83203125" customWidth="1"/>
    <col min="2" max="2" width="8.5" customWidth="1"/>
    <col min="3" max="3" width="31" customWidth="1"/>
    <col min="4" max="4" width="10.5" customWidth="1"/>
    <col min="5" max="5" width="12.1640625" customWidth="1"/>
    <col min="6" max="6" width="4.6640625" customWidth="1"/>
    <col min="7" max="7" width="5.5" customWidth="1"/>
    <col min="8" max="8" width="4.5" customWidth="1"/>
    <col min="9" max="9" width="10.83203125" customWidth="1"/>
    <col min="10" max="10" width="27.6640625" customWidth="1"/>
    <col min="11" max="11" width="12.1640625" customWidth="1"/>
    <col min="12" max="12" width="10" customWidth="1"/>
    <col min="13" max="13" width="5.1640625" customWidth="1"/>
    <col min="14" max="14" width="22.5" customWidth="1"/>
    <col min="15" max="15" width="10.83203125" customWidth="1"/>
    <col min="16" max="16" width="10.5" customWidth="1"/>
    <col min="17" max="17" width="12.1640625" customWidth="1"/>
    <col min="18" max="18" width="4.6640625" customWidth="1"/>
    <col min="19" max="19" width="22.33203125" customWidth="1"/>
    <col min="20" max="20" width="10.83203125" customWidth="1"/>
    <col min="21" max="21" width="10.5" customWidth="1"/>
    <col min="22" max="22" width="12.1640625" customWidth="1"/>
    <col min="23" max="23" width="4.5" customWidth="1"/>
  </cols>
  <sheetData>
    <row r="1" spans="1:22" ht="15" customHeight="1" x14ac:dyDescent="0.3">
      <c r="A1" s="137" t="s">
        <v>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7"/>
      <c r="O1" s="7"/>
      <c r="P1" s="7"/>
      <c r="Q1" s="7"/>
      <c r="R1" s="7"/>
      <c r="S1" s="7"/>
      <c r="T1" s="7"/>
      <c r="U1" s="7"/>
      <c r="V1" s="7"/>
    </row>
    <row r="2" spans="1:22" ht="15" customHeight="1" x14ac:dyDescent="0.25">
      <c r="A2" s="135" t="s">
        <v>12</v>
      </c>
      <c r="B2" s="136"/>
      <c r="C2" s="136"/>
      <c r="D2" s="136"/>
      <c r="E2" s="136"/>
      <c r="F2" s="136"/>
      <c r="G2" s="10"/>
      <c r="H2" s="135" t="s">
        <v>14</v>
      </c>
      <c r="I2" s="136"/>
      <c r="J2" s="136"/>
      <c r="K2" s="136"/>
      <c r="L2" s="136"/>
      <c r="M2" s="136"/>
    </row>
    <row r="3" spans="1:22" x14ac:dyDescent="0.2">
      <c r="A3" s="12"/>
      <c r="B3" s="19"/>
      <c r="C3" s="22"/>
      <c r="D3" s="22"/>
      <c r="E3" s="19"/>
      <c r="F3" s="23"/>
      <c r="G3" s="10"/>
      <c r="H3" s="12"/>
      <c r="I3" s="19"/>
      <c r="J3" s="22"/>
      <c r="K3" s="22"/>
      <c r="L3" s="19"/>
      <c r="M3" s="23"/>
    </row>
    <row r="4" spans="1:22" x14ac:dyDescent="0.2">
      <c r="A4" s="24"/>
      <c r="B4" s="25" t="s">
        <v>83</v>
      </c>
      <c r="C4" s="25" t="s">
        <v>102</v>
      </c>
      <c r="D4" s="25" t="s">
        <v>104</v>
      </c>
      <c r="E4" s="25" t="s">
        <v>105</v>
      </c>
      <c r="F4" s="26"/>
      <c r="G4" s="10"/>
      <c r="H4" s="24"/>
      <c r="I4" s="25" t="s">
        <v>83</v>
      </c>
      <c r="J4" s="25" t="s">
        <v>102</v>
      </c>
      <c r="K4" s="25" t="s">
        <v>104</v>
      </c>
      <c r="L4" s="25" t="s">
        <v>105</v>
      </c>
      <c r="M4" s="26"/>
    </row>
    <row r="5" spans="1:22" x14ac:dyDescent="0.2">
      <c r="A5" s="24"/>
      <c r="B5" s="25"/>
      <c r="C5" s="25" t="s">
        <v>32</v>
      </c>
      <c r="D5" s="27"/>
      <c r="E5" s="25"/>
      <c r="F5" s="26"/>
      <c r="G5" s="10"/>
      <c r="H5" s="24"/>
      <c r="I5" s="25" t="s">
        <v>3</v>
      </c>
      <c r="J5" s="25" t="s">
        <v>44</v>
      </c>
      <c r="K5" s="27"/>
      <c r="L5" s="25"/>
      <c r="M5" s="26"/>
    </row>
    <row r="6" spans="1:22" x14ac:dyDescent="0.2">
      <c r="A6" s="24"/>
      <c r="B6" s="25"/>
      <c r="C6" s="25" t="s">
        <v>15</v>
      </c>
      <c r="D6" s="25"/>
      <c r="E6" s="25"/>
      <c r="F6" s="26"/>
      <c r="G6" s="10"/>
      <c r="H6" s="24"/>
      <c r="I6" s="25" t="s">
        <v>3</v>
      </c>
      <c r="J6" s="25" t="s">
        <v>120</v>
      </c>
      <c r="K6" s="25"/>
      <c r="L6" s="25"/>
      <c r="M6" s="26"/>
    </row>
    <row r="7" spans="1:22" x14ac:dyDescent="0.2">
      <c r="A7" s="29"/>
      <c r="B7" s="25"/>
      <c r="C7" s="25" t="s">
        <v>51</v>
      </c>
      <c r="D7" s="27"/>
      <c r="E7" s="27"/>
      <c r="F7" s="26"/>
      <c r="G7" s="10"/>
      <c r="H7" s="29"/>
      <c r="I7" s="25" t="s">
        <v>3</v>
      </c>
      <c r="J7" s="25" t="s">
        <v>62</v>
      </c>
      <c r="K7" s="27"/>
      <c r="L7" s="27"/>
      <c r="M7" s="26"/>
    </row>
    <row r="8" spans="1:22" x14ac:dyDescent="0.2">
      <c r="A8" s="29"/>
      <c r="B8" s="25"/>
      <c r="C8" s="25" t="s">
        <v>64</v>
      </c>
      <c r="D8" s="27"/>
      <c r="E8" s="27"/>
      <c r="F8" s="26"/>
      <c r="G8" s="10"/>
      <c r="H8" s="29"/>
      <c r="I8" s="25" t="s">
        <v>3</v>
      </c>
      <c r="J8" s="25" t="s">
        <v>121</v>
      </c>
      <c r="K8" s="27"/>
      <c r="L8" s="27"/>
      <c r="M8" s="26"/>
    </row>
    <row r="9" spans="1:22" x14ac:dyDescent="0.2">
      <c r="A9" s="29"/>
      <c r="B9" s="25"/>
      <c r="C9" s="25" t="s">
        <v>41</v>
      </c>
      <c r="D9" s="27"/>
      <c r="E9" s="27"/>
      <c r="F9" s="26"/>
      <c r="G9" s="10"/>
      <c r="H9" s="29"/>
      <c r="I9" s="25" t="s">
        <v>3</v>
      </c>
      <c r="J9" s="25" t="s">
        <v>122</v>
      </c>
      <c r="K9" s="27"/>
      <c r="L9" s="27"/>
      <c r="M9" s="26"/>
    </row>
    <row r="10" spans="1:22" x14ac:dyDescent="0.2">
      <c r="A10" s="29"/>
      <c r="B10" s="25"/>
      <c r="C10" s="25" t="s">
        <v>30</v>
      </c>
      <c r="D10" s="27"/>
      <c r="E10" s="27"/>
      <c r="F10" s="26"/>
      <c r="G10" s="10"/>
      <c r="H10" s="29"/>
      <c r="I10" s="25" t="s">
        <v>4</v>
      </c>
      <c r="J10" s="25" t="s">
        <v>123</v>
      </c>
      <c r="K10" s="27"/>
      <c r="L10" s="27"/>
      <c r="M10" s="26"/>
    </row>
    <row r="11" spans="1:22" x14ac:dyDescent="0.2">
      <c r="A11" s="29"/>
      <c r="B11" s="25"/>
      <c r="C11" s="25" t="s">
        <v>16</v>
      </c>
      <c r="D11" s="27"/>
      <c r="E11" s="27"/>
      <c r="F11" s="26"/>
      <c r="G11" s="10"/>
      <c r="H11" s="29"/>
      <c r="I11" s="25" t="s">
        <v>4</v>
      </c>
      <c r="J11" s="25" t="s">
        <v>37</v>
      </c>
      <c r="K11" s="27"/>
      <c r="L11" s="27"/>
      <c r="M11" s="26"/>
    </row>
    <row r="12" spans="1:22" x14ac:dyDescent="0.2">
      <c r="A12" s="29"/>
      <c r="B12" s="25"/>
      <c r="C12" s="25" t="s">
        <v>59</v>
      </c>
      <c r="D12" s="27"/>
      <c r="E12" s="27"/>
      <c r="F12" s="26"/>
      <c r="G12" s="10"/>
      <c r="H12" s="29"/>
      <c r="I12" s="25" t="s">
        <v>4</v>
      </c>
      <c r="J12" s="25" t="s">
        <v>57</v>
      </c>
      <c r="K12" s="25"/>
      <c r="L12" s="25"/>
      <c r="M12" s="26"/>
    </row>
    <row r="13" spans="1:22" x14ac:dyDescent="0.2">
      <c r="A13" s="24"/>
      <c r="B13" s="25"/>
      <c r="C13" s="25" t="s">
        <v>40</v>
      </c>
      <c r="D13" s="27"/>
      <c r="E13" s="25"/>
      <c r="F13" s="26"/>
      <c r="G13" s="10"/>
      <c r="H13" s="24"/>
      <c r="I13" s="25" t="s">
        <v>4</v>
      </c>
      <c r="J13" s="25" t="s">
        <v>85</v>
      </c>
      <c r="K13" s="27"/>
      <c r="L13" s="25"/>
      <c r="M13" s="26"/>
    </row>
    <row r="14" spans="1:22" x14ac:dyDescent="0.2">
      <c r="A14" s="24"/>
      <c r="B14" s="25"/>
      <c r="C14" s="25" t="s">
        <v>93</v>
      </c>
      <c r="D14" s="25"/>
      <c r="E14" s="25"/>
      <c r="F14" s="26"/>
      <c r="G14" s="10"/>
      <c r="H14" s="24"/>
      <c r="I14" s="25" t="s">
        <v>4</v>
      </c>
      <c r="J14" s="25" t="s">
        <v>124</v>
      </c>
      <c r="K14" s="25"/>
      <c r="L14" s="25"/>
      <c r="M14" s="26"/>
    </row>
    <row r="15" spans="1:22" x14ac:dyDescent="0.2">
      <c r="A15" s="30"/>
      <c r="B15" s="31"/>
      <c r="C15" s="25" t="s">
        <v>81</v>
      </c>
      <c r="D15" s="27"/>
      <c r="E15" s="27"/>
      <c r="F15" s="26"/>
      <c r="G15" s="10"/>
      <c r="H15" s="30"/>
      <c r="I15" s="25" t="s">
        <v>5</v>
      </c>
      <c r="J15" s="25" t="s">
        <v>125</v>
      </c>
      <c r="K15" s="27"/>
      <c r="L15" s="27"/>
      <c r="M15" s="26"/>
    </row>
    <row r="16" spans="1:22" x14ac:dyDescent="0.2">
      <c r="A16" s="29"/>
      <c r="B16" s="25"/>
      <c r="C16" s="25" t="s">
        <v>33</v>
      </c>
      <c r="D16" s="27"/>
      <c r="E16" s="27"/>
      <c r="F16" s="26"/>
      <c r="G16" s="10"/>
      <c r="H16" s="29"/>
      <c r="I16" s="25" t="s">
        <v>5</v>
      </c>
      <c r="J16" s="25" t="s">
        <v>72</v>
      </c>
      <c r="K16" s="27"/>
      <c r="L16" s="27"/>
      <c r="M16" s="26"/>
    </row>
    <row r="17" spans="1:13" x14ac:dyDescent="0.2">
      <c r="A17" s="29"/>
      <c r="B17" s="25"/>
      <c r="C17" s="25" t="s">
        <v>46</v>
      </c>
      <c r="D17" s="27"/>
      <c r="E17" s="27"/>
      <c r="F17" s="26"/>
      <c r="G17" s="10"/>
      <c r="H17" s="29"/>
      <c r="I17" s="25" t="s">
        <v>5</v>
      </c>
      <c r="J17" s="25" t="s">
        <v>86</v>
      </c>
      <c r="K17" s="27"/>
      <c r="L17" s="27"/>
      <c r="M17" s="26"/>
    </row>
    <row r="18" spans="1:13" x14ac:dyDescent="0.2">
      <c r="A18" s="29"/>
      <c r="B18" s="25"/>
      <c r="C18" s="25" t="s">
        <v>38</v>
      </c>
      <c r="D18" s="27"/>
      <c r="E18" s="27"/>
      <c r="F18" s="26"/>
      <c r="G18" s="10"/>
      <c r="H18" s="29"/>
      <c r="I18" s="25" t="s">
        <v>5</v>
      </c>
      <c r="J18" s="25" t="s">
        <v>55</v>
      </c>
      <c r="K18" s="27"/>
      <c r="L18" s="27"/>
      <c r="M18" s="26"/>
    </row>
    <row r="19" spans="1:13" x14ac:dyDescent="0.2">
      <c r="A19" s="29"/>
      <c r="B19" s="25"/>
      <c r="C19" s="25" t="s">
        <v>113</v>
      </c>
      <c r="D19" s="27"/>
      <c r="E19" s="27"/>
      <c r="F19" s="26"/>
      <c r="G19" s="10"/>
      <c r="H19" s="29"/>
      <c r="I19" s="25" t="s">
        <v>5</v>
      </c>
      <c r="J19" s="25" t="s">
        <v>130</v>
      </c>
      <c r="K19" s="27"/>
      <c r="L19" s="27"/>
      <c r="M19" s="26"/>
    </row>
    <row r="20" spans="1:13" x14ac:dyDescent="0.2">
      <c r="A20" s="29"/>
      <c r="B20" s="25"/>
      <c r="C20" s="25" t="s">
        <v>36</v>
      </c>
      <c r="D20" s="27"/>
      <c r="E20" s="27"/>
      <c r="F20" s="26"/>
      <c r="G20" s="10"/>
      <c r="H20" s="29"/>
      <c r="I20" s="25" t="s">
        <v>6</v>
      </c>
      <c r="J20" s="25" t="s">
        <v>131</v>
      </c>
      <c r="K20" s="25"/>
      <c r="L20" s="25"/>
      <c r="M20" s="26"/>
    </row>
    <row r="21" spans="1:13" x14ac:dyDescent="0.2">
      <c r="A21" s="24"/>
      <c r="B21" s="25"/>
      <c r="C21" s="25" t="s">
        <v>29</v>
      </c>
      <c r="D21" s="27"/>
      <c r="E21" s="25"/>
      <c r="F21" s="26"/>
      <c r="G21" s="10"/>
      <c r="H21" s="24"/>
      <c r="I21" s="25" t="s">
        <v>6</v>
      </c>
      <c r="J21" s="25" t="s">
        <v>132</v>
      </c>
      <c r="K21" s="27"/>
      <c r="L21" s="25"/>
      <c r="M21" s="26"/>
    </row>
    <row r="22" spans="1:13" x14ac:dyDescent="0.2">
      <c r="A22" s="24"/>
      <c r="B22" s="25"/>
      <c r="C22" s="25" t="s">
        <v>49</v>
      </c>
      <c r="D22" s="25"/>
      <c r="E22" s="25"/>
      <c r="F22" s="26"/>
      <c r="G22" s="10"/>
      <c r="H22" s="24"/>
      <c r="I22" s="25" t="s">
        <v>6</v>
      </c>
      <c r="J22" s="25" t="s">
        <v>94</v>
      </c>
      <c r="K22" s="25"/>
      <c r="L22" s="25"/>
      <c r="M22" s="26"/>
    </row>
    <row r="23" spans="1:13" x14ac:dyDescent="0.2">
      <c r="A23" s="30"/>
      <c r="B23" s="31"/>
      <c r="C23" s="25" t="s">
        <v>50</v>
      </c>
      <c r="D23" s="27"/>
      <c r="E23" s="27"/>
      <c r="F23" s="26"/>
      <c r="G23" s="10"/>
      <c r="H23" s="30"/>
      <c r="I23" s="25" t="s">
        <v>6</v>
      </c>
      <c r="J23" s="25" t="s">
        <v>31</v>
      </c>
      <c r="K23" s="27"/>
      <c r="L23" s="27"/>
      <c r="M23" s="26"/>
    </row>
    <row r="24" spans="1:13" x14ac:dyDescent="0.2">
      <c r="A24" s="29"/>
      <c r="B24" s="25"/>
      <c r="C24" s="25" t="s">
        <v>63</v>
      </c>
      <c r="D24" s="27"/>
      <c r="E24" s="27"/>
      <c r="F24" s="26"/>
      <c r="G24" s="10"/>
      <c r="H24" s="29"/>
      <c r="I24" s="25" t="s">
        <v>6</v>
      </c>
      <c r="J24" s="25" t="s">
        <v>133</v>
      </c>
      <c r="K24" s="27"/>
      <c r="L24" s="27"/>
      <c r="M24" s="26"/>
    </row>
    <row r="25" spans="1:13" x14ac:dyDescent="0.2">
      <c r="A25" s="29"/>
      <c r="B25" s="25"/>
      <c r="C25" s="25" t="s">
        <v>91</v>
      </c>
      <c r="D25" s="27"/>
      <c r="E25" s="27"/>
      <c r="F25" s="26"/>
      <c r="G25" s="10"/>
      <c r="H25" s="29"/>
      <c r="I25" s="25" t="s">
        <v>7</v>
      </c>
      <c r="J25" s="25" t="s">
        <v>134</v>
      </c>
      <c r="K25" s="27"/>
      <c r="L25" s="27"/>
      <c r="M25" s="26"/>
    </row>
    <row r="26" spans="1:13" x14ac:dyDescent="0.2">
      <c r="A26" s="29"/>
      <c r="B26" s="25"/>
      <c r="C26" s="25" t="s">
        <v>66</v>
      </c>
      <c r="D26" s="27"/>
      <c r="E26" s="27"/>
      <c r="F26" s="26"/>
      <c r="G26" s="10"/>
      <c r="H26" s="29"/>
      <c r="I26" s="25" t="s">
        <v>7</v>
      </c>
      <c r="J26" s="25" t="s">
        <v>68</v>
      </c>
      <c r="K26" s="27"/>
      <c r="L26" s="27"/>
      <c r="M26" s="26"/>
    </row>
    <row r="27" spans="1:13" x14ac:dyDescent="0.2">
      <c r="A27" s="29"/>
      <c r="B27" s="25"/>
      <c r="C27" s="25" t="s">
        <v>118</v>
      </c>
      <c r="D27" s="27"/>
      <c r="E27" s="27"/>
      <c r="F27" s="26"/>
      <c r="G27" s="10"/>
      <c r="H27" s="29"/>
      <c r="I27" s="25" t="s">
        <v>7</v>
      </c>
      <c r="J27" s="25" t="s">
        <v>135</v>
      </c>
      <c r="K27" s="27"/>
      <c r="L27" s="27"/>
      <c r="M27" s="26"/>
    </row>
    <row r="28" spans="1:13" x14ac:dyDescent="0.2">
      <c r="A28" s="29"/>
      <c r="B28" s="25"/>
      <c r="C28" s="25" t="s">
        <v>116</v>
      </c>
      <c r="D28" s="27"/>
      <c r="E28" s="27"/>
      <c r="F28" s="26"/>
      <c r="G28" s="10"/>
      <c r="H28" s="29"/>
      <c r="I28" s="25" t="s">
        <v>7</v>
      </c>
      <c r="J28" s="25" t="s">
        <v>42</v>
      </c>
      <c r="K28" s="25"/>
      <c r="L28" s="25"/>
      <c r="M28" s="26"/>
    </row>
    <row r="29" spans="1:13" x14ac:dyDescent="0.2">
      <c r="A29" s="24"/>
      <c r="B29" s="25"/>
      <c r="C29" s="25" t="s">
        <v>45</v>
      </c>
      <c r="D29" s="27"/>
      <c r="E29" s="25"/>
      <c r="F29" s="26"/>
      <c r="G29" s="10"/>
      <c r="H29" s="24"/>
      <c r="I29" s="25" t="s">
        <v>7</v>
      </c>
      <c r="J29" s="25" t="s">
        <v>136</v>
      </c>
      <c r="K29" s="27"/>
      <c r="L29" s="25"/>
      <c r="M29" s="26"/>
    </row>
    <row r="30" spans="1:13" x14ac:dyDescent="0.2">
      <c r="A30" s="24"/>
      <c r="B30" s="25"/>
      <c r="C30" s="25" t="s">
        <v>137</v>
      </c>
      <c r="D30" s="25"/>
      <c r="E30" s="25"/>
      <c r="F30" s="26"/>
      <c r="G30" s="10"/>
      <c r="H30" s="24"/>
      <c r="I30" s="25" t="s">
        <v>8</v>
      </c>
      <c r="J30" s="25" t="s">
        <v>95</v>
      </c>
      <c r="K30" s="25"/>
      <c r="L30" s="25"/>
      <c r="M30" s="26"/>
    </row>
    <row r="31" spans="1:13" x14ac:dyDescent="0.2">
      <c r="A31" s="30"/>
      <c r="B31" s="31"/>
      <c r="C31" s="25" t="s">
        <v>39</v>
      </c>
      <c r="D31" s="27"/>
      <c r="E31" s="27"/>
      <c r="F31" s="26"/>
      <c r="G31" s="10"/>
      <c r="H31" s="30"/>
      <c r="I31" s="25" t="s">
        <v>8</v>
      </c>
      <c r="J31" s="25" t="s">
        <v>138</v>
      </c>
      <c r="K31" s="27"/>
      <c r="L31" s="27"/>
      <c r="M31" s="26"/>
    </row>
    <row r="32" spans="1:13" x14ac:dyDescent="0.2">
      <c r="A32" s="29"/>
      <c r="B32" s="25"/>
      <c r="C32" s="25" t="s">
        <v>35</v>
      </c>
      <c r="D32" s="27"/>
      <c r="E32" s="27"/>
      <c r="F32" s="26"/>
      <c r="G32" s="10"/>
      <c r="H32" s="29"/>
      <c r="I32" s="25" t="s">
        <v>8</v>
      </c>
      <c r="J32" s="25" t="s">
        <v>139</v>
      </c>
      <c r="K32" s="27"/>
      <c r="L32" s="27"/>
      <c r="M32" s="26"/>
    </row>
    <row r="33" spans="1:13" x14ac:dyDescent="0.2">
      <c r="A33" s="30"/>
      <c r="B33" s="31"/>
      <c r="C33" s="25" t="s">
        <v>89</v>
      </c>
      <c r="D33" s="27"/>
      <c r="E33" s="27"/>
      <c r="F33" s="26"/>
      <c r="G33" s="10"/>
      <c r="H33" s="30"/>
      <c r="I33" s="25" t="s">
        <v>8</v>
      </c>
      <c r="J33" s="25" t="s">
        <v>43</v>
      </c>
      <c r="K33" s="27"/>
      <c r="L33" s="27"/>
      <c r="M33" s="26"/>
    </row>
    <row r="34" spans="1:13" x14ac:dyDescent="0.2">
      <c r="A34" s="29"/>
      <c r="B34" s="25"/>
      <c r="C34" s="25" t="s">
        <v>27</v>
      </c>
      <c r="D34" s="27"/>
      <c r="E34" s="27"/>
      <c r="F34" s="26"/>
      <c r="G34" s="10"/>
      <c r="H34" s="29"/>
      <c r="I34" s="25" t="s">
        <v>8</v>
      </c>
      <c r="J34" s="25" t="s">
        <v>140</v>
      </c>
      <c r="K34" s="27"/>
      <c r="L34" s="27"/>
      <c r="M34" s="26"/>
    </row>
    <row r="35" spans="1:13" x14ac:dyDescent="0.2">
      <c r="A35" s="29"/>
      <c r="B35" s="25"/>
      <c r="C35" s="25" t="s">
        <v>141</v>
      </c>
      <c r="D35" s="27"/>
      <c r="E35" s="27"/>
      <c r="F35" s="26"/>
      <c r="G35" s="10"/>
      <c r="H35" s="29"/>
      <c r="I35" s="25" t="s">
        <v>9</v>
      </c>
      <c r="J35" s="25" t="s">
        <v>115</v>
      </c>
      <c r="K35" s="27"/>
      <c r="L35" s="27"/>
      <c r="M35" s="26"/>
    </row>
    <row r="36" spans="1:13" x14ac:dyDescent="0.2">
      <c r="A36" s="29"/>
      <c r="B36" s="25" t="s">
        <v>3</v>
      </c>
      <c r="C36" s="25" t="s">
        <v>62</v>
      </c>
      <c r="D36" s="27"/>
      <c r="E36" s="27"/>
      <c r="F36" s="26"/>
      <c r="G36" s="10"/>
      <c r="H36" s="29"/>
      <c r="I36" s="25" t="s">
        <v>9</v>
      </c>
      <c r="J36" s="25" t="s">
        <v>142</v>
      </c>
      <c r="K36" s="25"/>
      <c r="L36" s="25"/>
      <c r="M36" s="26"/>
    </row>
    <row r="37" spans="1:13" x14ac:dyDescent="0.2">
      <c r="A37" s="24"/>
      <c r="B37" s="25" t="s">
        <v>4</v>
      </c>
      <c r="C37" s="25" t="s">
        <v>37</v>
      </c>
      <c r="D37" s="27"/>
      <c r="E37" s="25"/>
      <c r="F37" s="26"/>
      <c r="G37" s="10"/>
      <c r="H37" s="24"/>
      <c r="I37" s="25" t="s">
        <v>9</v>
      </c>
      <c r="J37" s="25" t="s">
        <v>143</v>
      </c>
      <c r="K37" s="27"/>
      <c r="L37" s="25"/>
      <c r="M37" s="26"/>
    </row>
    <row r="38" spans="1:13" x14ac:dyDescent="0.2">
      <c r="A38" s="24"/>
      <c r="B38" s="25" t="s">
        <v>4</v>
      </c>
      <c r="C38" s="25" t="s">
        <v>57</v>
      </c>
      <c r="D38" s="25"/>
      <c r="E38" s="25"/>
      <c r="F38" s="26"/>
      <c r="G38" s="10"/>
      <c r="H38" s="24"/>
      <c r="I38" s="25" t="s">
        <v>9</v>
      </c>
      <c r="J38" s="25" t="s">
        <v>53</v>
      </c>
      <c r="K38" s="25"/>
      <c r="L38" s="25"/>
      <c r="M38" s="26"/>
    </row>
    <row r="39" spans="1:13" x14ac:dyDescent="0.2">
      <c r="A39" s="30"/>
      <c r="B39" s="31" t="s">
        <v>4</v>
      </c>
      <c r="C39" s="25" t="s">
        <v>85</v>
      </c>
      <c r="D39" s="27"/>
      <c r="E39" s="27"/>
      <c r="F39" s="26"/>
      <c r="G39" s="10"/>
      <c r="H39" s="30"/>
      <c r="I39" s="25" t="s">
        <v>9</v>
      </c>
      <c r="J39" s="25" t="s">
        <v>144</v>
      </c>
      <c r="K39" s="27"/>
      <c r="L39" s="27"/>
      <c r="M39" s="26"/>
    </row>
    <row r="40" spans="1:13" x14ac:dyDescent="0.2">
      <c r="A40" s="30"/>
      <c r="B40" s="31" t="s">
        <v>5</v>
      </c>
      <c r="C40" s="25" t="s">
        <v>72</v>
      </c>
      <c r="D40" s="27"/>
      <c r="E40" s="27"/>
      <c r="F40" s="26"/>
      <c r="G40" s="10"/>
      <c r="H40" s="30"/>
      <c r="I40" s="25" t="s">
        <v>10</v>
      </c>
      <c r="J40" s="25" t="s">
        <v>119</v>
      </c>
      <c r="K40" s="27"/>
      <c r="L40" s="27"/>
      <c r="M40" s="26"/>
    </row>
    <row r="41" spans="1:13" x14ac:dyDescent="0.2">
      <c r="A41" s="30"/>
      <c r="B41" s="31" t="s">
        <v>5</v>
      </c>
      <c r="C41" s="25" t="s">
        <v>86</v>
      </c>
      <c r="D41" s="27"/>
      <c r="E41" s="27"/>
      <c r="F41" s="26"/>
      <c r="G41" s="10"/>
      <c r="H41" s="30"/>
      <c r="I41" s="25" t="s">
        <v>10</v>
      </c>
      <c r="J41" s="25" t="s">
        <v>73</v>
      </c>
      <c r="K41" s="27"/>
      <c r="L41" s="27"/>
      <c r="M41" s="26"/>
    </row>
    <row r="42" spans="1:13" x14ac:dyDescent="0.2">
      <c r="A42" s="30"/>
      <c r="B42" s="31" t="s">
        <v>5</v>
      </c>
      <c r="C42" s="25" t="s">
        <v>55</v>
      </c>
      <c r="D42" s="27"/>
      <c r="E42" s="27"/>
      <c r="F42" s="26"/>
      <c r="G42" s="10"/>
      <c r="H42" s="30"/>
      <c r="I42" s="25" t="s">
        <v>10</v>
      </c>
      <c r="J42" s="25" t="s">
        <v>114</v>
      </c>
      <c r="K42" s="27"/>
      <c r="L42" s="27"/>
      <c r="M42" s="26"/>
    </row>
    <row r="43" spans="1:13" x14ac:dyDescent="0.2">
      <c r="A43" s="30"/>
      <c r="B43" s="31" t="s">
        <v>6</v>
      </c>
      <c r="C43" s="25" t="s">
        <v>94</v>
      </c>
      <c r="D43" s="27"/>
      <c r="E43" s="27"/>
      <c r="F43" s="26"/>
      <c r="G43" s="10"/>
      <c r="H43" s="30"/>
      <c r="I43" s="25" t="s">
        <v>10</v>
      </c>
      <c r="J43" s="25" t="s">
        <v>145</v>
      </c>
      <c r="K43" s="27"/>
      <c r="L43" s="25"/>
      <c r="M43" s="26"/>
    </row>
    <row r="44" spans="1:13" x14ac:dyDescent="0.2">
      <c r="A44" s="29"/>
      <c r="B44" s="25" t="s">
        <v>6</v>
      </c>
      <c r="C44" s="25" t="s">
        <v>31</v>
      </c>
      <c r="D44" s="27"/>
      <c r="E44" s="27"/>
      <c r="F44" s="26"/>
      <c r="G44" s="10"/>
      <c r="H44" s="29"/>
      <c r="I44" s="25" t="s">
        <v>10</v>
      </c>
      <c r="J44" s="25" t="s">
        <v>146</v>
      </c>
      <c r="K44" s="25"/>
      <c r="L44" s="25"/>
      <c r="M44" s="26"/>
    </row>
    <row r="45" spans="1:13" x14ac:dyDescent="0.2">
      <c r="A45" s="29"/>
      <c r="B45" s="25" t="s">
        <v>7</v>
      </c>
      <c r="C45" s="25" t="s">
        <v>68</v>
      </c>
      <c r="D45" s="27"/>
      <c r="E45" s="27"/>
      <c r="F45" s="26"/>
      <c r="G45" s="10"/>
      <c r="H45" s="29"/>
      <c r="I45" s="25" t="s">
        <v>11</v>
      </c>
      <c r="J45" s="25" t="s">
        <v>79</v>
      </c>
      <c r="K45" s="27"/>
      <c r="L45" s="27"/>
      <c r="M45" s="26"/>
    </row>
    <row r="46" spans="1:13" x14ac:dyDescent="0.2">
      <c r="A46" s="29"/>
      <c r="B46" s="25" t="s">
        <v>7</v>
      </c>
      <c r="C46" s="25" t="s">
        <v>42</v>
      </c>
      <c r="D46" s="27"/>
      <c r="E46" s="27"/>
      <c r="F46" s="26"/>
      <c r="G46" s="10"/>
      <c r="H46" s="29"/>
      <c r="I46" s="25" t="s">
        <v>11</v>
      </c>
      <c r="J46" s="25" t="s">
        <v>47</v>
      </c>
      <c r="K46" s="27"/>
      <c r="L46" s="27"/>
      <c r="M46" s="26"/>
    </row>
    <row r="47" spans="1:13" x14ac:dyDescent="0.2">
      <c r="A47" s="29"/>
      <c r="B47" s="25" t="s">
        <v>8</v>
      </c>
      <c r="C47" s="25" t="s">
        <v>139</v>
      </c>
      <c r="D47" s="27"/>
      <c r="E47" s="27"/>
      <c r="F47" s="26"/>
      <c r="G47" s="10"/>
      <c r="H47" s="29"/>
      <c r="I47" s="25" t="s">
        <v>11</v>
      </c>
      <c r="J47" s="25" t="s">
        <v>69</v>
      </c>
      <c r="K47" s="27"/>
      <c r="L47" s="27"/>
      <c r="M47" s="26"/>
    </row>
    <row r="48" spans="1:13" x14ac:dyDescent="0.2">
      <c r="A48" s="29"/>
      <c r="B48" s="25" t="s">
        <v>8</v>
      </c>
      <c r="C48" s="25" t="s">
        <v>43</v>
      </c>
      <c r="D48" s="27"/>
      <c r="E48" s="27"/>
      <c r="F48" s="26"/>
      <c r="G48" s="10"/>
      <c r="H48" s="29"/>
      <c r="I48" s="25" t="s">
        <v>11</v>
      </c>
      <c r="J48" s="25" t="s">
        <v>74</v>
      </c>
      <c r="K48" s="27"/>
      <c r="L48" s="27"/>
      <c r="M48" s="26"/>
    </row>
    <row r="49" spans="1:13" x14ac:dyDescent="0.2">
      <c r="A49" s="29"/>
      <c r="B49" s="25" t="s">
        <v>9</v>
      </c>
      <c r="C49" s="25" t="s">
        <v>53</v>
      </c>
      <c r="D49" s="27"/>
      <c r="E49" s="27"/>
      <c r="F49" s="26"/>
      <c r="G49" s="10"/>
      <c r="H49" s="29"/>
      <c r="I49" s="25" t="s">
        <v>11</v>
      </c>
      <c r="J49" s="25" t="s">
        <v>147</v>
      </c>
      <c r="K49" s="27"/>
      <c r="L49" s="27"/>
      <c r="M49" s="26"/>
    </row>
    <row r="50" spans="1:13" x14ac:dyDescent="0.2">
      <c r="A50" s="29"/>
      <c r="B50" s="25" t="s">
        <v>10</v>
      </c>
      <c r="C50" s="25" t="s">
        <v>73</v>
      </c>
      <c r="D50" s="34"/>
      <c r="E50" s="34"/>
      <c r="F50" s="26"/>
      <c r="G50" s="10"/>
      <c r="H50" s="35"/>
      <c r="I50" s="36"/>
      <c r="J50" s="36"/>
      <c r="K50" s="36"/>
      <c r="L50" s="36"/>
      <c r="M50" s="37"/>
    </row>
    <row r="51" spans="1:13" x14ac:dyDescent="0.2">
      <c r="A51" s="29"/>
      <c r="B51" s="25" t="s">
        <v>10</v>
      </c>
      <c r="C51" s="25" t="s">
        <v>114</v>
      </c>
      <c r="D51" s="34"/>
      <c r="E51" s="34"/>
      <c r="F51" s="26"/>
      <c r="G51" s="10"/>
      <c r="H51" s="10"/>
      <c r="I51" s="10"/>
      <c r="J51" s="10"/>
      <c r="K51" s="10"/>
      <c r="L51" s="10"/>
      <c r="M51" s="10"/>
    </row>
    <row r="52" spans="1:13" x14ac:dyDescent="0.2">
      <c r="A52" s="29"/>
      <c r="B52" s="25" t="s">
        <v>11</v>
      </c>
      <c r="C52" s="25" t="s">
        <v>47</v>
      </c>
      <c r="D52" s="34"/>
      <c r="E52" s="34"/>
      <c r="F52" s="26"/>
      <c r="G52" s="10"/>
      <c r="H52" s="10"/>
      <c r="I52" s="10"/>
      <c r="J52" s="10"/>
      <c r="K52" s="10"/>
      <c r="L52" s="10"/>
      <c r="M52" s="10"/>
    </row>
    <row r="53" spans="1:13" x14ac:dyDescent="0.2">
      <c r="A53" s="29"/>
      <c r="B53" s="25" t="s">
        <v>11</v>
      </c>
      <c r="C53" s="25" t="s">
        <v>69</v>
      </c>
      <c r="D53" s="34"/>
      <c r="E53" s="34"/>
      <c r="F53" s="26"/>
      <c r="G53" s="10"/>
      <c r="H53" s="10"/>
      <c r="I53" s="10"/>
      <c r="J53" s="10"/>
      <c r="K53" s="10"/>
      <c r="L53" s="10"/>
      <c r="M53" s="10"/>
    </row>
    <row r="54" spans="1:13" x14ac:dyDescent="0.2">
      <c r="A54" s="35"/>
      <c r="B54" s="36"/>
      <c r="C54" s="36"/>
      <c r="D54" s="36"/>
      <c r="E54" s="36"/>
      <c r="F54" s="37"/>
      <c r="G54" s="10"/>
      <c r="H54" s="10"/>
      <c r="I54" s="10"/>
      <c r="J54" s="10"/>
      <c r="K54" s="10"/>
      <c r="L54" s="10"/>
      <c r="M54" s="10"/>
    </row>
    <row r="55" spans="1:13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</sheetData>
  <mergeCells count="3">
    <mergeCell ref="A2:F2"/>
    <mergeCell ref="H2:M2"/>
    <mergeCell ref="A1:M1"/>
  </mergeCells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R31"/>
  <sheetViews>
    <sheetView showGridLines="0" workbookViewId="0"/>
  </sheetViews>
  <sheetFormatPr baseColWidth="10" defaultColWidth="17.33203125" defaultRowHeight="15" customHeight="1" x14ac:dyDescent="0.2"/>
  <cols>
    <col min="1" max="1" width="4.1640625" customWidth="1"/>
    <col min="2" max="2" width="3.5" customWidth="1"/>
    <col min="3" max="3" width="25.6640625" customWidth="1"/>
    <col min="4" max="4" width="4.5" customWidth="1"/>
    <col min="5" max="5" width="3.33203125" customWidth="1"/>
    <col min="6" max="6" width="10.33203125" customWidth="1"/>
    <col min="7" max="7" width="9.6640625" customWidth="1"/>
    <col min="8" max="9" width="3.33203125" hidden="1" customWidth="1"/>
    <col min="10" max="14" width="3.33203125" customWidth="1"/>
    <col min="15" max="15" width="13.33203125" customWidth="1"/>
    <col min="16" max="16" width="13.1640625" customWidth="1"/>
    <col min="17" max="19" width="4" customWidth="1"/>
    <col min="20" max="22" width="3.33203125" customWidth="1"/>
    <col min="23" max="23" width="4" customWidth="1"/>
    <col min="24" max="25" width="3.33203125" customWidth="1"/>
    <col min="26" max="27" width="4" customWidth="1"/>
    <col min="28" max="31" width="3.33203125" customWidth="1"/>
    <col min="32" max="32" width="4.5" customWidth="1"/>
    <col min="33" max="33" width="15.33203125" customWidth="1"/>
    <col min="34" max="34" width="12.1640625" customWidth="1"/>
    <col min="35" max="35" width="13.1640625" customWidth="1"/>
    <col min="36" max="36" width="4.1640625" customWidth="1"/>
    <col min="37" max="37" width="7.1640625" customWidth="1"/>
    <col min="38" max="38" width="2.1640625" customWidth="1"/>
    <col min="39" max="39" width="7.1640625" customWidth="1"/>
    <col min="40" max="40" width="6.5" customWidth="1"/>
    <col min="41" max="44" width="8.83203125" customWidth="1"/>
  </cols>
  <sheetData>
    <row r="1" spans="1:44" ht="30.75" customHeight="1" x14ac:dyDescent="0.35">
      <c r="A1" s="180" t="s">
        <v>152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38"/>
      <c r="AI1" s="39"/>
      <c r="AJ1" s="39"/>
      <c r="AK1" s="39"/>
      <c r="AL1" s="39"/>
      <c r="AM1" s="39"/>
      <c r="AN1" s="39"/>
      <c r="AO1" s="1"/>
      <c r="AP1" s="1"/>
      <c r="AQ1" s="1"/>
      <c r="AR1" s="1"/>
    </row>
    <row r="2" spans="1:44" ht="30.75" customHeight="1" x14ac:dyDescent="0.35">
      <c r="A2" s="202" t="str">
        <f>+'Men''s Master'!E3</f>
        <v>CT04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38"/>
      <c r="AI2" s="39"/>
      <c r="AJ2" s="39"/>
      <c r="AK2" s="39"/>
      <c r="AL2" s="39"/>
      <c r="AM2" s="39"/>
      <c r="AN2" s="39"/>
      <c r="AO2" s="1"/>
      <c r="AP2" s="1"/>
      <c r="AQ2" s="1"/>
      <c r="AR2" s="1"/>
    </row>
    <row r="3" spans="1:44" ht="42.75" customHeight="1" x14ac:dyDescent="0.45">
      <c r="A3" s="197" t="str">
        <f>RIGHT(A2,2)</f>
        <v>04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40"/>
      <c r="AI3" s="41" t="s">
        <v>153</v>
      </c>
      <c r="AJ3" s="41"/>
      <c r="AK3" s="41"/>
      <c r="AL3" s="41"/>
      <c r="AM3" s="41"/>
      <c r="AN3" s="41"/>
      <c r="AO3" s="5"/>
      <c r="AP3" s="5"/>
      <c r="AQ3" s="5"/>
      <c r="AR3" s="5" t="s">
        <v>154</v>
      </c>
    </row>
    <row r="4" spans="1:44" ht="27" customHeight="1" x14ac:dyDescent="0.2">
      <c r="A4" s="42"/>
      <c r="B4" s="179" t="s">
        <v>102</v>
      </c>
      <c r="C4" s="173"/>
      <c r="D4" s="173"/>
      <c r="E4" s="155" t="s">
        <v>155</v>
      </c>
      <c r="F4" s="156"/>
      <c r="G4" s="156"/>
      <c r="H4" s="156"/>
      <c r="I4" s="157"/>
      <c r="J4" s="165" t="s">
        <v>156</v>
      </c>
      <c r="K4" s="156"/>
      <c r="L4" s="156"/>
      <c r="M4" s="156"/>
      <c r="N4" s="166"/>
      <c r="O4" s="43" t="s">
        <v>157</v>
      </c>
      <c r="P4" s="44" t="s">
        <v>158</v>
      </c>
      <c r="Q4" s="45"/>
      <c r="R4" s="194" t="s">
        <v>159</v>
      </c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53"/>
      <c r="AG4" s="46" t="s">
        <v>160</v>
      </c>
      <c r="AH4" s="47" t="s">
        <v>161</v>
      </c>
      <c r="AI4" s="47" t="s">
        <v>162</v>
      </c>
      <c r="AJ4" s="193" t="s">
        <v>163</v>
      </c>
      <c r="AK4" s="153"/>
      <c r="AL4" s="47" t="s">
        <v>164</v>
      </c>
      <c r="AM4" s="48"/>
      <c r="AN4" s="190" t="s">
        <v>165</v>
      </c>
      <c r="AO4" s="191"/>
      <c r="AP4" s="192" t="s">
        <v>166</v>
      </c>
      <c r="AQ4" s="191"/>
      <c r="AR4" s="50" t="s">
        <v>167</v>
      </c>
    </row>
    <row r="5" spans="1:44" ht="15.75" customHeight="1" x14ac:dyDescent="0.2">
      <c r="A5" s="51">
        <f t="shared" ref="A5:A9" si="0">AR5</f>
        <v>4</v>
      </c>
      <c r="B5" s="203" t="str">
        <f>'Men''s Master'!E4</f>
        <v>NJ Vikings Blue</v>
      </c>
      <c r="C5" s="173"/>
      <c r="D5" s="173"/>
      <c r="E5" s="171">
        <f>SUM(IF(AG14=B5,1,0),IF(AG16=C16,1,0),IF(AG19=C19,1,0),IF(AG22=C22,1,0))</f>
        <v>1</v>
      </c>
      <c r="F5" s="162"/>
      <c r="G5" s="162"/>
      <c r="H5" s="162"/>
      <c r="I5" s="153"/>
      <c r="J5" s="169">
        <f>SUM(IF(AG14=C14,0,1),IF(AG16=C16,0,1),IF(AG19=C19,0,1),IF(AG22=C22,0,1))</f>
        <v>3</v>
      </c>
      <c r="K5" s="162"/>
      <c r="L5" s="162"/>
      <c r="M5" s="162"/>
      <c r="N5" s="170"/>
      <c r="O5" s="53">
        <f>SUM(IF(AD5&gt;0,1,0),IF(AE5&gt;0,1,0),IF(AF5&gt;0,1,0),IF(U5&gt;0,1,0),IF(V5&gt;0,1,0),IF(W5&gt;0,1,0),IF(X5&gt;0,1,0),IF(Y5&gt;0,1,0),IF(Z5&gt;0,1,0),IF(AA5&gt;0,1,0),IF(AB5&gt;0,1,0),IF(AC5&gt;0,1,0))</f>
        <v>3</v>
      </c>
      <c r="P5" s="52">
        <f>SUM(IF(AD5&lt;0,1,0),IF(AE5&lt;0,1,0),IF(AF5&lt;0,1,0),IF(U5&lt;0,1,0),IF(V5&lt;0,1,0),IF(W5&lt;0,1,0),IF(X5&lt;0,1,0),IF(Y5&lt;0,1,0),IF(Z5&lt;0,1,0),IF(AA5&lt;0,1,0),IF(AB5&lt;0,1,0),IF(AC5&lt;0,1,0))</f>
        <v>5</v>
      </c>
      <c r="Q5" s="54">
        <f>1+SUM(IF(O5&lt;O6,1,0),IF(O5&lt;O7,1,0),IF(O5&lt;O8,1,0),IF(O5&lt;O9,1,0))</f>
        <v>4</v>
      </c>
      <c r="R5" s="55"/>
      <c r="S5" s="56"/>
      <c r="T5" s="56"/>
      <c r="U5" s="57">
        <f>Q14-T14</f>
        <v>-6</v>
      </c>
      <c r="V5" s="57">
        <f>V14-Y14</f>
        <v>-3</v>
      </c>
      <c r="W5" s="57">
        <f>AA14-AD14</f>
        <v>0</v>
      </c>
      <c r="X5" s="57">
        <f>Q19-T19</f>
        <v>1</v>
      </c>
      <c r="Y5" s="57">
        <f>V19-Y19</f>
        <v>-10</v>
      </c>
      <c r="Z5" s="57">
        <f>AA19-AD19</f>
        <v>0</v>
      </c>
      <c r="AA5" s="58">
        <f>Q22-T22</f>
        <v>5</v>
      </c>
      <c r="AB5" s="58">
        <f>V22-Y22</f>
        <v>3</v>
      </c>
      <c r="AC5" s="58">
        <f>AA22-AD22</f>
        <v>0</v>
      </c>
      <c r="AD5" s="58">
        <f>Q16-T16</f>
        <v>-10</v>
      </c>
      <c r="AE5" s="58">
        <f>V16-Y16</f>
        <v>-10</v>
      </c>
      <c r="AF5" s="58">
        <f>AA16-AD16</f>
        <v>0</v>
      </c>
      <c r="AG5" s="58" t="b">
        <f>IF(Q5=Q6,IF(SUM(U5:W5)&gt;0,B5,B6),  IF(Q5=Q7,IF(SUM(X5:Z5)&gt;0, B5,B7),IF(Q5=Q8,IF(SUM(AA5:AC5)&gt;0, B5,B8),IF(Q5=Q9,IF(SUM(AD5:AF5)&lt;0,B5,B9)))))</f>
        <v>0</v>
      </c>
      <c r="AH5" s="58" t="b">
        <f>IF(Q5=Q6,IF(SUM(U5:W5)&lt;0,B5,B6),  IF(Q5=Q7,IF(SUM(X5:Z5)&lt;0, B5,B7),IF(Q5=Q8,IF(SUM(AA5:AC5)&lt;0, B5,B8),IF(Q5=Q9, IF(SUM(AD5:AF5)&lt;0,B5,B9)))))</f>
        <v>0</v>
      </c>
      <c r="AI5" s="60">
        <f t="shared" ref="AI5:AI9" si="1">Q5+IF(COUNTIF($AG$5:$AG$9,B5)&gt;0,0, IF(COUNTIF($AH$5:$AH$9,B5)&gt;0,1,0))</f>
        <v>4</v>
      </c>
      <c r="AJ5" s="61">
        <f t="shared" ref="AJ5:AJ9" si="2">SUM(R5:AF5)</f>
        <v>-30</v>
      </c>
      <c r="AK5" s="62">
        <f>1+SUM(IF(AJ5&lt;AJ6,1,0),IF(AJ5&lt;AJ7,1,0),IF(AJ5&lt;AJ8,1,0),IF(AJ5&lt;AJ9,1,0))</f>
        <v>4</v>
      </c>
      <c r="AL5" s="63">
        <f t="shared" ref="AL5:AL9" si="3">IF(SUM(E5,J5)=0,0,E5/(E5+J5))</f>
        <v>0.25</v>
      </c>
      <c r="AM5" s="62">
        <f>1+SUM(IF(AL5&lt;AL6,1,0),IF(AL5&lt;AL7,1,0),IF(AL5&lt;AL8,1,0),IF(AL5&lt;AL9,1,0))</f>
        <v>4</v>
      </c>
      <c r="AN5" s="64">
        <f t="shared" ref="AN5:AN9" si="4">IF(SUM(O5+P5)=0,0,O5/(O5+P5))</f>
        <v>0.375</v>
      </c>
      <c r="AO5" s="65">
        <f>1+SUM(IF(AN5&lt;AN6,1,0),IF(AN5&lt;AN7,1,0),IF(AN5&lt;AN8,1,0),IF(AN5&lt;AN9,1,0))</f>
        <v>4</v>
      </c>
      <c r="AP5" s="106">
        <f t="shared" ref="AP5:AP9" si="5">AJ5/SUM(O5:P5)</f>
        <v>-3.75</v>
      </c>
      <c r="AQ5" s="67">
        <f>1+SUM(IF(AP5&lt;AP6,1,0),IF(AP5&lt;AP7,1,0),IF(AP5&lt;AP8,1,0),IF(AP5&lt;AP9,1,0))</f>
        <v>4</v>
      </c>
      <c r="AR5" s="68">
        <f>1+SUM(IF(Q5&gt;Q6,1,IF(AND(Q5=Q6,AK5&gt;AK6),1,IF(AND(Q5=Q6,AK5=AK6),1,0))),IF(Q5&gt;Q7,1,IF(AND(Q5=Q7,AK5&gt;AK7),1,IF(AND(Q5=Q7,AK5=AK7),1,0))),IF(Q5&gt;Q8,1,IF(AND(Q5=Q8,AK5&gt;AK8),1,IF(AND(Q5=Q8,AK5=AK8),1,0))),IF(Q5&gt;Q9,1,IF(AND(Q5=Q9,AK5&gt;AK9),1,IF(AND(Q5=Q9,AK5=AK9),1,0))))</f>
        <v>4</v>
      </c>
    </row>
    <row r="6" spans="1:44" ht="15.75" customHeight="1" x14ac:dyDescent="0.2">
      <c r="A6" s="51">
        <f t="shared" si="0"/>
        <v>2</v>
      </c>
      <c r="B6" s="203" t="str">
        <f>+'Men''s Master'!E5</f>
        <v>DC MVP A</v>
      </c>
      <c r="C6" s="173"/>
      <c r="D6" s="173"/>
      <c r="E6" s="171">
        <f>SUM(IF(AG14=E14,1,0),IF(AG17=C17,1,0),IF(AG20=C20,1,0),IF(AG23=C23,1,0))</f>
        <v>3</v>
      </c>
      <c r="F6" s="162"/>
      <c r="G6" s="162"/>
      <c r="H6" s="162"/>
      <c r="I6" s="153"/>
      <c r="J6" s="169">
        <f>SUM(IF(AG14=E14,0,1),IF(AG17=C17,0,1),IF(AG20=C20,0,1),IF(AG23=C23,0,1))</f>
        <v>1</v>
      </c>
      <c r="K6" s="162"/>
      <c r="L6" s="162"/>
      <c r="M6" s="162"/>
      <c r="N6" s="170"/>
      <c r="O6" s="53">
        <f>SUM(IF(AD6&gt;0,1,0),IF(AE6&gt;0,1,0),IF(AF6&gt;0,1,0),IF(R6&gt;0,1,0),IF(S6&gt;0,1,0),IF(T6&gt;0,1,0),IF(X6&gt;0,1,0),IF(Y6&gt;0,1,0),IF(Z6&gt;0,1,0),IF(AA6&gt;0,1,0),IF(AB6&gt;0,1,0),IF(AC6&gt;0,1,0))</f>
        <v>6</v>
      </c>
      <c r="P6" s="52">
        <f>SUM(IF(AD6&lt;0,1,0),IF(AE6&lt;0,1,0),IF(AF6&lt;0,1,0),IF(R6&lt;0,1,0),IF(S6&lt;0,1,0),IF(T6&lt;0,1,0),IF(X6&lt;0,1,0),IF(Y6&lt;0,1,0),IF(Z6&lt;0,1,0),IF(AA6&lt;0,1,0),IF(AB6&lt;0,1,0),IF(AC6&lt;0,1,0))</f>
        <v>2</v>
      </c>
      <c r="Q6" s="54">
        <f>1+SUM(IF(O6&lt;O5,1,0),IF(O6&lt;O7,1,0),IF(O6&lt;O8,1,0),IF(O6&lt;O9,1,0))</f>
        <v>1</v>
      </c>
      <c r="R6" s="69">
        <f t="shared" ref="R6:T6" si="6">-U5</f>
        <v>6</v>
      </c>
      <c r="S6" s="58">
        <f t="shared" si="6"/>
        <v>3</v>
      </c>
      <c r="T6" s="58">
        <f t="shared" si="6"/>
        <v>0</v>
      </c>
      <c r="U6" s="56"/>
      <c r="V6" s="56"/>
      <c r="W6" s="56"/>
      <c r="X6" s="57">
        <f>Q17-T17</f>
        <v>6</v>
      </c>
      <c r="Y6" s="57">
        <f>V17-Y17</f>
        <v>-2</v>
      </c>
      <c r="Z6" s="57">
        <f>AA17-AD17</f>
        <v>0</v>
      </c>
      <c r="AA6" s="58">
        <f>Q20-T20</f>
        <v>10</v>
      </c>
      <c r="AB6" s="58">
        <f>V20-Y20</f>
        <v>12</v>
      </c>
      <c r="AC6" s="58">
        <f>AA20-AD20</f>
        <v>0</v>
      </c>
      <c r="AD6" s="58">
        <f>Q23-T23</f>
        <v>-2</v>
      </c>
      <c r="AE6" s="58">
        <f>V23-Y23</f>
        <v>1</v>
      </c>
      <c r="AF6" s="58">
        <f>AA23-AD23</f>
        <v>0</v>
      </c>
      <c r="AG6" s="58" t="str">
        <f>IF(Q6=Q7,IF(SUM(X6:Z6)&gt;0,B6,B7),IF(Q6=Q8,IF(SUM(AA6:AC6)&gt;0,B6,B8),IF(Q6=Q9,IF(SUM(AD6:AF6)&gt;0, B6,B9))))</f>
        <v>Toronto LEGACY</v>
      </c>
      <c r="AH6" s="58" t="str">
        <f>IF(Q6=Q7,IF(SUM(X6:Z6)&lt;0,B6,B7),IF(Q6=Q8,IF(SUM(AA6:AC6)&lt;0,B6,B8),IF(Q6=Q9,IF(SUM(AD6:AF6)&lt;0, B6,B9))))</f>
        <v>DC MVP A</v>
      </c>
      <c r="AI6" s="60">
        <f t="shared" si="1"/>
        <v>2</v>
      </c>
      <c r="AJ6" s="61">
        <f t="shared" si="2"/>
        <v>34</v>
      </c>
      <c r="AK6" s="62">
        <f>1+SUM(IF(AJ6&lt;AJ5,1,0),IF(AJ6&lt;AJ7,1,0),IF(AJ6&lt;AJ8,1,0),IF(AJ6&lt;AJ9,1,0))</f>
        <v>2</v>
      </c>
      <c r="AL6" s="63">
        <f t="shared" si="3"/>
        <v>0.75</v>
      </c>
      <c r="AM6" s="62">
        <f>1+SUM(IF(AL6&lt;AL5,1,0),IF(AL6&lt;AL7,1,0),IF(AL6&lt;AL8,1,0),IF(AL6&lt;AL9,1,0))</f>
        <v>1</v>
      </c>
      <c r="AN6" s="64">
        <f t="shared" si="4"/>
        <v>0.75</v>
      </c>
      <c r="AO6" s="65">
        <f>1+SUM(IF(AN6&lt;AN5,1,0),IF(AN6&lt;AN7,1,0),IF(AN6&lt;AN8,1,0),IF(AN6&lt;AN9,1,0))</f>
        <v>1</v>
      </c>
      <c r="AP6" s="106">
        <f t="shared" si="5"/>
        <v>4.25</v>
      </c>
      <c r="AQ6" s="70">
        <f>1+SUM(IF(AP6&lt;AP5,1,0),IF(AP6&lt;AP7,1,0),IF(AP6&lt;AP8,1,0),IF(AP6&lt;AP9,1,0))</f>
        <v>2</v>
      </c>
      <c r="AR6" s="68">
        <f>1+SUM(IF(Q6&gt;Q5,1,IF(AND(Q6=Q5,AK6&gt;AK5),1,IF(AND(Q6=Q5,AK6=AK5),1,0))),IF(Q6&gt;Q7,1,IF(AND(Q6=Q7,AK6&gt;AK7),1,IF(AND(Q6=Q7,AK6=AK7),1,0))),IF(Q6&gt;Q8,1,IF(AND(Q6=Q8,AK6&gt;AK8),1,IF(AND(Q6=Q8,AK6=AK8),1,0))),IF(Q6&gt;Q9,1,IF(AND(Q6=Q9,AK6&gt;AK9),1,IF(AND(Q6=Q9,AK6=AK9),1,0))))</f>
        <v>2</v>
      </c>
    </row>
    <row r="7" spans="1:44" ht="15.75" customHeight="1" x14ac:dyDescent="0.2">
      <c r="A7" s="51">
        <f t="shared" si="0"/>
        <v>3</v>
      </c>
      <c r="B7" s="203" t="str">
        <f>+'Men''s Master'!E6</f>
        <v>NY Freemason B</v>
      </c>
      <c r="C7" s="173"/>
      <c r="D7" s="173"/>
      <c r="E7" s="171">
        <f>SUM(IF(AG15=C15,1,0),IF(AG17=E17,1,0),IF(AG19=E19,1,0),IF(AG21=C21,1,0))</f>
        <v>3</v>
      </c>
      <c r="F7" s="162"/>
      <c r="G7" s="162"/>
      <c r="H7" s="162"/>
      <c r="I7" s="153"/>
      <c r="J7" s="169">
        <f>SUM(IF(AG15=C15,0,1),IF(AG17=E17,0,1),IF(AG19=E19,0,1),IF(AG21=C21,0,1))</f>
        <v>1</v>
      </c>
      <c r="K7" s="162"/>
      <c r="L7" s="162"/>
      <c r="M7" s="162"/>
      <c r="N7" s="170"/>
      <c r="O7" s="53">
        <f>SUM(IF(AD7&gt;0,1,0),IF(AE7&gt;0,1,0),IF(AF7&gt;0,1,0),IF(U7&gt;0,1,0),IF(V7&gt;0,1,0),IF(W7&gt;0,1,0),IF(R7&gt;0,1,0),IF(S7&gt;0,1,0),IF(T7&gt;0,1,0),IF(AA7&gt;0,1,0),IF(AB7&gt;0,1,0),IF(AC7&gt;0,1,0))</f>
        <v>5</v>
      </c>
      <c r="P7" s="52">
        <f>SUM(IF(AD7&lt;0,1,0),IF(AE7&lt;0,1,0),IF(AF7&lt;0,1,0),IF(U7&lt;0,1,0),IF(V7&lt;0,1,0),IF(W7&lt;0,1,0),IF(R7&lt;0,1,0),IF(S7&lt;0,1,0),IF(T7&lt;0,1,0),IF(AA7&lt;0,1,0),IF(AB7&lt;0,1,0),IF(AC7&lt;0,1,0))</f>
        <v>3</v>
      </c>
      <c r="Q7" s="54">
        <f>1+SUM(IF(O7&lt;O6,1,0),IF(O7&lt;O5,1,0),IF(O7&lt;O8,1,0),IF(O7&lt;O9,1,0))</f>
        <v>3</v>
      </c>
      <c r="R7" s="69">
        <f t="shared" ref="R7:T7" si="7">-X5</f>
        <v>-1</v>
      </c>
      <c r="S7" s="58">
        <f t="shared" si="7"/>
        <v>10</v>
      </c>
      <c r="T7" s="58">
        <f t="shared" si="7"/>
        <v>0</v>
      </c>
      <c r="U7" s="58">
        <f t="shared" ref="U7:W7" si="8">-X6</f>
        <v>-6</v>
      </c>
      <c r="V7" s="58">
        <f t="shared" si="8"/>
        <v>2</v>
      </c>
      <c r="W7" s="58">
        <f t="shared" si="8"/>
        <v>0</v>
      </c>
      <c r="X7" s="71"/>
      <c r="Y7" s="71"/>
      <c r="Z7" s="71"/>
      <c r="AA7" s="58">
        <f>Q15-T15</f>
        <v>9</v>
      </c>
      <c r="AB7" s="58">
        <f>V15-Y15</f>
        <v>4</v>
      </c>
      <c r="AC7" s="58">
        <f>AA15-AD15</f>
        <v>0</v>
      </c>
      <c r="AD7" s="58">
        <f>Q21-T21</f>
        <v>-3</v>
      </c>
      <c r="AE7" s="58">
        <f>V21-Y21</f>
        <v>6</v>
      </c>
      <c r="AF7" s="58">
        <f>AA21-AD21</f>
        <v>0</v>
      </c>
      <c r="AG7" s="58" t="b">
        <f>IF(Q7=Q8,IF(SUM(AA7:AC7)&gt;0,B7,B8),IF(Q7=Q9,IF(SUM(AD7:AF7)&gt;0,B7,B9)))</f>
        <v>0</v>
      </c>
      <c r="AH7" s="58" t="b">
        <f>IF(Q7=Q8,IF(SUM(AA7:AC7)&lt;0,B7,B8),IF(Q7=Q9,IF(SUM(AD7:AF7)&lt;0,B7,B9)))</f>
        <v>0</v>
      </c>
      <c r="AI7" s="60">
        <f t="shared" si="1"/>
        <v>3</v>
      </c>
      <c r="AJ7" s="61">
        <f t="shared" si="2"/>
        <v>21</v>
      </c>
      <c r="AK7" s="62">
        <f>1+SUM(IF(AJ7&lt;AJ6,1,0),IF(AJ7&lt;AJ5,1,0),IF(AJ7&lt;AJ8,1,0),IF(AJ7&lt;AJ9,1,0))</f>
        <v>3</v>
      </c>
      <c r="AL7" s="63">
        <f t="shared" si="3"/>
        <v>0.75</v>
      </c>
      <c r="AM7" s="62">
        <f>1+SUM(IF(AL7&lt;AL6,1,0),IF(AL7&lt;AL5,1,0),IF(AL7&lt;AL8,1,0),IF(AL7&lt;AL9,1,0))</f>
        <v>1</v>
      </c>
      <c r="AN7" s="64">
        <f t="shared" si="4"/>
        <v>0.625</v>
      </c>
      <c r="AO7" s="65">
        <f>1+SUM(IF(AN7&lt;AN6,1,0),IF(AN7&lt;AN5,1,0),IF(AN7&lt;AN8,1,0),IF(AN7&lt;AN9,1,0))</f>
        <v>3</v>
      </c>
      <c r="AP7" s="106">
        <f t="shared" si="5"/>
        <v>2.625</v>
      </c>
      <c r="AQ7" s="70">
        <f>1+SUM(IF(AP7&lt;AP6,1,0),IF(AP7&lt;AP5,1,0),IF(AP7&lt;AP8,1,0),IF(AP7&lt;AP9,1,0))</f>
        <v>3</v>
      </c>
      <c r="AR7" s="68">
        <f>1+SUM(IF(Q7&gt;Q5,1,IF(AND(Q7=Q5,AK7&gt;AK5),1,IF(AND(Q7=Q5,AK7=AK5),1,0))),IF(Q7&gt;Q6,1,IF(AND(Q7=Q6,AK7&gt;AK6),1,IF(AND(Q7=Q6,AK7=AK6),1,0))),IF(Q7&gt;Q8,1,IF(AND(Q7=Q8,AK7&gt;AK8),1,IF(AND(Q7=Q8,AK7=AK8),1,0))),IF(Q7&gt;Q9,1,IF(AND(Q7=Q9,AK7&gt;AK9),1,IF(AND(Q7=Q9,AK7=AK9),1,0))))</f>
        <v>3</v>
      </c>
    </row>
    <row r="8" spans="1:44" ht="15.75" customHeight="1" x14ac:dyDescent="0.2">
      <c r="A8" s="51">
        <f t="shared" si="0"/>
        <v>5</v>
      </c>
      <c r="B8" s="203" t="str">
        <f>+'Men''s Master'!E7</f>
        <v>NY Strangers Blue</v>
      </c>
      <c r="C8" s="173"/>
      <c r="D8" s="173"/>
      <c r="E8" s="171">
        <f>SUM(IF(AG15=E15,1,0),IF(AG18=C18,1,0),IF(AG20=E20,1,0),IF(AG22=E22,1,0))</f>
        <v>0</v>
      </c>
      <c r="F8" s="162"/>
      <c r="G8" s="162"/>
      <c r="H8" s="162"/>
      <c r="I8" s="153"/>
      <c r="J8" s="169">
        <f>SUM(IF(AG15=E15,0,1),IF(AG18=C18,0,1),IF(AG20=E20,0,1),IF(AG22=E22,0,1))</f>
        <v>4</v>
      </c>
      <c r="K8" s="162"/>
      <c r="L8" s="162"/>
      <c r="M8" s="162"/>
      <c r="N8" s="170"/>
      <c r="O8" s="53">
        <f>SUM(IF(AD8&gt;0,1,0),IF(AE8&gt;0,1,0),IF(AF8&gt;0,1,0),IF(U8&gt;0,1,0),IF(V8&gt;0,1,0),IF(W8&gt;0,1,0),IF(X8&gt;0,1,0),IF(Y8&gt;0,1,0),IF(Z8&gt;0,1,0),IF(R8&gt;0,1,0),IF(S8&gt;0,1,0),IF(T8&gt;0,1,0))</f>
        <v>0</v>
      </c>
      <c r="P8" s="52">
        <f>SUM(IF(AD8&lt;0,1,0),IF(AE8&lt;0,1,0),IF(AF8&lt;0,1,0),IF(U8&lt;0,1,0),IF(V8&lt;0,1,0),IF(W8&lt;0,1,0),IF(R8&lt;0,1,0),IF(S8&lt;0,1,0),IF(T8&lt;0,1,0),IF(X8&lt;0,1,0),IF(Y8&lt;0,1,0),IF(Z8&lt;0,1,0))</f>
        <v>8</v>
      </c>
      <c r="Q8" s="54">
        <f>1+SUM(IF(O8&lt;O6,1,0),IF(O8&lt;O7,1,0),IF(O8&lt;O5,1,0),IF(O8&lt;O9,1,0))</f>
        <v>5</v>
      </c>
      <c r="R8" s="69">
        <f t="shared" ref="R8:T8" si="9">-AA5</f>
        <v>-5</v>
      </c>
      <c r="S8" s="58">
        <f t="shared" si="9"/>
        <v>-3</v>
      </c>
      <c r="T8" s="58">
        <f t="shared" si="9"/>
        <v>0</v>
      </c>
      <c r="U8" s="58">
        <f t="shared" ref="U8:W8" si="10">-AA6</f>
        <v>-10</v>
      </c>
      <c r="V8" s="58">
        <f t="shared" si="10"/>
        <v>-12</v>
      </c>
      <c r="W8" s="58">
        <f t="shared" si="10"/>
        <v>0</v>
      </c>
      <c r="X8" s="58">
        <f t="shared" ref="X8:Z8" si="11">-AA7</f>
        <v>-9</v>
      </c>
      <c r="Y8" s="58">
        <f t="shared" si="11"/>
        <v>-4</v>
      </c>
      <c r="Z8" s="58">
        <f t="shared" si="11"/>
        <v>0</v>
      </c>
      <c r="AA8" s="71"/>
      <c r="AB8" s="71"/>
      <c r="AC8" s="71"/>
      <c r="AD8" s="58">
        <f>Q18-T18</f>
        <v>-12</v>
      </c>
      <c r="AE8" s="58">
        <f>V18-Y18</f>
        <v>-12</v>
      </c>
      <c r="AF8" s="58">
        <f>AA18-AD18</f>
        <v>0</v>
      </c>
      <c r="AG8" s="58" t="b">
        <f>IF(Q8=Q9,IF(SUM(AD8:AF8)&gt;0,B8,B9))</f>
        <v>0</v>
      </c>
      <c r="AH8" s="58" t="b">
        <f>IF(R8=R9,IF(SUM(AE8:AG8)&lt;0,C8,C9))</f>
        <v>0</v>
      </c>
      <c r="AI8" s="60">
        <f t="shared" si="1"/>
        <v>5</v>
      </c>
      <c r="AJ8" s="61">
        <f t="shared" si="2"/>
        <v>-67</v>
      </c>
      <c r="AK8" s="72">
        <f>1+SUM(IF(AJ8&lt;AJ6,1,0),IF(AJ8&lt;AJ7,1,0),IF(AJ8&lt;AJ5,1,0),IF(AJ8&lt;AJ9,1,0))</f>
        <v>5</v>
      </c>
      <c r="AL8" s="63">
        <f t="shared" si="3"/>
        <v>0</v>
      </c>
      <c r="AM8" s="72">
        <f>1+SUM(IF(AL8&lt;AL6,1,0),IF(AL8&lt;AL7,1,0),IF(AL8&lt;AL5,1,0),IF(AL8&lt;AL9,1,0))</f>
        <v>5</v>
      </c>
      <c r="AN8" s="64">
        <f t="shared" si="4"/>
        <v>0</v>
      </c>
      <c r="AO8" s="65">
        <f>1+SUM(IF(AN8&lt;AN6,1,0),IF(AN8&lt;AN7,1,0),IF(AN8&lt;AN5,1,0),IF(AN8&lt;AN9,1,0))</f>
        <v>5</v>
      </c>
      <c r="AP8" s="106">
        <f t="shared" si="5"/>
        <v>-8.375</v>
      </c>
      <c r="AQ8" s="73">
        <f>1+SUM(IF(AP8&lt;AP6,1,0),IF(AP8&lt;AP7,1,0),IF(AP8&lt;AP5,1,0),IF(AP8&lt;AP9,1,0))</f>
        <v>5</v>
      </c>
      <c r="AR8" s="68">
        <f>1+SUM(IF(Q8&gt;Q5,1,IF(AND(Q8=Q5,AK8&gt;AK5),1,IF(AND(Q8=Q5,AK8=AK5),1,0))),IF(Q8&gt;Q6,1,IF(AND(Q8=Q6,AK8&gt;AK6),1,IF(AND(Q8=Q6,AK8=AK6),1,0))),IF(Q8&gt;Q7,1,IF(AND(Q8=Q7,AK8&gt;AK7),1,IF(AND(Q8=Q7,AK8=AK7),1,0))),IF(Q8&gt;Q9,1,IF(AND(Q8=Q9,AK8&gt;AK9),1,IF(AND(Q8=Q9,AK8=AK9),1,0))))</f>
        <v>5</v>
      </c>
    </row>
    <row r="9" spans="1:44" ht="15.75" customHeight="1" x14ac:dyDescent="0.2">
      <c r="A9" s="51">
        <f t="shared" si="0"/>
        <v>1</v>
      </c>
      <c r="B9" s="203" t="str">
        <f>+'Men''s Master'!E8</f>
        <v>Toronto LEGACY</v>
      </c>
      <c r="C9" s="173"/>
      <c r="D9" s="173"/>
      <c r="E9" s="171">
        <f>SUM(IF(AG16=E16,1,0),IF(AG18=E18,1,0),IF(AG21=E21,1,0),IF(AG23=E23,1,0))</f>
        <v>3</v>
      </c>
      <c r="F9" s="162"/>
      <c r="G9" s="162"/>
      <c r="H9" s="162"/>
      <c r="I9" s="153"/>
      <c r="J9" s="169">
        <f>SUM(IF(AG16=E16,0,1),IF(AG18=E18,0,1),IF(AG21=E21,0,1),IF(AG23=E23,0,1))</f>
        <v>1</v>
      </c>
      <c r="K9" s="162"/>
      <c r="L9" s="162"/>
      <c r="M9" s="162"/>
      <c r="N9" s="170"/>
      <c r="O9" s="53">
        <f>SUM(IF(R9&gt;0,1,0),IF(S9&gt;0,1,0),IF(T9&gt;0,1,0),IF(U9&gt;0,1,0),IF(V9&gt;0,1,0),IF(W9&gt;0,1,0),IF(X9&gt;0,1,0),IF(Y9&gt;0,1,0),IF(Z9&gt;0,1,0),IF(AA9&gt;0,1,0),IF(AB9&gt;0,1,0),IF(AC9&gt;0,1,0))</f>
        <v>6</v>
      </c>
      <c r="P9" s="52">
        <f>SUM(IF(R9&lt;0,1,0),IF(S9&lt;0,1,0),IF(T9&lt;0,1,0),IF(U9&lt;0,1,0),IF(V9&lt;0,1,0),IF(W9&lt;0,1,0),IF(X9&lt;0,1,0),IF(Y9&lt;0,1,0),IF(Z9&lt;0,1,0),IF(AA9&lt;0,1,0),IF(AB9&lt;0,1,0),IF(AC9&lt;0,1,0))</f>
        <v>2</v>
      </c>
      <c r="Q9" s="54">
        <f>1+SUM(IF(O9&lt;O6,1,0),IF(O9&lt;O7,1,0),IF(O9&lt;O8,1,0),IF(O9&lt;O5,1,0))</f>
        <v>1</v>
      </c>
      <c r="R9" s="74">
        <f t="shared" ref="R9:T9" si="12">-AD5</f>
        <v>10</v>
      </c>
      <c r="S9" s="75">
        <f t="shared" si="12"/>
        <v>10</v>
      </c>
      <c r="T9" s="75">
        <f t="shared" si="12"/>
        <v>0</v>
      </c>
      <c r="U9" s="75">
        <f t="shared" ref="U9:W9" si="13">-AD6</f>
        <v>2</v>
      </c>
      <c r="V9" s="75">
        <f t="shared" si="13"/>
        <v>-1</v>
      </c>
      <c r="W9" s="75">
        <f t="shared" si="13"/>
        <v>0</v>
      </c>
      <c r="X9" s="75">
        <f t="shared" ref="X9:Z9" si="14">-AD7</f>
        <v>3</v>
      </c>
      <c r="Y9" s="75">
        <f t="shared" si="14"/>
        <v>-6</v>
      </c>
      <c r="Z9" s="75">
        <f t="shared" si="14"/>
        <v>0</v>
      </c>
      <c r="AA9" s="75">
        <f t="shared" ref="AA9:AC9" si="15">-AD8</f>
        <v>12</v>
      </c>
      <c r="AB9" s="75">
        <f t="shared" si="15"/>
        <v>12</v>
      </c>
      <c r="AC9" s="75">
        <f t="shared" si="15"/>
        <v>0</v>
      </c>
      <c r="AD9" s="76"/>
      <c r="AE9" s="76"/>
      <c r="AF9" s="76"/>
      <c r="AG9" s="77" t="s">
        <v>168</v>
      </c>
      <c r="AH9" s="77" t="s">
        <v>168</v>
      </c>
      <c r="AI9" s="60">
        <f t="shared" si="1"/>
        <v>1</v>
      </c>
      <c r="AJ9" s="78">
        <f t="shared" si="2"/>
        <v>42</v>
      </c>
      <c r="AK9" s="72">
        <f>1+SUM(IF(AJ9&lt;AJ6,1,0),IF(AJ9&lt;AJ7,1,0),IF(AJ9&lt;AJ8,1,0),IF(AJ9&lt;AJ5,1,0))</f>
        <v>1</v>
      </c>
      <c r="AL9" s="79">
        <f t="shared" si="3"/>
        <v>0.75</v>
      </c>
      <c r="AM9" s="72">
        <f>1+SUM(IF(AL9&lt;AL6,1,0),IF(AL9&lt;AL7,1,0),IF(AL9&lt;AL8,1,0),IF(AL9&lt;AL5,1,0))</f>
        <v>1</v>
      </c>
      <c r="AN9" s="64">
        <f t="shared" si="4"/>
        <v>0.75</v>
      </c>
      <c r="AO9" s="65">
        <f>1+SUM(IF(AN9&lt;AN6,1,0),IF(AN9&lt;AN7,1,0),IF(AN9&lt;AN8,1,0),IF(AN9&lt;AN5,1,0))</f>
        <v>1</v>
      </c>
      <c r="AP9" s="106">
        <f t="shared" si="5"/>
        <v>5.25</v>
      </c>
      <c r="AQ9" s="73">
        <f>1+SUM(IF(AP9&lt;AP6,1,0),IF(AP9&lt;AP7,1,0),IF(AP9&lt;AP8,1,0),IF(AP9&lt;AP5,1,0))</f>
        <v>1</v>
      </c>
      <c r="AR9" s="68">
        <f>1+SUM(IF(Q9&gt;Q5,1,IF(AND(Q9=Q5,AK9&gt;AK5),1,IF(AND(Q9=Q5,AK9=AK5),1,0))),IF(Q9&gt;Q6,1,IF(AND(Q9=Q6,AK9&gt;AK6),1,IF(AND(Q9=Q6,AK9=AK6),1,0))),IF(Q9&gt;Q7,1,IF(AND(Q9=Q7,AK9&gt;AK7),1,IF(AND(Q9=Q7,AK9=AK7),1,0))),IF(Q9&gt;Q8,1,IF(AND(Q9=Q8,AK9&gt;AK8),1,IF(AND(Q9=Q8,AK9=AK8),1,0))))</f>
        <v>1</v>
      </c>
    </row>
    <row r="10" spans="1:44" ht="12.75" customHeight="1" x14ac:dyDescent="0.2">
      <c r="A10" s="174"/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80"/>
      <c r="AI10" s="41"/>
      <c r="AJ10" s="41"/>
      <c r="AK10" s="41"/>
      <c r="AL10" s="41"/>
      <c r="AM10" s="41"/>
      <c r="AN10" s="41"/>
      <c r="AO10" s="5"/>
      <c r="AP10" s="5"/>
      <c r="AQ10" s="5"/>
      <c r="AR10" s="5"/>
    </row>
    <row r="11" spans="1:44" ht="12.75" customHeight="1" x14ac:dyDescent="0.2">
      <c r="A11" s="136"/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80"/>
      <c r="AI11" s="41"/>
      <c r="AJ11" s="41"/>
      <c r="AK11" s="41"/>
      <c r="AL11" s="41"/>
      <c r="AM11" s="41"/>
      <c r="AN11" s="41"/>
      <c r="AO11" s="5"/>
      <c r="AP11" s="5"/>
      <c r="AQ11" s="5"/>
      <c r="AR11" s="5"/>
    </row>
    <row r="12" spans="1:44" ht="13.5" customHeight="1" x14ac:dyDescent="0.2">
      <c r="A12" s="136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80"/>
      <c r="AI12" s="41"/>
      <c r="AJ12" s="41"/>
      <c r="AK12" s="41"/>
      <c r="AL12" s="41"/>
      <c r="AM12" s="41"/>
      <c r="AN12" s="41"/>
      <c r="AO12" s="5"/>
      <c r="AP12" s="5"/>
      <c r="AQ12" s="5"/>
      <c r="AR12" s="5"/>
    </row>
    <row r="13" spans="1:44" ht="13.5" customHeight="1" x14ac:dyDescent="0.2">
      <c r="A13" s="167"/>
      <c r="B13" s="136"/>
      <c r="C13" s="81" t="s">
        <v>169</v>
      </c>
      <c r="D13" s="82" t="s">
        <v>170</v>
      </c>
      <c r="E13" s="165" t="s">
        <v>169</v>
      </c>
      <c r="F13" s="156"/>
      <c r="G13" s="156"/>
      <c r="H13" s="156"/>
      <c r="I13" s="156"/>
      <c r="J13" s="156"/>
      <c r="K13" s="156"/>
      <c r="L13" s="156"/>
      <c r="M13" s="166"/>
      <c r="N13" s="176" t="s">
        <v>171</v>
      </c>
      <c r="O13" s="177"/>
      <c r="P13" s="178"/>
      <c r="Q13" s="155" t="s">
        <v>172</v>
      </c>
      <c r="R13" s="156"/>
      <c r="S13" s="156"/>
      <c r="T13" s="156"/>
      <c r="U13" s="166"/>
      <c r="V13" s="175" t="s">
        <v>173</v>
      </c>
      <c r="W13" s="156"/>
      <c r="X13" s="156"/>
      <c r="Y13" s="156"/>
      <c r="Z13" s="166"/>
      <c r="AA13" s="155" t="s">
        <v>174</v>
      </c>
      <c r="AB13" s="156"/>
      <c r="AC13" s="156"/>
      <c r="AD13" s="156"/>
      <c r="AE13" s="157"/>
      <c r="AF13" s="83"/>
      <c r="AG13" s="84" t="s">
        <v>175</v>
      </c>
      <c r="AH13" s="49" t="s">
        <v>176</v>
      </c>
      <c r="AI13" s="158" t="s">
        <v>177</v>
      </c>
      <c r="AJ13" s="159"/>
      <c r="AK13" s="41"/>
      <c r="AL13" s="5"/>
      <c r="AM13" s="5"/>
      <c r="AN13" s="5"/>
      <c r="AO13" s="5"/>
      <c r="AP13" s="5"/>
      <c r="AQ13" s="5"/>
      <c r="AR13" s="5"/>
    </row>
    <row r="14" spans="1:44" ht="15.75" customHeight="1" x14ac:dyDescent="0.2">
      <c r="A14" s="85">
        <v>1</v>
      </c>
      <c r="B14" s="86">
        <v>1</v>
      </c>
      <c r="C14" s="124" t="str">
        <f>B5</f>
        <v>NJ Vikings Blue</v>
      </c>
      <c r="D14" s="88">
        <v>2</v>
      </c>
      <c r="E14" s="161" t="str">
        <f>+B6</f>
        <v>DC MVP A</v>
      </c>
      <c r="F14" s="162"/>
      <c r="G14" s="162"/>
      <c r="H14" s="162"/>
      <c r="I14" s="162"/>
      <c r="J14" s="162"/>
      <c r="K14" s="162"/>
      <c r="L14" s="162"/>
      <c r="M14" s="153"/>
      <c r="N14" s="89">
        <v>3</v>
      </c>
      <c r="O14" s="160" t="str">
        <f>+B7</f>
        <v>NY Freemason B</v>
      </c>
      <c r="P14" s="153"/>
      <c r="Q14" s="151">
        <v>15</v>
      </c>
      <c r="R14" s="143"/>
      <c r="S14" s="91">
        <v>0</v>
      </c>
      <c r="T14" s="151">
        <v>21</v>
      </c>
      <c r="U14" s="143"/>
      <c r="V14" s="154">
        <v>18</v>
      </c>
      <c r="W14" s="143"/>
      <c r="X14" s="92">
        <v>0</v>
      </c>
      <c r="Y14" s="154">
        <v>21</v>
      </c>
      <c r="Z14" s="143"/>
      <c r="AA14" s="152"/>
      <c r="AB14" s="153"/>
      <c r="AC14" s="93" t="s">
        <v>178</v>
      </c>
      <c r="AD14" s="152"/>
      <c r="AE14" s="153"/>
      <c r="AF14" s="94"/>
      <c r="AG14" s="104" t="str">
        <f t="shared" ref="AG14:AG23" si="16">IF(AND(Q14&gt;T14,V14&gt;Y14),C14, IF(AND(T14&gt;Q14,Y14&gt;V14),E14, IF((Q14)+(V14)+(AA14)-(T14)-(Y14)-(AD14)&gt;0,C14,E14)))</f>
        <v>DC MVP A</v>
      </c>
      <c r="AH14" s="96">
        <f t="shared" ref="AH14:AH23" si="17">(Q14)+(V14)+(AA14)-(T14)-(Y14)-(AD14)</f>
        <v>-9</v>
      </c>
      <c r="AI14" s="147">
        <v>0.375</v>
      </c>
      <c r="AJ14" s="148"/>
      <c r="AK14" s="5"/>
      <c r="AL14" s="5"/>
      <c r="AM14" s="5"/>
      <c r="AN14" s="5"/>
      <c r="AO14" s="5"/>
      <c r="AP14" s="5"/>
      <c r="AQ14" s="5"/>
      <c r="AR14" s="5"/>
    </row>
    <row r="15" spans="1:44" ht="15.75" customHeight="1" x14ac:dyDescent="0.2">
      <c r="A15" s="97">
        <v>2</v>
      </c>
      <c r="B15" s="98">
        <v>3</v>
      </c>
      <c r="C15" s="99" t="str">
        <f>+B7</f>
        <v>NY Freemason B</v>
      </c>
      <c r="D15" s="61">
        <v>4</v>
      </c>
      <c r="E15" s="163" t="str">
        <f t="shared" ref="E15:E16" si="18">+B8</f>
        <v>NY Strangers Blue</v>
      </c>
      <c r="F15" s="164"/>
      <c r="G15" s="164"/>
      <c r="H15" s="164"/>
      <c r="I15" s="164"/>
      <c r="J15" s="164"/>
      <c r="K15" s="164"/>
      <c r="L15" s="164"/>
      <c r="M15" s="143"/>
      <c r="N15" s="100">
        <v>2</v>
      </c>
      <c r="O15" s="168" t="str">
        <f>+B6</f>
        <v>DC MVP A</v>
      </c>
      <c r="P15" s="143"/>
      <c r="Q15" s="144">
        <v>21</v>
      </c>
      <c r="R15" s="141"/>
      <c r="S15" s="101">
        <v>0</v>
      </c>
      <c r="T15" s="144">
        <v>12</v>
      </c>
      <c r="U15" s="141"/>
      <c r="V15" s="140">
        <v>21</v>
      </c>
      <c r="W15" s="141"/>
      <c r="X15" s="102">
        <v>0</v>
      </c>
      <c r="Y15" s="140">
        <v>17</v>
      </c>
      <c r="Z15" s="141"/>
      <c r="AA15" s="142"/>
      <c r="AB15" s="143"/>
      <c r="AC15" s="103" t="s">
        <v>178</v>
      </c>
      <c r="AD15" s="142"/>
      <c r="AE15" s="143"/>
      <c r="AF15" s="94"/>
      <c r="AG15" s="104" t="str">
        <f t="shared" si="16"/>
        <v>NY Freemason B</v>
      </c>
      <c r="AH15" s="96">
        <f t="shared" si="17"/>
        <v>13</v>
      </c>
      <c r="AI15" s="149">
        <v>0.40972222222222227</v>
      </c>
      <c r="AJ15" s="150"/>
      <c r="AK15" s="5"/>
      <c r="AL15" s="5"/>
      <c r="AM15" s="5"/>
      <c r="AN15" s="5"/>
      <c r="AO15" s="5"/>
      <c r="AP15" s="5"/>
      <c r="AQ15" s="5"/>
      <c r="AR15" s="5"/>
    </row>
    <row r="16" spans="1:44" ht="15.75" customHeight="1" x14ac:dyDescent="0.2">
      <c r="A16" s="97">
        <v>3</v>
      </c>
      <c r="B16" s="98">
        <v>1</v>
      </c>
      <c r="C16" s="99" t="str">
        <f t="shared" ref="C16:C17" si="19">+B5</f>
        <v>NJ Vikings Blue</v>
      </c>
      <c r="D16" s="61">
        <v>5</v>
      </c>
      <c r="E16" s="163" t="str">
        <f t="shared" si="18"/>
        <v>Toronto LEGACY</v>
      </c>
      <c r="F16" s="164"/>
      <c r="G16" s="164"/>
      <c r="H16" s="164"/>
      <c r="I16" s="164"/>
      <c r="J16" s="164"/>
      <c r="K16" s="164"/>
      <c r="L16" s="164"/>
      <c r="M16" s="143"/>
      <c r="N16" s="100">
        <v>4</v>
      </c>
      <c r="O16" s="168" t="str">
        <f>+B8</f>
        <v>NY Strangers Blue</v>
      </c>
      <c r="P16" s="143"/>
      <c r="Q16" s="144">
        <v>11</v>
      </c>
      <c r="R16" s="141"/>
      <c r="S16" s="101">
        <v>0</v>
      </c>
      <c r="T16" s="144">
        <v>21</v>
      </c>
      <c r="U16" s="141"/>
      <c r="V16" s="140">
        <v>11</v>
      </c>
      <c r="W16" s="141"/>
      <c r="X16" s="102">
        <v>0</v>
      </c>
      <c r="Y16" s="140">
        <v>21</v>
      </c>
      <c r="Z16" s="141"/>
      <c r="AA16" s="142"/>
      <c r="AB16" s="143"/>
      <c r="AC16" s="103" t="s">
        <v>178</v>
      </c>
      <c r="AD16" s="142"/>
      <c r="AE16" s="143"/>
      <c r="AF16" s="94"/>
      <c r="AG16" s="104" t="str">
        <f t="shared" si="16"/>
        <v>Toronto LEGACY</v>
      </c>
      <c r="AH16" s="96">
        <f t="shared" si="17"/>
        <v>-20</v>
      </c>
      <c r="AI16" s="149">
        <v>0.44444444444444442</v>
      </c>
      <c r="AJ16" s="150"/>
      <c r="AK16" s="5"/>
      <c r="AL16" s="5"/>
      <c r="AM16" s="5"/>
      <c r="AN16" s="5"/>
      <c r="AO16" s="5"/>
      <c r="AP16" s="5"/>
      <c r="AQ16" s="5"/>
      <c r="AR16" s="5"/>
    </row>
    <row r="17" spans="1:44" ht="15.75" customHeight="1" x14ac:dyDescent="0.2">
      <c r="A17" s="97">
        <v>4</v>
      </c>
      <c r="B17" s="98">
        <v>2</v>
      </c>
      <c r="C17" s="99" t="str">
        <f t="shared" si="19"/>
        <v>DC MVP A</v>
      </c>
      <c r="D17" s="61">
        <v>3</v>
      </c>
      <c r="E17" s="163" t="str">
        <f>+B7</f>
        <v>NY Freemason B</v>
      </c>
      <c r="F17" s="164"/>
      <c r="G17" s="164"/>
      <c r="H17" s="164"/>
      <c r="I17" s="164"/>
      <c r="J17" s="164"/>
      <c r="K17" s="164"/>
      <c r="L17" s="164"/>
      <c r="M17" s="143"/>
      <c r="N17" s="100">
        <v>1</v>
      </c>
      <c r="O17" s="168" t="str">
        <f>+B5</f>
        <v>NJ Vikings Blue</v>
      </c>
      <c r="P17" s="143"/>
      <c r="Q17" s="144">
        <v>21</v>
      </c>
      <c r="R17" s="141"/>
      <c r="S17" s="101">
        <v>0</v>
      </c>
      <c r="T17" s="144">
        <v>15</v>
      </c>
      <c r="U17" s="141"/>
      <c r="V17" s="140">
        <v>19</v>
      </c>
      <c r="W17" s="141"/>
      <c r="X17" s="102">
        <v>0</v>
      </c>
      <c r="Y17" s="140">
        <v>21</v>
      </c>
      <c r="Z17" s="141"/>
      <c r="AA17" s="142"/>
      <c r="AB17" s="143"/>
      <c r="AC17" s="103" t="s">
        <v>178</v>
      </c>
      <c r="AD17" s="142"/>
      <c r="AE17" s="143"/>
      <c r="AF17" s="94"/>
      <c r="AG17" s="104" t="str">
        <f t="shared" si="16"/>
        <v>DC MVP A</v>
      </c>
      <c r="AH17" s="96">
        <f t="shared" si="17"/>
        <v>4</v>
      </c>
      <c r="AI17" s="149">
        <v>0.47916666666666669</v>
      </c>
      <c r="AJ17" s="150"/>
      <c r="AK17" s="5"/>
      <c r="AL17" s="5"/>
      <c r="AM17" s="5"/>
      <c r="AN17" s="5"/>
      <c r="AO17" s="5"/>
      <c r="AP17" s="5"/>
      <c r="AQ17" s="5"/>
      <c r="AR17" s="5"/>
    </row>
    <row r="18" spans="1:44" ht="15.75" customHeight="1" x14ac:dyDescent="0.2">
      <c r="A18" s="97">
        <v>5</v>
      </c>
      <c r="B18" s="98">
        <v>4</v>
      </c>
      <c r="C18" s="99" t="str">
        <f>+B8</f>
        <v>NY Strangers Blue</v>
      </c>
      <c r="D18" s="61">
        <v>5</v>
      </c>
      <c r="E18" s="163" t="str">
        <f>+B9</f>
        <v>Toronto LEGACY</v>
      </c>
      <c r="F18" s="164"/>
      <c r="G18" s="164"/>
      <c r="H18" s="164"/>
      <c r="I18" s="164"/>
      <c r="J18" s="164"/>
      <c r="K18" s="164"/>
      <c r="L18" s="164"/>
      <c r="M18" s="143"/>
      <c r="N18" s="100">
        <v>3</v>
      </c>
      <c r="O18" s="168" t="str">
        <f>+B7</f>
        <v>NY Freemason B</v>
      </c>
      <c r="P18" s="143"/>
      <c r="Q18" s="144">
        <v>9</v>
      </c>
      <c r="R18" s="141"/>
      <c r="S18" s="101">
        <v>0</v>
      </c>
      <c r="T18" s="144">
        <v>21</v>
      </c>
      <c r="U18" s="141"/>
      <c r="V18" s="140">
        <v>9</v>
      </c>
      <c r="W18" s="141"/>
      <c r="X18" s="102">
        <v>0</v>
      </c>
      <c r="Y18" s="140">
        <v>21</v>
      </c>
      <c r="Z18" s="141"/>
      <c r="AA18" s="142"/>
      <c r="AB18" s="143"/>
      <c r="AC18" s="103" t="s">
        <v>178</v>
      </c>
      <c r="AD18" s="142"/>
      <c r="AE18" s="143"/>
      <c r="AF18" s="94"/>
      <c r="AG18" s="104" t="str">
        <f t="shared" si="16"/>
        <v>Toronto LEGACY</v>
      </c>
      <c r="AH18" s="96">
        <f t="shared" si="17"/>
        <v>-24</v>
      </c>
      <c r="AI18" s="149">
        <v>0.53472222222222221</v>
      </c>
      <c r="AJ18" s="150"/>
      <c r="AK18" s="5"/>
      <c r="AL18" s="5"/>
      <c r="AM18" s="5"/>
      <c r="AN18" s="5"/>
      <c r="AO18" s="5"/>
      <c r="AP18" s="5"/>
      <c r="AQ18" s="5"/>
      <c r="AR18" s="5"/>
    </row>
    <row r="19" spans="1:44" ht="15.75" customHeight="1" x14ac:dyDescent="0.2">
      <c r="A19" s="97">
        <v>6</v>
      </c>
      <c r="B19" s="98">
        <v>1</v>
      </c>
      <c r="C19" s="125" t="str">
        <f>B5</f>
        <v>NJ Vikings Blue</v>
      </c>
      <c r="D19" s="61">
        <v>3</v>
      </c>
      <c r="E19" s="163" t="str">
        <f t="shared" ref="E19:E21" si="20">+B7</f>
        <v>NY Freemason B</v>
      </c>
      <c r="F19" s="164"/>
      <c r="G19" s="164"/>
      <c r="H19" s="164"/>
      <c r="I19" s="164"/>
      <c r="J19" s="164"/>
      <c r="K19" s="164"/>
      <c r="L19" s="164"/>
      <c r="M19" s="143"/>
      <c r="N19" s="100">
        <v>5</v>
      </c>
      <c r="O19" s="168" t="str">
        <f>+B9</f>
        <v>Toronto LEGACY</v>
      </c>
      <c r="P19" s="143"/>
      <c r="Q19" s="144">
        <v>23</v>
      </c>
      <c r="R19" s="141"/>
      <c r="S19" s="101">
        <v>0</v>
      </c>
      <c r="T19" s="144">
        <v>22</v>
      </c>
      <c r="U19" s="141"/>
      <c r="V19" s="140">
        <v>11</v>
      </c>
      <c r="W19" s="141"/>
      <c r="X19" s="102">
        <v>0</v>
      </c>
      <c r="Y19" s="140">
        <v>21</v>
      </c>
      <c r="Z19" s="141"/>
      <c r="AA19" s="142"/>
      <c r="AB19" s="143"/>
      <c r="AC19" s="103" t="s">
        <v>178</v>
      </c>
      <c r="AD19" s="142"/>
      <c r="AE19" s="143"/>
      <c r="AF19" s="94"/>
      <c r="AG19" s="104" t="str">
        <f t="shared" si="16"/>
        <v>NY Freemason B</v>
      </c>
      <c r="AH19" s="96">
        <f t="shared" si="17"/>
        <v>-9</v>
      </c>
      <c r="AI19" s="149">
        <v>6.9444444444444434E-2</v>
      </c>
      <c r="AJ19" s="150"/>
      <c r="AK19" s="5"/>
      <c r="AL19" s="5"/>
      <c r="AM19" s="5"/>
      <c r="AN19" s="5"/>
      <c r="AO19" s="5"/>
      <c r="AP19" s="5"/>
      <c r="AQ19" s="5"/>
      <c r="AR19" s="5"/>
    </row>
    <row r="20" spans="1:44" ht="15.75" customHeight="1" x14ac:dyDescent="0.2">
      <c r="A20" s="97">
        <v>7</v>
      </c>
      <c r="B20" s="98">
        <v>2</v>
      </c>
      <c r="C20" s="99" t="str">
        <f t="shared" ref="C20:C21" si="21">+B6</f>
        <v>DC MVP A</v>
      </c>
      <c r="D20" s="61">
        <v>4</v>
      </c>
      <c r="E20" s="163" t="str">
        <f t="shared" si="20"/>
        <v>NY Strangers Blue</v>
      </c>
      <c r="F20" s="164"/>
      <c r="G20" s="164"/>
      <c r="H20" s="164"/>
      <c r="I20" s="164"/>
      <c r="J20" s="164"/>
      <c r="K20" s="164"/>
      <c r="L20" s="164"/>
      <c r="M20" s="143"/>
      <c r="N20" s="100">
        <v>1</v>
      </c>
      <c r="O20" s="168" t="str">
        <f t="shared" ref="O20:O21" si="22">+B5</f>
        <v>NJ Vikings Blue</v>
      </c>
      <c r="P20" s="143"/>
      <c r="Q20" s="144">
        <v>21</v>
      </c>
      <c r="R20" s="141"/>
      <c r="S20" s="101">
        <v>0</v>
      </c>
      <c r="T20" s="144">
        <v>11</v>
      </c>
      <c r="U20" s="141"/>
      <c r="V20" s="140">
        <v>21</v>
      </c>
      <c r="W20" s="141"/>
      <c r="X20" s="102">
        <v>0</v>
      </c>
      <c r="Y20" s="140">
        <v>9</v>
      </c>
      <c r="Z20" s="141"/>
      <c r="AA20" s="142"/>
      <c r="AB20" s="143"/>
      <c r="AC20" s="103" t="s">
        <v>178</v>
      </c>
      <c r="AD20" s="142"/>
      <c r="AE20" s="143"/>
      <c r="AF20" s="94"/>
      <c r="AG20" s="104" t="str">
        <f t="shared" si="16"/>
        <v>DC MVP A</v>
      </c>
      <c r="AH20" s="96">
        <f t="shared" si="17"/>
        <v>22</v>
      </c>
      <c r="AI20" s="149">
        <v>0.10416666666666667</v>
      </c>
      <c r="AJ20" s="150"/>
      <c r="AK20" s="5"/>
      <c r="AL20" s="5"/>
      <c r="AM20" s="5"/>
      <c r="AN20" s="5"/>
      <c r="AO20" s="5"/>
      <c r="AP20" s="5"/>
      <c r="AQ20" s="5"/>
      <c r="AR20" s="5"/>
    </row>
    <row r="21" spans="1:44" ht="15.75" customHeight="1" x14ac:dyDescent="0.2">
      <c r="A21" s="97">
        <v>8</v>
      </c>
      <c r="B21" s="98">
        <v>3</v>
      </c>
      <c r="C21" s="99" t="str">
        <f t="shared" si="21"/>
        <v>NY Freemason B</v>
      </c>
      <c r="D21" s="61">
        <v>5</v>
      </c>
      <c r="E21" s="163" t="str">
        <f t="shared" si="20"/>
        <v>Toronto LEGACY</v>
      </c>
      <c r="F21" s="164"/>
      <c r="G21" s="164"/>
      <c r="H21" s="164"/>
      <c r="I21" s="164"/>
      <c r="J21" s="164"/>
      <c r="K21" s="164"/>
      <c r="L21" s="164"/>
      <c r="M21" s="143"/>
      <c r="N21" s="100">
        <v>2</v>
      </c>
      <c r="O21" s="168" t="str">
        <f t="shared" si="22"/>
        <v>DC MVP A</v>
      </c>
      <c r="P21" s="143"/>
      <c r="Q21" s="144">
        <v>18</v>
      </c>
      <c r="R21" s="141"/>
      <c r="S21" s="101">
        <v>0</v>
      </c>
      <c r="T21" s="144">
        <v>21</v>
      </c>
      <c r="U21" s="141"/>
      <c r="V21" s="140">
        <v>21</v>
      </c>
      <c r="W21" s="141"/>
      <c r="X21" s="102">
        <v>0</v>
      </c>
      <c r="Y21" s="140">
        <v>15</v>
      </c>
      <c r="Z21" s="141"/>
      <c r="AA21" s="142"/>
      <c r="AB21" s="143"/>
      <c r="AC21" s="103" t="s">
        <v>178</v>
      </c>
      <c r="AD21" s="142"/>
      <c r="AE21" s="143"/>
      <c r="AF21" s="94"/>
      <c r="AG21" s="104" t="str">
        <f t="shared" si="16"/>
        <v>NY Freemason B</v>
      </c>
      <c r="AH21" s="96">
        <f t="shared" si="17"/>
        <v>3</v>
      </c>
      <c r="AI21" s="149">
        <v>0.15972222222222224</v>
      </c>
      <c r="AJ21" s="150"/>
      <c r="AK21" s="5"/>
      <c r="AL21" s="5"/>
      <c r="AM21" s="5"/>
      <c r="AN21" s="5"/>
      <c r="AO21" s="5"/>
      <c r="AP21" s="5"/>
      <c r="AQ21" s="5"/>
      <c r="AR21" s="5"/>
    </row>
    <row r="22" spans="1:44" ht="15.75" customHeight="1" x14ac:dyDescent="0.2">
      <c r="A22" s="97">
        <v>9</v>
      </c>
      <c r="B22" s="98">
        <v>1</v>
      </c>
      <c r="C22" s="99" t="str">
        <f t="shared" ref="C22:C23" si="23">+B5</f>
        <v>NJ Vikings Blue</v>
      </c>
      <c r="D22" s="61">
        <v>4</v>
      </c>
      <c r="E22" s="163" t="str">
        <f t="shared" ref="E22:E23" si="24">+B8</f>
        <v>NY Strangers Blue</v>
      </c>
      <c r="F22" s="164"/>
      <c r="G22" s="164"/>
      <c r="H22" s="164"/>
      <c r="I22" s="164"/>
      <c r="J22" s="164"/>
      <c r="K22" s="164"/>
      <c r="L22" s="164"/>
      <c r="M22" s="143"/>
      <c r="N22" s="100">
        <v>5</v>
      </c>
      <c r="O22" s="168" t="str">
        <f>+B9</f>
        <v>Toronto LEGACY</v>
      </c>
      <c r="P22" s="143"/>
      <c r="Q22" s="144">
        <v>21</v>
      </c>
      <c r="R22" s="141"/>
      <c r="S22" s="101">
        <v>0</v>
      </c>
      <c r="T22" s="144">
        <v>16</v>
      </c>
      <c r="U22" s="141"/>
      <c r="V22" s="140">
        <v>21</v>
      </c>
      <c r="W22" s="141"/>
      <c r="X22" s="102">
        <v>0</v>
      </c>
      <c r="Y22" s="140">
        <v>18</v>
      </c>
      <c r="Z22" s="141"/>
      <c r="AA22" s="142"/>
      <c r="AB22" s="143"/>
      <c r="AC22" s="103" t="s">
        <v>178</v>
      </c>
      <c r="AD22" s="142"/>
      <c r="AE22" s="143"/>
      <c r="AF22" s="94"/>
      <c r="AG22" s="104" t="str">
        <f t="shared" si="16"/>
        <v>NJ Vikings Blue</v>
      </c>
      <c r="AH22" s="96">
        <f t="shared" si="17"/>
        <v>8</v>
      </c>
      <c r="AI22" s="149">
        <v>0.19444444444444445</v>
      </c>
      <c r="AJ22" s="150"/>
      <c r="AK22" s="5"/>
      <c r="AL22" s="5"/>
      <c r="AM22" s="5"/>
      <c r="AN22" s="5"/>
      <c r="AO22" s="5"/>
      <c r="AP22" s="5"/>
      <c r="AQ22" s="5"/>
      <c r="AR22" s="5"/>
    </row>
    <row r="23" spans="1:44" ht="15.75" customHeight="1" x14ac:dyDescent="0.2">
      <c r="A23" s="109">
        <v>10</v>
      </c>
      <c r="B23" s="110">
        <v>2</v>
      </c>
      <c r="C23" s="111" t="str">
        <f t="shared" si="23"/>
        <v>DC MVP A</v>
      </c>
      <c r="D23" s="78">
        <v>5</v>
      </c>
      <c r="E23" s="188" t="str">
        <f t="shared" si="24"/>
        <v>Toronto LEGACY</v>
      </c>
      <c r="F23" s="189"/>
      <c r="G23" s="189"/>
      <c r="H23" s="189"/>
      <c r="I23" s="189"/>
      <c r="J23" s="189"/>
      <c r="K23" s="189"/>
      <c r="L23" s="189"/>
      <c r="M23" s="146"/>
      <c r="N23" s="100">
        <v>4</v>
      </c>
      <c r="O23" s="168" t="str">
        <f>+B8</f>
        <v>NY Strangers Blue</v>
      </c>
      <c r="P23" s="143"/>
      <c r="Q23" s="144">
        <v>20</v>
      </c>
      <c r="R23" s="141"/>
      <c r="S23" s="101">
        <v>0</v>
      </c>
      <c r="T23" s="144">
        <v>22</v>
      </c>
      <c r="U23" s="141"/>
      <c r="V23" s="140">
        <v>23</v>
      </c>
      <c r="W23" s="141"/>
      <c r="X23" s="102">
        <v>0</v>
      </c>
      <c r="Y23" s="140">
        <v>22</v>
      </c>
      <c r="Z23" s="141"/>
      <c r="AA23" s="145"/>
      <c r="AB23" s="146"/>
      <c r="AC23" s="113" t="s">
        <v>178</v>
      </c>
      <c r="AD23" s="145"/>
      <c r="AE23" s="146"/>
      <c r="AF23" s="94"/>
      <c r="AG23" s="104" t="str">
        <f t="shared" si="16"/>
        <v>Toronto LEGACY</v>
      </c>
      <c r="AH23" s="96">
        <f t="shared" si="17"/>
        <v>-1</v>
      </c>
      <c r="AI23" s="184">
        <v>0.22916666666666666</v>
      </c>
      <c r="AJ23" s="185"/>
      <c r="AK23" s="5"/>
      <c r="AL23" s="5"/>
      <c r="AM23" s="5"/>
      <c r="AN23" s="5"/>
      <c r="AO23" s="5"/>
      <c r="AP23" s="5"/>
      <c r="AQ23" s="5"/>
      <c r="AR23" s="5"/>
    </row>
    <row r="24" spans="1:44" ht="12.75" customHeight="1" x14ac:dyDescent="0.2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5"/>
      <c r="AM24" s="5"/>
      <c r="AN24" s="5"/>
      <c r="AO24" s="5"/>
      <c r="AP24" s="5"/>
      <c r="AQ24" s="5"/>
      <c r="AR24" s="5"/>
    </row>
    <row r="25" spans="1:44" ht="12.75" customHeight="1" x14ac:dyDescent="0.2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5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5"/>
      <c r="AM25" s="5"/>
      <c r="AN25" s="5"/>
      <c r="AO25" s="5"/>
      <c r="AP25" s="5"/>
      <c r="AQ25" s="5"/>
      <c r="AR25" s="5"/>
    </row>
    <row r="26" spans="1:44" ht="12.75" customHeight="1" x14ac:dyDescent="0.2">
      <c r="A26" s="41"/>
      <c r="B26" s="57"/>
      <c r="C26" s="57" t="s">
        <v>179</v>
      </c>
      <c r="D26" s="57" t="s">
        <v>157</v>
      </c>
      <c r="E26" s="57" t="s">
        <v>180</v>
      </c>
      <c r="F26" s="57" t="s">
        <v>165</v>
      </c>
      <c r="G26" s="57" t="s">
        <v>166</v>
      </c>
      <c r="H26" s="41"/>
      <c r="I26" s="41"/>
      <c r="J26" s="41"/>
      <c r="K26" s="41"/>
      <c r="L26" s="41"/>
      <c r="M26" s="41"/>
      <c r="N26" s="41"/>
      <c r="O26" s="41"/>
      <c r="P26" s="41"/>
      <c r="Q26" s="5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5"/>
      <c r="AM26" s="5"/>
      <c r="AN26" s="5"/>
      <c r="AO26" s="5"/>
      <c r="AP26" s="5"/>
      <c r="AQ26" s="5"/>
      <c r="AR26" s="5"/>
    </row>
    <row r="27" spans="1:44" ht="12.75" customHeight="1" x14ac:dyDescent="0.2">
      <c r="A27" s="41"/>
      <c r="B27" s="57">
        <v>1</v>
      </c>
      <c r="C27" s="57" t="str">
        <f t="shared" ref="C27:C31" si="25">VLOOKUP(B27,$A$5:$AR$9,2,FALSE)</f>
        <v>Toronto LEGACY</v>
      </c>
      <c r="D27" s="57">
        <f t="shared" ref="D27:D31" si="26">VLOOKUP(B27,$A$5:$AR$9,15,FALSE)</f>
        <v>6</v>
      </c>
      <c r="E27" s="57">
        <f t="shared" ref="E27:E31" si="27">VLOOKUP(B27,$A$5:$AR$9,36,FALSE)</f>
        <v>42</v>
      </c>
      <c r="F27" s="114">
        <f t="shared" ref="F27:F31" si="28">VLOOKUP(B27,$A$5:$AR$9,40,FALSE)</f>
        <v>0.75</v>
      </c>
      <c r="G27" s="114">
        <f t="shared" ref="G27:G31" si="29">VLOOKUP(B27,$A$5:$AR$9,42,FALSE)</f>
        <v>5.25</v>
      </c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5"/>
      <c r="AM27" s="5"/>
      <c r="AN27" s="5"/>
      <c r="AO27" s="5"/>
      <c r="AP27" s="5"/>
      <c r="AQ27" s="5"/>
      <c r="AR27" s="5"/>
    </row>
    <row r="28" spans="1:44" ht="12.75" customHeight="1" x14ac:dyDescent="0.2">
      <c r="A28" s="41"/>
      <c r="B28" s="57">
        <v>2</v>
      </c>
      <c r="C28" s="57" t="str">
        <f t="shared" si="25"/>
        <v>DC MVP A</v>
      </c>
      <c r="D28" s="57">
        <f t="shared" si="26"/>
        <v>6</v>
      </c>
      <c r="E28" s="57">
        <f t="shared" si="27"/>
        <v>34</v>
      </c>
      <c r="F28" s="114">
        <f t="shared" si="28"/>
        <v>0.75</v>
      </c>
      <c r="G28" s="114">
        <f t="shared" si="29"/>
        <v>4.25</v>
      </c>
      <c r="H28" s="41"/>
      <c r="I28" s="41"/>
      <c r="J28" s="41"/>
      <c r="K28" s="41"/>
      <c r="L28" s="41"/>
      <c r="M28" s="41"/>
      <c r="N28" s="41"/>
      <c r="O28" s="41"/>
      <c r="P28" s="5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183"/>
      <c r="AK28" s="136"/>
      <c r="AL28" s="5"/>
      <c r="AM28" s="5"/>
      <c r="AN28" s="5"/>
      <c r="AO28" s="5"/>
      <c r="AP28" s="5"/>
      <c r="AQ28" s="5"/>
      <c r="AR28" s="5"/>
    </row>
    <row r="29" spans="1:44" ht="12.75" customHeight="1" x14ac:dyDescent="0.2">
      <c r="A29" s="5"/>
      <c r="B29" s="14">
        <v>3</v>
      </c>
      <c r="C29" s="57" t="str">
        <f t="shared" si="25"/>
        <v>NY Freemason B</v>
      </c>
      <c r="D29" s="57">
        <f t="shared" si="26"/>
        <v>5</v>
      </c>
      <c r="E29" s="57">
        <f t="shared" si="27"/>
        <v>21</v>
      </c>
      <c r="F29" s="114">
        <f t="shared" si="28"/>
        <v>0.625</v>
      </c>
      <c r="G29" s="114">
        <f t="shared" si="29"/>
        <v>2.625</v>
      </c>
      <c r="H29" s="41"/>
      <c r="I29" s="41"/>
      <c r="J29" s="41"/>
      <c r="K29" s="41"/>
      <c r="L29" s="41"/>
      <c r="M29" s="41"/>
      <c r="N29" s="41"/>
      <c r="O29" s="41"/>
      <c r="P29" s="5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115"/>
      <c r="AK29" s="41"/>
      <c r="AL29" s="5"/>
      <c r="AM29" s="5"/>
      <c r="AN29" s="5"/>
      <c r="AO29" s="5"/>
      <c r="AP29" s="5"/>
      <c r="AQ29" s="5"/>
      <c r="AR29" s="5"/>
    </row>
    <row r="30" spans="1:44" ht="12.75" customHeight="1" x14ac:dyDescent="0.2">
      <c r="A30" s="5"/>
      <c r="B30" s="14">
        <v>4</v>
      </c>
      <c r="C30" s="57" t="str">
        <f t="shared" si="25"/>
        <v>NJ Vikings Blue</v>
      </c>
      <c r="D30" s="57">
        <f t="shared" si="26"/>
        <v>3</v>
      </c>
      <c r="E30" s="57">
        <f t="shared" si="27"/>
        <v>-30</v>
      </c>
      <c r="F30" s="114">
        <f t="shared" si="28"/>
        <v>0.375</v>
      </c>
      <c r="G30" s="114">
        <f t="shared" si="29"/>
        <v>-3.75</v>
      </c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115"/>
      <c r="AK30" s="41"/>
      <c r="AL30" s="5"/>
      <c r="AM30" s="5"/>
      <c r="AN30" s="5"/>
      <c r="AO30" s="5"/>
      <c r="AP30" s="5"/>
      <c r="AQ30" s="5"/>
      <c r="AR30" s="5"/>
    </row>
    <row r="31" spans="1:44" ht="12.75" customHeight="1" x14ac:dyDescent="0.2">
      <c r="A31" s="5"/>
      <c r="B31" s="14">
        <v>5</v>
      </c>
      <c r="C31" s="57" t="str">
        <f t="shared" si="25"/>
        <v>NY Strangers Blue</v>
      </c>
      <c r="D31" s="57">
        <f t="shared" si="26"/>
        <v>0</v>
      </c>
      <c r="E31" s="57">
        <f t="shared" si="27"/>
        <v>-67</v>
      </c>
      <c r="F31" s="114">
        <f t="shared" si="28"/>
        <v>0</v>
      </c>
      <c r="G31" s="114">
        <f t="shared" si="29"/>
        <v>-8.375</v>
      </c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115"/>
      <c r="AK31" s="41"/>
      <c r="AL31" s="5"/>
      <c r="AM31" s="5"/>
      <c r="AN31" s="5"/>
      <c r="AO31" s="5"/>
      <c r="AP31" s="5"/>
      <c r="AQ31" s="5"/>
      <c r="AR31" s="5"/>
    </row>
  </sheetData>
  <mergeCells count="124">
    <mergeCell ref="A1:AG1"/>
    <mergeCell ref="R4:AF4"/>
    <mergeCell ref="B4:D4"/>
    <mergeCell ref="T18:U18"/>
    <mergeCell ref="Q18:R18"/>
    <mergeCell ref="O17:P17"/>
    <mergeCell ref="Q17:R17"/>
    <mergeCell ref="V18:W18"/>
    <mergeCell ref="O18:P18"/>
    <mergeCell ref="Y18:Z18"/>
    <mergeCell ref="E18:M18"/>
    <mergeCell ref="AA18:AB18"/>
    <mergeCell ref="AA15:AB15"/>
    <mergeCell ref="B8:D8"/>
    <mergeCell ref="B9:D9"/>
    <mergeCell ref="B6:D6"/>
    <mergeCell ref="B7:D7"/>
    <mergeCell ref="B5:D5"/>
    <mergeCell ref="O23:P23"/>
    <mergeCell ref="E23:M23"/>
    <mergeCell ref="V22:W22"/>
    <mergeCell ref="T22:U22"/>
    <mergeCell ref="O22:P22"/>
    <mergeCell ref="E22:M22"/>
    <mergeCell ref="E4:I4"/>
    <mergeCell ref="A2:AG2"/>
    <mergeCell ref="A3:AG3"/>
    <mergeCell ref="AA23:AB23"/>
    <mergeCell ref="AA22:AB22"/>
    <mergeCell ref="AA19:AB19"/>
    <mergeCell ref="AA20:AB20"/>
    <mergeCell ref="AA21:AB21"/>
    <mergeCell ref="T19:U19"/>
    <mergeCell ref="Q19:R19"/>
    <mergeCell ref="E19:M19"/>
    <mergeCell ref="O19:P19"/>
    <mergeCell ref="O20:P20"/>
    <mergeCell ref="E20:M20"/>
    <mergeCell ref="E21:M21"/>
    <mergeCell ref="O21:P21"/>
    <mergeCell ref="V23:W23"/>
    <mergeCell ref="Y22:Z22"/>
    <mergeCell ref="Y23:Z23"/>
    <mergeCell ref="Q22:R22"/>
    <mergeCell ref="Q23:R23"/>
    <mergeCell ref="Y21:Z21"/>
    <mergeCell ref="Y20:Z20"/>
    <mergeCell ref="AD20:AE20"/>
    <mergeCell ref="AD19:AE19"/>
    <mergeCell ref="V21:W21"/>
    <mergeCell ref="V20:W20"/>
    <mergeCell ref="Q21:R21"/>
    <mergeCell ref="V19:W19"/>
    <mergeCell ref="Q20:R20"/>
    <mergeCell ref="Y19:Z19"/>
    <mergeCell ref="T23:U23"/>
    <mergeCell ref="E15:M15"/>
    <mergeCell ref="A13:B13"/>
    <mergeCell ref="E16:M16"/>
    <mergeCell ref="A10:AG12"/>
    <mergeCell ref="E17:M17"/>
    <mergeCell ref="Y15:Z15"/>
    <mergeCell ref="Y16:Z16"/>
    <mergeCell ref="T21:U21"/>
    <mergeCell ref="T20:U20"/>
    <mergeCell ref="AN4:AO4"/>
    <mergeCell ref="AP4:AQ4"/>
    <mergeCell ref="AD21:AE21"/>
    <mergeCell ref="AD15:AE15"/>
    <mergeCell ref="AI13:AJ13"/>
    <mergeCell ref="AI21:AJ21"/>
    <mergeCell ref="AA16:AB16"/>
    <mergeCell ref="AA17:AB17"/>
    <mergeCell ref="V15:W15"/>
    <mergeCell ref="V16:W16"/>
    <mergeCell ref="V17:W17"/>
    <mergeCell ref="Y17:Z17"/>
    <mergeCell ref="J4:N4"/>
    <mergeCell ref="AD18:AE18"/>
    <mergeCell ref="AD16:AE16"/>
    <mergeCell ref="AD17:AE17"/>
    <mergeCell ref="AD22:AE22"/>
    <mergeCell ref="AI22:AJ22"/>
    <mergeCell ref="AJ28:AK28"/>
    <mergeCell ref="AI23:AJ23"/>
    <mergeCell ref="AI19:AJ19"/>
    <mergeCell ref="AI20:AJ20"/>
    <mergeCell ref="AI17:AJ17"/>
    <mergeCell ref="AI16:AJ16"/>
    <mergeCell ref="AI14:AJ14"/>
    <mergeCell ref="AI18:AJ18"/>
    <mergeCell ref="AI15:AJ15"/>
    <mergeCell ref="AD23:AE23"/>
    <mergeCell ref="AJ4:AK4"/>
    <mergeCell ref="O16:P16"/>
    <mergeCell ref="T16:U16"/>
    <mergeCell ref="Q16:R16"/>
    <mergeCell ref="O15:P15"/>
    <mergeCell ref="Q15:R15"/>
    <mergeCell ref="T15:U15"/>
    <mergeCell ref="T17:U17"/>
    <mergeCell ref="E7:I7"/>
    <mergeCell ref="E6:I6"/>
    <mergeCell ref="E8:I8"/>
    <mergeCell ref="E9:I9"/>
    <mergeCell ref="E5:I5"/>
    <mergeCell ref="AA14:AB14"/>
    <mergeCell ref="AD14:AE14"/>
    <mergeCell ref="E14:M14"/>
    <mergeCell ref="E13:M13"/>
    <mergeCell ref="Q14:R14"/>
    <mergeCell ref="Q13:U13"/>
    <mergeCell ref="T14:U14"/>
    <mergeCell ref="V14:W14"/>
    <mergeCell ref="J9:N9"/>
    <mergeCell ref="J8:N8"/>
    <mergeCell ref="J7:N7"/>
    <mergeCell ref="J6:N6"/>
    <mergeCell ref="O14:P14"/>
    <mergeCell ref="V13:Z13"/>
    <mergeCell ref="Y14:Z14"/>
    <mergeCell ref="AA13:AE13"/>
    <mergeCell ref="N13:P13"/>
    <mergeCell ref="J5:N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R31"/>
  <sheetViews>
    <sheetView showGridLines="0" workbookViewId="0"/>
  </sheetViews>
  <sheetFormatPr baseColWidth="10" defaultColWidth="17.33203125" defaultRowHeight="15" customHeight="1" x14ac:dyDescent="0.2"/>
  <cols>
    <col min="1" max="1" width="4.1640625" customWidth="1"/>
    <col min="2" max="2" width="3.5" customWidth="1"/>
    <col min="3" max="3" width="25.6640625" customWidth="1"/>
    <col min="4" max="4" width="4.5" customWidth="1"/>
    <col min="5" max="5" width="3.33203125" customWidth="1"/>
    <col min="6" max="6" width="10.33203125" customWidth="1"/>
    <col min="7" max="7" width="9.6640625" customWidth="1"/>
    <col min="8" max="9" width="3.33203125" hidden="1" customWidth="1"/>
    <col min="10" max="14" width="3.33203125" customWidth="1"/>
    <col min="15" max="15" width="13.33203125" customWidth="1"/>
    <col min="16" max="16" width="13.1640625" customWidth="1"/>
    <col min="17" max="19" width="4" customWidth="1"/>
    <col min="20" max="22" width="3.33203125" customWidth="1"/>
    <col min="23" max="23" width="4" customWidth="1"/>
    <col min="24" max="25" width="3.33203125" customWidth="1"/>
    <col min="26" max="27" width="4" customWidth="1"/>
    <col min="28" max="31" width="3.33203125" customWidth="1"/>
    <col min="32" max="32" width="4.5" customWidth="1"/>
    <col min="33" max="33" width="15.33203125" customWidth="1"/>
    <col min="34" max="34" width="12.1640625" customWidth="1"/>
    <col min="35" max="35" width="13.1640625" customWidth="1"/>
    <col min="36" max="36" width="4.1640625" customWidth="1"/>
    <col min="37" max="37" width="7.1640625" customWidth="1"/>
    <col min="38" max="38" width="2.1640625" customWidth="1"/>
    <col min="39" max="39" width="7.1640625" customWidth="1"/>
    <col min="40" max="40" width="6.5" customWidth="1"/>
    <col min="41" max="44" width="8.83203125" customWidth="1"/>
  </cols>
  <sheetData>
    <row r="1" spans="1:44" ht="30.75" customHeight="1" x14ac:dyDescent="0.35">
      <c r="A1" s="180" t="s">
        <v>152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38"/>
      <c r="AI1" s="39"/>
      <c r="AJ1" s="39"/>
      <c r="AK1" s="39"/>
      <c r="AL1" s="39"/>
      <c r="AM1" s="39"/>
      <c r="AN1" s="39"/>
      <c r="AO1" s="1"/>
      <c r="AP1" s="1"/>
      <c r="AQ1" s="1"/>
      <c r="AR1" s="1"/>
    </row>
    <row r="2" spans="1:44" ht="30.75" customHeight="1" x14ac:dyDescent="0.35">
      <c r="A2" s="180" t="str">
        <f>+'Men''s Master'!F3</f>
        <v>CT07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38"/>
      <c r="AI2" s="39"/>
      <c r="AJ2" s="39"/>
      <c r="AK2" s="39"/>
      <c r="AL2" s="39"/>
      <c r="AM2" s="39"/>
      <c r="AN2" s="39"/>
      <c r="AO2" s="1"/>
      <c r="AP2" s="1"/>
      <c r="AQ2" s="1"/>
      <c r="AR2" s="1"/>
    </row>
    <row r="3" spans="1:44" ht="42.75" customHeight="1" x14ac:dyDescent="0.45">
      <c r="A3" s="197" t="str">
        <f>RIGHT(A2,2)</f>
        <v>07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40"/>
      <c r="AI3" s="41" t="s">
        <v>153</v>
      </c>
      <c r="AJ3" s="41"/>
      <c r="AK3" s="41"/>
      <c r="AL3" s="41"/>
      <c r="AM3" s="41"/>
      <c r="AN3" s="41"/>
      <c r="AO3" s="5"/>
      <c r="AP3" s="5"/>
      <c r="AQ3" s="5"/>
      <c r="AR3" s="5" t="s">
        <v>154</v>
      </c>
    </row>
    <row r="4" spans="1:44" ht="27" customHeight="1" x14ac:dyDescent="0.2">
      <c r="A4" s="42"/>
      <c r="B4" s="179" t="s">
        <v>102</v>
      </c>
      <c r="C4" s="173"/>
      <c r="D4" s="173"/>
      <c r="E4" s="155" t="s">
        <v>155</v>
      </c>
      <c r="F4" s="156"/>
      <c r="G4" s="156"/>
      <c r="H4" s="156"/>
      <c r="I4" s="157"/>
      <c r="J4" s="165" t="s">
        <v>156</v>
      </c>
      <c r="K4" s="156"/>
      <c r="L4" s="156"/>
      <c r="M4" s="156"/>
      <c r="N4" s="166"/>
      <c r="O4" s="43" t="s">
        <v>157</v>
      </c>
      <c r="P4" s="44" t="s">
        <v>158</v>
      </c>
      <c r="Q4" s="45"/>
      <c r="R4" s="194" t="s">
        <v>159</v>
      </c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53"/>
      <c r="AG4" s="46" t="s">
        <v>160</v>
      </c>
      <c r="AH4" s="47" t="s">
        <v>161</v>
      </c>
      <c r="AI4" s="47" t="s">
        <v>162</v>
      </c>
      <c r="AJ4" s="193" t="s">
        <v>163</v>
      </c>
      <c r="AK4" s="153"/>
      <c r="AL4" s="47" t="s">
        <v>164</v>
      </c>
      <c r="AM4" s="48"/>
      <c r="AN4" s="190" t="s">
        <v>165</v>
      </c>
      <c r="AO4" s="191"/>
      <c r="AP4" s="192" t="s">
        <v>166</v>
      </c>
      <c r="AQ4" s="191"/>
      <c r="AR4" s="50" t="s">
        <v>167</v>
      </c>
    </row>
    <row r="5" spans="1:44" ht="15.75" customHeight="1" x14ac:dyDescent="0.2">
      <c r="A5" s="51">
        <f t="shared" ref="A5:A9" si="0">AR5</f>
        <v>4</v>
      </c>
      <c r="B5" s="172" t="str">
        <f>+'Men''s Master'!F4</f>
        <v>DC Yee Fung Toy Thunder B</v>
      </c>
      <c r="C5" s="173"/>
      <c r="D5" s="173"/>
      <c r="E5" s="171">
        <f>SUM(IF(AG14=B5,1,0),IF(AG16=C16,1,0),IF(AG19=C19,1,0),IF(AG22=C22,1,0))</f>
        <v>1</v>
      </c>
      <c r="F5" s="162"/>
      <c r="G5" s="162"/>
      <c r="H5" s="162"/>
      <c r="I5" s="153"/>
      <c r="J5" s="169">
        <f>SUM(IF(AG14=C14,0,1),IF(AG16=C16,0,1),IF(AG19=C19,0,1),IF(AG22=C22,0,1))</f>
        <v>3</v>
      </c>
      <c r="K5" s="162"/>
      <c r="L5" s="162"/>
      <c r="M5" s="162"/>
      <c r="N5" s="170"/>
      <c r="O5" s="53">
        <f>SUM(IF(AD5&gt;0,1,0),IF(AE5&gt;0,1,0),IF(AF5&gt;0,1,0),IF(U5&gt;0,1,0),IF(V5&gt;0,1,0),IF(W5&gt;0,1,0),IF(X5&gt;0,1,0),IF(Y5&gt;0,1,0),IF(Z5&gt;0,1,0),IF(AA5&gt;0,1,0),IF(AB5&gt;0,1,0),IF(AC5&gt;0,1,0))</f>
        <v>3</v>
      </c>
      <c r="P5" s="52">
        <f>SUM(IF(AD5&lt;0,1,0),IF(AE5&lt;0,1,0),IF(AF5&lt;0,1,0),IF(U5&lt;0,1,0),IF(V5&lt;0,1,0),IF(W5&lt;0,1,0),IF(X5&lt;0,1,0),IF(Y5&lt;0,1,0),IF(Z5&lt;0,1,0),IF(AA5&lt;0,1,0),IF(AB5&lt;0,1,0),IF(AC5&lt;0,1,0))</f>
        <v>5</v>
      </c>
      <c r="Q5" s="54">
        <f>1+SUM(IF(O5&lt;O6,1,0),IF(O5&lt;O7,1,0),IF(O5&lt;O8,1,0),IF(O5&lt;O9,1,0))</f>
        <v>3</v>
      </c>
      <c r="R5" s="55"/>
      <c r="S5" s="56"/>
      <c r="T5" s="56"/>
      <c r="U5" s="57">
        <f>Q14-T14</f>
        <v>-5</v>
      </c>
      <c r="V5" s="57">
        <f>V14-Y14</f>
        <v>-2</v>
      </c>
      <c r="W5" s="57">
        <f>AA14-AD14</f>
        <v>0</v>
      </c>
      <c r="X5" s="57">
        <f>Q19-T19</f>
        <v>-9</v>
      </c>
      <c r="Y5" s="57">
        <f>V19-Y19</f>
        <v>-2</v>
      </c>
      <c r="Z5" s="57">
        <f>AA19-AD19</f>
        <v>0</v>
      </c>
      <c r="AA5" s="58">
        <f>Q22-T22</f>
        <v>3</v>
      </c>
      <c r="AB5" s="58">
        <f>V22-Y22</f>
        <v>6</v>
      </c>
      <c r="AC5" s="58">
        <f>AA22-AD22</f>
        <v>0</v>
      </c>
      <c r="AD5" s="58">
        <f>Q16-T16</f>
        <v>-7</v>
      </c>
      <c r="AE5" s="58">
        <f>V16-Y16</f>
        <v>4</v>
      </c>
      <c r="AF5" s="58">
        <f>AA16-AD16</f>
        <v>0</v>
      </c>
      <c r="AG5" s="58" t="str">
        <f>IF(Q5=Q6,IF(SUM(U5:W5)&gt;0,B5,B6),  IF(Q5=Q7,IF(SUM(X5:Z5)&gt;0, B5,B7),IF(Q5=Q8,IF(SUM(AA5:AC5)&gt;0, B5,B8),IF(Q5=Q9,IF(SUM(AD5:AF5)&lt;0,B5,B9)))))</f>
        <v>Philly Fastball-Horizon</v>
      </c>
      <c r="AH5" s="58" t="str">
        <f>IF(Q5=Q6,IF(SUM(U5:W5)&lt;0,B5,B6),  IF(Q5=Q7,IF(SUM(X5:Z5)&lt;0, B5,B7),IF(Q5=Q8,IF(SUM(AA5:AC5)&lt;0, B5,B8),IF(Q5=Q9, IF(SUM(AD5:AF5)&lt;0,B5,B9)))))</f>
        <v>DC Yee Fung Toy Thunder B</v>
      </c>
      <c r="AI5" s="60">
        <f t="shared" ref="AI5:AI9" si="1">Q5+IF(COUNTIF($AG$5:$AG$9,B5)&gt;0,0, IF(COUNTIF($AH$5:$AH$9,B5)&gt;0,1,0))</f>
        <v>4</v>
      </c>
      <c r="AJ5" s="61">
        <f t="shared" ref="AJ5:AJ9" si="2">SUM(R5:AF5)</f>
        <v>-12</v>
      </c>
      <c r="AK5" s="62">
        <f>1+SUM(IF(AJ5&lt;AJ6,1,0),IF(AJ5&lt;AJ7,1,0),IF(AJ5&lt;AJ8,1,0),IF(AJ5&lt;AJ9,1,0))</f>
        <v>4</v>
      </c>
      <c r="AL5" s="63">
        <f t="shared" ref="AL5:AL9" si="3">IF(SUM(E5,J5)=0,0,E5/(E5+J5))</f>
        <v>0.25</v>
      </c>
      <c r="AM5" s="62">
        <f>1+SUM(IF(AL5&lt;AL6,1,0),IF(AL5&lt;AL7,1,0),IF(AL5&lt;AL8,1,0),IF(AL5&lt;AL9,1,0))</f>
        <v>4</v>
      </c>
      <c r="AN5" s="64">
        <f t="shared" ref="AN5:AN9" si="4">IF(SUM(O5+P5)=0,0,O5/(O5+P5))</f>
        <v>0.375</v>
      </c>
      <c r="AO5" s="65">
        <f>1+SUM(IF(AN5&lt;AN6,1,0),IF(AN5&lt;AN7,1,0),IF(AN5&lt;AN8,1,0),IF(AN5&lt;AN9,1,0))</f>
        <v>3</v>
      </c>
      <c r="AP5" s="66">
        <f t="shared" ref="AP5:AP9" si="5">AJ5/SUM(O5:P5)</f>
        <v>-1.5</v>
      </c>
      <c r="AQ5" s="67">
        <f>1+SUM(IF(AP5&lt;AP6,1,0),IF(AP5&lt;AP7,1,0),IF(AP5&lt;AP8,1,0),IF(AP5&lt;AP9,1,0))</f>
        <v>4</v>
      </c>
      <c r="AR5" s="68">
        <f>1+SUM(IF(Q5&gt;Q6,1,IF(AND(Q5=Q6,AK5&gt;AK6),1,IF(AND(Q5=Q6,AK5=AK6),1,0))),IF(Q5&gt;Q7,1,IF(AND(Q5=Q7,AK5&gt;AK7),1,IF(AND(Q5=Q7,AK5=AK7),1,0))),IF(Q5&gt;Q8,1,IF(AND(Q5=Q8,AK5&gt;AK8),1,IF(AND(Q5=Q8,AK5=AK8),1,0))),IF(Q5&gt;Q9,1,IF(AND(Q5=Q9,AK5&gt;AK9),1,IF(AND(Q5=Q9,AK5=AK9),1,0))))</f>
        <v>4</v>
      </c>
    </row>
    <row r="6" spans="1:44" ht="15.75" customHeight="1" x14ac:dyDescent="0.2">
      <c r="A6" s="51">
        <f t="shared" si="0"/>
        <v>3</v>
      </c>
      <c r="B6" s="172" t="str">
        <f>+'Men''s Master'!F5</f>
        <v>Philly Fastball-Horizon</v>
      </c>
      <c r="C6" s="173"/>
      <c r="D6" s="173"/>
      <c r="E6" s="171">
        <f>SUM(IF(AG14=E14,1,0),IF(AG17=C17,1,0),IF(AG20=C20,1,0),IF(AG23=C23,1,0))</f>
        <v>2</v>
      </c>
      <c r="F6" s="162"/>
      <c r="G6" s="162"/>
      <c r="H6" s="162"/>
      <c r="I6" s="153"/>
      <c r="J6" s="169">
        <f>SUM(IF(AG14=E14,0,1),IF(AG17=C17,0,1),IF(AG20=C20,0,1),IF(AG23=C23,0,1))</f>
        <v>2</v>
      </c>
      <c r="K6" s="162"/>
      <c r="L6" s="162"/>
      <c r="M6" s="162"/>
      <c r="N6" s="170"/>
      <c r="O6" s="53">
        <f>SUM(IF(AD6&gt;0,1,0),IF(AE6&gt;0,1,0),IF(AF6&gt;0,1,0),IF(R6&gt;0,1,0),IF(S6&gt;0,1,0),IF(T6&gt;0,1,0),IF(X6&gt;0,1,0),IF(Y6&gt;0,1,0),IF(Z6&gt;0,1,0),IF(AA6&gt;0,1,0),IF(AB6&gt;0,1,0),IF(AC6&gt;0,1,0))</f>
        <v>3</v>
      </c>
      <c r="P6" s="52">
        <f>SUM(IF(AD6&lt;0,1,0),IF(AE6&lt;0,1,0),IF(AF6&lt;0,1,0),IF(R6&lt;0,1,0),IF(S6&lt;0,1,0),IF(T6&lt;0,1,0),IF(X6&lt;0,1,0),IF(Y6&lt;0,1,0),IF(Z6&lt;0,1,0),IF(AA6&lt;0,1,0),IF(AB6&lt;0,1,0),IF(AC6&lt;0,1,0))</f>
        <v>5</v>
      </c>
      <c r="Q6" s="54">
        <f>1+SUM(IF(O6&lt;O5,1,0),IF(O6&lt;O7,1,0),IF(O6&lt;O8,1,0),IF(O6&lt;O9,1,0))</f>
        <v>3</v>
      </c>
      <c r="R6" s="69">
        <f t="shared" ref="R6:T6" si="6">-U5</f>
        <v>5</v>
      </c>
      <c r="S6" s="58">
        <f t="shared" si="6"/>
        <v>2</v>
      </c>
      <c r="T6" s="58">
        <f t="shared" si="6"/>
        <v>0</v>
      </c>
      <c r="U6" s="56"/>
      <c r="V6" s="56"/>
      <c r="W6" s="56"/>
      <c r="X6" s="57">
        <f>Q17-T17</f>
        <v>-6</v>
      </c>
      <c r="Y6" s="57">
        <f>V17-Y17</f>
        <v>-2</v>
      </c>
      <c r="Z6" s="57">
        <f>AA17-AD17</f>
        <v>0</v>
      </c>
      <c r="AA6" s="58">
        <f>Q20-T20</f>
        <v>-3</v>
      </c>
      <c r="AB6" s="58">
        <f>V20-Y20</f>
        <v>8</v>
      </c>
      <c r="AC6" s="58">
        <f>AA20-AD20</f>
        <v>0</v>
      </c>
      <c r="AD6" s="58">
        <f>Q23-T23</f>
        <v>-10</v>
      </c>
      <c r="AE6" s="58">
        <f>V23-Y23</f>
        <v>-2</v>
      </c>
      <c r="AF6" s="58">
        <f>AA23-AD23</f>
        <v>0</v>
      </c>
      <c r="AG6" s="58" t="b">
        <f>IF(Q6=Q7,IF(SUM(X6:Z6)&gt;0,B6,B7),IF(Q6=Q8,IF(SUM(AA6:AC6)&gt;0,B6,B8),IF(Q6=Q9,IF(SUM(AD6:AF6)&gt;0, B6,B9))))</f>
        <v>0</v>
      </c>
      <c r="AH6" s="58" t="b">
        <f>IF(Q6=Q7,IF(SUM(X6:Z6)&lt;0,B6,B7),IF(Q6=Q8,IF(SUM(AA6:AC6)&lt;0,B6,B8),IF(Q6=Q9,IF(SUM(AD6:AF6)&lt;0, B6,B9))))</f>
        <v>0</v>
      </c>
      <c r="AI6" s="60">
        <f t="shared" si="1"/>
        <v>3</v>
      </c>
      <c r="AJ6" s="61">
        <f t="shared" si="2"/>
        <v>-8</v>
      </c>
      <c r="AK6" s="62">
        <f>1+SUM(IF(AJ6&lt;AJ5,1,0),IF(AJ6&lt;AJ7,1,0),IF(AJ6&lt;AJ8,1,0),IF(AJ6&lt;AJ9,1,0))</f>
        <v>3</v>
      </c>
      <c r="AL6" s="63">
        <f t="shared" si="3"/>
        <v>0.5</v>
      </c>
      <c r="AM6" s="62">
        <f>1+SUM(IF(AL6&lt;AL5,1,0),IF(AL6&lt;AL7,1,0),IF(AL6&lt;AL8,1,0),IF(AL6&lt;AL9,1,0))</f>
        <v>3</v>
      </c>
      <c r="AN6" s="64">
        <f t="shared" si="4"/>
        <v>0.375</v>
      </c>
      <c r="AO6" s="65">
        <f>1+SUM(IF(AN6&lt;AN5,1,0),IF(AN6&lt;AN7,1,0),IF(AN6&lt;AN8,1,0),IF(AN6&lt;AN9,1,0))</f>
        <v>3</v>
      </c>
      <c r="AP6" s="66">
        <f t="shared" si="5"/>
        <v>-1</v>
      </c>
      <c r="AQ6" s="70">
        <f>1+SUM(IF(AP6&lt;AP5,1,0),IF(AP6&lt;AP7,1,0),IF(AP6&lt;AP8,1,0),IF(AP6&lt;AP9,1,0))</f>
        <v>3</v>
      </c>
      <c r="AR6" s="68">
        <f>1+SUM(IF(Q6&gt;Q5,1,IF(AND(Q6=Q5,AK6&gt;AK5),1,IF(AND(Q6=Q5,AK6=AK5),1,0))),IF(Q6&gt;Q7,1,IF(AND(Q6=Q7,AK6&gt;AK7),1,IF(AND(Q6=Q7,AK6=AK7),1,0))),IF(Q6&gt;Q8,1,IF(AND(Q6=Q8,AK6&gt;AK8),1,IF(AND(Q6=Q8,AK6=AK8),1,0))),IF(Q6&gt;Q9,1,IF(AND(Q6=Q9,AK6&gt;AK9),1,IF(AND(Q6=Q9,AK6=AK9),1,0))))</f>
        <v>3</v>
      </c>
    </row>
    <row r="7" spans="1:44" ht="15.75" customHeight="1" x14ac:dyDescent="0.2">
      <c r="A7" s="51">
        <f t="shared" si="0"/>
        <v>1</v>
      </c>
      <c r="B7" s="172" t="str">
        <f>+'Men''s Master'!F6</f>
        <v>Boston Hurricanes Orange</v>
      </c>
      <c r="C7" s="173"/>
      <c r="D7" s="173"/>
      <c r="E7" s="171">
        <f>SUM(IF(AG15=C15,1,0),IF(AG17=E17,1,0),IF(AG19=E19,1,0),IF(AG21=C21,1,0))</f>
        <v>4</v>
      </c>
      <c r="F7" s="162"/>
      <c r="G7" s="162"/>
      <c r="H7" s="162"/>
      <c r="I7" s="153"/>
      <c r="J7" s="169">
        <f>SUM(IF(AG15=C15,0,1),IF(AG17=E17,0,1),IF(AG19=E19,0,1),IF(AG21=C21,0,1))</f>
        <v>0</v>
      </c>
      <c r="K7" s="162"/>
      <c r="L7" s="162"/>
      <c r="M7" s="162"/>
      <c r="N7" s="170"/>
      <c r="O7" s="53">
        <f>SUM(IF(AD7&gt;0,1,0),IF(AE7&gt;0,1,0),IF(AF7&gt;0,1,0),IF(U7&gt;0,1,0),IF(V7&gt;0,1,0),IF(W7&gt;0,1,0),IF(R7&gt;0,1,0),IF(S7&gt;0,1,0),IF(T7&gt;0,1,0),IF(AA7&gt;0,1,0),IF(AB7&gt;0,1,0),IF(AC7&gt;0,1,0))</f>
        <v>8</v>
      </c>
      <c r="P7" s="52">
        <f>SUM(IF(AD7&lt;0,1,0),IF(AE7&lt;0,1,0),IF(AF7&lt;0,1,0),IF(U7&lt;0,1,0),IF(V7&lt;0,1,0),IF(W7&lt;0,1,0),IF(R7&lt;0,1,0),IF(S7&lt;0,1,0),IF(T7&lt;0,1,0),IF(AA7&lt;0,1,0),IF(AB7&lt;0,1,0),IF(AC7&lt;0,1,0))</f>
        <v>0</v>
      </c>
      <c r="Q7" s="54">
        <f>1+SUM(IF(O7&lt;O6,1,0),IF(O7&lt;O5,1,0),IF(O7&lt;O8,1,0),IF(O7&lt;O9,1,0))</f>
        <v>1</v>
      </c>
      <c r="R7" s="69">
        <f t="shared" ref="R7:T7" si="7">-X5</f>
        <v>9</v>
      </c>
      <c r="S7" s="58">
        <f t="shared" si="7"/>
        <v>2</v>
      </c>
      <c r="T7" s="58">
        <f t="shared" si="7"/>
        <v>0</v>
      </c>
      <c r="U7" s="58">
        <f t="shared" ref="U7:W7" si="8">-X6</f>
        <v>6</v>
      </c>
      <c r="V7" s="58">
        <f t="shared" si="8"/>
        <v>2</v>
      </c>
      <c r="W7" s="58">
        <f t="shared" si="8"/>
        <v>0</v>
      </c>
      <c r="X7" s="71"/>
      <c r="Y7" s="71"/>
      <c r="Z7" s="71"/>
      <c r="AA7" s="58">
        <f>Q15-T15</f>
        <v>3</v>
      </c>
      <c r="AB7" s="58">
        <f>V15-Y15</f>
        <v>13</v>
      </c>
      <c r="AC7" s="58">
        <f>AA15-AD15</f>
        <v>0</v>
      </c>
      <c r="AD7" s="58">
        <f>Q21-T21</f>
        <v>2</v>
      </c>
      <c r="AE7" s="58">
        <f>V21-Y21</f>
        <v>3</v>
      </c>
      <c r="AF7" s="58">
        <f>AA21-AD21</f>
        <v>0</v>
      </c>
      <c r="AG7" s="58" t="b">
        <f>IF(Q7=Q8,IF(SUM(AA7:AC7)&gt;0,B7,B8),IF(Q7=Q9,IF(SUM(AD7:AF7)&gt;0,B7,B9)))</f>
        <v>0</v>
      </c>
      <c r="AH7" s="58" t="b">
        <f>IF(Q7=Q8,IF(SUM(AA7:AC7)&lt;0,B7,B8),IF(Q7=Q9,IF(SUM(AD7:AF7)&lt;0,B7,B9)))</f>
        <v>0</v>
      </c>
      <c r="AI7" s="60">
        <f t="shared" si="1"/>
        <v>1</v>
      </c>
      <c r="AJ7" s="61">
        <f t="shared" si="2"/>
        <v>40</v>
      </c>
      <c r="AK7" s="62">
        <f>1+SUM(IF(AJ7&lt;AJ6,1,0),IF(AJ7&lt;AJ5,1,0),IF(AJ7&lt;AJ8,1,0),IF(AJ7&lt;AJ9,1,0))</f>
        <v>1</v>
      </c>
      <c r="AL7" s="63">
        <f t="shared" si="3"/>
        <v>1</v>
      </c>
      <c r="AM7" s="62">
        <f>1+SUM(IF(AL7&lt;AL6,1,0),IF(AL7&lt;AL5,1,0),IF(AL7&lt;AL8,1,0),IF(AL7&lt;AL9,1,0))</f>
        <v>1</v>
      </c>
      <c r="AN7" s="64">
        <f t="shared" si="4"/>
        <v>1</v>
      </c>
      <c r="AO7" s="65">
        <f>1+SUM(IF(AN7&lt;AN6,1,0),IF(AN7&lt;AN5,1,0),IF(AN7&lt;AN8,1,0),IF(AN7&lt;AN9,1,0))</f>
        <v>1</v>
      </c>
      <c r="AP7" s="66">
        <f t="shared" si="5"/>
        <v>5</v>
      </c>
      <c r="AQ7" s="70">
        <f>1+SUM(IF(AP7&lt;AP6,1,0),IF(AP7&lt;AP5,1,0),IF(AP7&lt;AP8,1,0),IF(AP7&lt;AP9,1,0))</f>
        <v>1</v>
      </c>
      <c r="AR7" s="68">
        <f>1+SUM(IF(Q7&gt;Q5,1,IF(AND(Q7=Q5,AK7&gt;AK5),1,IF(AND(Q7=Q5,AK7=AK5),1,0))),IF(Q7&gt;Q6,1,IF(AND(Q7=Q6,AK7&gt;AK6),1,IF(AND(Q7=Q6,AK7=AK6),1,0))),IF(Q7&gt;Q8,1,IF(AND(Q7=Q8,AK7&gt;AK8),1,IF(AND(Q7=Q8,AK7=AK8),1,0))),IF(Q7&gt;Q9,1,IF(AND(Q7=Q9,AK7&gt;AK9),1,IF(AND(Q7=Q9,AK7=AK9),1,0))))</f>
        <v>1</v>
      </c>
    </row>
    <row r="8" spans="1:44" ht="15.75" customHeight="1" x14ac:dyDescent="0.2">
      <c r="A8" s="51">
        <f t="shared" si="0"/>
        <v>5</v>
      </c>
      <c r="B8" s="172" t="str">
        <f>+'Men''s Master'!F7</f>
        <v>Montreal Freemason</v>
      </c>
      <c r="C8" s="173"/>
      <c r="D8" s="173"/>
      <c r="E8" s="171">
        <f>SUM(IF(AG15=E15,1,0),IF(AG18=C18,1,0),IF(AG20=E20,1,0),IF(AG22=E22,1,0))</f>
        <v>0</v>
      </c>
      <c r="F8" s="162"/>
      <c r="G8" s="162"/>
      <c r="H8" s="162"/>
      <c r="I8" s="153"/>
      <c r="J8" s="169">
        <f>SUM(IF(AG15=E15,0,1),IF(AG18=C18,0,1),IF(AG20=E20,0,1),IF(AG22=E22,0,1))</f>
        <v>4</v>
      </c>
      <c r="K8" s="162"/>
      <c r="L8" s="162"/>
      <c r="M8" s="162"/>
      <c r="N8" s="170"/>
      <c r="O8" s="53">
        <f>SUM(IF(AD8&gt;0,1,0),IF(AE8&gt;0,1,0),IF(AF8&gt;0,1,0),IF(U8&gt;0,1,0),IF(V8&gt;0,1,0),IF(W8&gt;0,1,0),IF(X8&gt;0,1,0),IF(Y8&gt;0,1,0),IF(Z8&gt;0,1,0),IF(R8&gt;0,1,0),IF(S8&gt;0,1,0),IF(T8&gt;0,1,0))</f>
        <v>1</v>
      </c>
      <c r="P8" s="52">
        <f>SUM(IF(AD8&lt;0,1,0),IF(AE8&lt;0,1,0),IF(AF8&lt;0,1,0),IF(U8&lt;0,1,0),IF(V8&lt;0,1,0),IF(W8&lt;0,1,0),IF(R8&lt;0,1,0),IF(S8&lt;0,1,0),IF(T8&lt;0,1,0),IF(X8&lt;0,1,0),IF(Y8&lt;0,1,0),IF(Z8&lt;0,1,0))</f>
        <v>7</v>
      </c>
      <c r="Q8" s="54">
        <f>1+SUM(IF(O8&lt;O6,1,0),IF(O8&lt;O7,1,0),IF(O8&lt;O5,1,0),IF(O8&lt;O9,1,0))</f>
        <v>5</v>
      </c>
      <c r="R8" s="69">
        <f t="shared" ref="R8:T8" si="9">-AA5</f>
        <v>-3</v>
      </c>
      <c r="S8" s="58">
        <f t="shared" si="9"/>
        <v>-6</v>
      </c>
      <c r="T8" s="58">
        <f t="shared" si="9"/>
        <v>0</v>
      </c>
      <c r="U8" s="58">
        <f t="shared" ref="U8:W8" si="10">-AA6</f>
        <v>3</v>
      </c>
      <c r="V8" s="58">
        <f t="shared" si="10"/>
        <v>-8</v>
      </c>
      <c r="W8" s="58">
        <f t="shared" si="10"/>
        <v>0</v>
      </c>
      <c r="X8" s="58">
        <f t="shared" ref="X8:Z8" si="11">-AA7</f>
        <v>-3</v>
      </c>
      <c r="Y8" s="58">
        <f t="shared" si="11"/>
        <v>-13</v>
      </c>
      <c r="Z8" s="58">
        <f t="shared" si="11"/>
        <v>0</v>
      </c>
      <c r="AA8" s="71"/>
      <c r="AB8" s="71"/>
      <c r="AC8" s="71"/>
      <c r="AD8" s="58">
        <f>Q18-T18</f>
        <v>-16</v>
      </c>
      <c r="AE8" s="58">
        <f>V18-Y18</f>
        <v>-5</v>
      </c>
      <c r="AF8" s="58">
        <f>AA18-AD18</f>
        <v>0</v>
      </c>
      <c r="AG8" s="58" t="b">
        <f>IF(Q8=Q9,IF(SUM(AD8:AF8)&gt;0,B8,B9))</f>
        <v>0</v>
      </c>
      <c r="AH8" s="58" t="b">
        <f>IF(R8=R9,IF(SUM(AE8:AG8)&lt;0,C8,C9))</f>
        <v>0</v>
      </c>
      <c r="AI8" s="60">
        <f t="shared" si="1"/>
        <v>5</v>
      </c>
      <c r="AJ8" s="61">
        <f t="shared" si="2"/>
        <v>-51</v>
      </c>
      <c r="AK8" s="72">
        <f>1+SUM(IF(AJ8&lt;AJ6,1,0),IF(AJ8&lt;AJ7,1,0),IF(AJ8&lt;AJ5,1,0),IF(AJ8&lt;AJ9,1,0))</f>
        <v>5</v>
      </c>
      <c r="AL8" s="63">
        <f t="shared" si="3"/>
        <v>0</v>
      </c>
      <c r="AM8" s="72">
        <f>1+SUM(IF(AL8&lt;AL6,1,0),IF(AL8&lt;AL7,1,0),IF(AL8&lt;AL5,1,0),IF(AL8&lt;AL9,1,0))</f>
        <v>5</v>
      </c>
      <c r="AN8" s="64">
        <f t="shared" si="4"/>
        <v>0.125</v>
      </c>
      <c r="AO8" s="65">
        <f>1+SUM(IF(AN8&lt;AN6,1,0),IF(AN8&lt;AN7,1,0),IF(AN8&lt;AN5,1,0),IF(AN8&lt;AN9,1,0))</f>
        <v>5</v>
      </c>
      <c r="AP8" s="66">
        <f t="shared" si="5"/>
        <v>-6.375</v>
      </c>
      <c r="AQ8" s="73">
        <f>1+SUM(IF(AP8&lt;AP6,1,0),IF(AP8&lt;AP7,1,0),IF(AP8&lt;AP5,1,0),IF(AP8&lt;AP9,1,0))</f>
        <v>5</v>
      </c>
      <c r="AR8" s="68">
        <f>1+SUM(IF(Q8&gt;Q5,1,IF(AND(Q8=Q5,AK8&gt;AK5),1,IF(AND(Q8=Q5,AK8=AK5),1,0))),IF(Q8&gt;Q6,1,IF(AND(Q8=Q6,AK8&gt;AK6),1,IF(AND(Q8=Q6,AK8=AK6),1,0))),IF(Q8&gt;Q7,1,IF(AND(Q8=Q7,AK8&gt;AK7),1,IF(AND(Q8=Q7,AK8=AK7),1,0))),IF(Q8&gt;Q9,1,IF(AND(Q8=Q9,AK8&gt;AK9),1,IF(AND(Q8=Q9,AK8=AK9),1,0))))</f>
        <v>5</v>
      </c>
    </row>
    <row r="9" spans="1:44" ht="15.75" customHeight="1" x14ac:dyDescent="0.2">
      <c r="A9" s="51">
        <f t="shared" si="0"/>
        <v>2</v>
      </c>
      <c r="B9" s="172" t="str">
        <f>+'Men''s Master'!F8</f>
        <v>NY Strangers Black</v>
      </c>
      <c r="C9" s="173"/>
      <c r="D9" s="173"/>
      <c r="E9" s="171">
        <f>SUM(IF(AG16=E16,1,0),IF(AG18=E18,1,0),IF(AG21=E21,1,0),IF(AG23=E23,1,0))</f>
        <v>3</v>
      </c>
      <c r="F9" s="162"/>
      <c r="G9" s="162"/>
      <c r="H9" s="162"/>
      <c r="I9" s="153"/>
      <c r="J9" s="169">
        <f>SUM(IF(AG16=E16,0,1),IF(AG18=E18,0,1),IF(AG21=E21,0,1),IF(AG23=E23,0,1))</f>
        <v>1</v>
      </c>
      <c r="K9" s="162"/>
      <c r="L9" s="162"/>
      <c r="M9" s="162"/>
      <c r="N9" s="170"/>
      <c r="O9" s="53">
        <f>SUM(IF(R9&gt;0,1,0),IF(S9&gt;0,1,0),IF(T9&gt;0,1,0),IF(U9&gt;0,1,0),IF(V9&gt;0,1,0),IF(W9&gt;0,1,0),IF(X9&gt;0,1,0),IF(Y9&gt;0,1,0),IF(Z9&gt;0,1,0),IF(AA9&gt;0,1,0),IF(AB9&gt;0,1,0),IF(AC9&gt;0,1,0))</f>
        <v>5</v>
      </c>
      <c r="P9" s="52">
        <f>SUM(IF(R9&lt;0,1,0),IF(S9&lt;0,1,0),IF(T9&lt;0,1,0),IF(U9&lt;0,1,0),IF(V9&lt;0,1,0),IF(W9&lt;0,1,0),IF(X9&lt;0,1,0),IF(Y9&lt;0,1,0),IF(Z9&lt;0,1,0),IF(AA9&lt;0,1,0),IF(AB9&lt;0,1,0),IF(AC9&lt;0,1,0))</f>
        <v>3</v>
      </c>
      <c r="Q9" s="54">
        <f>1+SUM(IF(O9&lt;O6,1,0),IF(O9&lt;O7,1,0),IF(O9&lt;O8,1,0),IF(O9&lt;O5,1,0))</f>
        <v>2</v>
      </c>
      <c r="R9" s="74">
        <f t="shared" ref="R9:T9" si="12">-AD5</f>
        <v>7</v>
      </c>
      <c r="S9" s="75">
        <f t="shared" si="12"/>
        <v>-4</v>
      </c>
      <c r="T9" s="75">
        <f t="shared" si="12"/>
        <v>0</v>
      </c>
      <c r="U9" s="75">
        <f t="shared" ref="U9:W9" si="13">-AD6</f>
        <v>10</v>
      </c>
      <c r="V9" s="75">
        <f t="shared" si="13"/>
        <v>2</v>
      </c>
      <c r="W9" s="75">
        <f t="shared" si="13"/>
        <v>0</v>
      </c>
      <c r="X9" s="75">
        <f t="shared" ref="X9:Z9" si="14">-AD7</f>
        <v>-2</v>
      </c>
      <c r="Y9" s="75">
        <f t="shared" si="14"/>
        <v>-3</v>
      </c>
      <c r="Z9" s="75">
        <f t="shared" si="14"/>
        <v>0</v>
      </c>
      <c r="AA9" s="75">
        <f t="shared" ref="AA9:AC9" si="15">-AD8</f>
        <v>16</v>
      </c>
      <c r="AB9" s="75">
        <f t="shared" si="15"/>
        <v>5</v>
      </c>
      <c r="AC9" s="75">
        <f t="shared" si="15"/>
        <v>0</v>
      </c>
      <c r="AD9" s="76"/>
      <c r="AE9" s="76"/>
      <c r="AF9" s="76"/>
      <c r="AG9" s="77" t="s">
        <v>168</v>
      </c>
      <c r="AH9" s="77" t="s">
        <v>168</v>
      </c>
      <c r="AI9" s="60">
        <f t="shared" si="1"/>
        <v>2</v>
      </c>
      <c r="AJ9" s="78">
        <f t="shared" si="2"/>
        <v>31</v>
      </c>
      <c r="AK9" s="72">
        <f>1+SUM(IF(AJ9&lt;AJ6,1,0),IF(AJ9&lt;AJ7,1,0),IF(AJ9&lt;AJ8,1,0),IF(AJ9&lt;AJ5,1,0))</f>
        <v>2</v>
      </c>
      <c r="AL9" s="79">
        <f t="shared" si="3"/>
        <v>0.75</v>
      </c>
      <c r="AM9" s="72">
        <f>1+SUM(IF(AL9&lt;AL6,1,0),IF(AL9&lt;AL7,1,0),IF(AL9&lt;AL8,1,0),IF(AL9&lt;AL5,1,0))</f>
        <v>2</v>
      </c>
      <c r="AN9" s="64">
        <f t="shared" si="4"/>
        <v>0.625</v>
      </c>
      <c r="AO9" s="65">
        <f>1+SUM(IF(AN9&lt;AN6,1,0),IF(AN9&lt;AN7,1,0),IF(AN9&lt;AN8,1,0),IF(AN9&lt;AN5,1,0))</f>
        <v>2</v>
      </c>
      <c r="AP9" s="66">
        <f t="shared" si="5"/>
        <v>3.875</v>
      </c>
      <c r="AQ9" s="73">
        <f>1+SUM(IF(AP9&lt;AP6,1,0),IF(AP9&lt;AP7,1,0),IF(AP9&lt;AP8,1,0),IF(AP9&lt;AP5,1,0))</f>
        <v>2</v>
      </c>
      <c r="AR9" s="68">
        <f>1+SUM(IF(Q9&gt;Q5,1,IF(AND(Q9=Q5,AK9&gt;AK5),1,IF(AND(Q9=Q5,AK9=AK5),1,0))),IF(Q9&gt;Q6,1,IF(AND(Q9=Q6,AK9&gt;AK6),1,IF(AND(Q9=Q6,AK9=AK6),1,0))),IF(Q9&gt;Q7,1,IF(AND(Q9=Q7,AK9&gt;AK7),1,IF(AND(Q9=Q7,AK9=AK7),1,0))),IF(Q9&gt;Q8,1,IF(AND(Q9=Q8,AK9&gt;AK8),1,IF(AND(Q9=Q8,AK9=AK8),1,0))))</f>
        <v>2</v>
      </c>
    </row>
    <row r="10" spans="1:44" ht="12.75" customHeight="1" x14ac:dyDescent="0.2">
      <c r="A10" s="174"/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80"/>
      <c r="AI10" s="41"/>
      <c r="AJ10" s="41"/>
      <c r="AK10" s="41"/>
      <c r="AL10" s="41"/>
      <c r="AM10" s="41"/>
      <c r="AN10" s="41"/>
      <c r="AO10" s="5"/>
      <c r="AP10" s="5"/>
      <c r="AQ10" s="5"/>
      <c r="AR10" s="5"/>
    </row>
    <row r="11" spans="1:44" ht="12.75" customHeight="1" x14ac:dyDescent="0.2">
      <c r="A11" s="136"/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80"/>
      <c r="AI11" s="41"/>
      <c r="AJ11" s="41"/>
      <c r="AK11" s="41"/>
      <c r="AL11" s="41"/>
      <c r="AM11" s="41"/>
      <c r="AN11" s="41"/>
      <c r="AO11" s="5"/>
      <c r="AP11" s="5"/>
      <c r="AQ11" s="5"/>
      <c r="AR11" s="5"/>
    </row>
    <row r="12" spans="1:44" ht="13.5" customHeight="1" x14ac:dyDescent="0.2">
      <c r="A12" s="136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80"/>
      <c r="AI12" s="41"/>
      <c r="AJ12" s="41"/>
      <c r="AK12" s="41"/>
      <c r="AL12" s="41"/>
      <c r="AM12" s="41"/>
      <c r="AN12" s="41"/>
      <c r="AO12" s="5"/>
      <c r="AP12" s="5"/>
      <c r="AQ12" s="5"/>
      <c r="AR12" s="5"/>
    </row>
    <row r="13" spans="1:44" ht="13.5" customHeight="1" x14ac:dyDescent="0.2">
      <c r="A13" s="167"/>
      <c r="B13" s="136"/>
      <c r="C13" s="81" t="s">
        <v>169</v>
      </c>
      <c r="D13" s="82" t="s">
        <v>170</v>
      </c>
      <c r="E13" s="165" t="s">
        <v>169</v>
      </c>
      <c r="F13" s="156"/>
      <c r="G13" s="156"/>
      <c r="H13" s="156"/>
      <c r="I13" s="156"/>
      <c r="J13" s="156"/>
      <c r="K13" s="156"/>
      <c r="L13" s="156"/>
      <c r="M13" s="166"/>
      <c r="N13" s="176" t="s">
        <v>171</v>
      </c>
      <c r="O13" s="177"/>
      <c r="P13" s="178"/>
      <c r="Q13" s="155" t="s">
        <v>172</v>
      </c>
      <c r="R13" s="156"/>
      <c r="S13" s="156"/>
      <c r="T13" s="156"/>
      <c r="U13" s="166"/>
      <c r="V13" s="175" t="s">
        <v>173</v>
      </c>
      <c r="W13" s="156"/>
      <c r="X13" s="156"/>
      <c r="Y13" s="156"/>
      <c r="Z13" s="166"/>
      <c r="AA13" s="155" t="s">
        <v>174</v>
      </c>
      <c r="AB13" s="156"/>
      <c r="AC13" s="156"/>
      <c r="AD13" s="156"/>
      <c r="AE13" s="157"/>
      <c r="AF13" s="83"/>
      <c r="AG13" s="84" t="s">
        <v>175</v>
      </c>
      <c r="AH13" s="49" t="s">
        <v>176</v>
      </c>
      <c r="AI13" s="158" t="s">
        <v>177</v>
      </c>
      <c r="AJ13" s="159"/>
      <c r="AK13" s="41"/>
      <c r="AL13" s="5"/>
      <c r="AM13" s="5"/>
      <c r="AN13" s="5"/>
      <c r="AO13" s="5"/>
      <c r="AP13" s="5"/>
      <c r="AQ13" s="5"/>
      <c r="AR13" s="5"/>
    </row>
    <row r="14" spans="1:44" ht="15.75" customHeight="1" x14ac:dyDescent="0.2">
      <c r="A14" s="85">
        <v>1</v>
      </c>
      <c r="B14" s="86">
        <v>1</v>
      </c>
      <c r="C14" s="117" t="str">
        <f>+B5</f>
        <v>DC Yee Fung Toy Thunder B</v>
      </c>
      <c r="D14" s="88">
        <v>2</v>
      </c>
      <c r="E14" s="161" t="str">
        <f>+B6</f>
        <v>Philly Fastball-Horizon</v>
      </c>
      <c r="F14" s="162"/>
      <c r="G14" s="162"/>
      <c r="H14" s="162"/>
      <c r="I14" s="162"/>
      <c r="J14" s="162"/>
      <c r="K14" s="162"/>
      <c r="L14" s="162"/>
      <c r="M14" s="153"/>
      <c r="N14" s="89">
        <v>3</v>
      </c>
      <c r="O14" s="160" t="str">
        <f>+B7</f>
        <v>Boston Hurricanes Orange</v>
      </c>
      <c r="P14" s="153"/>
      <c r="Q14" s="151">
        <v>16</v>
      </c>
      <c r="R14" s="143"/>
      <c r="S14" s="91">
        <v>0</v>
      </c>
      <c r="T14" s="151">
        <v>21</v>
      </c>
      <c r="U14" s="143"/>
      <c r="V14" s="154">
        <v>19</v>
      </c>
      <c r="W14" s="143"/>
      <c r="X14" s="92">
        <v>0</v>
      </c>
      <c r="Y14" s="154">
        <v>21</v>
      </c>
      <c r="Z14" s="143"/>
      <c r="AA14" s="152"/>
      <c r="AB14" s="153"/>
      <c r="AC14" s="93" t="s">
        <v>178</v>
      </c>
      <c r="AD14" s="152"/>
      <c r="AE14" s="153"/>
      <c r="AF14" s="94"/>
      <c r="AG14" s="104" t="str">
        <f t="shared" ref="AG14:AG23" si="16">IF(AND(Q14&gt;T14,V14&gt;Y14),C14, IF(AND(T14&gt;Q14,Y14&gt;V14),E14, IF((Q14)+(V14)+(AA14)-(T14)-(Y14)-(AD14)&gt;0,C14,E14)))</f>
        <v>Philly Fastball-Horizon</v>
      </c>
      <c r="AH14" s="96">
        <f t="shared" ref="AH14:AH23" si="17">(Q14)+(V14)+(AA14)-(T14)-(Y14)-(AD14)</f>
        <v>-7</v>
      </c>
      <c r="AI14" s="147">
        <v>0.375</v>
      </c>
      <c r="AJ14" s="148"/>
      <c r="AK14" s="5"/>
      <c r="AL14" s="5"/>
      <c r="AM14" s="5"/>
      <c r="AN14" s="5"/>
      <c r="AO14" s="5"/>
      <c r="AP14" s="5"/>
      <c r="AQ14" s="5"/>
      <c r="AR14" s="5"/>
    </row>
    <row r="15" spans="1:44" ht="15.75" customHeight="1" x14ac:dyDescent="0.2">
      <c r="A15" s="97">
        <v>2</v>
      </c>
      <c r="B15" s="98">
        <v>3</v>
      </c>
      <c r="C15" s="99" t="str">
        <f>+B7</f>
        <v>Boston Hurricanes Orange</v>
      </c>
      <c r="D15" s="61">
        <v>4</v>
      </c>
      <c r="E15" s="163" t="str">
        <f t="shared" ref="E15:E16" si="18">+B8</f>
        <v>Montreal Freemason</v>
      </c>
      <c r="F15" s="164"/>
      <c r="G15" s="164"/>
      <c r="H15" s="164"/>
      <c r="I15" s="164"/>
      <c r="J15" s="164"/>
      <c r="K15" s="164"/>
      <c r="L15" s="164"/>
      <c r="M15" s="143"/>
      <c r="N15" s="100">
        <v>2</v>
      </c>
      <c r="O15" s="168" t="str">
        <f>+B6</f>
        <v>Philly Fastball-Horizon</v>
      </c>
      <c r="P15" s="143"/>
      <c r="Q15" s="144">
        <v>21</v>
      </c>
      <c r="R15" s="141"/>
      <c r="S15" s="101">
        <v>0</v>
      </c>
      <c r="T15" s="144">
        <v>18</v>
      </c>
      <c r="U15" s="141"/>
      <c r="V15" s="140">
        <v>21</v>
      </c>
      <c r="W15" s="141"/>
      <c r="X15" s="102">
        <v>0</v>
      </c>
      <c r="Y15" s="140">
        <v>8</v>
      </c>
      <c r="Z15" s="141"/>
      <c r="AA15" s="142"/>
      <c r="AB15" s="143"/>
      <c r="AC15" s="103" t="s">
        <v>178</v>
      </c>
      <c r="AD15" s="142"/>
      <c r="AE15" s="143"/>
      <c r="AF15" s="94"/>
      <c r="AG15" s="104" t="str">
        <f t="shared" si="16"/>
        <v>Boston Hurricanes Orange</v>
      </c>
      <c r="AH15" s="96">
        <f t="shared" si="17"/>
        <v>16</v>
      </c>
      <c r="AI15" s="149">
        <v>0.40972222222222227</v>
      </c>
      <c r="AJ15" s="150"/>
      <c r="AK15" s="5"/>
      <c r="AL15" s="5"/>
      <c r="AM15" s="5"/>
      <c r="AN15" s="5"/>
      <c r="AO15" s="5"/>
      <c r="AP15" s="5"/>
      <c r="AQ15" s="5"/>
      <c r="AR15" s="5"/>
    </row>
    <row r="16" spans="1:44" ht="15.75" customHeight="1" x14ac:dyDescent="0.2">
      <c r="A16" s="97">
        <v>3</v>
      </c>
      <c r="B16" s="98">
        <v>1</v>
      </c>
      <c r="C16" s="99" t="str">
        <f t="shared" ref="C16:C17" si="19">+B5</f>
        <v>DC Yee Fung Toy Thunder B</v>
      </c>
      <c r="D16" s="61">
        <v>5</v>
      </c>
      <c r="E16" s="163" t="str">
        <f t="shared" si="18"/>
        <v>NY Strangers Black</v>
      </c>
      <c r="F16" s="164"/>
      <c r="G16" s="164"/>
      <c r="H16" s="164"/>
      <c r="I16" s="164"/>
      <c r="J16" s="164"/>
      <c r="K16" s="164"/>
      <c r="L16" s="164"/>
      <c r="M16" s="143"/>
      <c r="N16" s="100">
        <v>4</v>
      </c>
      <c r="O16" s="168" t="str">
        <f>+B8</f>
        <v>Montreal Freemason</v>
      </c>
      <c r="P16" s="143"/>
      <c r="Q16" s="144">
        <v>14</v>
      </c>
      <c r="R16" s="141"/>
      <c r="S16" s="101">
        <v>0</v>
      </c>
      <c r="T16" s="144">
        <v>21</v>
      </c>
      <c r="U16" s="141"/>
      <c r="V16" s="140">
        <v>21</v>
      </c>
      <c r="W16" s="141"/>
      <c r="X16" s="102">
        <v>0</v>
      </c>
      <c r="Y16" s="140">
        <v>17</v>
      </c>
      <c r="Z16" s="141"/>
      <c r="AA16" s="142"/>
      <c r="AB16" s="143"/>
      <c r="AC16" s="103" t="s">
        <v>178</v>
      </c>
      <c r="AD16" s="142"/>
      <c r="AE16" s="143"/>
      <c r="AF16" s="94"/>
      <c r="AG16" s="104" t="str">
        <f t="shared" si="16"/>
        <v>NY Strangers Black</v>
      </c>
      <c r="AH16" s="96">
        <f t="shared" si="17"/>
        <v>-3</v>
      </c>
      <c r="AI16" s="149">
        <v>0.44444444444444442</v>
      </c>
      <c r="AJ16" s="150"/>
      <c r="AK16" s="5"/>
      <c r="AL16" s="5"/>
      <c r="AM16" s="5"/>
      <c r="AN16" s="5"/>
      <c r="AO16" s="5"/>
      <c r="AP16" s="5"/>
      <c r="AQ16" s="5"/>
      <c r="AR16" s="5"/>
    </row>
    <row r="17" spans="1:44" ht="15.75" customHeight="1" x14ac:dyDescent="0.2">
      <c r="A17" s="97">
        <v>4</v>
      </c>
      <c r="B17" s="98">
        <v>2</v>
      </c>
      <c r="C17" s="99" t="str">
        <f t="shared" si="19"/>
        <v>Philly Fastball-Horizon</v>
      </c>
      <c r="D17" s="61">
        <v>3</v>
      </c>
      <c r="E17" s="163" t="str">
        <f>+B7</f>
        <v>Boston Hurricanes Orange</v>
      </c>
      <c r="F17" s="164"/>
      <c r="G17" s="164"/>
      <c r="H17" s="164"/>
      <c r="I17" s="164"/>
      <c r="J17" s="164"/>
      <c r="K17" s="164"/>
      <c r="L17" s="164"/>
      <c r="M17" s="143"/>
      <c r="N17" s="100">
        <v>1</v>
      </c>
      <c r="O17" s="168" t="str">
        <f>+B5</f>
        <v>DC Yee Fung Toy Thunder B</v>
      </c>
      <c r="P17" s="143"/>
      <c r="Q17" s="144">
        <v>15</v>
      </c>
      <c r="R17" s="141"/>
      <c r="S17" s="101">
        <v>0</v>
      </c>
      <c r="T17" s="144">
        <v>21</v>
      </c>
      <c r="U17" s="141"/>
      <c r="V17" s="140">
        <v>19</v>
      </c>
      <c r="W17" s="141"/>
      <c r="X17" s="102">
        <v>0</v>
      </c>
      <c r="Y17" s="140">
        <v>21</v>
      </c>
      <c r="Z17" s="141"/>
      <c r="AA17" s="142"/>
      <c r="AB17" s="143"/>
      <c r="AC17" s="103" t="s">
        <v>178</v>
      </c>
      <c r="AD17" s="142"/>
      <c r="AE17" s="143"/>
      <c r="AF17" s="94"/>
      <c r="AG17" s="104" t="str">
        <f t="shared" si="16"/>
        <v>Boston Hurricanes Orange</v>
      </c>
      <c r="AH17" s="96">
        <f t="shared" si="17"/>
        <v>-8</v>
      </c>
      <c r="AI17" s="149">
        <v>0.47916666666666669</v>
      </c>
      <c r="AJ17" s="150"/>
      <c r="AK17" s="5"/>
      <c r="AL17" s="5"/>
      <c r="AM17" s="5"/>
      <c r="AN17" s="5"/>
      <c r="AO17" s="5"/>
      <c r="AP17" s="5"/>
      <c r="AQ17" s="5"/>
      <c r="AR17" s="5"/>
    </row>
    <row r="18" spans="1:44" ht="15.75" customHeight="1" x14ac:dyDescent="0.2">
      <c r="A18" s="97">
        <v>5</v>
      </c>
      <c r="B18" s="98">
        <v>4</v>
      </c>
      <c r="C18" s="99" t="str">
        <f>+B8</f>
        <v>Montreal Freemason</v>
      </c>
      <c r="D18" s="61">
        <v>5</v>
      </c>
      <c r="E18" s="163" t="str">
        <f>+B9</f>
        <v>NY Strangers Black</v>
      </c>
      <c r="F18" s="164"/>
      <c r="G18" s="164"/>
      <c r="H18" s="164"/>
      <c r="I18" s="164"/>
      <c r="J18" s="164"/>
      <c r="K18" s="164"/>
      <c r="L18" s="164"/>
      <c r="M18" s="143"/>
      <c r="N18" s="100">
        <v>3</v>
      </c>
      <c r="O18" s="168" t="str">
        <f>+B7</f>
        <v>Boston Hurricanes Orange</v>
      </c>
      <c r="P18" s="143"/>
      <c r="Q18" s="144">
        <v>5</v>
      </c>
      <c r="R18" s="141"/>
      <c r="S18" s="101">
        <v>0</v>
      </c>
      <c r="T18" s="144">
        <v>21</v>
      </c>
      <c r="U18" s="141"/>
      <c r="V18" s="140">
        <v>16</v>
      </c>
      <c r="W18" s="141"/>
      <c r="X18" s="102">
        <v>0</v>
      </c>
      <c r="Y18" s="140">
        <v>21</v>
      </c>
      <c r="Z18" s="141"/>
      <c r="AA18" s="142"/>
      <c r="AB18" s="143"/>
      <c r="AC18" s="103" t="s">
        <v>178</v>
      </c>
      <c r="AD18" s="142"/>
      <c r="AE18" s="143"/>
      <c r="AF18" s="94"/>
      <c r="AG18" s="104" t="str">
        <f t="shared" si="16"/>
        <v>NY Strangers Black</v>
      </c>
      <c r="AH18" s="96">
        <f t="shared" si="17"/>
        <v>-21</v>
      </c>
      <c r="AI18" s="149">
        <v>0.53472222222222221</v>
      </c>
      <c r="AJ18" s="150"/>
      <c r="AK18" s="5"/>
      <c r="AL18" s="5"/>
      <c r="AM18" s="5"/>
      <c r="AN18" s="5"/>
      <c r="AO18" s="5"/>
      <c r="AP18" s="5"/>
      <c r="AQ18" s="5"/>
      <c r="AR18" s="5"/>
    </row>
    <row r="19" spans="1:44" ht="15.75" customHeight="1" x14ac:dyDescent="0.2">
      <c r="A19" s="97">
        <v>6</v>
      </c>
      <c r="B19" s="98">
        <v>1</v>
      </c>
      <c r="C19" s="99" t="str">
        <f t="shared" ref="C19:C21" si="20">+B5</f>
        <v>DC Yee Fung Toy Thunder B</v>
      </c>
      <c r="D19" s="61">
        <v>3</v>
      </c>
      <c r="E19" s="163" t="str">
        <f t="shared" ref="E19:E21" si="21">+B7</f>
        <v>Boston Hurricanes Orange</v>
      </c>
      <c r="F19" s="164"/>
      <c r="G19" s="164"/>
      <c r="H19" s="164"/>
      <c r="I19" s="164"/>
      <c r="J19" s="164"/>
      <c r="K19" s="164"/>
      <c r="L19" s="164"/>
      <c r="M19" s="143"/>
      <c r="N19" s="100">
        <v>5</v>
      </c>
      <c r="O19" s="168" t="str">
        <f>+B9</f>
        <v>NY Strangers Black</v>
      </c>
      <c r="P19" s="143"/>
      <c r="Q19" s="144">
        <v>12</v>
      </c>
      <c r="R19" s="141"/>
      <c r="S19" s="101">
        <v>0</v>
      </c>
      <c r="T19" s="144">
        <v>21</v>
      </c>
      <c r="U19" s="141"/>
      <c r="V19" s="140">
        <v>19</v>
      </c>
      <c r="W19" s="141"/>
      <c r="X19" s="102">
        <v>0</v>
      </c>
      <c r="Y19" s="140">
        <v>21</v>
      </c>
      <c r="Z19" s="141"/>
      <c r="AA19" s="142"/>
      <c r="AB19" s="143"/>
      <c r="AC19" s="103" t="s">
        <v>178</v>
      </c>
      <c r="AD19" s="142"/>
      <c r="AE19" s="143"/>
      <c r="AF19" s="94"/>
      <c r="AG19" s="104" t="str">
        <f t="shared" si="16"/>
        <v>Boston Hurricanes Orange</v>
      </c>
      <c r="AH19" s="96">
        <f t="shared" si="17"/>
        <v>-11</v>
      </c>
      <c r="AI19" s="149">
        <v>6.9444444444444434E-2</v>
      </c>
      <c r="AJ19" s="150"/>
      <c r="AK19" s="5"/>
      <c r="AL19" s="5"/>
      <c r="AM19" s="5"/>
      <c r="AN19" s="5"/>
      <c r="AO19" s="5"/>
      <c r="AP19" s="5"/>
      <c r="AQ19" s="5"/>
      <c r="AR19" s="5"/>
    </row>
    <row r="20" spans="1:44" ht="15.75" customHeight="1" x14ac:dyDescent="0.2">
      <c r="A20" s="97">
        <v>7</v>
      </c>
      <c r="B20" s="98">
        <v>2</v>
      </c>
      <c r="C20" s="99" t="str">
        <f t="shared" si="20"/>
        <v>Philly Fastball-Horizon</v>
      </c>
      <c r="D20" s="61">
        <v>4</v>
      </c>
      <c r="E20" s="163" t="str">
        <f t="shared" si="21"/>
        <v>Montreal Freemason</v>
      </c>
      <c r="F20" s="164"/>
      <c r="G20" s="164"/>
      <c r="H20" s="164"/>
      <c r="I20" s="164"/>
      <c r="J20" s="164"/>
      <c r="K20" s="164"/>
      <c r="L20" s="164"/>
      <c r="M20" s="143"/>
      <c r="N20" s="100">
        <v>1</v>
      </c>
      <c r="O20" s="168" t="str">
        <f t="shared" ref="O20:O21" si="22">+B5</f>
        <v>DC Yee Fung Toy Thunder B</v>
      </c>
      <c r="P20" s="143"/>
      <c r="Q20" s="144">
        <v>18</v>
      </c>
      <c r="R20" s="141"/>
      <c r="S20" s="101">
        <v>0</v>
      </c>
      <c r="T20" s="144">
        <v>21</v>
      </c>
      <c r="U20" s="141"/>
      <c r="V20" s="140">
        <v>21</v>
      </c>
      <c r="W20" s="141"/>
      <c r="X20" s="102">
        <v>0</v>
      </c>
      <c r="Y20" s="140">
        <v>13</v>
      </c>
      <c r="Z20" s="141"/>
      <c r="AA20" s="142"/>
      <c r="AB20" s="143"/>
      <c r="AC20" s="103" t="s">
        <v>178</v>
      </c>
      <c r="AD20" s="142"/>
      <c r="AE20" s="143"/>
      <c r="AF20" s="94"/>
      <c r="AG20" s="104" t="str">
        <f t="shared" si="16"/>
        <v>Philly Fastball-Horizon</v>
      </c>
      <c r="AH20" s="96">
        <f t="shared" si="17"/>
        <v>5</v>
      </c>
      <c r="AI20" s="149">
        <v>0.10416666666666667</v>
      </c>
      <c r="AJ20" s="150"/>
      <c r="AK20" s="5"/>
      <c r="AL20" s="5"/>
      <c r="AM20" s="5"/>
      <c r="AN20" s="5"/>
      <c r="AO20" s="5"/>
      <c r="AP20" s="5"/>
      <c r="AQ20" s="5"/>
      <c r="AR20" s="5"/>
    </row>
    <row r="21" spans="1:44" ht="15.75" customHeight="1" x14ac:dyDescent="0.2">
      <c r="A21" s="97">
        <v>8</v>
      </c>
      <c r="B21" s="98">
        <v>3</v>
      </c>
      <c r="C21" s="99" t="str">
        <f t="shared" si="20"/>
        <v>Boston Hurricanes Orange</v>
      </c>
      <c r="D21" s="61">
        <v>5</v>
      </c>
      <c r="E21" s="163" t="str">
        <f t="shared" si="21"/>
        <v>NY Strangers Black</v>
      </c>
      <c r="F21" s="164"/>
      <c r="G21" s="164"/>
      <c r="H21" s="164"/>
      <c r="I21" s="164"/>
      <c r="J21" s="164"/>
      <c r="K21" s="164"/>
      <c r="L21" s="164"/>
      <c r="M21" s="143"/>
      <c r="N21" s="100">
        <v>2</v>
      </c>
      <c r="O21" s="168" t="str">
        <f t="shared" si="22"/>
        <v>Philly Fastball-Horizon</v>
      </c>
      <c r="P21" s="143"/>
      <c r="Q21" s="144">
        <v>21</v>
      </c>
      <c r="R21" s="141"/>
      <c r="S21" s="101">
        <v>0</v>
      </c>
      <c r="T21" s="144">
        <v>19</v>
      </c>
      <c r="U21" s="141"/>
      <c r="V21" s="140">
        <v>21</v>
      </c>
      <c r="W21" s="141"/>
      <c r="X21" s="102">
        <v>0</v>
      </c>
      <c r="Y21" s="140">
        <v>18</v>
      </c>
      <c r="Z21" s="141"/>
      <c r="AA21" s="142"/>
      <c r="AB21" s="143"/>
      <c r="AC21" s="103" t="s">
        <v>178</v>
      </c>
      <c r="AD21" s="142"/>
      <c r="AE21" s="143"/>
      <c r="AF21" s="94"/>
      <c r="AG21" s="104" t="str">
        <f t="shared" si="16"/>
        <v>Boston Hurricanes Orange</v>
      </c>
      <c r="AH21" s="96">
        <f t="shared" si="17"/>
        <v>5</v>
      </c>
      <c r="AI21" s="149">
        <v>0.15972222222222224</v>
      </c>
      <c r="AJ21" s="150"/>
      <c r="AK21" s="5"/>
      <c r="AL21" s="5"/>
      <c r="AM21" s="5"/>
      <c r="AN21" s="5"/>
      <c r="AO21" s="5"/>
      <c r="AP21" s="5"/>
      <c r="AQ21" s="5"/>
      <c r="AR21" s="5"/>
    </row>
    <row r="22" spans="1:44" ht="15.75" customHeight="1" x14ac:dyDescent="0.2">
      <c r="A22" s="97">
        <v>9</v>
      </c>
      <c r="B22" s="98">
        <v>1</v>
      </c>
      <c r="C22" s="99" t="str">
        <f t="shared" ref="C22:C23" si="23">+B5</f>
        <v>DC Yee Fung Toy Thunder B</v>
      </c>
      <c r="D22" s="61">
        <v>4</v>
      </c>
      <c r="E22" s="163" t="str">
        <f t="shared" ref="E22:E23" si="24">+B8</f>
        <v>Montreal Freemason</v>
      </c>
      <c r="F22" s="164"/>
      <c r="G22" s="164"/>
      <c r="H22" s="164"/>
      <c r="I22" s="164"/>
      <c r="J22" s="164"/>
      <c r="K22" s="164"/>
      <c r="L22" s="164"/>
      <c r="M22" s="143"/>
      <c r="N22" s="100">
        <v>5</v>
      </c>
      <c r="O22" s="168" t="str">
        <f>+B9</f>
        <v>NY Strangers Black</v>
      </c>
      <c r="P22" s="143"/>
      <c r="Q22" s="144">
        <v>21</v>
      </c>
      <c r="R22" s="141"/>
      <c r="S22" s="101">
        <v>0</v>
      </c>
      <c r="T22" s="144">
        <v>18</v>
      </c>
      <c r="U22" s="141"/>
      <c r="V22" s="140">
        <v>21</v>
      </c>
      <c r="W22" s="141"/>
      <c r="X22" s="102">
        <v>0</v>
      </c>
      <c r="Y22" s="140">
        <v>15</v>
      </c>
      <c r="Z22" s="141"/>
      <c r="AA22" s="142"/>
      <c r="AB22" s="143"/>
      <c r="AC22" s="103" t="s">
        <v>178</v>
      </c>
      <c r="AD22" s="142"/>
      <c r="AE22" s="143"/>
      <c r="AF22" s="94"/>
      <c r="AG22" s="104" t="str">
        <f t="shared" si="16"/>
        <v>DC Yee Fung Toy Thunder B</v>
      </c>
      <c r="AH22" s="96">
        <f t="shared" si="17"/>
        <v>9</v>
      </c>
      <c r="AI22" s="149">
        <v>0.19444444444444445</v>
      </c>
      <c r="AJ22" s="150"/>
      <c r="AK22" s="5"/>
      <c r="AL22" s="5"/>
      <c r="AM22" s="5"/>
      <c r="AN22" s="5"/>
      <c r="AO22" s="5"/>
      <c r="AP22" s="5"/>
      <c r="AQ22" s="5"/>
      <c r="AR22" s="5"/>
    </row>
    <row r="23" spans="1:44" ht="15.75" customHeight="1" x14ac:dyDescent="0.2">
      <c r="A23" s="109">
        <v>10</v>
      </c>
      <c r="B23" s="110">
        <v>2</v>
      </c>
      <c r="C23" s="111" t="str">
        <f t="shared" si="23"/>
        <v>Philly Fastball-Horizon</v>
      </c>
      <c r="D23" s="78">
        <v>5</v>
      </c>
      <c r="E23" s="188" t="str">
        <f t="shared" si="24"/>
        <v>NY Strangers Black</v>
      </c>
      <c r="F23" s="189"/>
      <c r="G23" s="189"/>
      <c r="H23" s="189"/>
      <c r="I23" s="189"/>
      <c r="J23" s="189"/>
      <c r="K23" s="189"/>
      <c r="L23" s="189"/>
      <c r="M23" s="146"/>
      <c r="N23" s="112">
        <v>4</v>
      </c>
      <c r="O23" s="187" t="str">
        <f>+B8</f>
        <v>Montreal Freemason</v>
      </c>
      <c r="P23" s="146"/>
      <c r="Q23" s="144">
        <v>11</v>
      </c>
      <c r="R23" s="141"/>
      <c r="S23" s="101">
        <v>0</v>
      </c>
      <c r="T23" s="144">
        <v>21</v>
      </c>
      <c r="U23" s="141"/>
      <c r="V23" s="140">
        <v>19</v>
      </c>
      <c r="W23" s="141"/>
      <c r="X23" s="102">
        <v>0</v>
      </c>
      <c r="Y23" s="140">
        <v>21</v>
      </c>
      <c r="Z23" s="141"/>
      <c r="AA23" s="145"/>
      <c r="AB23" s="146"/>
      <c r="AC23" s="113" t="s">
        <v>178</v>
      </c>
      <c r="AD23" s="145"/>
      <c r="AE23" s="146"/>
      <c r="AF23" s="94"/>
      <c r="AG23" s="104" t="str">
        <f t="shared" si="16"/>
        <v>NY Strangers Black</v>
      </c>
      <c r="AH23" s="96">
        <f t="shared" si="17"/>
        <v>-12</v>
      </c>
      <c r="AI23" s="184">
        <v>0.22916666666666666</v>
      </c>
      <c r="AJ23" s="185"/>
      <c r="AK23" s="5"/>
      <c r="AL23" s="5"/>
      <c r="AM23" s="5"/>
      <c r="AN23" s="5"/>
      <c r="AO23" s="5"/>
      <c r="AP23" s="5"/>
      <c r="AQ23" s="5"/>
      <c r="AR23" s="5"/>
    </row>
    <row r="24" spans="1:44" ht="12.75" customHeight="1" x14ac:dyDescent="0.2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5"/>
      <c r="AM24" s="5"/>
      <c r="AN24" s="5"/>
      <c r="AO24" s="5"/>
      <c r="AP24" s="5"/>
      <c r="AQ24" s="5"/>
      <c r="AR24" s="5"/>
    </row>
    <row r="25" spans="1:44" ht="12.75" customHeight="1" x14ac:dyDescent="0.2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5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5"/>
      <c r="AM25" s="5"/>
      <c r="AN25" s="5"/>
      <c r="AO25" s="5"/>
      <c r="AP25" s="5"/>
      <c r="AQ25" s="5"/>
      <c r="AR25" s="5"/>
    </row>
    <row r="26" spans="1:44" ht="12.75" customHeight="1" x14ac:dyDescent="0.2">
      <c r="A26" s="41"/>
      <c r="B26" s="57"/>
      <c r="C26" s="57" t="s">
        <v>179</v>
      </c>
      <c r="D26" s="57" t="s">
        <v>157</v>
      </c>
      <c r="E26" s="57" t="s">
        <v>180</v>
      </c>
      <c r="F26" s="57" t="s">
        <v>165</v>
      </c>
      <c r="G26" s="57" t="s">
        <v>166</v>
      </c>
      <c r="H26" s="41"/>
      <c r="I26" s="41"/>
      <c r="J26" s="41"/>
      <c r="K26" s="41"/>
      <c r="L26" s="41"/>
      <c r="M26" s="41"/>
      <c r="N26" s="41"/>
      <c r="O26" s="41"/>
      <c r="P26" s="41"/>
      <c r="Q26" s="5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5"/>
      <c r="AM26" s="5"/>
      <c r="AN26" s="5"/>
      <c r="AO26" s="5"/>
      <c r="AP26" s="5"/>
      <c r="AQ26" s="5"/>
      <c r="AR26" s="5"/>
    </row>
    <row r="27" spans="1:44" ht="12.75" customHeight="1" x14ac:dyDescent="0.2">
      <c r="A27" s="41"/>
      <c r="B27" s="57">
        <v>1</v>
      </c>
      <c r="C27" s="57" t="str">
        <f t="shared" ref="C27:C31" si="25">VLOOKUP(B27,$A$5:$AR$9,2,FALSE)</f>
        <v>Boston Hurricanes Orange</v>
      </c>
      <c r="D27" s="57">
        <f t="shared" ref="D27:D31" si="26">VLOOKUP(B27,$A$5:$AR$9,15,FALSE)</f>
        <v>8</v>
      </c>
      <c r="E27" s="57">
        <f t="shared" ref="E27:E31" si="27">VLOOKUP(B27,$A$5:$AR$9,36,FALSE)</f>
        <v>40</v>
      </c>
      <c r="F27" s="114">
        <f t="shared" ref="F27:F31" si="28">VLOOKUP(B27,$A$5:$AR$9,40,FALSE)</f>
        <v>1</v>
      </c>
      <c r="G27" s="114">
        <f t="shared" ref="G27:G31" si="29">VLOOKUP(B27,$A$5:$AR$9,42,FALSE)</f>
        <v>5</v>
      </c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5"/>
      <c r="AM27" s="5"/>
      <c r="AN27" s="5"/>
      <c r="AO27" s="5"/>
      <c r="AP27" s="5"/>
      <c r="AQ27" s="5"/>
      <c r="AR27" s="5"/>
    </row>
    <row r="28" spans="1:44" ht="12.75" customHeight="1" x14ac:dyDescent="0.2">
      <c r="A28" s="41"/>
      <c r="B28" s="57">
        <v>2</v>
      </c>
      <c r="C28" s="57" t="str">
        <f t="shared" si="25"/>
        <v>NY Strangers Black</v>
      </c>
      <c r="D28" s="57">
        <f t="shared" si="26"/>
        <v>5</v>
      </c>
      <c r="E28" s="57">
        <f t="shared" si="27"/>
        <v>31</v>
      </c>
      <c r="F28" s="114">
        <f t="shared" si="28"/>
        <v>0.625</v>
      </c>
      <c r="G28" s="114">
        <f t="shared" si="29"/>
        <v>3.875</v>
      </c>
      <c r="H28" s="41"/>
      <c r="I28" s="41"/>
      <c r="J28" s="41"/>
      <c r="K28" s="41"/>
      <c r="L28" s="41"/>
      <c r="M28" s="41"/>
      <c r="N28" s="41"/>
      <c r="O28" s="41"/>
      <c r="P28" s="5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183"/>
      <c r="AK28" s="136"/>
      <c r="AL28" s="5"/>
      <c r="AM28" s="5"/>
      <c r="AN28" s="5"/>
      <c r="AO28" s="5"/>
      <c r="AP28" s="5"/>
      <c r="AQ28" s="5"/>
      <c r="AR28" s="5"/>
    </row>
    <row r="29" spans="1:44" ht="12.75" customHeight="1" x14ac:dyDescent="0.2">
      <c r="A29" s="5"/>
      <c r="B29" s="14">
        <v>3</v>
      </c>
      <c r="C29" s="57" t="str">
        <f t="shared" si="25"/>
        <v>Philly Fastball-Horizon</v>
      </c>
      <c r="D29" s="57">
        <f t="shared" si="26"/>
        <v>3</v>
      </c>
      <c r="E29" s="57">
        <f t="shared" si="27"/>
        <v>-8</v>
      </c>
      <c r="F29" s="114">
        <f t="shared" si="28"/>
        <v>0.375</v>
      </c>
      <c r="G29" s="114">
        <f t="shared" si="29"/>
        <v>-1</v>
      </c>
      <c r="H29" s="41"/>
      <c r="I29" s="41"/>
      <c r="J29" s="41"/>
      <c r="K29" s="41"/>
      <c r="L29" s="41"/>
      <c r="M29" s="41"/>
      <c r="N29" s="41"/>
      <c r="O29" s="41"/>
      <c r="P29" s="5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115"/>
      <c r="AK29" s="41"/>
      <c r="AL29" s="5"/>
      <c r="AM29" s="5"/>
      <c r="AN29" s="5"/>
      <c r="AO29" s="5"/>
      <c r="AP29" s="5"/>
      <c r="AQ29" s="5"/>
      <c r="AR29" s="5"/>
    </row>
    <row r="30" spans="1:44" ht="12.75" customHeight="1" x14ac:dyDescent="0.2">
      <c r="A30" s="5"/>
      <c r="B30" s="14">
        <v>4</v>
      </c>
      <c r="C30" s="57" t="str">
        <f t="shared" si="25"/>
        <v>DC Yee Fung Toy Thunder B</v>
      </c>
      <c r="D30" s="57">
        <f t="shared" si="26"/>
        <v>3</v>
      </c>
      <c r="E30" s="57">
        <f t="shared" si="27"/>
        <v>-12</v>
      </c>
      <c r="F30" s="114">
        <f t="shared" si="28"/>
        <v>0.375</v>
      </c>
      <c r="G30" s="114">
        <f t="shared" si="29"/>
        <v>-1.5</v>
      </c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115"/>
      <c r="AK30" s="41"/>
      <c r="AL30" s="5"/>
      <c r="AM30" s="5"/>
      <c r="AN30" s="5"/>
      <c r="AO30" s="5"/>
      <c r="AP30" s="5"/>
      <c r="AQ30" s="5"/>
      <c r="AR30" s="5"/>
    </row>
    <row r="31" spans="1:44" ht="12.75" customHeight="1" x14ac:dyDescent="0.2">
      <c r="A31" s="5"/>
      <c r="B31" s="14">
        <v>5</v>
      </c>
      <c r="C31" s="57" t="str">
        <f t="shared" si="25"/>
        <v>Montreal Freemason</v>
      </c>
      <c r="D31" s="57">
        <f t="shared" si="26"/>
        <v>1</v>
      </c>
      <c r="E31" s="57">
        <f t="shared" si="27"/>
        <v>-51</v>
      </c>
      <c r="F31" s="114">
        <f t="shared" si="28"/>
        <v>0.125</v>
      </c>
      <c r="G31" s="114">
        <f t="shared" si="29"/>
        <v>-6.375</v>
      </c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115"/>
      <c r="AK31" s="41"/>
      <c r="AL31" s="5"/>
      <c r="AM31" s="5"/>
      <c r="AN31" s="5"/>
      <c r="AO31" s="5"/>
      <c r="AP31" s="5"/>
      <c r="AQ31" s="5"/>
      <c r="AR31" s="5"/>
    </row>
  </sheetData>
  <mergeCells count="124">
    <mergeCell ref="A2:AG2"/>
    <mergeCell ref="A1:AG1"/>
    <mergeCell ref="J6:N6"/>
    <mergeCell ref="J5:N5"/>
    <mergeCell ref="J4:N4"/>
    <mergeCell ref="E4:I4"/>
    <mergeCell ref="B4:D4"/>
    <mergeCell ref="B5:D5"/>
    <mergeCell ref="B7:D7"/>
    <mergeCell ref="B6:D6"/>
    <mergeCell ref="A3:AG3"/>
    <mergeCell ref="A10:AG12"/>
    <mergeCell ref="V16:W16"/>
    <mergeCell ref="V17:W17"/>
    <mergeCell ref="T17:U17"/>
    <mergeCell ref="T18:U18"/>
    <mergeCell ref="T14:U14"/>
    <mergeCell ref="V14:W14"/>
    <mergeCell ref="T16:U16"/>
    <mergeCell ref="T15:U15"/>
    <mergeCell ref="V15:W15"/>
    <mergeCell ref="N13:P13"/>
    <mergeCell ref="A13:B13"/>
    <mergeCell ref="B9:D9"/>
    <mergeCell ref="J9:N9"/>
    <mergeCell ref="E9:I9"/>
    <mergeCell ref="E6:I6"/>
    <mergeCell ref="E5:I5"/>
    <mergeCell ref="B8:D8"/>
    <mergeCell ref="E8:I8"/>
    <mergeCell ref="E7:I7"/>
    <mergeCell ref="J8:N8"/>
    <mergeCell ref="J7:N7"/>
    <mergeCell ref="AD17:AE17"/>
    <mergeCell ref="AD15:AE15"/>
    <mergeCell ref="AD16:AE16"/>
    <mergeCell ref="E22:M22"/>
    <mergeCell ref="E23:M23"/>
    <mergeCell ref="E13:M13"/>
    <mergeCell ref="E14:M14"/>
    <mergeCell ref="E15:M15"/>
    <mergeCell ref="E17:M17"/>
    <mergeCell ref="E16:M16"/>
    <mergeCell ref="O16:P16"/>
    <mergeCell ref="O17:P17"/>
    <mergeCell ref="Q13:U13"/>
    <mergeCell ref="Q22:R22"/>
    <mergeCell ref="Q23:R23"/>
    <mergeCell ref="O14:P14"/>
    <mergeCell ref="Q14:R14"/>
    <mergeCell ref="O15:P15"/>
    <mergeCell ref="Q16:R16"/>
    <mergeCell ref="Q15:R15"/>
    <mergeCell ref="Q17:R17"/>
    <mergeCell ref="V23:W23"/>
    <mergeCell ref="Y23:Z23"/>
    <mergeCell ref="Y22:Z22"/>
    <mergeCell ref="AA23:AB23"/>
    <mergeCell ref="AA22:AB22"/>
    <mergeCell ref="T23:U23"/>
    <mergeCell ref="O23:P23"/>
    <mergeCell ref="AD23:AE23"/>
    <mergeCell ref="AD22:AE22"/>
    <mergeCell ref="E21:M21"/>
    <mergeCell ref="E19:M19"/>
    <mergeCell ref="E18:M18"/>
    <mergeCell ref="E20:M20"/>
    <mergeCell ref="V21:W21"/>
    <mergeCell ref="AA21:AB21"/>
    <mergeCell ref="Y21:Z21"/>
    <mergeCell ref="AD21:AE21"/>
    <mergeCell ref="AA20:AB20"/>
    <mergeCell ref="AD20:AE20"/>
    <mergeCell ref="Y19:Z19"/>
    <mergeCell ref="AA19:AB19"/>
    <mergeCell ref="AA18:AB18"/>
    <mergeCell ref="AD18:AE18"/>
    <mergeCell ref="AD19:AE19"/>
    <mergeCell ref="O22:P22"/>
    <mergeCell ref="O20:P20"/>
    <mergeCell ref="V19:W19"/>
    <mergeCell ref="T19:U19"/>
    <mergeCell ref="V18:W18"/>
    <mergeCell ref="Y18:Z18"/>
    <mergeCell ref="O18:P18"/>
    <mergeCell ref="Q18:R18"/>
    <mergeCell ref="O19:P19"/>
    <mergeCell ref="Q19:R19"/>
    <mergeCell ref="T21:U21"/>
    <mergeCell ref="O21:P21"/>
    <mergeCell ref="Q21:R21"/>
    <mergeCell ref="AI23:AJ23"/>
    <mergeCell ref="AI21:AJ21"/>
    <mergeCell ref="AJ28:AK28"/>
    <mergeCell ref="AN4:AO4"/>
    <mergeCell ref="AJ4:AK4"/>
    <mergeCell ref="AP4:AQ4"/>
    <mergeCell ref="Y14:Z14"/>
    <mergeCell ref="AA14:AB14"/>
    <mergeCell ref="R4:AF4"/>
    <mergeCell ref="V13:Z13"/>
    <mergeCell ref="AD14:AE14"/>
    <mergeCell ref="AA13:AE13"/>
    <mergeCell ref="AA17:AB17"/>
    <mergeCell ref="AA16:AB16"/>
    <mergeCell ref="Y16:Z16"/>
    <mergeCell ref="Y17:Z17"/>
    <mergeCell ref="Y15:Z15"/>
    <mergeCell ref="AA15:AB15"/>
    <mergeCell ref="V20:W20"/>
    <mergeCell ref="V22:W22"/>
    <mergeCell ref="T22:U22"/>
    <mergeCell ref="Q20:R20"/>
    <mergeCell ref="T20:U20"/>
    <mergeCell ref="Y20:Z20"/>
    <mergeCell ref="AI15:AJ15"/>
    <mergeCell ref="AI14:AJ14"/>
    <mergeCell ref="AI18:AJ18"/>
    <mergeCell ref="AI19:AJ19"/>
    <mergeCell ref="AI17:AJ17"/>
    <mergeCell ref="AI16:AJ16"/>
    <mergeCell ref="AI20:AJ20"/>
    <mergeCell ref="AI13:AJ13"/>
    <mergeCell ref="AI22:AJ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R31"/>
  <sheetViews>
    <sheetView showGridLines="0" workbookViewId="0"/>
  </sheetViews>
  <sheetFormatPr baseColWidth="10" defaultColWidth="17.33203125" defaultRowHeight="15" customHeight="1" x14ac:dyDescent="0.2"/>
  <cols>
    <col min="1" max="1" width="4.1640625" customWidth="1"/>
    <col min="2" max="2" width="3.5" customWidth="1"/>
    <col min="3" max="3" width="25.6640625" customWidth="1"/>
    <col min="4" max="4" width="4.5" customWidth="1"/>
    <col min="5" max="5" width="3.33203125" customWidth="1"/>
    <col min="6" max="6" width="10.33203125" customWidth="1"/>
    <col min="7" max="7" width="9.6640625" customWidth="1"/>
    <col min="8" max="9" width="3.33203125" hidden="1" customWidth="1"/>
    <col min="10" max="14" width="3.33203125" customWidth="1"/>
    <col min="15" max="15" width="13.33203125" customWidth="1"/>
    <col min="16" max="16" width="13.1640625" customWidth="1"/>
    <col min="17" max="19" width="4" customWidth="1"/>
    <col min="20" max="22" width="3.33203125" customWidth="1"/>
    <col min="23" max="23" width="4" customWidth="1"/>
    <col min="24" max="25" width="3.33203125" customWidth="1"/>
    <col min="26" max="27" width="4" customWidth="1"/>
    <col min="28" max="31" width="3.33203125" customWidth="1"/>
    <col min="32" max="32" width="4.5" customWidth="1"/>
    <col min="33" max="33" width="15.33203125" customWidth="1"/>
    <col min="34" max="34" width="12.1640625" customWidth="1"/>
    <col min="35" max="35" width="13.1640625" customWidth="1"/>
    <col min="36" max="36" width="4.1640625" customWidth="1"/>
    <col min="37" max="37" width="7.1640625" customWidth="1"/>
    <col min="38" max="38" width="2.1640625" customWidth="1"/>
    <col min="39" max="39" width="7.1640625" customWidth="1"/>
    <col min="40" max="40" width="6.5" customWidth="1"/>
    <col min="41" max="44" width="8.83203125" customWidth="1"/>
  </cols>
  <sheetData>
    <row r="1" spans="1:44" ht="30.75" customHeight="1" x14ac:dyDescent="0.35">
      <c r="A1" s="180" t="s">
        <v>152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38"/>
      <c r="AI1" s="39"/>
      <c r="AJ1" s="39"/>
      <c r="AK1" s="39"/>
      <c r="AL1" s="39"/>
      <c r="AM1" s="39"/>
      <c r="AN1" s="39"/>
      <c r="AO1" s="1"/>
      <c r="AP1" s="1"/>
      <c r="AQ1" s="1"/>
      <c r="AR1" s="1"/>
    </row>
    <row r="2" spans="1:44" ht="30.75" customHeight="1" x14ac:dyDescent="0.35">
      <c r="A2" s="180" t="str">
        <f>+'Men''s Master'!G3</f>
        <v>CT08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38"/>
      <c r="AI2" s="39"/>
      <c r="AJ2" s="39"/>
      <c r="AK2" s="39"/>
      <c r="AL2" s="39"/>
      <c r="AM2" s="39"/>
      <c r="AN2" s="39"/>
      <c r="AO2" s="1"/>
      <c r="AP2" s="1"/>
      <c r="AQ2" s="1"/>
      <c r="AR2" s="1"/>
    </row>
    <row r="3" spans="1:44" ht="42.75" customHeight="1" x14ac:dyDescent="0.45">
      <c r="A3" s="197" t="str">
        <f>RIGHT(A2,2)</f>
        <v>08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40"/>
      <c r="AI3" s="41" t="s">
        <v>153</v>
      </c>
      <c r="AJ3" s="41"/>
      <c r="AK3" s="41"/>
      <c r="AL3" s="41"/>
      <c r="AM3" s="41"/>
      <c r="AN3" s="41"/>
      <c r="AO3" s="5"/>
      <c r="AP3" s="5"/>
      <c r="AQ3" s="5"/>
      <c r="AR3" s="5" t="s">
        <v>154</v>
      </c>
    </row>
    <row r="4" spans="1:44" ht="27" customHeight="1" x14ac:dyDescent="0.2">
      <c r="A4" s="42"/>
      <c r="B4" s="179" t="s">
        <v>102</v>
      </c>
      <c r="C4" s="173"/>
      <c r="D4" s="173"/>
      <c r="E4" s="155" t="s">
        <v>155</v>
      </c>
      <c r="F4" s="156"/>
      <c r="G4" s="156"/>
      <c r="H4" s="156"/>
      <c r="I4" s="157"/>
      <c r="J4" s="165" t="s">
        <v>156</v>
      </c>
      <c r="K4" s="156"/>
      <c r="L4" s="156"/>
      <c r="M4" s="156"/>
      <c r="N4" s="166"/>
      <c r="O4" s="43" t="s">
        <v>157</v>
      </c>
      <c r="P4" s="44" t="s">
        <v>158</v>
      </c>
      <c r="Q4" s="45"/>
      <c r="R4" s="194" t="s">
        <v>159</v>
      </c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53"/>
      <c r="AG4" s="46" t="s">
        <v>160</v>
      </c>
      <c r="AH4" s="47" t="s">
        <v>161</v>
      </c>
      <c r="AI4" s="47" t="s">
        <v>162</v>
      </c>
      <c r="AJ4" s="193" t="s">
        <v>163</v>
      </c>
      <c r="AK4" s="153"/>
      <c r="AL4" s="47" t="s">
        <v>164</v>
      </c>
      <c r="AM4" s="48"/>
      <c r="AN4" s="190" t="s">
        <v>165</v>
      </c>
      <c r="AO4" s="191"/>
      <c r="AP4" s="192" t="s">
        <v>166</v>
      </c>
      <c r="AQ4" s="191"/>
      <c r="AR4" s="50" t="s">
        <v>167</v>
      </c>
    </row>
    <row r="5" spans="1:44" ht="15" customHeight="1" x14ac:dyDescent="0.2">
      <c r="A5" s="51">
        <f t="shared" ref="A5:A9" si="0">AR5</f>
        <v>1</v>
      </c>
      <c r="B5" s="172" t="str">
        <f>+'Men''s Master'!G4</f>
        <v>Boston Knights C</v>
      </c>
      <c r="C5" s="173"/>
      <c r="D5" s="173"/>
      <c r="E5" s="171">
        <f>SUM(IF(AG14=B5,1,0),IF(AG16=C16,1,0),IF(AG19=C19,1,0),IF(AG22=C22,1,0))</f>
        <v>3</v>
      </c>
      <c r="F5" s="162"/>
      <c r="G5" s="162"/>
      <c r="H5" s="162"/>
      <c r="I5" s="153"/>
      <c r="J5" s="169">
        <f>SUM(IF(AG14=C14,0,1),IF(AG16=C16,0,1),IF(AG19=C19,0,1),IF(AG22=C22,0,1))</f>
        <v>1</v>
      </c>
      <c r="K5" s="162"/>
      <c r="L5" s="162"/>
      <c r="M5" s="162"/>
      <c r="N5" s="170"/>
      <c r="O5" s="53">
        <f>SUM(IF(AD5&gt;0,1,0),IF(AE5&gt;0,1,0),IF(AF5&gt;0,1,0),IF(U5&gt;0,1,0),IF(V5&gt;0,1,0),IF(W5&gt;0,1,0),IF(X5&gt;0,1,0),IF(Y5&gt;0,1,0),IF(Z5&gt;0,1,0),IF(AA5&gt;0,1,0),IF(AB5&gt;0,1,0),IF(AC5&gt;0,1,0))</f>
        <v>6</v>
      </c>
      <c r="P5" s="52">
        <f>SUM(IF(AD5&lt;0,1,0),IF(AE5&lt;0,1,0),IF(AF5&lt;0,1,0),IF(U5&lt;0,1,0),IF(V5&lt;0,1,0),IF(W5&lt;0,1,0),IF(X5&lt;0,1,0),IF(Y5&lt;0,1,0),IF(Z5&lt;0,1,0),IF(AA5&lt;0,1,0),IF(AB5&lt;0,1,0),IF(AC5&lt;0,1,0))</f>
        <v>2</v>
      </c>
      <c r="Q5" s="54">
        <f>1+SUM(IF(O5&lt;O6,1,0),IF(O5&lt;O7,1,0),IF(O5&lt;O8,1,0),IF(O5&lt;O9,1,0))</f>
        <v>1</v>
      </c>
      <c r="R5" s="55"/>
      <c r="S5" s="56"/>
      <c r="T5" s="56"/>
      <c r="U5" s="57">
        <f>Q14-T14</f>
        <v>3</v>
      </c>
      <c r="V5" s="57">
        <f>V14-Y14</f>
        <v>10</v>
      </c>
      <c r="W5" s="57">
        <f>AA14-AD14</f>
        <v>0</v>
      </c>
      <c r="X5" s="57">
        <f>Q19-T19</f>
        <v>5</v>
      </c>
      <c r="Y5" s="57">
        <f>V19-Y19</f>
        <v>6</v>
      </c>
      <c r="Z5" s="57">
        <f>AA19-AD19</f>
        <v>0</v>
      </c>
      <c r="AA5" s="58">
        <f>Q22-T22</f>
        <v>-4</v>
      </c>
      <c r="AB5" s="58">
        <f>V22-Y22</f>
        <v>14</v>
      </c>
      <c r="AC5" s="58">
        <f>AA22-AD22</f>
        <v>0</v>
      </c>
      <c r="AD5" s="58">
        <f>Q16-T16</f>
        <v>1</v>
      </c>
      <c r="AE5" s="58">
        <f>V16-Y16</f>
        <v>-2</v>
      </c>
      <c r="AF5" s="58">
        <f>AA16-AD16</f>
        <v>0</v>
      </c>
      <c r="AG5" s="58" t="b">
        <f>IF(Q5=Q6,IF(SUM(U5:W5)&gt;0,B5,B6),  IF(Q5=Q7,IF(SUM(X5:Z5)&gt;0, B5,B7),IF(Q5=Q8,IF(SUM(AA5:AC5)&gt;0, B5,B8),IF(Q5=Q9,IF(SUM(AD5:AF5)&lt;0,B5,B9)))))</f>
        <v>0</v>
      </c>
      <c r="AH5" s="58" t="b">
        <f>IF(Q5=Q6,IF(SUM(U5:W5)&lt;0,B5,B6),  IF(Q5=Q7,IF(SUM(X5:Z5)&lt;0, B5,B7),IF(Q5=Q8,IF(SUM(AA5:AC5)&lt;0, B5,B8),IF(Q5=Q9, IF(SUM(AD5:AF5)&lt;0,B5,B9)))))</f>
        <v>0</v>
      </c>
      <c r="AI5" s="60">
        <f t="shared" ref="AI5:AI9" si="1">Q5+IF(COUNTIF($AG$5:$AG$9,B5)&gt;0,0, IF(COUNTIF($AH$5:$AH$9,B5)&gt;0,1,0))</f>
        <v>1</v>
      </c>
      <c r="AJ5" s="61">
        <f t="shared" ref="AJ5:AJ9" si="2">SUM(R5:AF5)</f>
        <v>33</v>
      </c>
      <c r="AK5" s="62">
        <f>1+SUM(IF(AJ5&lt;AJ6,1,0),IF(AJ5&lt;AJ7,1,0),IF(AJ5&lt;AJ8,1,0),IF(AJ5&lt;AJ9,1,0))</f>
        <v>1</v>
      </c>
      <c r="AL5" s="63">
        <f t="shared" ref="AL5:AL9" si="3">IF(SUM(E5,J5)=0,0,E5/(E5+J5))</f>
        <v>0.75</v>
      </c>
      <c r="AM5" s="62">
        <f>1+SUM(IF(AL5&lt;AL6,1,0),IF(AL5&lt;AL7,1,0),IF(AL5&lt;AL8,1,0),IF(AL5&lt;AL9,1,0))</f>
        <v>2</v>
      </c>
      <c r="AN5" s="64">
        <f t="shared" ref="AN5:AN9" si="4">IF(SUM(O5+P5)=0,0,O5/(O5+P5))</f>
        <v>0.75</v>
      </c>
      <c r="AO5" s="65">
        <f>1+SUM(IF(AN5&lt;AN6,1,0),IF(AN5&lt;AN7,1,0),IF(AN5&lt;AN8,1,0),IF(AN5&lt;AN9,1,0))</f>
        <v>1</v>
      </c>
      <c r="AP5" s="66">
        <f t="shared" ref="AP5:AP9" si="5">AJ5/SUM(O5:P5)</f>
        <v>4.125</v>
      </c>
      <c r="AQ5" s="67">
        <f>1+SUM(IF(AP5&lt;AP6,1,0),IF(AP5&lt;AP7,1,0),IF(AP5&lt;AP8,1,0),IF(AP5&lt;AP9,1,0))</f>
        <v>1</v>
      </c>
      <c r="AR5" s="68">
        <f>1+SUM(IF(Q5&gt;Q6,1,IF(AND(Q5=Q6,AK5&gt;AK6),1,IF(AND(Q5=Q6,AK5=AK6),1,0))),IF(Q5&gt;Q7,1,IF(AND(Q5=Q7,AK5&gt;AK7),1,IF(AND(Q5=Q7,AK5=AK7),1,0))),IF(Q5&gt;Q8,1,IF(AND(Q5=Q8,AK5&gt;AK8),1,IF(AND(Q5=Q8,AK5=AK8),1,0))),IF(Q5&gt;Q9,1,IF(AND(Q5=Q9,AK5&gt;AK9),1,IF(AND(Q5=Q9,AK5=AK9),1,0))))</f>
        <v>1</v>
      </c>
    </row>
    <row r="6" spans="1:44" ht="15.75" customHeight="1" x14ac:dyDescent="0.2">
      <c r="A6" s="51">
        <f t="shared" si="0"/>
        <v>4</v>
      </c>
      <c r="B6" s="172" t="str">
        <f>+'Men''s Master'!G5</f>
        <v>Chicago United</v>
      </c>
      <c r="C6" s="173"/>
      <c r="D6" s="173"/>
      <c r="E6" s="171">
        <f>SUM(IF(AG14=E14,1,0),IF(AG17=C17,1,0),IF(AG20=C20,1,0),IF(AG23=C23,1,0))</f>
        <v>1</v>
      </c>
      <c r="F6" s="162"/>
      <c r="G6" s="162"/>
      <c r="H6" s="162"/>
      <c r="I6" s="153"/>
      <c r="J6" s="169">
        <f>SUM(IF(AG14=E14,0,1),IF(AG17=C17,0,1),IF(AG20=C20,0,1),IF(AG23=C23,0,1))</f>
        <v>3</v>
      </c>
      <c r="K6" s="162"/>
      <c r="L6" s="162"/>
      <c r="M6" s="162"/>
      <c r="N6" s="170"/>
      <c r="O6" s="53">
        <f>SUM(IF(AD6&gt;0,1,0),IF(AE6&gt;0,1,0),IF(AF6&gt;0,1,0),IF(R6&gt;0,1,0),IF(S6&gt;0,1,0),IF(T6&gt;0,1,0),IF(X6&gt;0,1,0),IF(Y6&gt;0,1,0),IF(Z6&gt;0,1,0),IF(AA6&gt;0,1,0),IF(AB6&gt;0,1,0),IF(AC6&gt;0,1,0))</f>
        <v>3</v>
      </c>
      <c r="P6" s="52">
        <f>SUM(IF(AD6&lt;0,1,0),IF(AE6&lt;0,1,0),IF(AF6&lt;0,1,0),IF(R6&lt;0,1,0),IF(S6&lt;0,1,0),IF(T6&lt;0,1,0),IF(X6&lt;0,1,0),IF(Y6&lt;0,1,0),IF(Z6&lt;0,1,0),IF(AA6&lt;0,1,0),IF(AB6&lt;0,1,0),IF(AC6&lt;0,1,0))</f>
        <v>5</v>
      </c>
      <c r="Q6" s="54">
        <f>1+SUM(IF(O6&lt;O5,1,0),IF(O6&lt;O7,1,0),IF(O6&lt;O8,1,0),IF(O6&lt;O9,1,0))</f>
        <v>4</v>
      </c>
      <c r="R6" s="69">
        <f t="shared" ref="R6:T6" si="6">-U5</f>
        <v>-3</v>
      </c>
      <c r="S6" s="58">
        <f t="shared" si="6"/>
        <v>-10</v>
      </c>
      <c r="T6" s="58">
        <f t="shared" si="6"/>
        <v>0</v>
      </c>
      <c r="U6" s="56"/>
      <c r="V6" s="56"/>
      <c r="W6" s="56"/>
      <c r="X6" s="57">
        <f>Q17-T17</f>
        <v>4</v>
      </c>
      <c r="Y6" s="57">
        <f>V17-Y17</f>
        <v>-3</v>
      </c>
      <c r="Z6" s="57">
        <f>AA17-AD17</f>
        <v>0</v>
      </c>
      <c r="AA6" s="58">
        <f>Q20-T20</f>
        <v>1</v>
      </c>
      <c r="AB6" s="58">
        <f>V20-Y20</f>
        <v>-7</v>
      </c>
      <c r="AC6" s="58">
        <f>AA20-AD20</f>
        <v>0</v>
      </c>
      <c r="AD6" s="58">
        <f>Q23-T23</f>
        <v>-3</v>
      </c>
      <c r="AE6" s="58">
        <f>V23-Y23</f>
        <v>1</v>
      </c>
      <c r="AF6" s="58">
        <f>AA23-AD23</f>
        <v>0</v>
      </c>
      <c r="AG6" s="58" t="b">
        <f>IF(Q6=Q7,IF(SUM(X6:Z6)&gt;0,B6,B7),IF(Q6=Q8,IF(SUM(AA6:AC6)&gt;0,B6,B8),IF(Q6=Q9,IF(SUM(AD6:AF6)&gt;0, B6,B9))))</f>
        <v>0</v>
      </c>
      <c r="AH6" s="58" t="b">
        <f>IF(Q6=Q7,IF(SUM(X6:Z6)&lt;0,B6,B7),IF(Q6=Q8,IF(SUM(AA6:AC6)&lt;0,B6,B8),IF(Q6=Q9,IF(SUM(AD6:AF6)&lt;0, B6,B9))))</f>
        <v>0</v>
      </c>
      <c r="AI6" s="60">
        <f t="shared" si="1"/>
        <v>4</v>
      </c>
      <c r="AJ6" s="61">
        <f t="shared" si="2"/>
        <v>-20</v>
      </c>
      <c r="AK6" s="62">
        <f>1+SUM(IF(AJ6&lt;AJ5,1,0),IF(AJ6&lt;AJ7,1,0),IF(AJ6&lt;AJ8,1,0),IF(AJ6&lt;AJ9,1,0))</f>
        <v>4</v>
      </c>
      <c r="AL6" s="63">
        <f t="shared" si="3"/>
        <v>0.25</v>
      </c>
      <c r="AM6" s="62">
        <f>1+SUM(IF(AL6&lt;AL5,1,0),IF(AL6&lt;AL7,1,0),IF(AL6&lt;AL8,1,0),IF(AL6&lt;AL9,1,0))</f>
        <v>4</v>
      </c>
      <c r="AN6" s="64">
        <f t="shared" si="4"/>
        <v>0.375</v>
      </c>
      <c r="AO6" s="65">
        <f>1+SUM(IF(AN6&lt;AN5,1,0),IF(AN6&lt;AN7,1,0),IF(AN6&lt;AN8,1,0),IF(AN6&lt;AN9,1,0))</f>
        <v>4</v>
      </c>
      <c r="AP6" s="66">
        <f t="shared" si="5"/>
        <v>-2.5</v>
      </c>
      <c r="AQ6" s="70">
        <f>1+SUM(IF(AP6&lt;AP5,1,0),IF(AP6&lt;AP7,1,0),IF(AP6&lt;AP8,1,0),IF(AP6&lt;AP9,1,0))</f>
        <v>4</v>
      </c>
      <c r="AR6" s="68">
        <f>1+SUM(IF(Q6&gt;Q5,1,IF(AND(Q6=Q5,AK6&gt;AK5),1,IF(AND(Q6=Q5,AK6=AK5),1,0))),IF(Q6&gt;Q7,1,IF(AND(Q6=Q7,AK6&gt;AK7),1,IF(AND(Q6=Q7,AK6=AK7),1,0))),IF(Q6&gt;Q8,1,IF(AND(Q6=Q8,AK6&gt;AK8),1,IF(AND(Q6=Q8,AK6=AK8),1,0))),IF(Q6&gt;Q9,1,IF(AND(Q6=Q9,AK6&gt;AK9),1,IF(AND(Q6=Q9,AK6=AK9),1,0))))</f>
        <v>4</v>
      </c>
    </row>
    <row r="7" spans="1:44" ht="15.75" customHeight="1" x14ac:dyDescent="0.2">
      <c r="A7" s="51">
        <f t="shared" si="0"/>
        <v>5</v>
      </c>
      <c r="B7" s="172" t="str">
        <f>+'Men''s Master'!G6</f>
        <v>Philly CIA Jrs.</v>
      </c>
      <c r="C7" s="173"/>
      <c r="D7" s="173"/>
      <c r="E7" s="171">
        <f>SUM(IF(AG15=C15,1,0),IF(AG17=E17,1,0),IF(AG19=E19,1,0),IF(AG21=C21,1,0))</f>
        <v>0</v>
      </c>
      <c r="F7" s="162"/>
      <c r="G7" s="162"/>
      <c r="H7" s="162"/>
      <c r="I7" s="153"/>
      <c r="J7" s="169">
        <f>SUM(IF(AG15=C15,0,1),IF(AG17=E17,0,1),IF(AG19=E19,0,1),IF(AG21=C21,0,1))</f>
        <v>4</v>
      </c>
      <c r="K7" s="162"/>
      <c r="L7" s="162"/>
      <c r="M7" s="162"/>
      <c r="N7" s="170"/>
      <c r="O7" s="53">
        <f>SUM(IF(AD7&gt;0,1,0),IF(AE7&gt;0,1,0),IF(AF7&gt;0,1,0),IF(U7&gt;0,1,0),IF(V7&gt;0,1,0),IF(W7&gt;0,1,0),IF(R7&gt;0,1,0),IF(S7&gt;0,1,0),IF(T7&gt;0,1,0),IF(AA7&gt;0,1,0),IF(AB7&gt;0,1,0),IF(AC7&gt;0,1,0))</f>
        <v>2</v>
      </c>
      <c r="P7" s="52">
        <f>SUM(IF(AD7&lt;0,1,0),IF(AE7&lt;0,1,0),IF(AF7&lt;0,1,0),IF(U7&lt;0,1,0),IF(V7&lt;0,1,0),IF(W7&lt;0,1,0),IF(R7&lt;0,1,0),IF(S7&lt;0,1,0),IF(T7&lt;0,1,0),IF(AA7&lt;0,1,0),IF(AB7&lt;0,1,0),IF(AC7&lt;0,1,0))</f>
        <v>6</v>
      </c>
      <c r="Q7" s="54">
        <f>1+SUM(IF(O7&lt;O6,1,0),IF(O7&lt;O5,1,0),IF(O7&lt;O8,1,0),IF(O7&lt;O9,1,0))</f>
        <v>5</v>
      </c>
      <c r="R7" s="69">
        <f t="shared" ref="R7:T7" si="7">-X5</f>
        <v>-5</v>
      </c>
      <c r="S7" s="58">
        <f t="shared" si="7"/>
        <v>-6</v>
      </c>
      <c r="T7" s="58">
        <f t="shared" si="7"/>
        <v>0</v>
      </c>
      <c r="U7" s="58">
        <f t="shared" ref="U7:W7" si="8">-X6</f>
        <v>-4</v>
      </c>
      <c r="V7" s="58">
        <f t="shared" si="8"/>
        <v>3</v>
      </c>
      <c r="W7" s="58">
        <f t="shared" si="8"/>
        <v>0</v>
      </c>
      <c r="X7" s="71"/>
      <c r="Y7" s="71"/>
      <c r="Z7" s="71"/>
      <c r="AA7" s="58">
        <f>Q15-T15</f>
        <v>4</v>
      </c>
      <c r="AB7" s="58">
        <f>V15-Y15</f>
        <v>-13</v>
      </c>
      <c r="AC7" s="58">
        <f>AA15-AD15</f>
        <v>0</v>
      </c>
      <c r="AD7" s="58">
        <f>Q21-T21</f>
        <v>-2</v>
      </c>
      <c r="AE7" s="58">
        <f>V21-Y21</f>
        <v>-10</v>
      </c>
      <c r="AF7" s="58">
        <f>AA21-AD21</f>
        <v>0</v>
      </c>
      <c r="AG7" s="58" t="b">
        <f>IF(Q7=Q8,IF(SUM(AA7:AC7)&gt;0,B7,B8),IF(Q7=Q9,IF(SUM(AD7:AF7)&gt;0,B7,B9)))</f>
        <v>0</v>
      </c>
      <c r="AH7" s="58" t="b">
        <f>IF(Q7=Q8,IF(SUM(AA7:AC7)&lt;0,B7,B8),IF(Q7=Q9,IF(SUM(AD7:AF7)&lt;0,B7,B9)))</f>
        <v>0</v>
      </c>
      <c r="AI7" s="60">
        <f t="shared" si="1"/>
        <v>5</v>
      </c>
      <c r="AJ7" s="61">
        <f t="shared" si="2"/>
        <v>-33</v>
      </c>
      <c r="AK7" s="62">
        <f>1+SUM(IF(AJ7&lt;AJ6,1,0),IF(AJ7&lt;AJ5,1,0),IF(AJ7&lt;AJ8,1,0),IF(AJ7&lt;AJ9,1,0))</f>
        <v>5</v>
      </c>
      <c r="AL7" s="63">
        <f t="shared" si="3"/>
        <v>0</v>
      </c>
      <c r="AM7" s="62">
        <f>1+SUM(IF(AL7&lt;AL6,1,0),IF(AL7&lt;AL5,1,0),IF(AL7&lt;AL8,1,0),IF(AL7&lt;AL9,1,0))</f>
        <v>5</v>
      </c>
      <c r="AN7" s="64">
        <f t="shared" si="4"/>
        <v>0.25</v>
      </c>
      <c r="AO7" s="65">
        <f>1+SUM(IF(AN7&lt;AN6,1,0),IF(AN7&lt;AN5,1,0),IF(AN7&lt;AN8,1,0),IF(AN7&lt;AN9,1,0))</f>
        <v>5</v>
      </c>
      <c r="AP7" s="66">
        <f t="shared" si="5"/>
        <v>-4.125</v>
      </c>
      <c r="AQ7" s="70">
        <f>1+SUM(IF(AP7&lt;AP6,1,0),IF(AP7&lt;AP5,1,0),IF(AP7&lt;AP8,1,0),IF(AP7&lt;AP9,1,0))</f>
        <v>5</v>
      </c>
      <c r="AR7" s="68">
        <f>1+SUM(IF(Q7&gt;Q5,1,IF(AND(Q7=Q5,AK7&gt;AK5),1,IF(AND(Q7=Q5,AK7=AK5),1,0))),IF(Q7&gt;Q6,1,IF(AND(Q7=Q6,AK7&gt;AK6),1,IF(AND(Q7=Q6,AK7=AK6),1,0))),IF(Q7&gt;Q8,1,IF(AND(Q7=Q8,AK7&gt;AK8),1,IF(AND(Q7=Q8,AK7=AK8),1,0))),IF(Q7&gt;Q9,1,IF(AND(Q7=Q9,AK7&gt;AK9),1,IF(AND(Q7=Q9,AK7=AK9),1,0))))</f>
        <v>5</v>
      </c>
    </row>
    <row r="8" spans="1:44" ht="15.75" customHeight="1" x14ac:dyDescent="0.2">
      <c r="A8" s="51">
        <f t="shared" si="0"/>
        <v>3</v>
      </c>
      <c r="B8" s="172" t="str">
        <f>+'Men''s Master'!G7</f>
        <v>NY Strangers Alumni</v>
      </c>
      <c r="C8" s="173"/>
      <c r="D8" s="173"/>
      <c r="E8" s="171">
        <f>SUM(IF(AG15=E15,1,0),IF(AG18=C18,1,0),IF(AG20=E20,1,0),IF(AG22=E22,1,0))</f>
        <v>2</v>
      </c>
      <c r="F8" s="162"/>
      <c r="G8" s="162"/>
      <c r="H8" s="162"/>
      <c r="I8" s="153"/>
      <c r="J8" s="169">
        <f>SUM(IF(AG15=E15,0,1),IF(AG18=C18,0,1),IF(AG20=E20,0,1),IF(AG22=E22,0,1))</f>
        <v>2</v>
      </c>
      <c r="K8" s="162"/>
      <c r="L8" s="162"/>
      <c r="M8" s="162"/>
      <c r="N8" s="170"/>
      <c r="O8" s="53">
        <f>SUM(IF(AD8&gt;0,1,0),IF(AE8&gt;0,1,0),IF(AF8&gt;0,1,0),IF(U8&gt;0,1,0),IF(V8&gt;0,1,0),IF(W8&gt;0,1,0),IF(X8&gt;0,1,0),IF(Y8&gt;0,1,0),IF(Z8&gt;0,1,0),IF(R8&gt;0,1,0),IF(S8&gt;0,1,0),IF(T8&gt;0,1,0))</f>
        <v>4</v>
      </c>
      <c r="P8" s="52">
        <f>SUM(IF(AD8&lt;0,1,0),IF(AE8&lt;0,1,0),IF(AF8&lt;0,1,0),IF(U8&lt;0,1,0),IF(V8&lt;0,1,0),IF(W8&lt;0,1,0),IF(R8&lt;0,1,0),IF(S8&lt;0,1,0),IF(T8&lt;0,1,0),IF(X8&lt;0,1,0),IF(Y8&lt;0,1,0),IF(Z8&lt;0,1,0))</f>
        <v>4</v>
      </c>
      <c r="Q8" s="54">
        <f>1+SUM(IF(O8&lt;O6,1,0),IF(O8&lt;O7,1,0),IF(O8&lt;O5,1,0),IF(O8&lt;O9,1,0))</f>
        <v>3</v>
      </c>
      <c r="R8" s="69">
        <f t="shared" ref="R8:T8" si="9">-AA5</f>
        <v>4</v>
      </c>
      <c r="S8" s="58">
        <f t="shared" si="9"/>
        <v>-14</v>
      </c>
      <c r="T8" s="58">
        <f t="shared" si="9"/>
        <v>0</v>
      </c>
      <c r="U8" s="58">
        <f t="shared" ref="U8:W8" si="10">-AA6</f>
        <v>-1</v>
      </c>
      <c r="V8" s="58">
        <f t="shared" si="10"/>
        <v>7</v>
      </c>
      <c r="W8" s="58">
        <f t="shared" si="10"/>
        <v>0</v>
      </c>
      <c r="X8" s="58">
        <f t="shared" ref="X8:Z8" si="11">-AA7</f>
        <v>-4</v>
      </c>
      <c r="Y8" s="58">
        <f t="shared" si="11"/>
        <v>13</v>
      </c>
      <c r="Z8" s="58">
        <f t="shared" si="11"/>
        <v>0</v>
      </c>
      <c r="AA8" s="71"/>
      <c r="AB8" s="71"/>
      <c r="AC8" s="71"/>
      <c r="AD8" s="58">
        <f>Q18-T18</f>
        <v>2</v>
      </c>
      <c r="AE8" s="58">
        <f>V18-Y18</f>
        <v>-7</v>
      </c>
      <c r="AF8" s="58">
        <f>AA18-AD18</f>
        <v>0</v>
      </c>
      <c r="AG8" s="58" t="b">
        <f>IF(Q8=Q9,IF(SUM(AD8:AF8)&gt;0,B8,B9))</f>
        <v>0</v>
      </c>
      <c r="AH8" s="58" t="b">
        <f>IF(R8=R9,IF(SUM(AE8:AG8)&lt;0,C8,C9))</f>
        <v>0</v>
      </c>
      <c r="AI8" s="60">
        <f t="shared" si="1"/>
        <v>3</v>
      </c>
      <c r="AJ8" s="61">
        <f t="shared" si="2"/>
        <v>0</v>
      </c>
      <c r="AK8" s="72">
        <f>1+SUM(IF(AJ8&lt;AJ6,1,0),IF(AJ8&lt;AJ7,1,0),IF(AJ8&lt;AJ5,1,0),IF(AJ8&lt;AJ9,1,0))</f>
        <v>3</v>
      </c>
      <c r="AL8" s="63">
        <f t="shared" si="3"/>
        <v>0.5</v>
      </c>
      <c r="AM8" s="72">
        <f>1+SUM(IF(AL8&lt;AL6,1,0),IF(AL8&lt;AL7,1,0),IF(AL8&lt;AL5,1,0),IF(AL8&lt;AL9,1,0))</f>
        <v>3</v>
      </c>
      <c r="AN8" s="64">
        <f t="shared" si="4"/>
        <v>0.5</v>
      </c>
      <c r="AO8" s="65">
        <f>1+SUM(IF(AN8&lt;AN6,1,0),IF(AN8&lt;AN7,1,0),IF(AN8&lt;AN5,1,0),IF(AN8&lt;AN9,1,0))</f>
        <v>3</v>
      </c>
      <c r="AP8" s="66">
        <f t="shared" si="5"/>
        <v>0</v>
      </c>
      <c r="AQ8" s="73">
        <f>1+SUM(IF(AP8&lt;AP6,1,0),IF(AP8&lt;AP7,1,0),IF(AP8&lt;AP5,1,0),IF(AP8&lt;AP9,1,0))</f>
        <v>3</v>
      </c>
      <c r="AR8" s="68">
        <f>1+SUM(IF(Q8&gt;Q5,1,IF(AND(Q8=Q5,AK8&gt;AK5),1,IF(AND(Q8=Q5,AK8=AK5),1,0))),IF(Q8&gt;Q6,1,IF(AND(Q8=Q6,AK8&gt;AK6),1,IF(AND(Q8=Q6,AK8=AK6),1,0))),IF(Q8&gt;Q7,1,IF(AND(Q8=Q7,AK8&gt;AK7),1,IF(AND(Q8=Q7,AK8=AK7),1,0))),IF(Q8&gt;Q9,1,IF(AND(Q8=Q9,AK8&gt;AK9),1,IF(AND(Q8=Q9,AK8=AK9),1,0))))</f>
        <v>3</v>
      </c>
    </row>
    <row r="9" spans="1:44" ht="15.75" customHeight="1" x14ac:dyDescent="0.2">
      <c r="A9" s="51">
        <f t="shared" si="0"/>
        <v>2</v>
      </c>
      <c r="B9" s="172" t="str">
        <f>+'Men''s Master'!G8</f>
        <v>DC CYC A</v>
      </c>
      <c r="C9" s="173"/>
      <c r="D9" s="173"/>
      <c r="E9" s="171">
        <f>SUM(IF(AG16=E16,1,0),IF(AG18=E18,1,0),IF(AG21=E21,1,0),IF(AG23=E23,1,0))</f>
        <v>4</v>
      </c>
      <c r="F9" s="162"/>
      <c r="G9" s="162"/>
      <c r="H9" s="162"/>
      <c r="I9" s="153"/>
      <c r="J9" s="169">
        <f>SUM(IF(AG16=E16,0,1),IF(AG18=E18,0,1),IF(AG21=E21,0,1),IF(AG23=E23,0,1))</f>
        <v>0</v>
      </c>
      <c r="K9" s="162"/>
      <c r="L9" s="162"/>
      <c r="M9" s="162"/>
      <c r="N9" s="170"/>
      <c r="O9" s="53">
        <f>SUM(IF(R9&gt;0,1,0),IF(S9&gt;0,1,0),IF(T9&gt;0,1,0),IF(U9&gt;0,1,0),IF(V9&gt;0,1,0),IF(W9&gt;0,1,0),IF(X9&gt;0,1,0),IF(Y9&gt;0,1,0),IF(Z9&gt;0,1,0),IF(AA9&gt;0,1,0),IF(AB9&gt;0,1,0),IF(AC9&gt;0,1,0))</f>
        <v>5</v>
      </c>
      <c r="P9" s="52">
        <f>SUM(IF(R9&lt;0,1,0),IF(S9&lt;0,1,0),IF(T9&lt;0,1,0),IF(U9&lt;0,1,0),IF(V9&lt;0,1,0),IF(W9&lt;0,1,0),IF(X9&lt;0,1,0),IF(Y9&lt;0,1,0),IF(Z9&lt;0,1,0),IF(AA9&lt;0,1,0),IF(AB9&lt;0,1,0),IF(AC9&lt;0,1,0))</f>
        <v>3</v>
      </c>
      <c r="Q9" s="54">
        <f>1+SUM(IF(O9&lt;O6,1,0),IF(O9&lt;O7,1,0),IF(O9&lt;O8,1,0),IF(O9&lt;O5,1,0))</f>
        <v>2</v>
      </c>
      <c r="R9" s="74">
        <f t="shared" ref="R9:T9" si="12">-AD5</f>
        <v>-1</v>
      </c>
      <c r="S9" s="75">
        <f t="shared" si="12"/>
        <v>2</v>
      </c>
      <c r="T9" s="75">
        <f t="shared" si="12"/>
        <v>0</v>
      </c>
      <c r="U9" s="75">
        <f t="shared" ref="U9:W9" si="13">-AD6</f>
        <v>3</v>
      </c>
      <c r="V9" s="75">
        <f t="shared" si="13"/>
        <v>-1</v>
      </c>
      <c r="W9" s="75">
        <f t="shared" si="13"/>
        <v>0</v>
      </c>
      <c r="X9" s="75">
        <f t="shared" ref="X9:Z9" si="14">-AD7</f>
        <v>2</v>
      </c>
      <c r="Y9" s="75">
        <f t="shared" si="14"/>
        <v>10</v>
      </c>
      <c r="Z9" s="75">
        <f t="shared" si="14"/>
        <v>0</v>
      </c>
      <c r="AA9" s="75">
        <f t="shared" ref="AA9:AC9" si="15">-AD8</f>
        <v>-2</v>
      </c>
      <c r="AB9" s="75">
        <f t="shared" si="15"/>
        <v>7</v>
      </c>
      <c r="AC9" s="75">
        <f t="shared" si="15"/>
        <v>0</v>
      </c>
      <c r="AD9" s="76"/>
      <c r="AE9" s="76"/>
      <c r="AF9" s="76"/>
      <c r="AG9" s="77" t="s">
        <v>168</v>
      </c>
      <c r="AH9" s="77" t="s">
        <v>168</v>
      </c>
      <c r="AI9" s="60">
        <f t="shared" si="1"/>
        <v>2</v>
      </c>
      <c r="AJ9" s="78">
        <f t="shared" si="2"/>
        <v>20</v>
      </c>
      <c r="AK9" s="72">
        <f>1+SUM(IF(AJ9&lt;AJ6,1,0),IF(AJ9&lt;AJ7,1,0),IF(AJ9&lt;AJ8,1,0),IF(AJ9&lt;AJ5,1,0))</f>
        <v>2</v>
      </c>
      <c r="AL9" s="79">
        <f t="shared" si="3"/>
        <v>1</v>
      </c>
      <c r="AM9" s="72">
        <f>1+SUM(IF(AL9&lt;AL6,1,0),IF(AL9&lt;AL7,1,0),IF(AL9&lt;AL8,1,0),IF(AL9&lt;AL5,1,0))</f>
        <v>1</v>
      </c>
      <c r="AN9" s="64">
        <f t="shared" si="4"/>
        <v>0.625</v>
      </c>
      <c r="AO9" s="65">
        <f>1+SUM(IF(AN9&lt;AN6,1,0),IF(AN9&lt;AN7,1,0),IF(AN9&lt;AN8,1,0),IF(AN9&lt;AN5,1,0))</f>
        <v>2</v>
      </c>
      <c r="AP9" s="66">
        <f t="shared" si="5"/>
        <v>2.5</v>
      </c>
      <c r="AQ9" s="73">
        <f>1+SUM(IF(AP9&lt;AP6,1,0),IF(AP9&lt;AP7,1,0),IF(AP9&lt;AP8,1,0),IF(AP9&lt;AP5,1,0))</f>
        <v>2</v>
      </c>
      <c r="AR9" s="68">
        <f>1+SUM(IF(Q9&gt;Q5,1,IF(AND(Q9=Q5,AK9&gt;AK5),1,IF(AND(Q9=Q5,AK9=AK5),1,0))),IF(Q9&gt;Q6,1,IF(AND(Q9=Q6,AK9&gt;AK6),1,IF(AND(Q9=Q6,AK9=AK6),1,0))),IF(Q9&gt;Q7,1,IF(AND(Q9=Q7,AK9&gt;AK7),1,IF(AND(Q9=Q7,AK9=AK7),1,0))),IF(Q9&gt;Q8,1,IF(AND(Q9=Q8,AK9&gt;AK8),1,IF(AND(Q9=Q8,AK9=AK8),1,0))))</f>
        <v>2</v>
      </c>
    </row>
    <row r="10" spans="1:44" ht="12.75" customHeight="1" x14ac:dyDescent="0.2">
      <c r="A10" s="174"/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80"/>
      <c r="AI10" s="41"/>
      <c r="AJ10" s="41"/>
      <c r="AK10" s="41"/>
      <c r="AL10" s="41"/>
      <c r="AM10" s="41"/>
      <c r="AN10" s="41"/>
      <c r="AO10" s="5"/>
      <c r="AP10" s="5"/>
      <c r="AQ10" s="5"/>
      <c r="AR10" s="5"/>
    </row>
    <row r="11" spans="1:44" ht="12.75" customHeight="1" x14ac:dyDescent="0.2">
      <c r="A11" s="136"/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80"/>
      <c r="AI11" s="41"/>
      <c r="AJ11" s="41"/>
      <c r="AK11" s="41"/>
      <c r="AL11" s="41"/>
      <c r="AM11" s="41"/>
      <c r="AN11" s="41"/>
      <c r="AO11" s="5"/>
      <c r="AP11" s="5"/>
      <c r="AQ11" s="5"/>
      <c r="AR11" s="5"/>
    </row>
    <row r="12" spans="1:44" ht="13.5" customHeight="1" x14ac:dyDescent="0.2">
      <c r="A12" s="136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80"/>
      <c r="AI12" s="41"/>
      <c r="AJ12" s="41"/>
      <c r="AK12" s="41"/>
      <c r="AL12" s="41"/>
      <c r="AM12" s="41"/>
      <c r="AN12" s="41"/>
      <c r="AO12" s="5"/>
      <c r="AP12" s="5"/>
      <c r="AQ12" s="5"/>
      <c r="AR12" s="5"/>
    </row>
    <row r="13" spans="1:44" ht="13.5" customHeight="1" x14ac:dyDescent="0.2">
      <c r="A13" s="167"/>
      <c r="B13" s="136"/>
      <c r="C13" s="81" t="s">
        <v>169</v>
      </c>
      <c r="D13" s="82" t="s">
        <v>170</v>
      </c>
      <c r="E13" s="165" t="s">
        <v>169</v>
      </c>
      <c r="F13" s="156"/>
      <c r="G13" s="156"/>
      <c r="H13" s="156"/>
      <c r="I13" s="156"/>
      <c r="J13" s="156"/>
      <c r="K13" s="156"/>
      <c r="L13" s="156"/>
      <c r="M13" s="166"/>
      <c r="N13" s="176" t="s">
        <v>171</v>
      </c>
      <c r="O13" s="177"/>
      <c r="P13" s="178"/>
      <c r="Q13" s="155" t="s">
        <v>172</v>
      </c>
      <c r="R13" s="156"/>
      <c r="S13" s="156"/>
      <c r="T13" s="156"/>
      <c r="U13" s="166"/>
      <c r="V13" s="175" t="s">
        <v>173</v>
      </c>
      <c r="W13" s="156"/>
      <c r="X13" s="156"/>
      <c r="Y13" s="156"/>
      <c r="Z13" s="166"/>
      <c r="AA13" s="155" t="s">
        <v>174</v>
      </c>
      <c r="AB13" s="156"/>
      <c r="AC13" s="156"/>
      <c r="AD13" s="156"/>
      <c r="AE13" s="157"/>
      <c r="AF13" s="83"/>
      <c r="AG13" s="84" t="s">
        <v>175</v>
      </c>
      <c r="AH13" s="49" t="s">
        <v>176</v>
      </c>
      <c r="AI13" s="158" t="s">
        <v>177</v>
      </c>
      <c r="AJ13" s="159"/>
      <c r="AK13" s="41"/>
      <c r="AL13" s="5"/>
      <c r="AM13" s="5"/>
      <c r="AN13" s="5"/>
      <c r="AO13" s="5"/>
      <c r="AP13" s="5"/>
      <c r="AQ13" s="5"/>
      <c r="AR13" s="5"/>
    </row>
    <row r="14" spans="1:44" ht="15.75" customHeight="1" x14ac:dyDescent="0.2">
      <c r="A14" s="85">
        <v>1</v>
      </c>
      <c r="B14" s="86">
        <v>1</v>
      </c>
      <c r="C14" s="117" t="str">
        <f>+B5</f>
        <v>Boston Knights C</v>
      </c>
      <c r="D14" s="88">
        <v>2</v>
      </c>
      <c r="E14" s="161" t="str">
        <f>+B6</f>
        <v>Chicago United</v>
      </c>
      <c r="F14" s="162"/>
      <c r="G14" s="162"/>
      <c r="H14" s="162"/>
      <c r="I14" s="162"/>
      <c r="J14" s="162"/>
      <c r="K14" s="162"/>
      <c r="L14" s="162"/>
      <c r="M14" s="153"/>
      <c r="N14" s="89">
        <v>3</v>
      </c>
      <c r="O14" s="160" t="str">
        <f>+B7</f>
        <v>Philly CIA Jrs.</v>
      </c>
      <c r="P14" s="153"/>
      <c r="Q14" s="151">
        <v>21</v>
      </c>
      <c r="R14" s="143"/>
      <c r="S14" s="91">
        <v>0</v>
      </c>
      <c r="T14" s="151">
        <v>18</v>
      </c>
      <c r="U14" s="143"/>
      <c r="V14" s="154">
        <v>21</v>
      </c>
      <c r="W14" s="143"/>
      <c r="X14" s="92">
        <v>0</v>
      </c>
      <c r="Y14" s="154">
        <v>11</v>
      </c>
      <c r="Z14" s="143"/>
      <c r="AA14" s="152"/>
      <c r="AB14" s="153"/>
      <c r="AC14" s="93" t="s">
        <v>178</v>
      </c>
      <c r="AD14" s="152"/>
      <c r="AE14" s="153"/>
      <c r="AF14" s="94"/>
      <c r="AG14" s="104" t="str">
        <f t="shared" ref="AG14:AG23" si="16">IF(AND(Q14&gt;T14,V14&gt;Y14),C14, IF(AND(T14&gt;Q14,Y14&gt;V14),E14, IF((Q14)+(V14)+(AA14)-(T14)-(Y14)-(AD14)&gt;0,C14,E14)))</f>
        <v>Boston Knights C</v>
      </c>
      <c r="AH14" s="96">
        <f t="shared" ref="AH14:AH23" si="17">(Q14)+(V14)+(AA14)-(T14)-(Y14)-(AD14)</f>
        <v>13</v>
      </c>
      <c r="AI14" s="147">
        <v>0.375</v>
      </c>
      <c r="AJ14" s="148"/>
      <c r="AK14" s="5"/>
      <c r="AL14" s="5"/>
      <c r="AM14" s="5"/>
      <c r="AN14" s="5"/>
      <c r="AO14" s="5"/>
      <c r="AP14" s="5"/>
      <c r="AQ14" s="5"/>
      <c r="AR14" s="5"/>
    </row>
    <row r="15" spans="1:44" ht="15.75" customHeight="1" x14ac:dyDescent="0.2">
      <c r="A15" s="97">
        <v>2</v>
      </c>
      <c r="B15" s="98">
        <v>3</v>
      </c>
      <c r="C15" s="99" t="str">
        <f>+B7</f>
        <v>Philly CIA Jrs.</v>
      </c>
      <c r="D15" s="61">
        <v>4</v>
      </c>
      <c r="E15" s="163" t="str">
        <f t="shared" ref="E15:E16" si="18">+B8</f>
        <v>NY Strangers Alumni</v>
      </c>
      <c r="F15" s="164"/>
      <c r="G15" s="164"/>
      <c r="H15" s="164"/>
      <c r="I15" s="164"/>
      <c r="J15" s="164"/>
      <c r="K15" s="164"/>
      <c r="L15" s="164"/>
      <c r="M15" s="143"/>
      <c r="N15" s="100">
        <v>2</v>
      </c>
      <c r="O15" s="168" t="str">
        <f>+B6</f>
        <v>Chicago United</v>
      </c>
      <c r="P15" s="143"/>
      <c r="Q15" s="144">
        <v>21</v>
      </c>
      <c r="R15" s="141"/>
      <c r="S15" s="101">
        <v>0</v>
      </c>
      <c r="T15" s="144">
        <v>17</v>
      </c>
      <c r="U15" s="141"/>
      <c r="V15" s="140">
        <v>8</v>
      </c>
      <c r="W15" s="141"/>
      <c r="X15" s="102">
        <v>0</v>
      </c>
      <c r="Y15" s="140">
        <v>21</v>
      </c>
      <c r="Z15" s="141"/>
      <c r="AA15" s="142"/>
      <c r="AB15" s="143"/>
      <c r="AC15" s="103" t="s">
        <v>178</v>
      </c>
      <c r="AD15" s="142"/>
      <c r="AE15" s="143"/>
      <c r="AF15" s="94"/>
      <c r="AG15" s="104" t="str">
        <f t="shared" si="16"/>
        <v>NY Strangers Alumni</v>
      </c>
      <c r="AH15" s="96">
        <f t="shared" si="17"/>
        <v>-9</v>
      </c>
      <c r="AI15" s="149">
        <v>0.40972222222222227</v>
      </c>
      <c r="AJ15" s="150"/>
      <c r="AK15" s="5"/>
      <c r="AL15" s="5"/>
      <c r="AM15" s="5"/>
      <c r="AN15" s="5"/>
      <c r="AO15" s="5"/>
      <c r="AP15" s="5"/>
      <c r="AQ15" s="5"/>
      <c r="AR15" s="5"/>
    </row>
    <row r="16" spans="1:44" ht="15.75" customHeight="1" x14ac:dyDescent="0.2">
      <c r="A16" s="97">
        <v>3</v>
      </c>
      <c r="B16" s="98">
        <v>1</v>
      </c>
      <c r="C16" s="99" t="str">
        <f t="shared" ref="C16:C17" si="19">+B5</f>
        <v>Boston Knights C</v>
      </c>
      <c r="D16" s="61">
        <v>5</v>
      </c>
      <c r="E16" s="163" t="str">
        <f t="shared" si="18"/>
        <v>DC CYC A</v>
      </c>
      <c r="F16" s="164"/>
      <c r="G16" s="164"/>
      <c r="H16" s="164"/>
      <c r="I16" s="164"/>
      <c r="J16" s="164"/>
      <c r="K16" s="164"/>
      <c r="L16" s="164"/>
      <c r="M16" s="143"/>
      <c r="N16" s="100">
        <v>4</v>
      </c>
      <c r="O16" s="168" t="str">
        <f>+B8</f>
        <v>NY Strangers Alumni</v>
      </c>
      <c r="P16" s="143"/>
      <c r="Q16" s="144">
        <v>23</v>
      </c>
      <c r="R16" s="141"/>
      <c r="S16" s="101">
        <v>0</v>
      </c>
      <c r="T16" s="144">
        <v>22</v>
      </c>
      <c r="U16" s="141"/>
      <c r="V16" s="140">
        <v>19</v>
      </c>
      <c r="W16" s="141"/>
      <c r="X16" s="102">
        <v>0</v>
      </c>
      <c r="Y16" s="140">
        <v>21</v>
      </c>
      <c r="Z16" s="141"/>
      <c r="AA16" s="142"/>
      <c r="AB16" s="143"/>
      <c r="AC16" s="103" t="s">
        <v>178</v>
      </c>
      <c r="AD16" s="142"/>
      <c r="AE16" s="143"/>
      <c r="AF16" s="94"/>
      <c r="AG16" s="104" t="str">
        <f t="shared" si="16"/>
        <v>DC CYC A</v>
      </c>
      <c r="AH16" s="96">
        <f t="shared" si="17"/>
        <v>-1</v>
      </c>
      <c r="AI16" s="149">
        <v>0.44444444444444442</v>
      </c>
      <c r="AJ16" s="150"/>
      <c r="AK16" s="5"/>
      <c r="AL16" s="5"/>
      <c r="AM16" s="5"/>
      <c r="AN16" s="5"/>
      <c r="AO16" s="5"/>
      <c r="AP16" s="5"/>
      <c r="AQ16" s="5"/>
      <c r="AR16" s="5"/>
    </row>
    <row r="17" spans="1:44" ht="15.75" customHeight="1" x14ac:dyDescent="0.2">
      <c r="A17" s="97">
        <v>4</v>
      </c>
      <c r="B17" s="98">
        <v>2</v>
      </c>
      <c r="C17" s="99" t="str">
        <f t="shared" si="19"/>
        <v>Chicago United</v>
      </c>
      <c r="D17" s="61">
        <v>3</v>
      </c>
      <c r="E17" s="163" t="str">
        <f>+B7</f>
        <v>Philly CIA Jrs.</v>
      </c>
      <c r="F17" s="164"/>
      <c r="G17" s="164"/>
      <c r="H17" s="164"/>
      <c r="I17" s="164"/>
      <c r="J17" s="164"/>
      <c r="K17" s="164"/>
      <c r="L17" s="164"/>
      <c r="M17" s="143"/>
      <c r="N17" s="100">
        <v>1</v>
      </c>
      <c r="O17" s="168" t="str">
        <f>+B5</f>
        <v>Boston Knights C</v>
      </c>
      <c r="P17" s="143"/>
      <c r="Q17" s="144">
        <v>21</v>
      </c>
      <c r="R17" s="141"/>
      <c r="S17" s="101">
        <v>0</v>
      </c>
      <c r="T17" s="144">
        <v>17</v>
      </c>
      <c r="U17" s="141"/>
      <c r="V17" s="140">
        <v>18</v>
      </c>
      <c r="W17" s="141"/>
      <c r="X17" s="102">
        <v>0</v>
      </c>
      <c r="Y17" s="140">
        <v>21</v>
      </c>
      <c r="Z17" s="141"/>
      <c r="AA17" s="142"/>
      <c r="AB17" s="143"/>
      <c r="AC17" s="103" t="s">
        <v>178</v>
      </c>
      <c r="AD17" s="142"/>
      <c r="AE17" s="143"/>
      <c r="AF17" s="94"/>
      <c r="AG17" s="104" t="str">
        <f t="shared" si="16"/>
        <v>Chicago United</v>
      </c>
      <c r="AH17" s="96">
        <f t="shared" si="17"/>
        <v>1</v>
      </c>
      <c r="AI17" s="149">
        <v>0.47916666666666669</v>
      </c>
      <c r="AJ17" s="150"/>
      <c r="AK17" s="5"/>
      <c r="AL17" s="5"/>
      <c r="AM17" s="5"/>
      <c r="AN17" s="5"/>
      <c r="AO17" s="5"/>
      <c r="AP17" s="5"/>
      <c r="AQ17" s="5"/>
      <c r="AR17" s="5"/>
    </row>
    <row r="18" spans="1:44" ht="15.75" customHeight="1" x14ac:dyDescent="0.2">
      <c r="A18" s="97">
        <v>5</v>
      </c>
      <c r="B18" s="98">
        <v>4</v>
      </c>
      <c r="C18" s="99" t="str">
        <f>+B8</f>
        <v>NY Strangers Alumni</v>
      </c>
      <c r="D18" s="61">
        <v>5</v>
      </c>
      <c r="E18" s="163" t="str">
        <f>+B9</f>
        <v>DC CYC A</v>
      </c>
      <c r="F18" s="164"/>
      <c r="G18" s="164"/>
      <c r="H18" s="164"/>
      <c r="I18" s="164"/>
      <c r="J18" s="164"/>
      <c r="K18" s="164"/>
      <c r="L18" s="164"/>
      <c r="M18" s="143"/>
      <c r="N18" s="100">
        <v>3</v>
      </c>
      <c r="O18" s="168" t="str">
        <f>+B7</f>
        <v>Philly CIA Jrs.</v>
      </c>
      <c r="P18" s="143"/>
      <c r="Q18" s="144">
        <v>23</v>
      </c>
      <c r="R18" s="141"/>
      <c r="S18" s="101">
        <v>0</v>
      </c>
      <c r="T18" s="144">
        <v>21</v>
      </c>
      <c r="U18" s="141"/>
      <c r="V18" s="140">
        <v>14</v>
      </c>
      <c r="W18" s="141"/>
      <c r="X18" s="102">
        <v>0</v>
      </c>
      <c r="Y18" s="140">
        <v>21</v>
      </c>
      <c r="Z18" s="141"/>
      <c r="AA18" s="142"/>
      <c r="AB18" s="143"/>
      <c r="AC18" s="103" t="s">
        <v>178</v>
      </c>
      <c r="AD18" s="142"/>
      <c r="AE18" s="143"/>
      <c r="AF18" s="94"/>
      <c r="AG18" s="104" t="str">
        <f t="shared" si="16"/>
        <v>DC CYC A</v>
      </c>
      <c r="AH18" s="96">
        <f t="shared" si="17"/>
        <v>-5</v>
      </c>
      <c r="AI18" s="149">
        <v>0.53472222222222221</v>
      </c>
      <c r="AJ18" s="150"/>
      <c r="AK18" s="5"/>
      <c r="AL18" s="5"/>
      <c r="AM18" s="5"/>
      <c r="AN18" s="5"/>
      <c r="AO18" s="5"/>
      <c r="AP18" s="5"/>
      <c r="AQ18" s="5"/>
      <c r="AR18" s="5"/>
    </row>
    <row r="19" spans="1:44" ht="15.75" customHeight="1" x14ac:dyDescent="0.2">
      <c r="A19" s="97">
        <v>6</v>
      </c>
      <c r="B19" s="98">
        <v>1</v>
      </c>
      <c r="C19" s="99" t="str">
        <f t="shared" ref="C19:C21" si="20">+B5</f>
        <v>Boston Knights C</v>
      </c>
      <c r="D19" s="61">
        <v>3</v>
      </c>
      <c r="E19" s="163" t="str">
        <f t="shared" ref="E19:E21" si="21">+B7</f>
        <v>Philly CIA Jrs.</v>
      </c>
      <c r="F19" s="164"/>
      <c r="G19" s="164"/>
      <c r="H19" s="164"/>
      <c r="I19" s="164"/>
      <c r="J19" s="164"/>
      <c r="K19" s="164"/>
      <c r="L19" s="164"/>
      <c r="M19" s="143"/>
      <c r="N19" s="100">
        <v>5</v>
      </c>
      <c r="O19" s="168" t="str">
        <f>+B9</f>
        <v>DC CYC A</v>
      </c>
      <c r="P19" s="143"/>
      <c r="Q19" s="144">
        <v>21</v>
      </c>
      <c r="R19" s="141"/>
      <c r="S19" s="101">
        <v>0</v>
      </c>
      <c r="T19" s="144">
        <v>16</v>
      </c>
      <c r="U19" s="141"/>
      <c r="V19" s="140">
        <v>21</v>
      </c>
      <c r="W19" s="141"/>
      <c r="X19" s="102">
        <v>0</v>
      </c>
      <c r="Y19" s="140">
        <v>15</v>
      </c>
      <c r="Z19" s="141"/>
      <c r="AA19" s="142"/>
      <c r="AB19" s="143"/>
      <c r="AC19" s="103" t="s">
        <v>178</v>
      </c>
      <c r="AD19" s="142"/>
      <c r="AE19" s="143"/>
      <c r="AF19" s="94"/>
      <c r="AG19" s="104" t="str">
        <f t="shared" si="16"/>
        <v>Boston Knights C</v>
      </c>
      <c r="AH19" s="96">
        <f t="shared" si="17"/>
        <v>11</v>
      </c>
      <c r="AI19" s="149">
        <v>6.9444444444444434E-2</v>
      </c>
      <c r="AJ19" s="150"/>
      <c r="AK19" s="5"/>
      <c r="AL19" s="5"/>
      <c r="AM19" s="5"/>
      <c r="AN19" s="5"/>
      <c r="AO19" s="5"/>
      <c r="AP19" s="5"/>
      <c r="AQ19" s="5"/>
      <c r="AR19" s="5"/>
    </row>
    <row r="20" spans="1:44" ht="15.75" customHeight="1" x14ac:dyDescent="0.2">
      <c r="A20" s="97">
        <v>7</v>
      </c>
      <c r="B20" s="98">
        <v>2</v>
      </c>
      <c r="C20" s="99" t="str">
        <f t="shared" si="20"/>
        <v>Chicago United</v>
      </c>
      <c r="D20" s="61">
        <v>4</v>
      </c>
      <c r="E20" s="163" t="str">
        <f t="shared" si="21"/>
        <v>NY Strangers Alumni</v>
      </c>
      <c r="F20" s="164"/>
      <c r="G20" s="164"/>
      <c r="H20" s="164"/>
      <c r="I20" s="164"/>
      <c r="J20" s="164"/>
      <c r="K20" s="164"/>
      <c r="L20" s="164"/>
      <c r="M20" s="143"/>
      <c r="N20" s="100">
        <v>1</v>
      </c>
      <c r="O20" s="168" t="str">
        <f t="shared" ref="O20:O21" si="22">+B5</f>
        <v>Boston Knights C</v>
      </c>
      <c r="P20" s="143"/>
      <c r="Q20" s="144">
        <v>23</v>
      </c>
      <c r="R20" s="141"/>
      <c r="S20" s="101">
        <v>0</v>
      </c>
      <c r="T20" s="144">
        <v>22</v>
      </c>
      <c r="U20" s="141"/>
      <c r="V20" s="140">
        <v>14</v>
      </c>
      <c r="W20" s="141"/>
      <c r="X20" s="102">
        <v>0</v>
      </c>
      <c r="Y20" s="140">
        <v>21</v>
      </c>
      <c r="Z20" s="141"/>
      <c r="AA20" s="142"/>
      <c r="AB20" s="143"/>
      <c r="AC20" s="103" t="s">
        <v>178</v>
      </c>
      <c r="AD20" s="142"/>
      <c r="AE20" s="143"/>
      <c r="AF20" s="94"/>
      <c r="AG20" s="104" t="str">
        <f t="shared" si="16"/>
        <v>NY Strangers Alumni</v>
      </c>
      <c r="AH20" s="96">
        <f t="shared" si="17"/>
        <v>-6</v>
      </c>
      <c r="AI20" s="149">
        <v>0.10416666666666667</v>
      </c>
      <c r="AJ20" s="150"/>
      <c r="AK20" s="5"/>
      <c r="AL20" s="5"/>
      <c r="AM20" s="5"/>
      <c r="AN20" s="5"/>
      <c r="AO20" s="5"/>
      <c r="AP20" s="5"/>
      <c r="AQ20" s="5"/>
      <c r="AR20" s="5"/>
    </row>
    <row r="21" spans="1:44" ht="15.75" customHeight="1" x14ac:dyDescent="0.2">
      <c r="A21" s="97">
        <v>8</v>
      </c>
      <c r="B21" s="98">
        <v>3</v>
      </c>
      <c r="C21" s="99" t="str">
        <f t="shared" si="20"/>
        <v>Philly CIA Jrs.</v>
      </c>
      <c r="D21" s="61">
        <v>5</v>
      </c>
      <c r="E21" s="163" t="str">
        <f t="shared" si="21"/>
        <v>DC CYC A</v>
      </c>
      <c r="F21" s="164"/>
      <c r="G21" s="164"/>
      <c r="H21" s="164"/>
      <c r="I21" s="164"/>
      <c r="J21" s="164"/>
      <c r="K21" s="164"/>
      <c r="L21" s="164"/>
      <c r="M21" s="143"/>
      <c r="N21" s="100">
        <v>2</v>
      </c>
      <c r="O21" s="168" t="str">
        <f t="shared" si="22"/>
        <v>Chicago United</v>
      </c>
      <c r="P21" s="143"/>
      <c r="Q21" s="144">
        <v>21</v>
      </c>
      <c r="R21" s="141"/>
      <c r="S21" s="101">
        <v>0</v>
      </c>
      <c r="T21" s="144">
        <v>23</v>
      </c>
      <c r="U21" s="141"/>
      <c r="V21" s="140">
        <v>11</v>
      </c>
      <c r="W21" s="141"/>
      <c r="X21" s="102">
        <v>0</v>
      </c>
      <c r="Y21" s="140">
        <v>21</v>
      </c>
      <c r="Z21" s="141"/>
      <c r="AA21" s="142"/>
      <c r="AB21" s="143"/>
      <c r="AC21" s="103" t="s">
        <v>178</v>
      </c>
      <c r="AD21" s="142"/>
      <c r="AE21" s="143"/>
      <c r="AF21" s="94"/>
      <c r="AG21" s="104" t="str">
        <f t="shared" si="16"/>
        <v>DC CYC A</v>
      </c>
      <c r="AH21" s="96">
        <f t="shared" si="17"/>
        <v>-12</v>
      </c>
      <c r="AI21" s="149">
        <v>0.15972222222222224</v>
      </c>
      <c r="AJ21" s="150"/>
      <c r="AK21" s="5"/>
      <c r="AL21" s="5"/>
      <c r="AM21" s="5"/>
      <c r="AN21" s="5"/>
      <c r="AO21" s="5"/>
      <c r="AP21" s="5"/>
      <c r="AQ21" s="5"/>
      <c r="AR21" s="5"/>
    </row>
    <row r="22" spans="1:44" ht="15.75" customHeight="1" x14ac:dyDescent="0.2">
      <c r="A22" s="97">
        <v>9</v>
      </c>
      <c r="B22" s="98">
        <v>1</v>
      </c>
      <c r="C22" s="99" t="str">
        <f t="shared" ref="C22:C23" si="23">+B5</f>
        <v>Boston Knights C</v>
      </c>
      <c r="D22" s="61">
        <v>4</v>
      </c>
      <c r="E22" s="163" t="str">
        <f t="shared" ref="E22:E23" si="24">+B8</f>
        <v>NY Strangers Alumni</v>
      </c>
      <c r="F22" s="164"/>
      <c r="G22" s="164"/>
      <c r="H22" s="164"/>
      <c r="I22" s="164"/>
      <c r="J22" s="164"/>
      <c r="K22" s="164"/>
      <c r="L22" s="164"/>
      <c r="M22" s="143"/>
      <c r="N22" s="100">
        <v>5</v>
      </c>
      <c r="O22" s="168" t="str">
        <f>+B9</f>
        <v>DC CYC A</v>
      </c>
      <c r="P22" s="143"/>
      <c r="Q22" s="144">
        <v>17</v>
      </c>
      <c r="R22" s="141"/>
      <c r="S22" s="101">
        <v>0</v>
      </c>
      <c r="T22" s="144">
        <v>21</v>
      </c>
      <c r="U22" s="141"/>
      <c r="V22" s="140">
        <v>21</v>
      </c>
      <c r="W22" s="141"/>
      <c r="X22" s="102">
        <v>0</v>
      </c>
      <c r="Y22" s="140">
        <v>7</v>
      </c>
      <c r="Z22" s="141"/>
      <c r="AA22" s="142"/>
      <c r="AB22" s="143"/>
      <c r="AC22" s="103" t="s">
        <v>178</v>
      </c>
      <c r="AD22" s="142"/>
      <c r="AE22" s="143"/>
      <c r="AF22" s="94"/>
      <c r="AG22" s="104" t="str">
        <f t="shared" si="16"/>
        <v>Boston Knights C</v>
      </c>
      <c r="AH22" s="96">
        <f t="shared" si="17"/>
        <v>10</v>
      </c>
      <c r="AI22" s="149">
        <v>0.19444444444444445</v>
      </c>
      <c r="AJ22" s="150"/>
      <c r="AK22" s="5"/>
      <c r="AL22" s="5"/>
      <c r="AM22" s="5"/>
      <c r="AN22" s="5"/>
      <c r="AO22" s="5"/>
      <c r="AP22" s="5"/>
      <c r="AQ22" s="5"/>
      <c r="AR22" s="5"/>
    </row>
    <row r="23" spans="1:44" ht="15.75" customHeight="1" x14ac:dyDescent="0.2">
      <c r="A23" s="109">
        <v>10</v>
      </c>
      <c r="B23" s="110">
        <v>2</v>
      </c>
      <c r="C23" s="111" t="str">
        <f t="shared" si="23"/>
        <v>Chicago United</v>
      </c>
      <c r="D23" s="78">
        <v>5</v>
      </c>
      <c r="E23" s="188" t="str">
        <f t="shared" si="24"/>
        <v>DC CYC A</v>
      </c>
      <c r="F23" s="189"/>
      <c r="G23" s="189"/>
      <c r="H23" s="189"/>
      <c r="I23" s="189"/>
      <c r="J23" s="189"/>
      <c r="K23" s="189"/>
      <c r="L23" s="189"/>
      <c r="M23" s="146"/>
      <c r="N23" s="112">
        <v>4</v>
      </c>
      <c r="O23" s="187" t="str">
        <f>+B8</f>
        <v>NY Strangers Alumni</v>
      </c>
      <c r="P23" s="146"/>
      <c r="Q23" s="144">
        <v>18</v>
      </c>
      <c r="R23" s="141"/>
      <c r="S23" s="101">
        <v>0</v>
      </c>
      <c r="T23" s="144">
        <v>21</v>
      </c>
      <c r="U23" s="141"/>
      <c r="V23" s="140">
        <v>23</v>
      </c>
      <c r="W23" s="141"/>
      <c r="X23" s="102">
        <v>0</v>
      </c>
      <c r="Y23" s="140">
        <v>22</v>
      </c>
      <c r="Z23" s="141"/>
      <c r="AA23" s="145"/>
      <c r="AB23" s="146"/>
      <c r="AC23" s="113" t="s">
        <v>178</v>
      </c>
      <c r="AD23" s="145"/>
      <c r="AE23" s="146"/>
      <c r="AF23" s="94"/>
      <c r="AG23" s="104" t="str">
        <f t="shared" si="16"/>
        <v>DC CYC A</v>
      </c>
      <c r="AH23" s="96">
        <f t="shared" si="17"/>
        <v>-2</v>
      </c>
      <c r="AI23" s="184">
        <v>0.22916666666666666</v>
      </c>
      <c r="AJ23" s="185"/>
      <c r="AK23" s="5"/>
      <c r="AL23" s="5"/>
      <c r="AM23" s="5"/>
      <c r="AN23" s="5"/>
      <c r="AO23" s="5"/>
      <c r="AP23" s="5"/>
      <c r="AQ23" s="5"/>
      <c r="AR23" s="5"/>
    </row>
    <row r="24" spans="1:44" ht="12.75" customHeight="1" x14ac:dyDescent="0.2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5"/>
      <c r="AM24" s="5"/>
      <c r="AN24" s="5"/>
      <c r="AO24" s="5"/>
      <c r="AP24" s="5"/>
      <c r="AQ24" s="5"/>
      <c r="AR24" s="5"/>
    </row>
    <row r="25" spans="1:44" ht="12.75" customHeight="1" x14ac:dyDescent="0.2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5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5"/>
      <c r="AM25" s="5"/>
      <c r="AN25" s="5"/>
      <c r="AO25" s="5"/>
      <c r="AP25" s="5"/>
      <c r="AQ25" s="5"/>
      <c r="AR25" s="5"/>
    </row>
    <row r="26" spans="1:44" ht="12.75" customHeight="1" x14ac:dyDescent="0.2">
      <c r="A26" s="41"/>
      <c r="B26" s="57"/>
      <c r="C26" s="57" t="s">
        <v>179</v>
      </c>
      <c r="D26" s="57" t="s">
        <v>157</v>
      </c>
      <c r="E26" s="57" t="s">
        <v>180</v>
      </c>
      <c r="F26" s="57" t="s">
        <v>165</v>
      </c>
      <c r="G26" s="57" t="s">
        <v>166</v>
      </c>
      <c r="H26" s="41"/>
      <c r="I26" s="41"/>
      <c r="J26" s="41"/>
      <c r="K26" s="41"/>
      <c r="L26" s="41"/>
      <c r="M26" s="41"/>
      <c r="N26" s="41"/>
      <c r="O26" s="41"/>
      <c r="P26" s="41"/>
      <c r="Q26" s="5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5"/>
      <c r="AM26" s="5"/>
      <c r="AN26" s="5"/>
      <c r="AO26" s="5"/>
      <c r="AP26" s="5"/>
      <c r="AQ26" s="5"/>
      <c r="AR26" s="5"/>
    </row>
    <row r="27" spans="1:44" ht="12.75" customHeight="1" x14ac:dyDescent="0.2">
      <c r="A27" s="41"/>
      <c r="B27" s="57">
        <v>1</v>
      </c>
      <c r="C27" s="57" t="str">
        <f t="shared" ref="C27:C31" si="25">VLOOKUP(B27,$A$5:$AR$9,2,FALSE)</f>
        <v>Boston Knights C</v>
      </c>
      <c r="D27" s="57">
        <f t="shared" ref="D27:D31" si="26">VLOOKUP(B27,$A$5:$AR$9,15,FALSE)</f>
        <v>6</v>
      </c>
      <c r="E27" s="57">
        <f t="shared" ref="E27:E31" si="27">VLOOKUP(B27,$A$5:$AR$9,36,FALSE)</f>
        <v>33</v>
      </c>
      <c r="F27" s="114">
        <f t="shared" ref="F27:F31" si="28">VLOOKUP(B27,$A$5:$AR$9,40,FALSE)</f>
        <v>0.75</v>
      </c>
      <c r="G27" s="114">
        <f t="shared" ref="G27:G31" si="29">VLOOKUP(B27,$A$5:$AR$9,42,FALSE)</f>
        <v>4.125</v>
      </c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5"/>
      <c r="AM27" s="5"/>
      <c r="AN27" s="5"/>
      <c r="AO27" s="5"/>
      <c r="AP27" s="5"/>
      <c r="AQ27" s="5"/>
      <c r="AR27" s="5"/>
    </row>
    <row r="28" spans="1:44" ht="12.75" customHeight="1" x14ac:dyDescent="0.2">
      <c r="A28" s="41"/>
      <c r="B28" s="57">
        <v>2</v>
      </c>
      <c r="C28" s="57" t="str">
        <f t="shared" si="25"/>
        <v>DC CYC A</v>
      </c>
      <c r="D28" s="57">
        <f t="shared" si="26"/>
        <v>5</v>
      </c>
      <c r="E28" s="57">
        <f t="shared" si="27"/>
        <v>20</v>
      </c>
      <c r="F28" s="114">
        <f t="shared" si="28"/>
        <v>0.625</v>
      </c>
      <c r="G28" s="114">
        <f t="shared" si="29"/>
        <v>2.5</v>
      </c>
      <c r="H28" s="41"/>
      <c r="I28" s="41"/>
      <c r="J28" s="41"/>
      <c r="K28" s="41"/>
      <c r="L28" s="41"/>
      <c r="M28" s="41"/>
      <c r="N28" s="41"/>
      <c r="O28" s="41"/>
      <c r="P28" s="5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183"/>
      <c r="AK28" s="136"/>
      <c r="AL28" s="5"/>
      <c r="AM28" s="5"/>
      <c r="AN28" s="5"/>
      <c r="AO28" s="5"/>
      <c r="AP28" s="5"/>
      <c r="AQ28" s="5"/>
      <c r="AR28" s="5"/>
    </row>
    <row r="29" spans="1:44" ht="12.75" customHeight="1" x14ac:dyDescent="0.2">
      <c r="A29" s="5"/>
      <c r="B29" s="14">
        <v>3</v>
      </c>
      <c r="C29" s="57" t="str">
        <f t="shared" si="25"/>
        <v>NY Strangers Alumni</v>
      </c>
      <c r="D29" s="57">
        <f t="shared" si="26"/>
        <v>4</v>
      </c>
      <c r="E29" s="57">
        <f t="shared" si="27"/>
        <v>0</v>
      </c>
      <c r="F29" s="114">
        <f t="shared" si="28"/>
        <v>0.5</v>
      </c>
      <c r="G29" s="114">
        <f t="shared" si="29"/>
        <v>0</v>
      </c>
      <c r="H29" s="41"/>
      <c r="I29" s="41"/>
      <c r="J29" s="41"/>
      <c r="K29" s="41"/>
      <c r="L29" s="41"/>
      <c r="M29" s="41"/>
      <c r="N29" s="41"/>
      <c r="O29" s="41"/>
      <c r="P29" s="5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115"/>
      <c r="AK29" s="41"/>
      <c r="AL29" s="5"/>
      <c r="AM29" s="5"/>
      <c r="AN29" s="5"/>
      <c r="AO29" s="5"/>
      <c r="AP29" s="5"/>
      <c r="AQ29" s="5"/>
      <c r="AR29" s="5"/>
    </row>
    <row r="30" spans="1:44" ht="12.75" customHeight="1" x14ac:dyDescent="0.2">
      <c r="A30" s="5"/>
      <c r="B30" s="14">
        <v>4</v>
      </c>
      <c r="C30" s="57" t="str">
        <f t="shared" si="25"/>
        <v>Chicago United</v>
      </c>
      <c r="D30" s="57">
        <f t="shared" si="26"/>
        <v>3</v>
      </c>
      <c r="E30" s="57">
        <f t="shared" si="27"/>
        <v>-20</v>
      </c>
      <c r="F30" s="114">
        <f t="shared" si="28"/>
        <v>0.375</v>
      </c>
      <c r="G30" s="114">
        <f t="shared" si="29"/>
        <v>-2.5</v>
      </c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115"/>
      <c r="AK30" s="41"/>
      <c r="AL30" s="5"/>
      <c r="AM30" s="5"/>
      <c r="AN30" s="5"/>
      <c r="AO30" s="5"/>
      <c r="AP30" s="5"/>
      <c r="AQ30" s="5"/>
      <c r="AR30" s="5"/>
    </row>
    <row r="31" spans="1:44" ht="12.75" customHeight="1" x14ac:dyDescent="0.2">
      <c r="A31" s="5"/>
      <c r="B31" s="14">
        <v>5</v>
      </c>
      <c r="C31" s="57" t="str">
        <f t="shared" si="25"/>
        <v>Philly CIA Jrs.</v>
      </c>
      <c r="D31" s="57">
        <f t="shared" si="26"/>
        <v>2</v>
      </c>
      <c r="E31" s="57">
        <f t="shared" si="27"/>
        <v>-33</v>
      </c>
      <c r="F31" s="114">
        <f t="shared" si="28"/>
        <v>0.25</v>
      </c>
      <c r="G31" s="114">
        <f t="shared" si="29"/>
        <v>-4.125</v>
      </c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115"/>
      <c r="AK31" s="41"/>
      <c r="AL31" s="5"/>
      <c r="AM31" s="5"/>
      <c r="AN31" s="5"/>
      <c r="AO31" s="5"/>
      <c r="AP31" s="5"/>
      <c r="AQ31" s="5"/>
      <c r="AR31" s="5"/>
    </row>
  </sheetData>
  <mergeCells count="124">
    <mergeCell ref="AP4:AQ4"/>
    <mergeCell ref="AJ4:AK4"/>
    <mergeCell ref="R4:AF4"/>
    <mergeCell ref="A3:AG3"/>
    <mergeCell ref="A2:AG2"/>
    <mergeCell ref="A1:AG1"/>
    <mergeCell ref="E8:I8"/>
    <mergeCell ref="B8:D8"/>
    <mergeCell ref="A10:AG12"/>
    <mergeCell ref="A13:B13"/>
    <mergeCell ref="AN4:AO4"/>
    <mergeCell ref="T14:U14"/>
    <mergeCell ref="Q13:U13"/>
    <mergeCell ref="Y14:Z14"/>
    <mergeCell ref="V14:W14"/>
    <mergeCell ref="AA14:AB14"/>
    <mergeCell ref="Q14:R14"/>
    <mergeCell ref="V15:W15"/>
    <mergeCell ref="V23:W23"/>
    <mergeCell ref="V22:W22"/>
    <mergeCell ref="V21:W21"/>
    <mergeCell ref="T21:U21"/>
    <mergeCell ref="T22:U22"/>
    <mergeCell ref="T23:U23"/>
    <mergeCell ref="T17:U17"/>
    <mergeCell ref="T16:U16"/>
    <mergeCell ref="T18:U18"/>
    <mergeCell ref="T15:U15"/>
    <mergeCell ref="AI23:AJ23"/>
    <mergeCell ref="AJ28:AK28"/>
    <mergeCell ref="AI21:AJ21"/>
    <mergeCell ref="AD17:AE17"/>
    <mergeCell ref="AD18:AE18"/>
    <mergeCell ref="V19:W19"/>
    <mergeCell ref="V18:W18"/>
    <mergeCell ref="AA18:AB18"/>
    <mergeCell ref="Y18:Z18"/>
    <mergeCell ref="V20:W20"/>
    <mergeCell ref="Y20:Z20"/>
    <mergeCell ref="AA21:AB21"/>
    <mergeCell ref="AA19:AB19"/>
    <mergeCell ref="AA17:AB17"/>
    <mergeCell ref="Y17:Z17"/>
    <mergeCell ref="AA23:AB23"/>
    <mergeCell ref="Y23:Z23"/>
    <mergeCell ref="AA22:AB22"/>
    <mergeCell ref="Y22:Z22"/>
    <mergeCell ref="Y21:Z21"/>
    <mergeCell ref="AD23:AE23"/>
    <mergeCell ref="V13:Z13"/>
    <mergeCell ref="AA13:AE13"/>
    <mergeCell ref="AI19:AJ19"/>
    <mergeCell ref="AI18:AJ18"/>
    <mergeCell ref="AD22:AE22"/>
    <mergeCell ref="AD21:AE21"/>
    <mergeCell ref="AD19:AE19"/>
    <mergeCell ref="AI20:AJ20"/>
    <mergeCell ref="AI15:AJ15"/>
    <mergeCell ref="AI14:AJ14"/>
    <mergeCell ref="AI13:AJ13"/>
    <mergeCell ref="AI22:AJ22"/>
    <mergeCell ref="AD15:AE15"/>
    <mergeCell ref="AD14:AE14"/>
    <mergeCell ref="AA15:AB15"/>
    <mergeCell ref="Y15:Z15"/>
    <mergeCell ref="AD20:AE20"/>
    <mergeCell ref="AA20:AB20"/>
    <mergeCell ref="T19:U19"/>
    <mergeCell ref="T20:U20"/>
    <mergeCell ref="AI17:AJ17"/>
    <mergeCell ref="AI16:AJ16"/>
    <mergeCell ref="AD16:AE16"/>
    <mergeCell ref="AA16:AB16"/>
    <mergeCell ref="Y19:Z19"/>
    <mergeCell ref="Y16:Z16"/>
    <mergeCell ref="V17:W17"/>
    <mergeCell ref="V16:W16"/>
    <mergeCell ref="J4:N4"/>
    <mergeCell ref="E4:I4"/>
    <mergeCell ref="B4:D4"/>
    <mergeCell ref="J5:N5"/>
    <mergeCell ref="B5:D5"/>
    <mergeCell ref="J8:N8"/>
    <mergeCell ref="J7:N7"/>
    <mergeCell ref="E7:I7"/>
    <mergeCell ref="J9:N9"/>
    <mergeCell ref="J6:N6"/>
    <mergeCell ref="E5:I5"/>
    <mergeCell ref="E6:I6"/>
    <mergeCell ref="E9:I9"/>
    <mergeCell ref="B9:D9"/>
    <mergeCell ref="B7:D7"/>
    <mergeCell ref="B6:D6"/>
    <mergeCell ref="Q15:R15"/>
    <mergeCell ref="E13:M13"/>
    <mergeCell ref="E14:M14"/>
    <mergeCell ref="N13:P13"/>
    <mergeCell ref="O14:P14"/>
    <mergeCell ref="E15:M15"/>
    <mergeCell ref="O15:P15"/>
    <mergeCell ref="E23:M23"/>
    <mergeCell ref="E22:M22"/>
    <mergeCell ref="O22:P22"/>
    <mergeCell ref="O21:P21"/>
    <mergeCell ref="O20:P20"/>
    <mergeCell ref="O17:P17"/>
    <mergeCell ref="Q16:R16"/>
    <mergeCell ref="Q19:R19"/>
    <mergeCell ref="Q22:R22"/>
    <mergeCell ref="Q23:R23"/>
    <mergeCell ref="Q20:R20"/>
    <mergeCell ref="Q21:R21"/>
    <mergeCell ref="O23:P23"/>
    <mergeCell ref="E16:M16"/>
    <mergeCell ref="O16:P16"/>
    <mergeCell ref="O18:P18"/>
    <mergeCell ref="O19:P19"/>
    <mergeCell ref="E18:M18"/>
    <mergeCell ref="E19:M19"/>
    <mergeCell ref="E20:M20"/>
    <mergeCell ref="E21:M21"/>
    <mergeCell ref="Q18:R18"/>
    <mergeCell ref="Q17:R17"/>
    <mergeCell ref="E17:M1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R31"/>
  <sheetViews>
    <sheetView showGridLines="0" workbookViewId="0"/>
  </sheetViews>
  <sheetFormatPr baseColWidth="10" defaultColWidth="17.33203125" defaultRowHeight="15" customHeight="1" x14ac:dyDescent="0.2"/>
  <cols>
    <col min="1" max="1" width="4.1640625" customWidth="1"/>
    <col min="2" max="2" width="3.5" customWidth="1"/>
    <col min="3" max="3" width="25.6640625" customWidth="1"/>
    <col min="4" max="4" width="4.5" customWidth="1"/>
    <col min="5" max="5" width="3.33203125" customWidth="1"/>
    <col min="6" max="6" width="10.33203125" customWidth="1"/>
    <col min="7" max="7" width="9.6640625" customWidth="1"/>
    <col min="8" max="9" width="3.33203125" hidden="1" customWidth="1"/>
    <col min="10" max="14" width="3.33203125" customWidth="1"/>
    <col min="15" max="15" width="13.33203125" customWidth="1"/>
    <col min="16" max="16" width="13.1640625" customWidth="1"/>
    <col min="17" max="19" width="4" customWidth="1"/>
    <col min="20" max="22" width="3.33203125" customWidth="1"/>
    <col min="23" max="23" width="4" customWidth="1"/>
    <col min="24" max="25" width="3.33203125" customWidth="1"/>
    <col min="26" max="27" width="4" customWidth="1"/>
    <col min="28" max="31" width="3.33203125" customWidth="1"/>
    <col min="32" max="32" width="4.5" customWidth="1"/>
    <col min="33" max="33" width="15.33203125" customWidth="1"/>
    <col min="34" max="34" width="12.1640625" customWidth="1"/>
    <col min="35" max="35" width="13.1640625" customWidth="1"/>
    <col min="36" max="36" width="4.1640625" customWidth="1"/>
    <col min="37" max="37" width="7.1640625" customWidth="1"/>
    <col min="38" max="38" width="2.1640625" customWidth="1"/>
    <col min="39" max="39" width="7.1640625" customWidth="1"/>
    <col min="40" max="40" width="6.5" customWidth="1"/>
    <col min="41" max="44" width="8.83203125" customWidth="1"/>
  </cols>
  <sheetData>
    <row r="1" spans="1:44" ht="30.75" customHeight="1" x14ac:dyDescent="0.35">
      <c r="A1" s="180" t="s">
        <v>152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38"/>
      <c r="AI1" s="39"/>
      <c r="AJ1" s="39"/>
      <c r="AK1" s="39"/>
      <c r="AL1" s="39"/>
      <c r="AM1" s="39"/>
      <c r="AN1" s="39"/>
      <c r="AO1" s="1"/>
      <c r="AP1" s="1"/>
      <c r="AQ1" s="1"/>
      <c r="AR1" s="1"/>
    </row>
    <row r="2" spans="1:44" ht="30.75" customHeight="1" x14ac:dyDescent="0.35">
      <c r="A2" s="180" t="str">
        <f>+'Men''s Master'!H3</f>
        <v>CT12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38"/>
      <c r="AI2" s="39"/>
      <c r="AJ2" s="39"/>
      <c r="AK2" s="39"/>
      <c r="AL2" s="39"/>
      <c r="AM2" s="39"/>
      <c r="AN2" s="39"/>
      <c r="AO2" s="1"/>
      <c r="AP2" s="1"/>
      <c r="AQ2" s="1"/>
      <c r="AR2" s="1"/>
    </row>
    <row r="3" spans="1:44" ht="42.75" customHeight="1" x14ac:dyDescent="0.45">
      <c r="A3" s="197" t="str">
        <f>RIGHT(A2,2)</f>
        <v>12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40"/>
      <c r="AI3" s="41" t="s">
        <v>153</v>
      </c>
      <c r="AJ3" s="41"/>
      <c r="AK3" s="41"/>
      <c r="AL3" s="41"/>
      <c r="AM3" s="41"/>
      <c r="AN3" s="41"/>
      <c r="AO3" s="5"/>
      <c r="AP3" s="5"/>
      <c r="AQ3" s="5"/>
      <c r="AR3" s="5" t="s">
        <v>154</v>
      </c>
    </row>
    <row r="4" spans="1:44" ht="27" customHeight="1" x14ac:dyDescent="0.2">
      <c r="A4" s="42"/>
      <c r="B4" s="179" t="s">
        <v>102</v>
      </c>
      <c r="C4" s="173"/>
      <c r="D4" s="173"/>
      <c r="E4" s="155" t="s">
        <v>155</v>
      </c>
      <c r="F4" s="156"/>
      <c r="G4" s="156"/>
      <c r="H4" s="156"/>
      <c r="I4" s="157"/>
      <c r="J4" s="165" t="s">
        <v>156</v>
      </c>
      <c r="K4" s="156"/>
      <c r="L4" s="156"/>
      <c r="M4" s="156"/>
      <c r="N4" s="166"/>
      <c r="O4" s="43" t="s">
        <v>157</v>
      </c>
      <c r="P4" s="44" t="s">
        <v>158</v>
      </c>
      <c r="Q4" s="45"/>
      <c r="R4" s="194" t="s">
        <v>159</v>
      </c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53"/>
      <c r="AG4" s="46" t="s">
        <v>160</v>
      </c>
      <c r="AH4" s="47" t="s">
        <v>161</v>
      </c>
      <c r="AI4" s="47" t="s">
        <v>162</v>
      </c>
      <c r="AJ4" s="193" t="s">
        <v>163</v>
      </c>
      <c r="AK4" s="153"/>
      <c r="AL4" s="47" t="s">
        <v>164</v>
      </c>
      <c r="AM4" s="48"/>
      <c r="AN4" s="190" t="s">
        <v>165</v>
      </c>
      <c r="AO4" s="191"/>
      <c r="AP4" s="192" t="s">
        <v>166</v>
      </c>
      <c r="AQ4" s="191"/>
      <c r="AR4" s="50" t="s">
        <v>167</v>
      </c>
    </row>
    <row r="5" spans="1:44" ht="15.75" customHeight="1" x14ac:dyDescent="0.2">
      <c r="A5" s="51">
        <f t="shared" ref="A5:A9" si="0">AR5</f>
        <v>1</v>
      </c>
      <c r="B5" s="172" t="str">
        <f>+'Men''s Master'!H4</f>
        <v>Toronto Ngun Lam White</v>
      </c>
      <c r="C5" s="173"/>
      <c r="D5" s="173"/>
      <c r="E5" s="171">
        <f>SUM(IF(AG14=B5,1,0),IF(AG16=C16,1,0),IF(AG19=C19,1,0),IF(AG22=C22,1,0))</f>
        <v>4</v>
      </c>
      <c r="F5" s="162"/>
      <c r="G5" s="162"/>
      <c r="H5" s="162"/>
      <c r="I5" s="153"/>
      <c r="J5" s="169">
        <f>SUM(IF(AG14=C14,0,1),IF(AG16=C16,0,1),IF(AG19=C19,0,1),IF(AG22=C22,0,1))</f>
        <v>0</v>
      </c>
      <c r="K5" s="162"/>
      <c r="L5" s="162"/>
      <c r="M5" s="162"/>
      <c r="N5" s="170"/>
      <c r="O5" s="53">
        <f>SUM(IF(AD5&gt;0,1,0),IF(AE5&gt;0,1,0),IF(AF5&gt;0,1,0),IF(U5&gt;0,1,0),IF(V5&gt;0,1,0),IF(W5&gt;0,1,0),IF(X5&gt;0,1,0),IF(Y5&gt;0,1,0),IF(Z5&gt;0,1,0),IF(AA5&gt;0,1,0),IF(AB5&gt;0,1,0),IF(AC5&gt;0,1,0))</f>
        <v>8</v>
      </c>
      <c r="P5" s="52">
        <f>SUM(IF(AD5&lt;0,1,0),IF(AE5&lt;0,1,0),IF(AF5&lt;0,1,0),IF(U5&lt;0,1,0),IF(V5&lt;0,1,0),IF(W5&lt;0,1,0),IF(X5&lt;0,1,0),IF(Y5&lt;0,1,0),IF(Z5&lt;0,1,0),IF(AA5&lt;0,1,0),IF(AB5&lt;0,1,0),IF(AC5&lt;0,1,0))</f>
        <v>0</v>
      </c>
      <c r="Q5" s="54">
        <f>1+SUM(IF(O5&lt;O6,1,0),IF(O5&lt;O7,1,0),IF(O5&lt;O8,1,0),IF(O5&lt;O9,1,0))</f>
        <v>1</v>
      </c>
      <c r="R5" s="55"/>
      <c r="S5" s="56"/>
      <c r="T5" s="56"/>
      <c r="U5" s="57">
        <f>Q14-T14</f>
        <v>13</v>
      </c>
      <c r="V5" s="57">
        <f>V14-Y14</f>
        <v>12</v>
      </c>
      <c r="W5" s="57">
        <f>AA14-AD14</f>
        <v>0</v>
      </c>
      <c r="X5" s="57">
        <f>Q19-T19</f>
        <v>3</v>
      </c>
      <c r="Y5" s="57">
        <f>V19-Y19</f>
        <v>4</v>
      </c>
      <c r="Z5" s="57">
        <f>AA19-AD19</f>
        <v>0</v>
      </c>
      <c r="AA5" s="58">
        <f>Q22-T22</f>
        <v>7</v>
      </c>
      <c r="AB5" s="58">
        <f>V22-Y22</f>
        <v>2</v>
      </c>
      <c r="AC5" s="58">
        <f>AA22-AD22</f>
        <v>0</v>
      </c>
      <c r="AD5" s="58">
        <f>Q16-T16</f>
        <v>18</v>
      </c>
      <c r="AE5" s="58">
        <f>V16-Y16</f>
        <v>13</v>
      </c>
      <c r="AF5" s="58">
        <f>AA16-AD16</f>
        <v>0</v>
      </c>
      <c r="AG5" s="58" t="b">
        <f>IF(Q5=Q6,IF(SUM(U5:W5)&gt;0,B5,B6),  IF(Q5=Q7,IF(SUM(X5:Z5)&gt;0, B5,B7),IF(Q5=Q8,IF(SUM(AA5:AC5)&gt;0, B5,B8),IF(Q5=Q9,IF(SUM(AD5:AF5)&lt;0,B5,B9)))))</f>
        <v>0</v>
      </c>
      <c r="AH5" s="58" t="b">
        <f>IF(Q5=Q6,IF(SUM(U5:W5)&lt;0,B5,B6),  IF(Q5=Q7,IF(SUM(X5:Z5)&lt;0, B5,B7),IF(Q5=Q8,IF(SUM(AA5:AC5)&lt;0, B5,B8),IF(Q5=Q9, IF(SUM(AD5:AF5)&lt;0,B5,B9)))))</f>
        <v>0</v>
      </c>
      <c r="AI5" s="60">
        <f t="shared" ref="AI5:AI9" si="1">Q5+IF(COUNTIF($AG$5:$AG$9,B5)&gt;0,0, IF(COUNTIF($AH$5:$AH$9,B5)&gt;0,1,0))</f>
        <v>1</v>
      </c>
      <c r="AJ5" s="61">
        <f t="shared" ref="AJ5:AJ9" si="2">SUM(R5:AF5)</f>
        <v>72</v>
      </c>
      <c r="AK5" s="62">
        <f>1+SUM(IF(AJ5&lt;AJ6,1,0),IF(AJ5&lt;AJ7,1,0),IF(AJ5&lt;AJ8,1,0),IF(AJ5&lt;AJ9,1,0))</f>
        <v>1</v>
      </c>
      <c r="AL5" s="63">
        <f t="shared" ref="AL5:AL9" si="3">IF(SUM(E5,J5)=0,0,E5/(E5+J5))</f>
        <v>1</v>
      </c>
      <c r="AM5" s="62">
        <f>1+SUM(IF(AL5&lt;AL6,1,0),IF(AL5&lt;AL7,1,0),IF(AL5&lt;AL8,1,0),IF(AL5&lt;AL9,1,0))</f>
        <v>1</v>
      </c>
      <c r="AN5" s="64">
        <f t="shared" ref="AN5:AN9" si="4">IF(SUM(O5+P5)=0,0,O5/(O5+P5))</f>
        <v>1</v>
      </c>
      <c r="AO5" s="65">
        <f>1+SUM(IF(AN5&lt;AN6,1,0),IF(AN5&lt;AN7,1,0),IF(AN5&lt;AN8,1,0),IF(AN5&lt;AN9,1,0))</f>
        <v>1</v>
      </c>
      <c r="AP5" s="66">
        <f t="shared" ref="AP5:AP9" si="5">AJ5/SUM(O5:P5)</f>
        <v>9</v>
      </c>
      <c r="AQ5" s="67">
        <f>1+SUM(IF(AP5&lt;AP6,1,0),IF(AP5&lt;AP7,1,0),IF(AP5&lt;AP8,1,0),IF(AP5&lt;AP9,1,0))</f>
        <v>1</v>
      </c>
      <c r="AR5" s="68">
        <f>1+SUM(IF(Q5&gt;Q6,1,IF(AND(Q5=Q6,AK5&gt;AK6),1,IF(AND(Q5=Q6,AK5=AK6),1,0))),IF(Q5&gt;Q7,1,IF(AND(Q5=Q7,AK5&gt;AK7),1,IF(AND(Q5=Q7,AK5=AK7),1,0))),IF(Q5&gt;Q8,1,IF(AND(Q5=Q8,AK5&gt;AK8),1,IF(AND(Q5=Q8,AK5=AK8),1,0))),IF(Q5&gt;Q9,1,IF(AND(Q5=Q9,AK5&gt;AK9),1,IF(AND(Q5=Q9,AK5=AK9),1,0))))</f>
        <v>1</v>
      </c>
    </row>
    <row r="6" spans="1:44" ht="15.75" customHeight="1" x14ac:dyDescent="0.2">
      <c r="A6" s="51">
        <f t="shared" si="0"/>
        <v>3</v>
      </c>
      <c r="B6" s="172" t="str">
        <f>+'Men''s Master'!H5</f>
        <v>Boston Knights B</v>
      </c>
      <c r="C6" s="173"/>
      <c r="D6" s="173"/>
      <c r="E6" s="171">
        <f>SUM(IF(AG14=E14,1,0),IF(AG17=C17,1,0),IF(AG20=C20,1,0),IF(AG23=C23,1,0))</f>
        <v>2</v>
      </c>
      <c r="F6" s="162"/>
      <c r="G6" s="162"/>
      <c r="H6" s="162"/>
      <c r="I6" s="153"/>
      <c r="J6" s="169">
        <f>SUM(IF(AG14=E14,0,1),IF(AG17=C17,0,1),IF(AG20=C20,0,1),IF(AG23=C23,0,1))</f>
        <v>2</v>
      </c>
      <c r="K6" s="162"/>
      <c r="L6" s="162"/>
      <c r="M6" s="162"/>
      <c r="N6" s="170"/>
      <c r="O6" s="53">
        <f>SUM(IF(AD6&gt;0,1,0),IF(AE6&gt;0,1,0),IF(AF6&gt;0,1,0),IF(R6&gt;0,1,0),IF(S6&gt;0,1,0),IF(T6&gt;0,1,0),IF(X6&gt;0,1,0),IF(Y6&gt;0,1,0),IF(Z6&gt;0,1,0),IF(AA6&gt;0,1,0),IF(AB6&gt;0,1,0),IF(AC6&gt;0,1,0))</f>
        <v>4</v>
      </c>
      <c r="P6" s="52">
        <f>SUM(IF(AD6&lt;0,1,0),IF(AE6&lt;0,1,0),IF(AF6&lt;0,1,0),IF(R6&lt;0,1,0),IF(S6&lt;0,1,0),IF(T6&lt;0,1,0),IF(X6&lt;0,1,0),IF(Y6&lt;0,1,0),IF(Z6&lt;0,1,0),IF(AA6&lt;0,1,0),IF(AB6&lt;0,1,0),IF(AC6&lt;0,1,0))</f>
        <v>4</v>
      </c>
      <c r="Q6" s="54">
        <f>1+SUM(IF(O6&lt;O5,1,0),IF(O6&lt;O7,1,0),IF(O6&lt;O8,1,0),IF(O6&lt;O9,1,0))</f>
        <v>3</v>
      </c>
      <c r="R6" s="69">
        <f t="shared" ref="R6:T6" si="6">-U5</f>
        <v>-13</v>
      </c>
      <c r="S6" s="58">
        <f t="shared" si="6"/>
        <v>-12</v>
      </c>
      <c r="T6" s="58">
        <f t="shared" si="6"/>
        <v>0</v>
      </c>
      <c r="U6" s="56"/>
      <c r="V6" s="56"/>
      <c r="W6" s="56"/>
      <c r="X6" s="57">
        <f>Q17-T17</f>
        <v>-5</v>
      </c>
      <c r="Y6" s="57">
        <f>V17-Y17</f>
        <v>-8</v>
      </c>
      <c r="Z6" s="57">
        <f>AA17-AD17</f>
        <v>0</v>
      </c>
      <c r="AA6" s="58">
        <f>Q20-T20</f>
        <v>5</v>
      </c>
      <c r="AB6" s="58">
        <f>V20-Y20</f>
        <v>10</v>
      </c>
      <c r="AC6" s="58">
        <f>AA20-AD20</f>
        <v>0</v>
      </c>
      <c r="AD6" s="58">
        <f>Q23-T23</f>
        <v>9</v>
      </c>
      <c r="AE6" s="58">
        <f>V23-Y23</f>
        <v>6</v>
      </c>
      <c r="AF6" s="58">
        <f>AA23-AD23</f>
        <v>0</v>
      </c>
      <c r="AG6" s="58" t="b">
        <f>IF(Q6=Q7,IF(SUM(X6:Z6)&gt;0,B6,B7),IF(Q6=Q8,IF(SUM(AA6:AC6)&gt;0,B6,B8),IF(Q6=Q9,IF(SUM(AD6:AF6)&gt;0, B6,B9))))</f>
        <v>0</v>
      </c>
      <c r="AH6" s="58" t="b">
        <f>IF(Q6=Q7,IF(SUM(X6:Z6)&lt;0,B6,B7),IF(Q6=Q8,IF(SUM(AA6:AC6)&lt;0,B6,B8),IF(Q6=Q9,IF(SUM(AD6:AF6)&lt;0, B6,B9))))</f>
        <v>0</v>
      </c>
      <c r="AI6" s="60">
        <f t="shared" si="1"/>
        <v>3</v>
      </c>
      <c r="AJ6" s="61">
        <f t="shared" si="2"/>
        <v>-8</v>
      </c>
      <c r="AK6" s="62">
        <f>1+SUM(IF(AJ6&lt;AJ5,1,0),IF(AJ6&lt;AJ7,1,0),IF(AJ6&lt;AJ8,1,0),IF(AJ6&lt;AJ9,1,0))</f>
        <v>3</v>
      </c>
      <c r="AL6" s="63">
        <f t="shared" si="3"/>
        <v>0.5</v>
      </c>
      <c r="AM6" s="62">
        <f>1+SUM(IF(AL6&lt;AL5,1,0),IF(AL6&lt;AL7,1,0),IF(AL6&lt;AL8,1,0),IF(AL6&lt;AL9,1,0))</f>
        <v>3</v>
      </c>
      <c r="AN6" s="64">
        <f t="shared" si="4"/>
        <v>0.5</v>
      </c>
      <c r="AO6" s="65">
        <f>1+SUM(IF(AN6&lt;AN5,1,0),IF(AN6&lt;AN7,1,0),IF(AN6&lt;AN8,1,0),IF(AN6&lt;AN9,1,0))</f>
        <v>3</v>
      </c>
      <c r="AP6" s="66">
        <f t="shared" si="5"/>
        <v>-1</v>
      </c>
      <c r="AQ6" s="70">
        <f>1+SUM(IF(AP6&lt;AP5,1,0),IF(AP6&lt;AP7,1,0),IF(AP6&lt;AP8,1,0),IF(AP6&lt;AP9,1,0))</f>
        <v>3</v>
      </c>
      <c r="AR6" s="68">
        <f>1+SUM(IF(Q6&gt;Q5,1,IF(AND(Q6=Q5,AK6&gt;AK5),1,IF(AND(Q6=Q5,AK6=AK5),1,0))),IF(Q6&gt;Q7,1,IF(AND(Q6=Q7,AK6&gt;AK7),1,IF(AND(Q6=Q7,AK6=AK7),1,0))),IF(Q6&gt;Q8,1,IF(AND(Q6=Q8,AK6&gt;AK8),1,IF(AND(Q6=Q8,AK6=AK8),1,0))),IF(Q6&gt;Q9,1,IF(AND(Q6=Q9,AK6&gt;AK9),1,IF(AND(Q6=Q9,AK6=AK9),1,0))))</f>
        <v>3</v>
      </c>
    </row>
    <row r="7" spans="1:44" ht="15.75" customHeight="1" x14ac:dyDescent="0.2">
      <c r="A7" s="51">
        <f t="shared" si="0"/>
        <v>2</v>
      </c>
      <c r="B7" s="172" t="str">
        <f>+'Men''s Master'!H6</f>
        <v>Toronto Connex B</v>
      </c>
      <c r="C7" s="173"/>
      <c r="D7" s="173"/>
      <c r="E7" s="171">
        <f>SUM(IF(AG15=C15,1,0),IF(AG17=E17,1,0),IF(AG19=E19,1,0),IF(AG21=C21,1,0))</f>
        <v>3</v>
      </c>
      <c r="F7" s="162"/>
      <c r="G7" s="162"/>
      <c r="H7" s="162"/>
      <c r="I7" s="153"/>
      <c r="J7" s="169">
        <f>SUM(IF(AG15=C15,0,1),IF(AG17=E17,0,1),IF(AG19=E19,0,1),IF(AG21=C21,0,1))</f>
        <v>1</v>
      </c>
      <c r="K7" s="162"/>
      <c r="L7" s="162"/>
      <c r="M7" s="162"/>
      <c r="N7" s="170"/>
      <c r="O7" s="53">
        <f>SUM(IF(AD7&gt;0,1,0),IF(AE7&gt;0,1,0),IF(AF7&gt;0,1,0),IF(U7&gt;0,1,0),IF(V7&gt;0,1,0),IF(W7&gt;0,1,0),IF(R7&gt;0,1,0),IF(S7&gt;0,1,0),IF(T7&gt;0,1,0),IF(AA7&gt;0,1,0),IF(AB7&gt;0,1,0),IF(AC7&gt;0,1,0))</f>
        <v>6</v>
      </c>
      <c r="P7" s="52">
        <f>SUM(IF(AD7&lt;0,1,0),IF(AE7&lt;0,1,0),IF(AF7&lt;0,1,0),IF(U7&lt;0,1,0),IF(V7&lt;0,1,0),IF(W7&lt;0,1,0),IF(R7&lt;0,1,0),IF(S7&lt;0,1,0),IF(T7&lt;0,1,0),IF(AA7&lt;0,1,0),IF(AB7&lt;0,1,0),IF(AC7&lt;0,1,0))</f>
        <v>2</v>
      </c>
      <c r="Q7" s="54">
        <f>1+SUM(IF(O7&lt;O6,1,0),IF(O7&lt;O5,1,0),IF(O7&lt;O8,1,0),IF(O7&lt;O9,1,0))</f>
        <v>2</v>
      </c>
      <c r="R7" s="69">
        <f t="shared" ref="R7:T7" si="7">-X5</f>
        <v>-3</v>
      </c>
      <c r="S7" s="58">
        <f t="shared" si="7"/>
        <v>-4</v>
      </c>
      <c r="T7" s="58">
        <f t="shared" si="7"/>
        <v>0</v>
      </c>
      <c r="U7" s="58">
        <f t="shared" ref="U7:W7" si="8">-X6</f>
        <v>5</v>
      </c>
      <c r="V7" s="58">
        <f t="shared" si="8"/>
        <v>8</v>
      </c>
      <c r="W7" s="58">
        <f t="shared" si="8"/>
        <v>0</v>
      </c>
      <c r="X7" s="71"/>
      <c r="Y7" s="71"/>
      <c r="Z7" s="71"/>
      <c r="AA7" s="58">
        <f>Q15-T15</f>
        <v>4</v>
      </c>
      <c r="AB7" s="58">
        <f>V15-Y15</f>
        <v>2</v>
      </c>
      <c r="AC7" s="58">
        <f>AA15-AD15</f>
        <v>0</v>
      </c>
      <c r="AD7" s="58">
        <f>Q21-T21</f>
        <v>6</v>
      </c>
      <c r="AE7" s="58">
        <f>V21-Y21</f>
        <v>10</v>
      </c>
      <c r="AF7" s="58">
        <f>AA21-AD21</f>
        <v>0</v>
      </c>
      <c r="AG7" s="58" t="b">
        <f>IF(Q7=Q8,IF(SUM(AA7:AC7)&gt;0,B7,B8),IF(Q7=Q9,IF(SUM(AD7:AF7)&gt;0,B7,B9)))</f>
        <v>0</v>
      </c>
      <c r="AH7" s="58" t="b">
        <f>IF(Q7=Q8,IF(SUM(AA7:AC7)&lt;0,B7,B8),IF(Q7=Q9,IF(SUM(AD7:AF7)&lt;0,B7,B9)))</f>
        <v>0</v>
      </c>
      <c r="AI7" s="60">
        <f t="shared" si="1"/>
        <v>2</v>
      </c>
      <c r="AJ7" s="61">
        <f t="shared" si="2"/>
        <v>28</v>
      </c>
      <c r="AK7" s="62">
        <f>1+SUM(IF(AJ7&lt;AJ6,1,0),IF(AJ7&lt;AJ5,1,0),IF(AJ7&lt;AJ8,1,0),IF(AJ7&lt;AJ9,1,0))</f>
        <v>2</v>
      </c>
      <c r="AL7" s="63">
        <f t="shared" si="3"/>
        <v>0.75</v>
      </c>
      <c r="AM7" s="62">
        <f>1+SUM(IF(AL7&lt;AL6,1,0),IF(AL7&lt;AL5,1,0),IF(AL7&lt;AL8,1,0),IF(AL7&lt;AL9,1,0))</f>
        <v>2</v>
      </c>
      <c r="AN7" s="64">
        <f t="shared" si="4"/>
        <v>0.75</v>
      </c>
      <c r="AO7" s="65">
        <f>1+SUM(IF(AN7&lt;AN6,1,0),IF(AN7&lt;AN5,1,0),IF(AN7&lt;AN8,1,0),IF(AN7&lt;AN9,1,0))</f>
        <v>2</v>
      </c>
      <c r="AP7" s="66">
        <f t="shared" si="5"/>
        <v>3.5</v>
      </c>
      <c r="AQ7" s="70">
        <f>1+SUM(IF(AP7&lt;AP6,1,0),IF(AP7&lt;AP5,1,0),IF(AP7&lt;AP8,1,0),IF(AP7&lt;AP9,1,0))</f>
        <v>2</v>
      </c>
      <c r="AR7" s="68">
        <f>1+SUM(IF(Q7&gt;Q5,1,IF(AND(Q7=Q5,AK7&gt;AK5),1,IF(AND(Q7=Q5,AK7=AK5),1,0))),IF(Q7&gt;Q6,1,IF(AND(Q7=Q6,AK7&gt;AK6),1,IF(AND(Q7=Q6,AK7=AK6),1,0))),IF(Q7&gt;Q8,1,IF(AND(Q7=Q8,AK7&gt;AK8),1,IF(AND(Q7=Q8,AK7=AK8),1,0))),IF(Q7&gt;Q9,1,IF(AND(Q7=Q9,AK7&gt;AK9),1,IF(AND(Q7=Q9,AK7=AK9),1,0))))</f>
        <v>2</v>
      </c>
    </row>
    <row r="8" spans="1:44" ht="15.75" customHeight="1" x14ac:dyDescent="0.2">
      <c r="A8" s="51">
        <f t="shared" si="0"/>
        <v>4</v>
      </c>
      <c r="B8" s="172" t="str">
        <f>+'Men''s Master'!H7</f>
        <v>NY Vikings</v>
      </c>
      <c r="C8" s="173"/>
      <c r="D8" s="173"/>
      <c r="E8" s="171">
        <f>SUM(IF(AG15=E15,1,0),IF(AG18=C18,1,0),IF(AG20=E20,1,0),IF(AG22=E22,1,0))</f>
        <v>1</v>
      </c>
      <c r="F8" s="162"/>
      <c r="G8" s="162"/>
      <c r="H8" s="162"/>
      <c r="I8" s="153"/>
      <c r="J8" s="169">
        <f>SUM(IF(AG15=E15,0,1),IF(AG18=C18,0,1),IF(AG20=E20,0,1),IF(AG22=E22,0,1))</f>
        <v>3</v>
      </c>
      <c r="K8" s="162"/>
      <c r="L8" s="162"/>
      <c r="M8" s="162"/>
      <c r="N8" s="170"/>
      <c r="O8" s="53">
        <f>SUM(IF(AD8&gt;0,1,0),IF(AE8&gt;0,1,0),IF(AF8&gt;0,1,0),IF(U8&gt;0,1,0),IF(V8&gt;0,1,0),IF(W8&gt;0,1,0),IF(X8&gt;0,1,0),IF(Y8&gt;0,1,0),IF(Z8&gt;0,1,0),IF(R8&gt;0,1,0),IF(S8&gt;0,1,0),IF(T8&gt;0,1,0))</f>
        <v>2</v>
      </c>
      <c r="P8" s="52">
        <f>SUM(IF(AD8&lt;0,1,0),IF(AE8&lt;0,1,0),IF(AF8&lt;0,1,0),IF(U8&lt;0,1,0),IF(V8&lt;0,1,0),IF(W8&lt;0,1,0),IF(R8&lt;0,1,0),IF(S8&lt;0,1,0),IF(T8&lt;0,1,0),IF(X8&lt;0,1,0),IF(Y8&lt;0,1,0),IF(Z8&lt;0,1,0))</f>
        <v>6</v>
      </c>
      <c r="Q8" s="54">
        <f>1+SUM(IF(O8&lt;O6,1,0),IF(O8&lt;O7,1,0),IF(O8&lt;O5,1,0),IF(O8&lt;O9,1,0))</f>
        <v>4</v>
      </c>
      <c r="R8" s="69">
        <f t="shared" ref="R8:T8" si="9">-AA5</f>
        <v>-7</v>
      </c>
      <c r="S8" s="58">
        <f t="shared" si="9"/>
        <v>-2</v>
      </c>
      <c r="T8" s="58">
        <f t="shared" si="9"/>
        <v>0</v>
      </c>
      <c r="U8" s="58">
        <f t="shared" ref="U8:W8" si="10">-AA6</f>
        <v>-5</v>
      </c>
      <c r="V8" s="58">
        <f t="shared" si="10"/>
        <v>-10</v>
      </c>
      <c r="W8" s="58">
        <f t="shared" si="10"/>
        <v>0</v>
      </c>
      <c r="X8" s="58">
        <f t="shared" ref="X8:Z8" si="11">-AA7</f>
        <v>-4</v>
      </c>
      <c r="Y8" s="58">
        <f t="shared" si="11"/>
        <v>-2</v>
      </c>
      <c r="Z8" s="58">
        <f t="shared" si="11"/>
        <v>0</v>
      </c>
      <c r="AA8" s="71"/>
      <c r="AB8" s="71"/>
      <c r="AC8" s="71"/>
      <c r="AD8" s="58">
        <f>Q18-T18</f>
        <v>9</v>
      </c>
      <c r="AE8" s="58">
        <f>V18-Y18</f>
        <v>6</v>
      </c>
      <c r="AF8" s="58">
        <f>AA18-AD18</f>
        <v>0</v>
      </c>
      <c r="AG8" s="58" t="b">
        <f>IF(Q8=Q9,IF(SUM(AD8:AF8)&gt;0,B8,B9))</f>
        <v>0</v>
      </c>
      <c r="AH8" s="58" t="b">
        <f>IF(R8=R9,IF(SUM(AE8:AG8)&lt;0,C8,C9))</f>
        <v>0</v>
      </c>
      <c r="AI8" s="60">
        <f t="shared" si="1"/>
        <v>4</v>
      </c>
      <c r="AJ8" s="61">
        <f t="shared" si="2"/>
        <v>-15</v>
      </c>
      <c r="AK8" s="72">
        <f>1+SUM(IF(AJ8&lt;AJ6,1,0),IF(AJ8&lt;AJ7,1,0),IF(AJ8&lt;AJ5,1,0),IF(AJ8&lt;AJ9,1,0))</f>
        <v>4</v>
      </c>
      <c r="AL8" s="63">
        <f t="shared" si="3"/>
        <v>0.25</v>
      </c>
      <c r="AM8" s="72">
        <f>1+SUM(IF(AL8&lt;AL6,1,0),IF(AL8&lt;AL7,1,0),IF(AL8&lt;AL5,1,0),IF(AL8&lt;AL9,1,0))</f>
        <v>4</v>
      </c>
      <c r="AN8" s="64">
        <f t="shared" si="4"/>
        <v>0.25</v>
      </c>
      <c r="AO8" s="65">
        <f>1+SUM(IF(AN8&lt;AN6,1,0),IF(AN8&lt;AN7,1,0),IF(AN8&lt;AN5,1,0),IF(AN8&lt;AN9,1,0))</f>
        <v>4</v>
      </c>
      <c r="AP8" s="66">
        <f t="shared" si="5"/>
        <v>-1.875</v>
      </c>
      <c r="AQ8" s="73">
        <f>1+SUM(IF(AP8&lt;AP6,1,0),IF(AP8&lt;AP7,1,0),IF(AP8&lt;AP5,1,0),IF(AP8&lt;AP9,1,0))</f>
        <v>4</v>
      </c>
      <c r="AR8" s="68">
        <f>1+SUM(IF(Q8&gt;Q5,1,IF(AND(Q8=Q5,AK8&gt;AK5),1,IF(AND(Q8=Q5,AK8=AK5),1,0))),IF(Q8&gt;Q6,1,IF(AND(Q8=Q6,AK8&gt;AK6),1,IF(AND(Q8=Q6,AK8=AK6),1,0))),IF(Q8&gt;Q7,1,IF(AND(Q8=Q7,AK8&gt;AK7),1,IF(AND(Q8=Q7,AK8=AK7),1,0))),IF(Q8&gt;Q9,1,IF(AND(Q8=Q9,AK8&gt;AK9),1,IF(AND(Q8=Q9,AK8=AK9),1,0))))</f>
        <v>4</v>
      </c>
    </row>
    <row r="9" spans="1:44" ht="15.75" customHeight="1" x14ac:dyDescent="0.2">
      <c r="A9" s="51">
        <f t="shared" si="0"/>
        <v>5</v>
      </c>
      <c r="B9" s="172" t="str">
        <f>+'Men''s Master'!H8</f>
        <v>Philly Rising Suns</v>
      </c>
      <c r="C9" s="173"/>
      <c r="D9" s="173"/>
      <c r="E9" s="171">
        <f>SUM(IF(AG16=E16,1,0),IF(AG18=E18,1,0),IF(AG21=E21,1,0),IF(AG23=E23,1,0))</f>
        <v>0</v>
      </c>
      <c r="F9" s="162"/>
      <c r="G9" s="162"/>
      <c r="H9" s="162"/>
      <c r="I9" s="153"/>
      <c r="J9" s="169">
        <f>SUM(IF(AG16=E16,0,1),IF(AG18=E18,0,1),IF(AG21=E21,0,1),IF(AG23=E23,0,1))</f>
        <v>4</v>
      </c>
      <c r="K9" s="162"/>
      <c r="L9" s="162"/>
      <c r="M9" s="162"/>
      <c r="N9" s="170"/>
      <c r="O9" s="53">
        <f>SUM(IF(R9&gt;0,1,0),IF(S9&gt;0,1,0),IF(T9&gt;0,1,0),IF(U9&gt;0,1,0),IF(V9&gt;0,1,0),IF(W9&gt;0,1,0),IF(X9&gt;0,1,0),IF(Y9&gt;0,1,0),IF(Z9&gt;0,1,0),IF(AA9&gt;0,1,0),IF(AB9&gt;0,1,0),IF(AC9&gt;0,1,0))</f>
        <v>0</v>
      </c>
      <c r="P9" s="52">
        <f>SUM(IF(R9&lt;0,1,0),IF(S9&lt;0,1,0),IF(T9&lt;0,1,0),IF(U9&lt;0,1,0),IF(V9&lt;0,1,0),IF(W9&lt;0,1,0),IF(X9&lt;0,1,0),IF(Y9&lt;0,1,0),IF(Z9&lt;0,1,0),IF(AA9&lt;0,1,0),IF(AB9&lt;0,1,0),IF(AC9&lt;0,1,0))</f>
        <v>8</v>
      </c>
      <c r="Q9" s="54">
        <f>1+SUM(IF(O9&lt;O6,1,0),IF(O9&lt;O7,1,0),IF(O9&lt;O8,1,0),IF(O9&lt;O5,1,0))</f>
        <v>5</v>
      </c>
      <c r="R9" s="74">
        <f t="shared" ref="R9:T9" si="12">-AD5</f>
        <v>-18</v>
      </c>
      <c r="S9" s="75">
        <f t="shared" si="12"/>
        <v>-13</v>
      </c>
      <c r="T9" s="75">
        <f t="shared" si="12"/>
        <v>0</v>
      </c>
      <c r="U9" s="75">
        <f t="shared" ref="U9:W9" si="13">-AD6</f>
        <v>-9</v>
      </c>
      <c r="V9" s="75">
        <f t="shared" si="13"/>
        <v>-6</v>
      </c>
      <c r="W9" s="75">
        <f t="shared" si="13"/>
        <v>0</v>
      </c>
      <c r="X9" s="75">
        <f t="shared" ref="X9:Z9" si="14">-AD7</f>
        <v>-6</v>
      </c>
      <c r="Y9" s="75">
        <f t="shared" si="14"/>
        <v>-10</v>
      </c>
      <c r="Z9" s="75">
        <f t="shared" si="14"/>
        <v>0</v>
      </c>
      <c r="AA9" s="75">
        <f t="shared" ref="AA9:AC9" si="15">-AD8</f>
        <v>-9</v>
      </c>
      <c r="AB9" s="75">
        <f t="shared" si="15"/>
        <v>-6</v>
      </c>
      <c r="AC9" s="75">
        <f t="shared" si="15"/>
        <v>0</v>
      </c>
      <c r="AD9" s="76"/>
      <c r="AE9" s="76"/>
      <c r="AF9" s="76"/>
      <c r="AG9" s="77" t="s">
        <v>168</v>
      </c>
      <c r="AH9" s="77" t="s">
        <v>168</v>
      </c>
      <c r="AI9" s="60">
        <f t="shared" si="1"/>
        <v>5</v>
      </c>
      <c r="AJ9" s="78">
        <f t="shared" si="2"/>
        <v>-77</v>
      </c>
      <c r="AK9" s="72">
        <f>1+SUM(IF(AJ9&lt;AJ6,1,0),IF(AJ9&lt;AJ7,1,0),IF(AJ9&lt;AJ8,1,0),IF(AJ9&lt;AJ5,1,0))</f>
        <v>5</v>
      </c>
      <c r="AL9" s="79">
        <f t="shared" si="3"/>
        <v>0</v>
      </c>
      <c r="AM9" s="72">
        <f>1+SUM(IF(AL9&lt;AL6,1,0),IF(AL9&lt;AL7,1,0),IF(AL9&lt;AL8,1,0),IF(AL9&lt;AL5,1,0))</f>
        <v>5</v>
      </c>
      <c r="AN9" s="64">
        <f t="shared" si="4"/>
        <v>0</v>
      </c>
      <c r="AO9" s="65">
        <f>1+SUM(IF(AN9&lt;AN6,1,0),IF(AN9&lt;AN7,1,0),IF(AN9&lt;AN8,1,0),IF(AN9&lt;AN5,1,0))</f>
        <v>5</v>
      </c>
      <c r="AP9" s="66">
        <f t="shared" si="5"/>
        <v>-9.625</v>
      </c>
      <c r="AQ9" s="73">
        <f>1+SUM(IF(AP9&lt;AP6,1,0),IF(AP9&lt;AP7,1,0),IF(AP9&lt;AP8,1,0),IF(AP9&lt;AP5,1,0))</f>
        <v>5</v>
      </c>
      <c r="AR9" s="68">
        <f>1+SUM(IF(Q9&gt;Q5,1,IF(AND(Q9=Q5,AK9&gt;AK5),1,IF(AND(Q9=Q5,AK9=AK5),1,0))),IF(Q9&gt;Q6,1,IF(AND(Q9=Q6,AK9&gt;AK6),1,IF(AND(Q9=Q6,AK9=AK6),1,0))),IF(Q9&gt;Q7,1,IF(AND(Q9=Q7,AK9&gt;AK7),1,IF(AND(Q9=Q7,AK9=AK7),1,0))),IF(Q9&gt;Q8,1,IF(AND(Q9=Q8,AK9&gt;AK8),1,IF(AND(Q9=Q8,AK9=AK8),1,0))))</f>
        <v>5</v>
      </c>
    </row>
    <row r="10" spans="1:44" ht="12.75" customHeight="1" x14ac:dyDescent="0.2">
      <c r="A10" s="174"/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80"/>
      <c r="AI10" s="41"/>
      <c r="AJ10" s="41"/>
      <c r="AK10" s="41"/>
      <c r="AL10" s="41"/>
      <c r="AM10" s="41"/>
      <c r="AN10" s="41"/>
      <c r="AO10" s="5"/>
      <c r="AP10" s="5"/>
      <c r="AQ10" s="5"/>
      <c r="AR10" s="5"/>
    </row>
    <row r="11" spans="1:44" ht="12.75" customHeight="1" x14ac:dyDescent="0.2">
      <c r="A11" s="136"/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80"/>
      <c r="AI11" s="41"/>
      <c r="AJ11" s="41"/>
      <c r="AK11" s="41"/>
      <c r="AL11" s="41"/>
      <c r="AM11" s="41"/>
      <c r="AN11" s="41"/>
      <c r="AO11" s="5"/>
      <c r="AP11" s="5"/>
      <c r="AQ11" s="5"/>
      <c r="AR11" s="5"/>
    </row>
    <row r="12" spans="1:44" ht="13.5" customHeight="1" x14ac:dyDescent="0.2">
      <c r="A12" s="136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80"/>
      <c r="AI12" s="41"/>
      <c r="AJ12" s="41"/>
      <c r="AK12" s="41"/>
      <c r="AL12" s="41"/>
      <c r="AM12" s="41"/>
      <c r="AN12" s="41"/>
      <c r="AO12" s="5"/>
      <c r="AP12" s="5"/>
      <c r="AQ12" s="5"/>
      <c r="AR12" s="5"/>
    </row>
    <row r="13" spans="1:44" ht="13.5" customHeight="1" x14ac:dyDescent="0.2">
      <c r="A13" s="167"/>
      <c r="B13" s="136"/>
      <c r="C13" s="81" t="s">
        <v>169</v>
      </c>
      <c r="D13" s="82" t="s">
        <v>170</v>
      </c>
      <c r="E13" s="165" t="s">
        <v>169</v>
      </c>
      <c r="F13" s="156"/>
      <c r="G13" s="156"/>
      <c r="H13" s="156"/>
      <c r="I13" s="156"/>
      <c r="J13" s="156"/>
      <c r="K13" s="156"/>
      <c r="L13" s="156"/>
      <c r="M13" s="166"/>
      <c r="N13" s="176" t="s">
        <v>171</v>
      </c>
      <c r="O13" s="177"/>
      <c r="P13" s="178"/>
      <c r="Q13" s="155" t="s">
        <v>172</v>
      </c>
      <c r="R13" s="156"/>
      <c r="S13" s="156"/>
      <c r="T13" s="156"/>
      <c r="U13" s="166"/>
      <c r="V13" s="175" t="s">
        <v>173</v>
      </c>
      <c r="W13" s="156"/>
      <c r="X13" s="156"/>
      <c r="Y13" s="156"/>
      <c r="Z13" s="166"/>
      <c r="AA13" s="155" t="s">
        <v>174</v>
      </c>
      <c r="AB13" s="156"/>
      <c r="AC13" s="156"/>
      <c r="AD13" s="156"/>
      <c r="AE13" s="157"/>
      <c r="AF13" s="83"/>
      <c r="AG13" s="84" t="s">
        <v>175</v>
      </c>
      <c r="AH13" s="49" t="s">
        <v>176</v>
      </c>
      <c r="AI13" s="158" t="s">
        <v>177</v>
      </c>
      <c r="AJ13" s="159"/>
      <c r="AK13" s="41"/>
      <c r="AL13" s="5"/>
      <c r="AM13" s="5"/>
      <c r="AN13" s="5"/>
      <c r="AO13" s="5"/>
      <c r="AP13" s="5"/>
      <c r="AQ13" s="5"/>
      <c r="AR13" s="5"/>
    </row>
    <row r="14" spans="1:44" ht="15.75" customHeight="1" x14ac:dyDescent="0.2">
      <c r="A14" s="85">
        <v>1</v>
      </c>
      <c r="B14" s="86">
        <v>1</v>
      </c>
      <c r="C14" s="117" t="str">
        <f>+B5</f>
        <v>Toronto Ngun Lam White</v>
      </c>
      <c r="D14" s="88">
        <v>2</v>
      </c>
      <c r="E14" s="161" t="str">
        <f>+B6</f>
        <v>Boston Knights B</v>
      </c>
      <c r="F14" s="162"/>
      <c r="G14" s="162"/>
      <c r="H14" s="162"/>
      <c r="I14" s="162"/>
      <c r="J14" s="162"/>
      <c r="K14" s="162"/>
      <c r="L14" s="162"/>
      <c r="M14" s="153"/>
      <c r="N14" s="89">
        <v>3</v>
      </c>
      <c r="O14" s="160" t="str">
        <f>+B7</f>
        <v>Toronto Connex B</v>
      </c>
      <c r="P14" s="153"/>
      <c r="Q14" s="151">
        <v>21</v>
      </c>
      <c r="R14" s="143"/>
      <c r="S14" s="91">
        <v>0</v>
      </c>
      <c r="T14" s="151">
        <v>8</v>
      </c>
      <c r="U14" s="143"/>
      <c r="V14" s="154">
        <v>21</v>
      </c>
      <c r="W14" s="143"/>
      <c r="X14" s="92">
        <v>0</v>
      </c>
      <c r="Y14" s="154">
        <v>9</v>
      </c>
      <c r="Z14" s="143"/>
      <c r="AA14" s="152"/>
      <c r="AB14" s="153"/>
      <c r="AC14" s="93" t="s">
        <v>178</v>
      </c>
      <c r="AD14" s="152"/>
      <c r="AE14" s="153"/>
      <c r="AF14" s="94"/>
      <c r="AG14" s="104" t="str">
        <f t="shared" ref="AG14:AG23" si="16">IF(AND(Q14&gt;T14,V14&gt;Y14),C14, IF(AND(T14&gt;Q14,Y14&gt;V14),E14, IF((Q14)+(V14)+(AA14)-(T14)-(Y14)-(AD14)&gt;0,C14,E14)))</f>
        <v>Toronto Ngun Lam White</v>
      </c>
      <c r="AH14" s="96">
        <f t="shared" ref="AH14:AH23" si="17">(Q14)+(V14)+(AA14)-(T14)-(Y14)-(AD14)</f>
        <v>25</v>
      </c>
      <c r="AI14" s="147">
        <v>0.375</v>
      </c>
      <c r="AJ14" s="148"/>
      <c r="AK14" s="5"/>
      <c r="AL14" s="5"/>
      <c r="AM14" s="5"/>
      <c r="AN14" s="5"/>
      <c r="AO14" s="5"/>
      <c r="AP14" s="5"/>
      <c r="AQ14" s="5"/>
      <c r="AR14" s="5"/>
    </row>
    <row r="15" spans="1:44" ht="15.75" customHeight="1" x14ac:dyDescent="0.2">
      <c r="A15" s="97">
        <v>2</v>
      </c>
      <c r="B15" s="98">
        <v>3</v>
      </c>
      <c r="C15" s="99" t="str">
        <f>+B7</f>
        <v>Toronto Connex B</v>
      </c>
      <c r="D15" s="61">
        <v>4</v>
      </c>
      <c r="E15" s="163" t="str">
        <f t="shared" ref="E15:E16" si="18">+B8</f>
        <v>NY Vikings</v>
      </c>
      <c r="F15" s="164"/>
      <c r="G15" s="164"/>
      <c r="H15" s="164"/>
      <c r="I15" s="164"/>
      <c r="J15" s="164"/>
      <c r="K15" s="164"/>
      <c r="L15" s="164"/>
      <c r="M15" s="143"/>
      <c r="N15" s="100">
        <v>2</v>
      </c>
      <c r="O15" s="168" t="str">
        <f>+B6</f>
        <v>Boston Knights B</v>
      </c>
      <c r="P15" s="143"/>
      <c r="Q15" s="144">
        <v>21</v>
      </c>
      <c r="R15" s="141"/>
      <c r="S15" s="101">
        <v>0</v>
      </c>
      <c r="T15" s="144">
        <v>17</v>
      </c>
      <c r="U15" s="141"/>
      <c r="V15" s="140">
        <v>23</v>
      </c>
      <c r="W15" s="141"/>
      <c r="X15" s="102">
        <v>0</v>
      </c>
      <c r="Y15" s="140">
        <v>21</v>
      </c>
      <c r="Z15" s="141"/>
      <c r="AA15" s="142"/>
      <c r="AB15" s="143"/>
      <c r="AC15" s="103" t="s">
        <v>178</v>
      </c>
      <c r="AD15" s="142"/>
      <c r="AE15" s="143"/>
      <c r="AF15" s="94"/>
      <c r="AG15" s="104" t="str">
        <f t="shared" si="16"/>
        <v>Toronto Connex B</v>
      </c>
      <c r="AH15" s="96">
        <f t="shared" si="17"/>
        <v>6</v>
      </c>
      <c r="AI15" s="149">
        <v>0.40972222222222227</v>
      </c>
      <c r="AJ15" s="150"/>
      <c r="AK15" s="5"/>
      <c r="AL15" s="5"/>
      <c r="AM15" s="5"/>
      <c r="AN15" s="5"/>
      <c r="AO15" s="5"/>
      <c r="AP15" s="5"/>
      <c r="AQ15" s="5"/>
      <c r="AR15" s="5"/>
    </row>
    <row r="16" spans="1:44" ht="15.75" customHeight="1" x14ac:dyDescent="0.2">
      <c r="A16" s="97">
        <v>3</v>
      </c>
      <c r="B16" s="98">
        <v>1</v>
      </c>
      <c r="C16" s="99" t="str">
        <f t="shared" ref="C16:C17" si="19">+B5</f>
        <v>Toronto Ngun Lam White</v>
      </c>
      <c r="D16" s="61">
        <v>5</v>
      </c>
      <c r="E16" s="163" t="str">
        <f t="shared" si="18"/>
        <v>Philly Rising Suns</v>
      </c>
      <c r="F16" s="164"/>
      <c r="G16" s="164"/>
      <c r="H16" s="164"/>
      <c r="I16" s="164"/>
      <c r="J16" s="164"/>
      <c r="K16" s="164"/>
      <c r="L16" s="164"/>
      <c r="M16" s="143"/>
      <c r="N16" s="100">
        <v>4</v>
      </c>
      <c r="O16" s="168" t="str">
        <f>+B8</f>
        <v>NY Vikings</v>
      </c>
      <c r="P16" s="143"/>
      <c r="Q16" s="144">
        <v>21</v>
      </c>
      <c r="R16" s="141"/>
      <c r="S16" s="101">
        <v>0</v>
      </c>
      <c r="T16" s="144">
        <v>3</v>
      </c>
      <c r="U16" s="141"/>
      <c r="V16" s="140">
        <v>21</v>
      </c>
      <c r="W16" s="141"/>
      <c r="X16" s="102">
        <v>0</v>
      </c>
      <c r="Y16" s="140">
        <v>8</v>
      </c>
      <c r="Z16" s="141"/>
      <c r="AA16" s="142"/>
      <c r="AB16" s="143"/>
      <c r="AC16" s="103" t="s">
        <v>178</v>
      </c>
      <c r="AD16" s="142"/>
      <c r="AE16" s="143"/>
      <c r="AF16" s="94"/>
      <c r="AG16" s="104" t="str">
        <f t="shared" si="16"/>
        <v>Toronto Ngun Lam White</v>
      </c>
      <c r="AH16" s="96">
        <f t="shared" si="17"/>
        <v>31</v>
      </c>
      <c r="AI16" s="149">
        <v>0.44444444444444442</v>
      </c>
      <c r="AJ16" s="150"/>
      <c r="AK16" s="5"/>
      <c r="AL16" s="5"/>
      <c r="AM16" s="5"/>
      <c r="AN16" s="5"/>
      <c r="AO16" s="5"/>
      <c r="AP16" s="5"/>
      <c r="AQ16" s="5"/>
      <c r="AR16" s="5"/>
    </row>
    <row r="17" spans="1:44" ht="15.75" customHeight="1" x14ac:dyDescent="0.2">
      <c r="A17" s="97">
        <v>4</v>
      </c>
      <c r="B17" s="98">
        <v>2</v>
      </c>
      <c r="C17" s="99" t="str">
        <f t="shared" si="19"/>
        <v>Boston Knights B</v>
      </c>
      <c r="D17" s="61">
        <v>3</v>
      </c>
      <c r="E17" s="163" t="str">
        <f>+B7</f>
        <v>Toronto Connex B</v>
      </c>
      <c r="F17" s="164"/>
      <c r="G17" s="164"/>
      <c r="H17" s="164"/>
      <c r="I17" s="164"/>
      <c r="J17" s="164"/>
      <c r="K17" s="164"/>
      <c r="L17" s="164"/>
      <c r="M17" s="143"/>
      <c r="N17" s="100">
        <v>1</v>
      </c>
      <c r="O17" s="168" t="str">
        <f>+B5</f>
        <v>Toronto Ngun Lam White</v>
      </c>
      <c r="P17" s="143"/>
      <c r="Q17" s="144">
        <v>16</v>
      </c>
      <c r="R17" s="141"/>
      <c r="S17" s="101">
        <v>0</v>
      </c>
      <c r="T17" s="144">
        <v>21</v>
      </c>
      <c r="U17" s="141"/>
      <c r="V17" s="140">
        <v>13</v>
      </c>
      <c r="W17" s="141"/>
      <c r="X17" s="102">
        <v>0</v>
      </c>
      <c r="Y17" s="140">
        <v>21</v>
      </c>
      <c r="Z17" s="141"/>
      <c r="AA17" s="142"/>
      <c r="AB17" s="143"/>
      <c r="AC17" s="103" t="s">
        <v>178</v>
      </c>
      <c r="AD17" s="142"/>
      <c r="AE17" s="143"/>
      <c r="AF17" s="94"/>
      <c r="AG17" s="104" t="str">
        <f t="shared" si="16"/>
        <v>Toronto Connex B</v>
      </c>
      <c r="AH17" s="96">
        <f t="shared" si="17"/>
        <v>-13</v>
      </c>
      <c r="AI17" s="149">
        <v>0.47916666666666669</v>
      </c>
      <c r="AJ17" s="150"/>
      <c r="AK17" s="5"/>
      <c r="AL17" s="5"/>
      <c r="AM17" s="5"/>
      <c r="AN17" s="5"/>
      <c r="AO17" s="5"/>
      <c r="AP17" s="5"/>
      <c r="AQ17" s="5"/>
      <c r="AR17" s="5"/>
    </row>
    <row r="18" spans="1:44" ht="15.75" customHeight="1" x14ac:dyDescent="0.2">
      <c r="A18" s="97">
        <v>5</v>
      </c>
      <c r="B18" s="98">
        <v>4</v>
      </c>
      <c r="C18" s="99" t="str">
        <f>+B8</f>
        <v>NY Vikings</v>
      </c>
      <c r="D18" s="61">
        <v>5</v>
      </c>
      <c r="E18" s="163" t="str">
        <f>+B9</f>
        <v>Philly Rising Suns</v>
      </c>
      <c r="F18" s="164"/>
      <c r="G18" s="164"/>
      <c r="H18" s="164"/>
      <c r="I18" s="164"/>
      <c r="J18" s="164"/>
      <c r="K18" s="164"/>
      <c r="L18" s="164"/>
      <c r="M18" s="143"/>
      <c r="N18" s="100">
        <v>3</v>
      </c>
      <c r="O18" s="168" t="str">
        <f>+B7</f>
        <v>Toronto Connex B</v>
      </c>
      <c r="P18" s="143"/>
      <c r="Q18" s="144">
        <v>21</v>
      </c>
      <c r="R18" s="141"/>
      <c r="S18" s="101">
        <v>0</v>
      </c>
      <c r="T18" s="144">
        <v>12</v>
      </c>
      <c r="U18" s="141"/>
      <c r="V18" s="140">
        <v>21</v>
      </c>
      <c r="W18" s="141"/>
      <c r="X18" s="102">
        <v>0</v>
      </c>
      <c r="Y18" s="140">
        <v>15</v>
      </c>
      <c r="Z18" s="141"/>
      <c r="AA18" s="142"/>
      <c r="AB18" s="143"/>
      <c r="AC18" s="103" t="s">
        <v>178</v>
      </c>
      <c r="AD18" s="142"/>
      <c r="AE18" s="143"/>
      <c r="AF18" s="94"/>
      <c r="AG18" s="104" t="str">
        <f t="shared" si="16"/>
        <v>NY Vikings</v>
      </c>
      <c r="AH18" s="96">
        <f t="shared" si="17"/>
        <v>15</v>
      </c>
      <c r="AI18" s="149">
        <v>0.53472222222222221</v>
      </c>
      <c r="AJ18" s="150"/>
      <c r="AK18" s="5"/>
      <c r="AL18" s="5"/>
      <c r="AM18" s="5"/>
      <c r="AN18" s="5"/>
      <c r="AO18" s="5"/>
      <c r="AP18" s="5"/>
      <c r="AQ18" s="5"/>
      <c r="AR18" s="5"/>
    </row>
    <row r="19" spans="1:44" ht="15.75" customHeight="1" x14ac:dyDescent="0.2">
      <c r="A19" s="97">
        <v>6</v>
      </c>
      <c r="B19" s="98">
        <v>1</v>
      </c>
      <c r="C19" s="99" t="str">
        <f t="shared" ref="C19:C21" si="20">+B5</f>
        <v>Toronto Ngun Lam White</v>
      </c>
      <c r="D19" s="61">
        <v>3</v>
      </c>
      <c r="E19" s="163" t="str">
        <f t="shared" ref="E19:E21" si="21">+B7</f>
        <v>Toronto Connex B</v>
      </c>
      <c r="F19" s="164"/>
      <c r="G19" s="164"/>
      <c r="H19" s="164"/>
      <c r="I19" s="164"/>
      <c r="J19" s="164"/>
      <c r="K19" s="164"/>
      <c r="L19" s="164"/>
      <c r="M19" s="143"/>
      <c r="N19" s="100">
        <v>5</v>
      </c>
      <c r="O19" s="168" t="str">
        <f>+B9</f>
        <v>Philly Rising Suns</v>
      </c>
      <c r="P19" s="143"/>
      <c r="Q19" s="144">
        <v>21</v>
      </c>
      <c r="R19" s="141"/>
      <c r="S19" s="101">
        <v>0</v>
      </c>
      <c r="T19" s="144">
        <v>18</v>
      </c>
      <c r="U19" s="141"/>
      <c r="V19" s="140">
        <v>21</v>
      </c>
      <c r="W19" s="141"/>
      <c r="X19" s="102">
        <v>0</v>
      </c>
      <c r="Y19" s="140">
        <v>17</v>
      </c>
      <c r="Z19" s="141"/>
      <c r="AA19" s="142"/>
      <c r="AB19" s="143"/>
      <c r="AC19" s="103" t="s">
        <v>178</v>
      </c>
      <c r="AD19" s="142"/>
      <c r="AE19" s="143"/>
      <c r="AF19" s="94"/>
      <c r="AG19" s="104" t="str">
        <f t="shared" si="16"/>
        <v>Toronto Ngun Lam White</v>
      </c>
      <c r="AH19" s="96">
        <f t="shared" si="17"/>
        <v>7</v>
      </c>
      <c r="AI19" s="149">
        <v>6.9444444444444434E-2</v>
      </c>
      <c r="AJ19" s="150"/>
      <c r="AK19" s="5"/>
      <c r="AL19" s="5"/>
      <c r="AM19" s="5"/>
      <c r="AN19" s="5"/>
      <c r="AO19" s="5"/>
      <c r="AP19" s="5"/>
      <c r="AQ19" s="5"/>
      <c r="AR19" s="5"/>
    </row>
    <row r="20" spans="1:44" ht="15.75" customHeight="1" x14ac:dyDescent="0.2">
      <c r="A20" s="97">
        <v>7</v>
      </c>
      <c r="B20" s="98">
        <v>2</v>
      </c>
      <c r="C20" s="99" t="str">
        <f t="shared" si="20"/>
        <v>Boston Knights B</v>
      </c>
      <c r="D20" s="61">
        <v>4</v>
      </c>
      <c r="E20" s="163" t="str">
        <f t="shared" si="21"/>
        <v>NY Vikings</v>
      </c>
      <c r="F20" s="164"/>
      <c r="G20" s="164"/>
      <c r="H20" s="164"/>
      <c r="I20" s="164"/>
      <c r="J20" s="164"/>
      <c r="K20" s="164"/>
      <c r="L20" s="164"/>
      <c r="M20" s="143"/>
      <c r="N20" s="100">
        <v>1</v>
      </c>
      <c r="O20" s="168" t="str">
        <f t="shared" ref="O20:O21" si="22">+B5</f>
        <v>Toronto Ngun Lam White</v>
      </c>
      <c r="P20" s="143"/>
      <c r="Q20" s="144">
        <v>21</v>
      </c>
      <c r="R20" s="141"/>
      <c r="S20" s="101">
        <v>0</v>
      </c>
      <c r="T20" s="144">
        <v>16</v>
      </c>
      <c r="U20" s="141"/>
      <c r="V20" s="140">
        <v>21</v>
      </c>
      <c r="W20" s="141"/>
      <c r="X20" s="102">
        <v>0</v>
      </c>
      <c r="Y20" s="140">
        <v>11</v>
      </c>
      <c r="Z20" s="141"/>
      <c r="AA20" s="142"/>
      <c r="AB20" s="143"/>
      <c r="AC20" s="103" t="s">
        <v>178</v>
      </c>
      <c r="AD20" s="142"/>
      <c r="AE20" s="143"/>
      <c r="AF20" s="94"/>
      <c r="AG20" s="104" t="str">
        <f t="shared" si="16"/>
        <v>Boston Knights B</v>
      </c>
      <c r="AH20" s="96">
        <f t="shared" si="17"/>
        <v>15</v>
      </c>
      <c r="AI20" s="149">
        <v>0.10416666666666667</v>
      </c>
      <c r="AJ20" s="150"/>
      <c r="AK20" s="5"/>
      <c r="AL20" s="5"/>
      <c r="AM20" s="5"/>
      <c r="AN20" s="5"/>
      <c r="AO20" s="5"/>
      <c r="AP20" s="5"/>
      <c r="AQ20" s="5"/>
      <c r="AR20" s="5"/>
    </row>
    <row r="21" spans="1:44" ht="15.75" customHeight="1" x14ac:dyDescent="0.2">
      <c r="A21" s="97">
        <v>8</v>
      </c>
      <c r="B21" s="98">
        <v>3</v>
      </c>
      <c r="C21" s="99" t="str">
        <f t="shared" si="20"/>
        <v>Toronto Connex B</v>
      </c>
      <c r="D21" s="61">
        <v>5</v>
      </c>
      <c r="E21" s="163" t="str">
        <f t="shared" si="21"/>
        <v>Philly Rising Suns</v>
      </c>
      <c r="F21" s="164"/>
      <c r="G21" s="164"/>
      <c r="H21" s="164"/>
      <c r="I21" s="164"/>
      <c r="J21" s="164"/>
      <c r="K21" s="164"/>
      <c r="L21" s="164"/>
      <c r="M21" s="143"/>
      <c r="N21" s="100">
        <v>2</v>
      </c>
      <c r="O21" s="168" t="str">
        <f t="shared" si="22"/>
        <v>Boston Knights B</v>
      </c>
      <c r="P21" s="143"/>
      <c r="Q21" s="144">
        <v>21</v>
      </c>
      <c r="R21" s="141"/>
      <c r="S21" s="101">
        <v>0</v>
      </c>
      <c r="T21" s="144">
        <v>15</v>
      </c>
      <c r="U21" s="141"/>
      <c r="V21" s="140">
        <v>21</v>
      </c>
      <c r="W21" s="141"/>
      <c r="X21" s="102">
        <v>0</v>
      </c>
      <c r="Y21" s="140">
        <v>11</v>
      </c>
      <c r="Z21" s="141"/>
      <c r="AA21" s="142"/>
      <c r="AB21" s="143"/>
      <c r="AC21" s="103" t="s">
        <v>178</v>
      </c>
      <c r="AD21" s="142"/>
      <c r="AE21" s="143"/>
      <c r="AF21" s="94"/>
      <c r="AG21" s="104" t="str">
        <f t="shared" si="16"/>
        <v>Toronto Connex B</v>
      </c>
      <c r="AH21" s="96">
        <f t="shared" si="17"/>
        <v>16</v>
      </c>
      <c r="AI21" s="149">
        <v>0.15972222222222224</v>
      </c>
      <c r="AJ21" s="150"/>
      <c r="AK21" s="5"/>
      <c r="AL21" s="5"/>
      <c r="AM21" s="5"/>
      <c r="AN21" s="5"/>
      <c r="AO21" s="5"/>
      <c r="AP21" s="5"/>
      <c r="AQ21" s="5"/>
      <c r="AR21" s="5"/>
    </row>
    <row r="22" spans="1:44" ht="15.75" customHeight="1" x14ac:dyDescent="0.2">
      <c r="A22" s="97">
        <v>9</v>
      </c>
      <c r="B22" s="98">
        <v>1</v>
      </c>
      <c r="C22" s="99" t="str">
        <f t="shared" ref="C22:C23" si="23">+B5</f>
        <v>Toronto Ngun Lam White</v>
      </c>
      <c r="D22" s="61">
        <v>4</v>
      </c>
      <c r="E22" s="163" t="str">
        <f t="shared" ref="E22:E23" si="24">+B8</f>
        <v>NY Vikings</v>
      </c>
      <c r="F22" s="164"/>
      <c r="G22" s="164"/>
      <c r="H22" s="164"/>
      <c r="I22" s="164"/>
      <c r="J22" s="164"/>
      <c r="K22" s="164"/>
      <c r="L22" s="164"/>
      <c r="M22" s="143"/>
      <c r="N22" s="100">
        <v>5</v>
      </c>
      <c r="O22" s="168" t="str">
        <f>+B9</f>
        <v>Philly Rising Suns</v>
      </c>
      <c r="P22" s="143"/>
      <c r="Q22" s="144">
        <v>21</v>
      </c>
      <c r="R22" s="141"/>
      <c r="S22" s="101">
        <v>0</v>
      </c>
      <c r="T22" s="144">
        <v>14</v>
      </c>
      <c r="U22" s="141"/>
      <c r="V22" s="140">
        <v>21</v>
      </c>
      <c r="W22" s="141"/>
      <c r="X22" s="102">
        <v>0</v>
      </c>
      <c r="Y22" s="140">
        <v>19</v>
      </c>
      <c r="Z22" s="141"/>
      <c r="AA22" s="142"/>
      <c r="AB22" s="143"/>
      <c r="AC22" s="103" t="s">
        <v>178</v>
      </c>
      <c r="AD22" s="142"/>
      <c r="AE22" s="143"/>
      <c r="AF22" s="94"/>
      <c r="AG22" s="104" t="str">
        <f t="shared" si="16"/>
        <v>Toronto Ngun Lam White</v>
      </c>
      <c r="AH22" s="96">
        <f t="shared" si="17"/>
        <v>9</v>
      </c>
      <c r="AI22" s="149">
        <v>0.19444444444444445</v>
      </c>
      <c r="AJ22" s="150"/>
      <c r="AK22" s="5"/>
      <c r="AL22" s="5"/>
      <c r="AM22" s="5"/>
      <c r="AN22" s="5"/>
      <c r="AO22" s="5"/>
      <c r="AP22" s="5"/>
      <c r="AQ22" s="5"/>
      <c r="AR22" s="5"/>
    </row>
    <row r="23" spans="1:44" ht="15.75" customHeight="1" x14ac:dyDescent="0.2">
      <c r="A23" s="109">
        <v>10</v>
      </c>
      <c r="B23" s="110">
        <v>2</v>
      </c>
      <c r="C23" s="111" t="str">
        <f t="shared" si="23"/>
        <v>Boston Knights B</v>
      </c>
      <c r="D23" s="78">
        <v>5</v>
      </c>
      <c r="E23" s="188" t="str">
        <f t="shared" si="24"/>
        <v>Philly Rising Suns</v>
      </c>
      <c r="F23" s="189"/>
      <c r="G23" s="189"/>
      <c r="H23" s="189"/>
      <c r="I23" s="189"/>
      <c r="J23" s="189"/>
      <c r="K23" s="189"/>
      <c r="L23" s="189"/>
      <c r="M23" s="146"/>
      <c r="N23" s="112">
        <v>4</v>
      </c>
      <c r="O23" s="187" t="str">
        <f>+B8</f>
        <v>NY Vikings</v>
      </c>
      <c r="P23" s="146"/>
      <c r="Q23" s="144">
        <v>21</v>
      </c>
      <c r="R23" s="141"/>
      <c r="S23" s="101">
        <v>0</v>
      </c>
      <c r="T23" s="144">
        <v>12</v>
      </c>
      <c r="U23" s="141"/>
      <c r="V23" s="140">
        <v>21</v>
      </c>
      <c r="W23" s="141"/>
      <c r="X23" s="102">
        <v>0</v>
      </c>
      <c r="Y23" s="140">
        <v>15</v>
      </c>
      <c r="Z23" s="141"/>
      <c r="AA23" s="145"/>
      <c r="AB23" s="146"/>
      <c r="AC23" s="113" t="s">
        <v>178</v>
      </c>
      <c r="AD23" s="145"/>
      <c r="AE23" s="146"/>
      <c r="AF23" s="94"/>
      <c r="AG23" s="104" t="str">
        <f t="shared" si="16"/>
        <v>Boston Knights B</v>
      </c>
      <c r="AH23" s="96">
        <f t="shared" si="17"/>
        <v>15</v>
      </c>
      <c r="AI23" s="184">
        <v>0.22916666666666666</v>
      </c>
      <c r="AJ23" s="185"/>
      <c r="AK23" s="5"/>
      <c r="AL23" s="5"/>
      <c r="AM23" s="5"/>
      <c r="AN23" s="5"/>
      <c r="AO23" s="5"/>
      <c r="AP23" s="5"/>
      <c r="AQ23" s="5"/>
      <c r="AR23" s="5"/>
    </row>
    <row r="24" spans="1:44" ht="12.75" customHeight="1" x14ac:dyDescent="0.2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5"/>
      <c r="AM24" s="5"/>
      <c r="AN24" s="5"/>
      <c r="AO24" s="5"/>
      <c r="AP24" s="5"/>
      <c r="AQ24" s="5"/>
      <c r="AR24" s="5"/>
    </row>
    <row r="25" spans="1:44" ht="12.75" customHeight="1" x14ac:dyDescent="0.2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5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5"/>
      <c r="AM25" s="5"/>
      <c r="AN25" s="5"/>
      <c r="AO25" s="5"/>
      <c r="AP25" s="5"/>
      <c r="AQ25" s="5"/>
      <c r="AR25" s="5"/>
    </row>
    <row r="26" spans="1:44" ht="12.75" customHeight="1" x14ac:dyDescent="0.2">
      <c r="A26" s="41"/>
      <c r="B26" s="57"/>
      <c r="C26" s="57" t="s">
        <v>179</v>
      </c>
      <c r="D26" s="57" t="s">
        <v>157</v>
      </c>
      <c r="E26" s="57" t="s">
        <v>180</v>
      </c>
      <c r="F26" s="57" t="s">
        <v>165</v>
      </c>
      <c r="G26" s="57" t="s">
        <v>166</v>
      </c>
      <c r="H26" s="41"/>
      <c r="I26" s="41"/>
      <c r="J26" s="41"/>
      <c r="K26" s="41"/>
      <c r="L26" s="41"/>
      <c r="M26" s="41"/>
      <c r="N26" s="41"/>
      <c r="O26" s="41"/>
      <c r="P26" s="41"/>
      <c r="Q26" s="5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5"/>
      <c r="AM26" s="5"/>
      <c r="AN26" s="5"/>
      <c r="AO26" s="5"/>
      <c r="AP26" s="5"/>
      <c r="AQ26" s="5"/>
      <c r="AR26" s="5"/>
    </row>
    <row r="27" spans="1:44" ht="12.75" customHeight="1" x14ac:dyDescent="0.2">
      <c r="A27" s="41"/>
      <c r="B27" s="57">
        <v>1</v>
      </c>
      <c r="C27" s="57" t="str">
        <f t="shared" ref="C27:C31" si="25">VLOOKUP(B27,$A$5:$AR$9,2,FALSE)</f>
        <v>Toronto Ngun Lam White</v>
      </c>
      <c r="D27" s="57">
        <f t="shared" ref="D27:D31" si="26">VLOOKUP(B27,$A$5:$AR$9,15,FALSE)</f>
        <v>8</v>
      </c>
      <c r="E27" s="57">
        <f t="shared" ref="E27:E31" si="27">VLOOKUP(B27,$A$5:$AR$9,36,FALSE)</f>
        <v>72</v>
      </c>
      <c r="F27" s="114">
        <f t="shared" ref="F27:F31" si="28">VLOOKUP(B27,$A$5:$AR$9,40,FALSE)</f>
        <v>1</v>
      </c>
      <c r="G27" s="114">
        <f t="shared" ref="G27:G31" si="29">VLOOKUP(B27,$A$5:$AR$9,42,FALSE)</f>
        <v>9</v>
      </c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5"/>
      <c r="AM27" s="5"/>
      <c r="AN27" s="5"/>
      <c r="AO27" s="5"/>
      <c r="AP27" s="5"/>
      <c r="AQ27" s="5"/>
      <c r="AR27" s="5"/>
    </row>
    <row r="28" spans="1:44" ht="12.75" customHeight="1" x14ac:dyDescent="0.2">
      <c r="A28" s="41"/>
      <c r="B28" s="57">
        <v>2</v>
      </c>
      <c r="C28" s="57" t="str">
        <f t="shared" si="25"/>
        <v>Toronto Connex B</v>
      </c>
      <c r="D28" s="57">
        <f t="shared" si="26"/>
        <v>6</v>
      </c>
      <c r="E28" s="57">
        <f t="shared" si="27"/>
        <v>28</v>
      </c>
      <c r="F28" s="114">
        <f t="shared" si="28"/>
        <v>0.75</v>
      </c>
      <c r="G28" s="114">
        <f t="shared" si="29"/>
        <v>3.5</v>
      </c>
      <c r="H28" s="41"/>
      <c r="I28" s="41"/>
      <c r="J28" s="41"/>
      <c r="K28" s="41"/>
      <c r="L28" s="41"/>
      <c r="M28" s="41"/>
      <c r="N28" s="41"/>
      <c r="O28" s="41"/>
      <c r="P28" s="5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183"/>
      <c r="AK28" s="136"/>
      <c r="AL28" s="5"/>
      <c r="AM28" s="5"/>
      <c r="AN28" s="5"/>
      <c r="AO28" s="5"/>
      <c r="AP28" s="5"/>
      <c r="AQ28" s="5"/>
      <c r="AR28" s="5"/>
    </row>
    <row r="29" spans="1:44" ht="12.75" customHeight="1" x14ac:dyDescent="0.2">
      <c r="A29" s="5"/>
      <c r="B29" s="14">
        <v>3</v>
      </c>
      <c r="C29" s="57" t="str">
        <f t="shared" si="25"/>
        <v>Boston Knights B</v>
      </c>
      <c r="D29" s="57">
        <f t="shared" si="26"/>
        <v>4</v>
      </c>
      <c r="E29" s="57">
        <f t="shared" si="27"/>
        <v>-8</v>
      </c>
      <c r="F29" s="114">
        <f t="shared" si="28"/>
        <v>0.5</v>
      </c>
      <c r="G29" s="114">
        <f t="shared" si="29"/>
        <v>-1</v>
      </c>
      <c r="H29" s="41"/>
      <c r="I29" s="41"/>
      <c r="J29" s="41"/>
      <c r="K29" s="41"/>
      <c r="L29" s="41"/>
      <c r="M29" s="41"/>
      <c r="N29" s="41"/>
      <c r="O29" s="41"/>
      <c r="P29" s="5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115"/>
      <c r="AK29" s="41"/>
      <c r="AL29" s="5"/>
      <c r="AM29" s="5"/>
      <c r="AN29" s="5"/>
      <c r="AO29" s="5"/>
      <c r="AP29" s="5"/>
      <c r="AQ29" s="5"/>
      <c r="AR29" s="5"/>
    </row>
    <row r="30" spans="1:44" ht="12.75" customHeight="1" x14ac:dyDescent="0.2">
      <c r="A30" s="5"/>
      <c r="B30" s="14">
        <v>4</v>
      </c>
      <c r="C30" s="57" t="str">
        <f t="shared" si="25"/>
        <v>NY Vikings</v>
      </c>
      <c r="D30" s="57">
        <f t="shared" si="26"/>
        <v>2</v>
      </c>
      <c r="E30" s="57">
        <f t="shared" si="27"/>
        <v>-15</v>
      </c>
      <c r="F30" s="114">
        <f t="shared" si="28"/>
        <v>0.25</v>
      </c>
      <c r="G30" s="114">
        <f t="shared" si="29"/>
        <v>-1.875</v>
      </c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115"/>
      <c r="AK30" s="41"/>
      <c r="AL30" s="5"/>
      <c r="AM30" s="5"/>
      <c r="AN30" s="5"/>
      <c r="AO30" s="5"/>
      <c r="AP30" s="5"/>
      <c r="AQ30" s="5"/>
      <c r="AR30" s="5"/>
    </row>
    <row r="31" spans="1:44" ht="12.75" customHeight="1" x14ac:dyDescent="0.2">
      <c r="A31" s="5"/>
      <c r="B31" s="14">
        <v>5</v>
      </c>
      <c r="C31" s="57" t="str">
        <f t="shared" si="25"/>
        <v>Philly Rising Suns</v>
      </c>
      <c r="D31" s="57">
        <f t="shared" si="26"/>
        <v>0</v>
      </c>
      <c r="E31" s="57">
        <f t="shared" si="27"/>
        <v>-77</v>
      </c>
      <c r="F31" s="114">
        <f t="shared" si="28"/>
        <v>0</v>
      </c>
      <c r="G31" s="114">
        <f t="shared" si="29"/>
        <v>-9.625</v>
      </c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115"/>
      <c r="AK31" s="41"/>
      <c r="AL31" s="5"/>
      <c r="AM31" s="5"/>
      <c r="AN31" s="5"/>
      <c r="AO31" s="5"/>
      <c r="AP31" s="5"/>
      <c r="AQ31" s="5"/>
      <c r="AR31" s="5"/>
    </row>
  </sheetData>
  <mergeCells count="124">
    <mergeCell ref="A2:AG2"/>
    <mergeCell ref="A3:AG3"/>
    <mergeCell ref="A1:AG1"/>
    <mergeCell ref="Q20:R20"/>
    <mergeCell ref="Q19:R19"/>
    <mergeCell ref="AI18:AJ18"/>
    <mergeCell ref="AI17:AJ17"/>
    <mergeCell ref="AI16:AJ16"/>
    <mergeCell ref="AD21:AE21"/>
    <mergeCell ref="AA21:AB21"/>
    <mergeCell ref="AI19:AJ19"/>
    <mergeCell ref="AD18:AE18"/>
    <mergeCell ref="AI20:AJ20"/>
    <mergeCell ref="AI21:AJ21"/>
    <mergeCell ref="AI22:AJ22"/>
    <mergeCell ref="AJ28:AK28"/>
    <mergeCell ref="AI23:AJ23"/>
    <mergeCell ref="Q16:R16"/>
    <mergeCell ref="Q13:U13"/>
    <mergeCell ref="Q14:R14"/>
    <mergeCell ref="Q15:R15"/>
    <mergeCell ref="T15:U15"/>
    <mergeCell ref="T14:U14"/>
    <mergeCell ref="T16:U16"/>
    <mergeCell ref="AD22:AE22"/>
    <mergeCell ref="AA22:AB22"/>
    <mergeCell ref="V23:W23"/>
    <mergeCell ref="V22:W22"/>
    <mergeCell ref="T22:U22"/>
    <mergeCell ref="T23:U23"/>
    <mergeCell ref="AD23:AE23"/>
    <mergeCell ref="Y23:Z23"/>
    <mergeCell ref="Y22:Z22"/>
    <mergeCell ref="Q21:R21"/>
    <mergeCell ref="O21:P21"/>
    <mergeCell ref="Q22:R22"/>
    <mergeCell ref="Q23:R23"/>
    <mergeCell ref="AA23:AB23"/>
    <mergeCell ref="AD17:AE17"/>
    <mergeCell ref="T17:U17"/>
    <mergeCell ref="V17:W17"/>
    <mergeCell ref="Q18:R18"/>
    <mergeCell ref="V18:W18"/>
    <mergeCell ref="AD19:AE19"/>
    <mergeCell ref="AD20:AE20"/>
    <mergeCell ref="Y20:Z20"/>
    <mergeCell ref="O19:P19"/>
    <mergeCell ref="O18:P18"/>
    <mergeCell ref="Q17:R17"/>
    <mergeCell ref="T19:U19"/>
    <mergeCell ref="AA19:AB19"/>
    <mergeCell ref="Y19:Z19"/>
    <mergeCell ref="T20:U20"/>
    <mergeCell ref="V20:W20"/>
    <mergeCell ref="T18:U18"/>
    <mergeCell ref="V19:W19"/>
    <mergeCell ref="T21:U21"/>
    <mergeCell ref="V21:W21"/>
    <mergeCell ref="AA17:AB17"/>
    <mergeCell ref="Y17:Z17"/>
    <mergeCell ref="AA20:AB20"/>
    <mergeCell ref="AA18:AB18"/>
    <mergeCell ref="Y18:Z18"/>
    <mergeCell ref="Y21:Z21"/>
    <mergeCell ref="AI13:AJ13"/>
    <mergeCell ref="AA13:AE13"/>
    <mergeCell ref="V16:W16"/>
    <mergeCell ref="V15:W15"/>
    <mergeCell ref="AD16:AE16"/>
    <mergeCell ref="AJ4:AK4"/>
    <mergeCell ref="R4:AF4"/>
    <mergeCell ref="AN4:AO4"/>
    <mergeCell ref="AP4:AQ4"/>
    <mergeCell ref="AD14:AE14"/>
    <mergeCell ref="V13:Z13"/>
    <mergeCell ref="AA15:AB15"/>
    <mergeCell ref="AA16:AB16"/>
    <mergeCell ref="Y16:Z16"/>
    <mergeCell ref="Y15:Z15"/>
    <mergeCell ref="AD15:AE15"/>
    <mergeCell ref="AA14:AB14"/>
    <mergeCell ref="V14:W14"/>
    <mergeCell ref="Y14:Z14"/>
    <mergeCell ref="AI15:AJ15"/>
    <mergeCell ref="AI14:AJ14"/>
    <mergeCell ref="A10:AG12"/>
    <mergeCell ref="O23:P23"/>
    <mergeCell ref="E23:M23"/>
    <mergeCell ref="E22:M22"/>
    <mergeCell ref="O17:P17"/>
    <mergeCell ref="O15:P15"/>
    <mergeCell ref="O16:P16"/>
    <mergeCell ref="E16:M16"/>
    <mergeCell ref="E17:M17"/>
    <mergeCell ref="O14:P14"/>
    <mergeCell ref="E20:M20"/>
    <mergeCell ref="E21:M21"/>
    <mergeCell ref="E19:M19"/>
    <mergeCell ref="E18:M18"/>
    <mergeCell ref="E14:M14"/>
    <mergeCell ref="E15:M15"/>
    <mergeCell ref="J4:N4"/>
    <mergeCell ref="J6:N6"/>
    <mergeCell ref="J7:N7"/>
    <mergeCell ref="J5:N5"/>
    <mergeCell ref="J8:N8"/>
    <mergeCell ref="E4:I4"/>
    <mergeCell ref="B4:D4"/>
    <mergeCell ref="O22:P22"/>
    <mergeCell ref="O20:P20"/>
    <mergeCell ref="E6:I6"/>
    <mergeCell ref="E7:I7"/>
    <mergeCell ref="E5:I5"/>
    <mergeCell ref="B7:D7"/>
    <mergeCell ref="B5:D5"/>
    <mergeCell ref="B6:D6"/>
    <mergeCell ref="B8:D8"/>
    <mergeCell ref="E8:I8"/>
    <mergeCell ref="B9:D9"/>
    <mergeCell ref="J9:N9"/>
    <mergeCell ref="E9:I9"/>
    <mergeCell ref="A13:B13"/>
    <mergeCell ref="N13:P13"/>
    <mergeCell ref="E13:M1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R31"/>
  <sheetViews>
    <sheetView showGridLines="0" workbookViewId="0"/>
  </sheetViews>
  <sheetFormatPr baseColWidth="10" defaultColWidth="17.33203125" defaultRowHeight="15" customHeight="1" x14ac:dyDescent="0.2"/>
  <cols>
    <col min="1" max="1" width="4.1640625" customWidth="1"/>
    <col min="2" max="2" width="3.5" customWidth="1"/>
    <col min="3" max="3" width="25.6640625" customWidth="1"/>
    <col min="4" max="4" width="4.5" customWidth="1"/>
    <col min="5" max="5" width="3.33203125" customWidth="1"/>
    <col min="6" max="6" width="10.33203125" customWidth="1"/>
    <col min="7" max="7" width="9.6640625" customWidth="1"/>
    <col min="8" max="9" width="3.33203125" hidden="1" customWidth="1"/>
    <col min="10" max="14" width="3.33203125" customWidth="1"/>
    <col min="15" max="15" width="13.33203125" customWidth="1"/>
    <col min="16" max="16" width="13.1640625" customWidth="1"/>
    <col min="17" max="19" width="4" customWidth="1"/>
    <col min="20" max="22" width="3.33203125" customWidth="1"/>
    <col min="23" max="23" width="4" customWidth="1"/>
    <col min="24" max="25" width="3.33203125" customWidth="1"/>
    <col min="26" max="27" width="4" customWidth="1"/>
    <col min="28" max="31" width="3.33203125" customWidth="1"/>
    <col min="32" max="32" width="4.5" customWidth="1"/>
    <col min="33" max="33" width="15.33203125" customWidth="1"/>
    <col min="34" max="34" width="12.1640625" customWidth="1"/>
    <col min="35" max="35" width="13.1640625" customWidth="1"/>
    <col min="36" max="36" width="4.1640625" customWidth="1"/>
    <col min="37" max="37" width="7.1640625" customWidth="1"/>
    <col min="38" max="38" width="2.1640625" customWidth="1"/>
    <col min="39" max="39" width="7.1640625" customWidth="1"/>
    <col min="40" max="40" width="6.5" customWidth="1"/>
    <col min="41" max="44" width="8.83203125" customWidth="1"/>
  </cols>
  <sheetData>
    <row r="1" spans="1:44" ht="30.75" customHeight="1" x14ac:dyDescent="0.35">
      <c r="A1" s="180" t="s">
        <v>152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38"/>
      <c r="AI1" s="39"/>
      <c r="AJ1" s="39"/>
      <c r="AK1" s="39"/>
      <c r="AL1" s="39"/>
      <c r="AM1" s="39"/>
      <c r="AN1" s="39"/>
      <c r="AO1" s="1"/>
      <c r="AP1" s="1"/>
      <c r="AQ1" s="1"/>
      <c r="AR1" s="1"/>
    </row>
    <row r="2" spans="1:44" ht="30.75" customHeight="1" x14ac:dyDescent="0.35">
      <c r="A2" s="180" t="str">
        <f>+'Men''s Master'!I3</f>
        <v>CT13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38"/>
      <c r="AI2" s="39"/>
      <c r="AJ2" s="39"/>
      <c r="AK2" s="39"/>
      <c r="AL2" s="39"/>
      <c r="AM2" s="39"/>
      <c r="AN2" s="39"/>
      <c r="AO2" s="1"/>
      <c r="AP2" s="1"/>
      <c r="AQ2" s="1"/>
      <c r="AR2" s="1"/>
    </row>
    <row r="3" spans="1:44" ht="42.75" customHeight="1" x14ac:dyDescent="0.45">
      <c r="A3" s="197" t="str">
        <f>RIGHT(A2,2)</f>
        <v>13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40"/>
      <c r="AI3" s="41" t="s">
        <v>153</v>
      </c>
      <c r="AJ3" s="41"/>
      <c r="AK3" s="41"/>
      <c r="AL3" s="41"/>
      <c r="AM3" s="41"/>
      <c r="AN3" s="41"/>
      <c r="AO3" s="5"/>
      <c r="AP3" s="5"/>
      <c r="AQ3" s="5"/>
      <c r="AR3" s="5" t="s">
        <v>154</v>
      </c>
    </row>
    <row r="4" spans="1:44" ht="27" customHeight="1" x14ac:dyDescent="0.2">
      <c r="A4" s="42"/>
      <c r="B4" s="179" t="s">
        <v>102</v>
      </c>
      <c r="C4" s="173"/>
      <c r="D4" s="173"/>
      <c r="E4" s="155" t="s">
        <v>155</v>
      </c>
      <c r="F4" s="156"/>
      <c r="G4" s="156"/>
      <c r="H4" s="156"/>
      <c r="I4" s="157"/>
      <c r="J4" s="165" t="s">
        <v>156</v>
      </c>
      <c r="K4" s="156"/>
      <c r="L4" s="156"/>
      <c r="M4" s="156"/>
      <c r="N4" s="166"/>
      <c r="O4" s="43" t="s">
        <v>157</v>
      </c>
      <c r="P4" s="44" t="s">
        <v>158</v>
      </c>
      <c r="Q4" s="45"/>
      <c r="R4" s="194" t="s">
        <v>159</v>
      </c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53"/>
      <c r="AG4" s="46" t="s">
        <v>160</v>
      </c>
      <c r="AH4" s="47" t="s">
        <v>161</v>
      </c>
      <c r="AI4" s="47" t="s">
        <v>162</v>
      </c>
      <c r="AJ4" s="193" t="s">
        <v>163</v>
      </c>
      <c r="AK4" s="153"/>
      <c r="AL4" s="47" t="s">
        <v>164</v>
      </c>
      <c r="AM4" s="48"/>
      <c r="AN4" s="190" t="s">
        <v>165</v>
      </c>
      <c r="AO4" s="191"/>
      <c r="AP4" s="192" t="s">
        <v>166</v>
      </c>
      <c r="AQ4" s="191"/>
      <c r="AR4" s="50" t="s">
        <v>167</v>
      </c>
    </row>
    <row r="5" spans="1:44" ht="15.75" customHeight="1" x14ac:dyDescent="0.2">
      <c r="A5" s="51">
        <f t="shared" ref="A5:A9" si="0">AR5</f>
        <v>1</v>
      </c>
      <c r="B5" s="172" t="str">
        <f>+'Men''s Master'!I4</f>
        <v>Boston Hurricanes Black</v>
      </c>
      <c r="C5" s="173"/>
      <c r="D5" s="173"/>
      <c r="E5" s="171">
        <f>SUM(IF(AG14=B5,1,0),IF(AG16=C16,1,0),IF(AG19=C19,1,0),IF(AG22=C22,1,0))</f>
        <v>4</v>
      </c>
      <c r="F5" s="162"/>
      <c r="G5" s="162"/>
      <c r="H5" s="162"/>
      <c r="I5" s="153"/>
      <c r="J5" s="169">
        <f>SUM(IF(AG14=C14,0,1),IF(AG16=C16,0,1),IF(AG19=C19,0,1),IF(AG22=C22,0,1))</f>
        <v>0</v>
      </c>
      <c r="K5" s="162"/>
      <c r="L5" s="162"/>
      <c r="M5" s="162"/>
      <c r="N5" s="170"/>
      <c r="O5" s="53">
        <f>SUM(IF(AD5&gt;0,1,0),IF(AE5&gt;0,1,0),IF(AF5&gt;0,1,0),IF(U5&gt;0,1,0),IF(V5&gt;0,1,0),IF(W5&gt;0,1,0),IF(X5&gt;0,1,0),IF(Y5&gt;0,1,0),IF(Z5&gt;0,1,0),IF(AA5&gt;0,1,0),IF(AB5&gt;0,1,0),IF(AC5&gt;0,1,0))</f>
        <v>8</v>
      </c>
      <c r="P5" s="52">
        <f>SUM(IF(AD5&lt;0,1,0),IF(AE5&lt;0,1,0),IF(AF5&lt;0,1,0),IF(U5&lt;0,1,0),IF(V5&lt;0,1,0),IF(W5&lt;0,1,0),IF(X5&lt;0,1,0),IF(Y5&lt;0,1,0),IF(Z5&lt;0,1,0),IF(AA5&lt;0,1,0),IF(AB5&lt;0,1,0),IF(AC5&lt;0,1,0))</f>
        <v>0</v>
      </c>
      <c r="Q5" s="54">
        <f>1+SUM(IF(O5&lt;O6,1,0),IF(O5&lt;O7,1,0),IF(O5&lt;O8,1,0),IF(O5&lt;O9,1,0))</f>
        <v>1</v>
      </c>
      <c r="R5" s="55"/>
      <c r="S5" s="56"/>
      <c r="T5" s="56"/>
      <c r="U5" s="57">
        <f>Q14-T14</f>
        <v>5</v>
      </c>
      <c r="V5" s="57">
        <f>V14-Y14</f>
        <v>2</v>
      </c>
      <c r="W5" s="57">
        <f>AA14-AD14</f>
        <v>0</v>
      </c>
      <c r="X5" s="57">
        <f>Q19-T19</f>
        <v>2</v>
      </c>
      <c r="Y5" s="57">
        <f>V19-Y19</f>
        <v>10</v>
      </c>
      <c r="Z5" s="57">
        <f>AA19-AD19</f>
        <v>0</v>
      </c>
      <c r="AA5" s="58">
        <f>Q22-T22</f>
        <v>3</v>
      </c>
      <c r="AB5" s="58">
        <f>V22-Y22</f>
        <v>3</v>
      </c>
      <c r="AC5" s="58">
        <f>AA22-AD22</f>
        <v>0</v>
      </c>
      <c r="AD5" s="58">
        <f>Q16-T16</f>
        <v>3</v>
      </c>
      <c r="AE5" s="58">
        <f>V16-Y16</f>
        <v>2</v>
      </c>
      <c r="AF5" s="58">
        <f>AA16-AD16</f>
        <v>0</v>
      </c>
      <c r="AG5" s="58" t="b">
        <f>IF(Q5=Q6,IF(SUM(U5:W5)&gt;0,B5,B6),  IF(Q5=Q7,IF(SUM(X5:Z5)&gt;0, B5,B7),IF(Q5=Q8,IF(SUM(AA5:AC5)&gt;0, B5,B8),IF(Q5=Q9,IF(SUM(AD5:AF5)&lt;0,B5,B9)))))</f>
        <v>0</v>
      </c>
      <c r="AH5" s="58" t="b">
        <f>IF(Q5=Q6,IF(SUM(U5:W5)&lt;0,B5,B6),  IF(Q5=Q7,IF(SUM(X5:Z5)&lt;0, B5,B7),IF(Q5=Q8,IF(SUM(AA5:AC5)&lt;0, B5,B8),IF(Q5=Q9, IF(SUM(AD5:AF5)&lt;0,B5,B9)))))</f>
        <v>0</v>
      </c>
      <c r="AI5" s="60">
        <f t="shared" ref="AI5:AI9" si="1">Q5+IF(COUNTIF($AG$5:$AG$9,B5)&gt;0,0, IF(COUNTIF($AH$5:$AH$9,B5)&gt;0,1,0))</f>
        <v>1</v>
      </c>
      <c r="AJ5" s="61">
        <f t="shared" ref="AJ5:AJ9" si="2">SUM(R5:AF5)</f>
        <v>30</v>
      </c>
      <c r="AK5" s="62">
        <f>1+SUM(IF(AJ5&lt;AJ6,1,0),IF(AJ5&lt;AJ7,1,0),IF(AJ5&lt;AJ8,1,0),IF(AJ5&lt;AJ9,1,0))</f>
        <v>1</v>
      </c>
      <c r="AL5" s="63">
        <f t="shared" ref="AL5:AL9" si="3">IF(SUM(E5,J5)=0,0,E5/(E5+J5))</f>
        <v>1</v>
      </c>
      <c r="AM5" s="62">
        <f>1+SUM(IF(AL5&lt;AL6,1,0),IF(AL5&lt;AL7,1,0),IF(AL5&lt;AL8,1,0),IF(AL5&lt;AL9,1,0))</f>
        <v>1</v>
      </c>
      <c r="AN5" s="64">
        <f t="shared" ref="AN5:AN9" si="4">IF(SUM(O5+P5)=0,0,O5/(O5+P5))</f>
        <v>1</v>
      </c>
      <c r="AO5" s="65">
        <f>1+SUM(IF(AN5&lt;AN6,1,0),IF(AN5&lt;AN7,1,0),IF(AN5&lt;AN8,1,0),IF(AN5&lt;AN9,1,0))</f>
        <v>1</v>
      </c>
      <c r="AP5" s="66">
        <f t="shared" ref="AP5:AP9" si="5">AJ5/SUM(O5:P5)</f>
        <v>3.75</v>
      </c>
      <c r="AQ5" s="67">
        <f>1+SUM(IF(AP5&lt;AP6,1,0),IF(AP5&lt;AP7,1,0),IF(AP5&lt;AP8,1,0),IF(AP5&lt;AP9,1,0))</f>
        <v>1</v>
      </c>
      <c r="AR5" s="68">
        <f>1+SUM(IF(Q5&gt;Q6,1,IF(AND(Q5=Q6,AK5&gt;AK6),1,IF(AND(Q5=Q6,AK5=AK6),1,0))),IF(Q5&gt;Q7,1,IF(AND(Q5=Q7,AK5&gt;AK7),1,IF(AND(Q5=Q7,AK5=AK7),1,0))),IF(Q5&gt;Q8,1,IF(AND(Q5=Q8,AK5&gt;AK8),1,IF(AND(Q5=Q8,AK5=AK8),1,0))),IF(Q5&gt;Q9,1,IF(AND(Q5=Q9,AK5&gt;AK9),1,IF(AND(Q5=Q9,AK5=AK9),1,0))))</f>
        <v>1</v>
      </c>
    </row>
    <row r="6" spans="1:44" ht="15.75" customHeight="1" x14ac:dyDescent="0.2">
      <c r="A6" s="51">
        <f t="shared" si="0"/>
        <v>2</v>
      </c>
      <c r="B6" s="172" t="str">
        <f>+'Men''s Master'!I5</f>
        <v>Toronto Flying Tigers</v>
      </c>
      <c r="C6" s="173"/>
      <c r="D6" s="173"/>
      <c r="E6" s="171">
        <f>SUM(IF(AG14=E14,1,0),IF(AG17=C17,1,0),IF(AG20=C20,1,0),IF(AG23=C23,1,0))</f>
        <v>3</v>
      </c>
      <c r="F6" s="162"/>
      <c r="G6" s="162"/>
      <c r="H6" s="162"/>
      <c r="I6" s="153"/>
      <c r="J6" s="169">
        <f>SUM(IF(AG14=E14,0,1),IF(AG17=C17,0,1),IF(AG20=C20,0,1),IF(AG23=C23,0,1))</f>
        <v>1</v>
      </c>
      <c r="K6" s="162"/>
      <c r="L6" s="162"/>
      <c r="M6" s="162"/>
      <c r="N6" s="170"/>
      <c r="O6" s="53">
        <f>SUM(IF(AD6&gt;0,1,0),IF(AE6&gt;0,1,0),IF(AF6&gt;0,1,0),IF(R6&gt;0,1,0),IF(S6&gt;0,1,0),IF(T6&gt;0,1,0),IF(X6&gt;0,1,0),IF(Y6&gt;0,1,0),IF(Z6&gt;0,1,0),IF(AA6&gt;0,1,0),IF(AB6&gt;0,1,0),IF(AC6&gt;0,1,0))</f>
        <v>4</v>
      </c>
      <c r="P6" s="52">
        <f>SUM(IF(AD6&lt;0,1,0),IF(AE6&lt;0,1,0),IF(AF6&lt;0,1,0),IF(R6&lt;0,1,0),IF(S6&lt;0,1,0),IF(T6&lt;0,1,0),IF(X6&lt;0,1,0),IF(Y6&lt;0,1,0),IF(Z6&lt;0,1,0),IF(AA6&lt;0,1,0),IF(AB6&lt;0,1,0),IF(AC6&lt;0,1,0))</f>
        <v>4</v>
      </c>
      <c r="Q6" s="54">
        <f>1+SUM(IF(O6&lt;O5,1,0),IF(O6&lt;O7,1,0),IF(O6&lt;O8,1,0),IF(O6&lt;O9,1,0))</f>
        <v>2</v>
      </c>
      <c r="R6" s="69">
        <f t="shared" ref="R6:T6" si="6">-U5</f>
        <v>-5</v>
      </c>
      <c r="S6" s="58">
        <f t="shared" si="6"/>
        <v>-2</v>
      </c>
      <c r="T6" s="58">
        <f t="shared" si="6"/>
        <v>0</v>
      </c>
      <c r="U6" s="56"/>
      <c r="V6" s="56"/>
      <c r="W6" s="56"/>
      <c r="X6" s="57">
        <f>Q17-T17</f>
        <v>9</v>
      </c>
      <c r="Y6" s="57">
        <f>V17-Y17</f>
        <v>-2</v>
      </c>
      <c r="Z6" s="57">
        <f>AA17-AD17</f>
        <v>0</v>
      </c>
      <c r="AA6" s="58">
        <f>Q20-T20</f>
        <v>7</v>
      </c>
      <c r="AB6" s="58">
        <f>V20-Y20</f>
        <v>-3</v>
      </c>
      <c r="AC6" s="58">
        <f>AA20-AD20</f>
        <v>0</v>
      </c>
      <c r="AD6" s="58">
        <f>Q23-T23</f>
        <v>7</v>
      </c>
      <c r="AE6" s="58">
        <f>V23-Y23</f>
        <v>5</v>
      </c>
      <c r="AF6" s="58">
        <f>AA23-AD23</f>
        <v>0</v>
      </c>
      <c r="AG6" s="58" t="str">
        <f>IF(Q6=Q7,IF(SUM(X6:Z6)&gt;0,B6,B7),IF(Q6=Q8,IF(SUM(AA6:AC6)&gt;0,B6,B8),IF(Q6=Q9,IF(SUM(AD6:AF6)&gt;0, B6,B9))))</f>
        <v>Toronto Flying Tigers</v>
      </c>
      <c r="AH6" s="58" t="str">
        <f>IF(Q6=Q7,IF(SUM(X6:Z6)&lt;0,B6,B7),IF(Q6=Q8,IF(SUM(AA6:AC6)&lt;0,B6,B8),IF(Q6=Q9,IF(SUM(AD6:AF6)&lt;0, B6,B9))))</f>
        <v>NY Freemason A</v>
      </c>
      <c r="AI6" s="60">
        <f t="shared" si="1"/>
        <v>2</v>
      </c>
      <c r="AJ6" s="61">
        <f t="shared" si="2"/>
        <v>16</v>
      </c>
      <c r="AK6" s="62">
        <f>1+SUM(IF(AJ6&lt;AJ5,1,0),IF(AJ6&lt;AJ7,1,0),IF(AJ6&lt;AJ8,1,0),IF(AJ6&lt;AJ9,1,0))</f>
        <v>2</v>
      </c>
      <c r="AL6" s="63">
        <f t="shared" si="3"/>
        <v>0.75</v>
      </c>
      <c r="AM6" s="62">
        <f>1+SUM(IF(AL6&lt;AL5,1,0),IF(AL6&lt;AL7,1,0),IF(AL6&lt;AL8,1,0),IF(AL6&lt;AL9,1,0))</f>
        <v>2</v>
      </c>
      <c r="AN6" s="64">
        <f t="shared" si="4"/>
        <v>0.5</v>
      </c>
      <c r="AO6" s="65">
        <f>1+SUM(IF(AN6&lt;AN5,1,0),IF(AN6&lt;AN7,1,0),IF(AN6&lt;AN8,1,0),IF(AN6&lt;AN9,1,0))</f>
        <v>2</v>
      </c>
      <c r="AP6" s="66">
        <f t="shared" si="5"/>
        <v>2</v>
      </c>
      <c r="AQ6" s="70">
        <f>1+SUM(IF(AP6&lt;AP5,1,0),IF(AP6&lt;AP7,1,0),IF(AP6&lt;AP8,1,0),IF(AP6&lt;AP9,1,0))</f>
        <v>2</v>
      </c>
      <c r="AR6" s="68">
        <f>1+SUM(IF(Q6&gt;Q5,1,IF(AND(Q6=Q5,AK6&gt;AK5),1,IF(AND(Q6=Q5,AK6=AK5),1,0))),IF(Q6&gt;Q7,1,IF(AND(Q6=Q7,AK6&gt;AK7),1,IF(AND(Q6=Q7,AK6=AK7),1,0))),IF(Q6&gt;Q8,1,IF(AND(Q6=Q8,AK6&gt;AK8),1,IF(AND(Q6=Q8,AK6=AK8),1,0))),IF(Q6&gt;Q9,1,IF(AND(Q6=Q9,AK6&gt;AK9),1,IF(AND(Q6=Q9,AK6=AK9),1,0))))</f>
        <v>2</v>
      </c>
    </row>
    <row r="7" spans="1:44" ht="15.75" customHeight="1" x14ac:dyDescent="0.2">
      <c r="A7" s="51">
        <f t="shared" si="0"/>
        <v>4</v>
      </c>
      <c r="B7" s="172" t="str">
        <f>+'Men''s Master'!I6</f>
        <v>Toronto Connex C</v>
      </c>
      <c r="C7" s="173"/>
      <c r="D7" s="173"/>
      <c r="E7" s="171">
        <f>SUM(IF(AG15=C15,1,0),IF(AG17=E17,1,0),IF(AG19=E19,1,0),IF(AG21=C21,1,0))</f>
        <v>1</v>
      </c>
      <c r="F7" s="162"/>
      <c r="G7" s="162"/>
      <c r="H7" s="162"/>
      <c r="I7" s="153"/>
      <c r="J7" s="169">
        <f>SUM(IF(AG15=C15,0,1),IF(AG17=E17,0,1),IF(AG19=E19,0,1),IF(AG21=C21,0,1))</f>
        <v>3</v>
      </c>
      <c r="K7" s="162"/>
      <c r="L7" s="162"/>
      <c r="M7" s="162"/>
      <c r="N7" s="170"/>
      <c r="O7" s="53">
        <f>SUM(IF(AD7&gt;0,1,0),IF(AE7&gt;0,1,0),IF(AF7&gt;0,1,0),IF(U7&gt;0,1,0),IF(V7&gt;0,1,0),IF(W7&gt;0,1,0),IF(R7&gt;0,1,0),IF(S7&gt;0,1,0),IF(T7&gt;0,1,0),IF(AA7&gt;0,1,0),IF(AB7&gt;0,1,0),IF(AC7&gt;0,1,0))</f>
        <v>2</v>
      </c>
      <c r="P7" s="52">
        <f>SUM(IF(AD7&lt;0,1,0),IF(AE7&lt;0,1,0),IF(AF7&lt;0,1,0),IF(U7&lt;0,1,0),IF(V7&lt;0,1,0),IF(W7&lt;0,1,0),IF(R7&lt;0,1,0),IF(S7&lt;0,1,0),IF(T7&lt;0,1,0),IF(AA7&lt;0,1,0),IF(AB7&lt;0,1,0),IF(AC7&lt;0,1,0))</f>
        <v>6</v>
      </c>
      <c r="Q7" s="54">
        <f>1+SUM(IF(O7&lt;O6,1,0),IF(O7&lt;O5,1,0),IF(O7&lt;O8,1,0),IF(O7&lt;O9,1,0))</f>
        <v>4</v>
      </c>
      <c r="R7" s="69">
        <f t="shared" ref="R7:T7" si="7">-X5</f>
        <v>-2</v>
      </c>
      <c r="S7" s="58">
        <f t="shared" si="7"/>
        <v>-10</v>
      </c>
      <c r="T7" s="58">
        <f t="shared" si="7"/>
        <v>0</v>
      </c>
      <c r="U7" s="58">
        <f t="shared" ref="U7:W7" si="8">-X6</f>
        <v>-9</v>
      </c>
      <c r="V7" s="58">
        <f t="shared" si="8"/>
        <v>2</v>
      </c>
      <c r="W7" s="58">
        <f t="shared" si="8"/>
        <v>0</v>
      </c>
      <c r="X7" s="71"/>
      <c r="Y7" s="71"/>
      <c r="Z7" s="71"/>
      <c r="AA7" s="58">
        <f>Q15-T15</f>
        <v>-9</v>
      </c>
      <c r="AB7" s="58">
        <f>V15-Y15</f>
        <v>-8</v>
      </c>
      <c r="AC7" s="58">
        <f>AA15-AD15</f>
        <v>0</v>
      </c>
      <c r="AD7" s="58">
        <f>Q21-T21</f>
        <v>6</v>
      </c>
      <c r="AE7" s="58">
        <f>V21-Y21</f>
        <v>-2</v>
      </c>
      <c r="AF7" s="58">
        <f>AA21-AD21</f>
        <v>0</v>
      </c>
      <c r="AG7" s="58" t="str">
        <f>IF(Q7=Q8,IF(SUM(AA7:AC7)&gt;0,B7,B8),IF(Q7=Q9,IF(SUM(AD7:AF7)&gt;0,B7,B9)))</f>
        <v>Toronto Connex C</v>
      </c>
      <c r="AH7" s="58" t="str">
        <f>IF(Q7=Q8,IF(SUM(AA7:AC7)&lt;0,B7,B8),IF(Q7=Q9,IF(SUM(AD7:AF7)&lt;0,B7,B9)))</f>
        <v>DC MVP B</v>
      </c>
      <c r="AI7" s="60">
        <f t="shared" si="1"/>
        <v>4</v>
      </c>
      <c r="AJ7" s="61">
        <f t="shared" si="2"/>
        <v>-32</v>
      </c>
      <c r="AK7" s="62">
        <f>1+SUM(IF(AJ7&lt;AJ6,1,0),IF(AJ7&lt;AJ5,1,0),IF(AJ7&lt;AJ8,1,0),IF(AJ7&lt;AJ9,1,0))</f>
        <v>5</v>
      </c>
      <c r="AL7" s="63">
        <f t="shared" si="3"/>
        <v>0.25</v>
      </c>
      <c r="AM7" s="62">
        <f>1+SUM(IF(AL7&lt;AL6,1,0),IF(AL7&lt;AL5,1,0),IF(AL7&lt;AL8,1,0),IF(AL7&lt;AL9,1,0))</f>
        <v>3</v>
      </c>
      <c r="AN7" s="64">
        <f t="shared" si="4"/>
        <v>0.25</v>
      </c>
      <c r="AO7" s="65">
        <f>1+SUM(IF(AN7&lt;AN6,1,0),IF(AN7&lt;AN5,1,0),IF(AN7&lt;AN8,1,0),IF(AN7&lt;AN9,1,0))</f>
        <v>4</v>
      </c>
      <c r="AP7" s="66">
        <f t="shared" si="5"/>
        <v>-4</v>
      </c>
      <c r="AQ7" s="70">
        <f>1+SUM(IF(AP7&lt;AP6,1,0),IF(AP7&lt;AP5,1,0),IF(AP7&lt;AP8,1,0),IF(AP7&lt;AP9,1,0))</f>
        <v>5</v>
      </c>
      <c r="AR7" s="126">
        <v>4</v>
      </c>
    </row>
    <row r="8" spans="1:44" ht="15.75" customHeight="1" x14ac:dyDescent="0.2">
      <c r="A8" s="51">
        <f t="shared" si="0"/>
        <v>3</v>
      </c>
      <c r="B8" s="172" t="str">
        <f>+'Men''s Master'!I7</f>
        <v>NY Freemason A</v>
      </c>
      <c r="C8" s="173"/>
      <c r="D8" s="173"/>
      <c r="E8" s="171">
        <f>SUM(IF(AG15=E15,1,0),IF(AG18=C18,1,0),IF(AG20=E20,1,0),IF(AG22=E22,1,0))</f>
        <v>1</v>
      </c>
      <c r="F8" s="162"/>
      <c r="G8" s="162"/>
      <c r="H8" s="162"/>
      <c r="I8" s="153"/>
      <c r="J8" s="169">
        <f>SUM(IF(AG15=E15,0,1),IF(AG18=C18,0,1),IF(AG20=E20,0,1),IF(AG22=E22,0,1))</f>
        <v>3</v>
      </c>
      <c r="K8" s="162"/>
      <c r="L8" s="162"/>
      <c r="M8" s="162"/>
      <c r="N8" s="170"/>
      <c r="O8" s="53">
        <f>SUM(IF(AD8&gt;0,1,0),IF(AE8&gt;0,1,0),IF(AF8&gt;0,1,0),IF(U8&gt;0,1,0),IF(V8&gt;0,1,0),IF(W8&gt;0,1,0),IF(X8&gt;0,1,0),IF(Y8&gt;0,1,0),IF(Z8&gt;0,1,0),IF(R8&gt;0,1,0),IF(S8&gt;0,1,0),IF(T8&gt;0,1,0))</f>
        <v>4</v>
      </c>
      <c r="P8" s="52">
        <f>SUM(IF(AD8&lt;0,1,0),IF(AE8&lt;0,1,0),IF(AF8&lt;0,1,0),IF(U8&lt;0,1,0),IF(V8&lt;0,1,0),IF(W8&lt;0,1,0),IF(R8&lt;0,1,0),IF(S8&lt;0,1,0),IF(T8&lt;0,1,0),IF(X8&lt;0,1,0),IF(Y8&lt;0,1,0),IF(Z8&lt;0,1,0))</f>
        <v>4</v>
      </c>
      <c r="Q8" s="54">
        <f>1+SUM(IF(O8&lt;O6,1,0),IF(O8&lt;O7,1,0),IF(O8&lt;O5,1,0),IF(O8&lt;O9,1,0))</f>
        <v>2</v>
      </c>
      <c r="R8" s="69">
        <f t="shared" ref="R8:T8" si="9">-AA5</f>
        <v>-3</v>
      </c>
      <c r="S8" s="58">
        <f t="shared" si="9"/>
        <v>-3</v>
      </c>
      <c r="T8" s="58">
        <f t="shared" si="9"/>
        <v>0</v>
      </c>
      <c r="U8" s="58">
        <f t="shared" ref="U8:W8" si="10">-AA6</f>
        <v>-7</v>
      </c>
      <c r="V8" s="58">
        <f t="shared" si="10"/>
        <v>3</v>
      </c>
      <c r="W8" s="58">
        <f t="shared" si="10"/>
        <v>0</v>
      </c>
      <c r="X8" s="58">
        <f t="shared" ref="X8:Z8" si="11">-AA7</f>
        <v>9</v>
      </c>
      <c r="Y8" s="58">
        <f t="shared" si="11"/>
        <v>8</v>
      </c>
      <c r="Z8" s="58">
        <f t="shared" si="11"/>
        <v>0</v>
      </c>
      <c r="AA8" s="71"/>
      <c r="AB8" s="71"/>
      <c r="AC8" s="71"/>
      <c r="AD8" s="58">
        <f>Q18-T18</f>
        <v>1</v>
      </c>
      <c r="AE8" s="58">
        <f>V18-Y18</f>
        <v>-2</v>
      </c>
      <c r="AF8" s="58">
        <f>AA18-AD18</f>
        <v>0</v>
      </c>
      <c r="AG8" s="58" t="b">
        <f>IF(Q8=Q9,IF(SUM(AD8:AF8)&gt;0,B8,B9))</f>
        <v>0</v>
      </c>
      <c r="AH8" s="58">
        <f>IF(R8=R9,IF(SUM(AE8:AG8)&lt;0,C8,C9))</f>
        <v>0</v>
      </c>
      <c r="AI8" s="60">
        <f t="shared" si="1"/>
        <v>3</v>
      </c>
      <c r="AJ8" s="61">
        <f t="shared" si="2"/>
        <v>6</v>
      </c>
      <c r="AK8" s="72">
        <f>1+SUM(IF(AJ8&lt;AJ6,1,0),IF(AJ8&lt;AJ7,1,0),IF(AJ8&lt;AJ5,1,0),IF(AJ8&lt;AJ9,1,0))</f>
        <v>3</v>
      </c>
      <c r="AL8" s="63">
        <f t="shared" si="3"/>
        <v>0.25</v>
      </c>
      <c r="AM8" s="72">
        <f>1+SUM(IF(AL8&lt;AL6,1,0),IF(AL8&lt;AL7,1,0),IF(AL8&lt;AL5,1,0),IF(AL8&lt;AL9,1,0))</f>
        <v>3</v>
      </c>
      <c r="AN8" s="64">
        <f t="shared" si="4"/>
        <v>0.5</v>
      </c>
      <c r="AO8" s="65">
        <f>1+SUM(IF(AN8&lt;AN6,1,0),IF(AN8&lt;AN7,1,0),IF(AN8&lt;AN5,1,0),IF(AN8&lt;AN9,1,0))</f>
        <v>2</v>
      </c>
      <c r="AP8" s="66">
        <f t="shared" si="5"/>
        <v>0.75</v>
      </c>
      <c r="AQ8" s="73">
        <f>1+SUM(IF(AP8&lt;AP6,1,0),IF(AP8&lt;AP7,1,0),IF(AP8&lt;AP5,1,0),IF(AP8&lt;AP9,1,0))</f>
        <v>3</v>
      </c>
      <c r="AR8" s="68">
        <f>1+SUM(IF(Q8&gt;Q5,1,IF(AND(Q8=Q5,AK8&gt;AK5),1,IF(AND(Q8=Q5,AK8=AK5),1,0))),IF(Q8&gt;Q6,1,IF(AND(Q8=Q6,AK8&gt;AK6),1,IF(AND(Q8=Q6,AK8=AK6),1,0))),IF(Q8&gt;Q7,1,IF(AND(Q8=Q7,AK8&gt;AK7),1,IF(AND(Q8=Q7,AK8=AK7),1,0))),IF(Q8&gt;Q9,1,IF(AND(Q8=Q9,AK8&gt;AK9),1,IF(AND(Q8=Q9,AK8=AK9),1,0))))</f>
        <v>3</v>
      </c>
    </row>
    <row r="9" spans="1:44" ht="15.75" customHeight="1" x14ac:dyDescent="0.2">
      <c r="A9" s="51">
        <f t="shared" si="0"/>
        <v>5</v>
      </c>
      <c r="B9" s="172" t="str">
        <f>+'Men''s Master'!I8</f>
        <v>DC MVP B</v>
      </c>
      <c r="C9" s="173"/>
      <c r="D9" s="173"/>
      <c r="E9" s="171">
        <f>SUM(IF(AG16=E16,1,0),IF(AG18=E18,1,0),IF(AG21=E21,1,0),IF(AG23=E23,1,0))</f>
        <v>1</v>
      </c>
      <c r="F9" s="162"/>
      <c r="G9" s="162"/>
      <c r="H9" s="162"/>
      <c r="I9" s="153"/>
      <c r="J9" s="169">
        <f>SUM(IF(AG16=E16,0,1),IF(AG18=E18,0,1),IF(AG21=E21,0,1),IF(AG23=E23,0,1))</f>
        <v>3</v>
      </c>
      <c r="K9" s="162"/>
      <c r="L9" s="162"/>
      <c r="M9" s="162"/>
      <c r="N9" s="170"/>
      <c r="O9" s="53">
        <f>SUM(IF(R9&gt;0,1,0),IF(S9&gt;0,1,0),IF(T9&gt;0,1,0),IF(U9&gt;0,1,0),IF(V9&gt;0,1,0),IF(W9&gt;0,1,0),IF(X9&gt;0,1,0),IF(Y9&gt;0,1,0),IF(Z9&gt;0,1,0),IF(AA9&gt;0,1,0),IF(AB9&gt;0,1,0),IF(AC9&gt;0,1,0))</f>
        <v>2</v>
      </c>
      <c r="P9" s="52">
        <f>SUM(IF(R9&lt;0,1,0),IF(S9&lt;0,1,0),IF(T9&lt;0,1,0),IF(U9&lt;0,1,0),IF(V9&lt;0,1,0),IF(W9&lt;0,1,0),IF(X9&lt;0,1,0),IF(Y9&lt;0,1,0),IF(Z9&lt;0,1,0),IF(AA9&lt;0,1,0),IF(AB9&lt;0,1,0),IF(AC9&lt;0,1,0))</f>
        <v>6</v>
      </c>
      <c r="Q9" s="54">
        <f>1+SUM(IF(O9&lt;O6,1,0),IF(O9&lt;O7,1,0),IF(O9&lt;O8,1,0),IF(O9&lt;O5,1,0))</f>
        <v>4</v>
      </c>
      <c r="R9" s="74">
        <f t="shared" ref="R9:T9" si="12">-AD5</f>
        <v>-3</v>
      </c>
      <c r="S9" s="75">
        <f t="shared" si="12"/>
        <v>-2</v>
      </c>
      <c r="T9" s="75">
        <f t="shared" si="12"/>
        <v>0</v>
      </c>
      <c r="U9" s="75">
        <f t="shared" ref="U9:W9" si="13">-AD6</f>
        <v>-7</v>
      </c>
      <c r="V9" s="75">
        <f t="shared" si="13"/>
        <v>-5</v>
      </c>
      <c r="W9" s="75">
        <f t="shared" si="13"/>
        <v>0</v>
      </c>
      <c r="X9" s="75">
        <f t="shared" ref="X9:Z9" si="14">-AD7</f>
        <v>-6</v>
      </c>
      <c r="Y9" s="75">
        <f t="shared" si="14"/>
        <v>2</v>
      </c>
      <c r="Z9" s="75">
        <f t="shared" si="14"/>
        <v>0</v>
      </c>
      <c r="AA9" s="75">
        <f t="shared" ref="AA9:AC9" si="15">-AD8</f>
        <v>-1</v>
      </c>
      <c r="AB9" s="75">
        <f t="shared" si="15"/>
        <v>2</v>
      </c>
      <c r="AC9" s="75">
        <f t="shared" si="15"/>
        <v>0</v>
      </c>
      <c r="AD9" s="76"/>
      <c r="AE9" s="76"/>
      <c r="AF9" s="76"/>
      <c r="AG9" s="77" t="s">
        <v>168</v>
      </c>
      <c r="AH9" s="77" t="s">
        <v>168</v>
      </c>
      <c r="AI9" s="60">
        <f t="shared" si="1"/>
        <v>5</v>
      </c>
      <c r="AJ9" s="78">
        <f t="shared" si="2"/>
        <v>-20</v>
      </c>
      <c r="AK9" s="72">
        <f>1+SUM(IF(AJ9&lt;AJ6,1,0),IF(AJ9&lt;AJ7,1,0),IF(AJ9&lt;AJ8,1,0),IF(AJ9&lt;AJ5,1,0))</f>
        <v>4</v>
      </c>
      <c r="AL9" s="79">
        <f t="shared" si="3"/>
        <v>0.25</v>
      </c>
      <c r="AM9" s="72">
        <f>1+SUM(IF(AL9&lt;AL6,1,0),IF(AL9&lt;AL7,1,0),IF(AL9&lt;AL8,1,0),IF(AL9&lt;AL5,1,0))</f>
        <v>3</v>
      </c>
      <c r="AN9" s="64">
        <f t="shared" si="4"/>
        <v>0.25</v>
      </c>
      <c r="AO9" s="65">
        <f>1+SUM(IF(AN9&lt;AN6,1,0),IF(AN9&lt;AN7,1,0),IF(AN9&lt;AN8,1,0),IF(AN9&lt;AN5,1,0))</f>
        <v>4</v>
      </c>
      <c r="AP9" s="66">
        <f t="shared" si="5"/>
        <v>-2.5</v>
      </c>
      <c r="AQ9" s="73">
        <f>1+SUM(IF(AP9&lt;AP6,1,0),IF(AP9&lt;AP7,1,0),IF(AP9&lt;AP8,1,0),IF(AP9&lt;AP5,1,0))</f>
        <v>4</v>
      </c>
      <c r="AR9" s="126">
        <v>5</v>
      </c>
    </row>
    <row r="10" spans="1:44" ht="12.75" customHeight="1" x14ac:dyDescent="0.2">
      <c r="A10" s="174"/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80"/>
      <c r="AI10" s="41"/>
      <c r="AJ10" s="41"/>
      <c r="AK10" s="41"/>
      <c r="AL10" s="41"/>
      <c r="AM10" s="41"/>
      <c r="AN10" s="41"/>
      <c r="AO10" s="5"/>
      <c r="AP10" s="5"/>
      <c r="AQ10" s="5"/>
      <c r="AR10" s="5"/>
    </row>
    <row r="11" spans="1:44" ht="12.75" customHeight="1" x14ac:dyDescent="0.2">
      <c r="A11" s="136"/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80"/>
      <c r="AI11" s="41"/>
      <c r="AJ11" s="41"/>
      <c r="AK11" s="41"/>
      <c r="AL11" s="41"/>
      <c r="AM11" s="41"/>
      <c r="AN11" s="41"/>
      <c r="AO11" s="5"/>
      <c r="AP11" s="5"/>
      <c r="AQ11" s="5"/>
      <c r="AR11" s="5"/>
    </row>
    <row r="12" spans="1:44" ht="13.5" customHeight="1" x14ac:dyDescent="0.2">
      <c r="A12" s="136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80"/>
      <c r="AI12" s="41"/>
      <c r="AJ12" s="41"/>
      <c r="AK12" s="41"/>
      <c r="AL12" s="41"/>
      <c r="AM12" s="41"/>
      <c r="AN12" s="41"/>
      <c r="AO12" s="5"/>
      <c r="AP12" s="5"/>
      <c r="AQ12" s="5"/>
      <c r="AR12" s="5"/>
    </row>
    <row r="13" spans="1:44" ht="13.5" customHeight="1" x14ac:dyDescent="0.2">
      <c r="A13" s="167"/>
      <c r="B13" s="136"/>
      <c r="C13" s="81" t="s">
        <v>169</v>
      </c>
      <c r="D13" s="82" t="s">
        <v>170</v>
      </c>
      <c r="E13" s="165" t="s">
        <v>169</v>
      </c>
      <c r="F13" s="156"/>
      <c r="G13" s="156"/>
      <c r="H13" s="156"/>
      <c r="I13" s="156"/>
      <c r="J13" s="156"/>
      <c r="K13" s="156"/>
      <c r="L13" s="156"/>
      <c r="M13" s="166"/>
      <c r="N13" s="176" t="s">
        <v>171</v>
      </c>
      <c r="O13" s="177"/>
      <c r="P13" s="178"/>
      <c r="Q13" s="155" t="s">
        <v>172</v>
      </c>
      <c r="R13" s="156"/>
      <c r="S13" s="156"/>
      <c r="T13" s="156"/>
      <c r="U13" s="166"/>
      <c r="V13" s="175" t="s">
        <v>173</v>
      </c>
      <c r="W13" s="156"/>
      <c r="X13" s="156"/>
      <c r="Y13" s="156"/>
      <c r="Z13" s="166"/>
      <c r="AA13" s="155" t="s">
        <v>174</v>
      </c>
      <c r="AB13" s="156"/>
      <c r="AC13" s="156"/>
      <c r="AD13" s="156"/>
      <c r="AE13" s="157"/>
      <c r="AF13" s="83"/>
      <c r="AG13" s="84" t="s">
        <v>175</v>
      </c>
      <c r="AH13" s="49" t="s">
        <v>176</v>
      </c>
      <c r="AI13" s="158" t="s">
        <v>177</v>
      </c>
      <c r="AJ13" s="159"/>
      <c r="AK13" s="41"/>
      <c r="AL13" s="5"/>
      <c r="AM13" s="5"/>
      <c r="AN13" s="5"/>
      <c r="AO13" s="5"/>
      <c r="AP13" s="5"/>
      <c r="AQ13" s="5"/>
      <c r="AR13" s="5"/>
    </row>
    <row r="14" spans="1:44" ht="15.75" customHeight="1" x14ac:dyDescent="0.2">
      <c r="A14" s="85">
        <v>1</v>
      </c>
      <c r="B14" s="86">
        <v>1</v>
      </c>
      <c r="C14" s="117" t="str">
        <f>+B5</f>
        <v>Boston Hurricanes Black</v>
      </c>
      <c r="D14" s="88">
        <v>2</v>
      </c>
      <c r="E14" s="161" t="str">
        <f>+B6</f>
        <v>Toronto Flying Tigers</v>
      </c>
      <c r="F14" s="162"/>
      <c r="G14" s="162"/>
      <c r="H14" s="162"/>
      <c r="I14" s="162"/>
      <c r="J14" s="162"/>
      <c r="K14" s="162"/>
      <c r="L14" s="162"/>
      <c r="M14" s="153"/>
      <c r="N14" s="89">
        <v>3</v>
      </c>
      <c r="O14" s="160" t="str">
        <f>+B7</f>
        <v>Toronto Connex C</v>
      </c>
      <c r="P14" s="153"/>
      <c r="Q14" s="151">
        <v>21</v>
      </c>
      <c r="R14" s="143"/>
      <c r="S14" s="91">
        <v>0</v>
      </c>
      <c r="T14" s="151">
        <v>16</v>
      </c>
      <c r="U14" s="143"/>
      <c r="V14" s="154">
        <v>22</v>
      </c>
      <c r="W14" s="143"/>
      <c r="X14" s="92">
        <v>0</v>
      </c>
      <c r="Y14" s="154">
        <v>20</v>
      </c>
      <c r="Z14" s="143"/>
      <c r="AA14" s="152"/>
      <c r="AB14" s="153"/>
      <c r="AC14" s="93" t="s">
        <v>178</v>
      </c>
      <c r="AD14" s="152"/>
      <c r="AE14" s="153"/>
      <c r="AF14" s="94"/>
      <c r="AG14" s="104" t="str">
        <f t="shared" ref="AG14:AG23" si="16">IF(AND(Q14&gt;T14,V14&gt;Y14),C14, IF(AND(T14&gt;Q14,Y14&gt;V14),E14, IF((Q14)+(V14)+(AA14)-(T14)-(Y14)-(AD14)&gt;0,C14,E14)))</f>
        <v>Boston Hurricanes Black</v>
      </c>
      <c r="AH14" s="96">
        <f t="shared" ref="AH14:AH23" si="17">(Q14)+(V14)+(AA14)-(T14)-(Y14)-(AD14)</f>
        <v>7</v>
      </c>
      <c r="AI14" s="147">
        <v>0.375</v>
      </c>
      <c r="AJ14" s="148"/>
      <c r="AK14" s="5"/>
      <c r="AL14" s="5"/>
      <c r="AM14" s="5"/>
      <c r="AN14" s="5"/>
      <c r="AO14" s="5"/>
      <c r="AP14" s="5"/>
      <c r="AQ14" s="5"/>
      <c r="AR14" s="5"/>
    </row>
    <row r="15" spans="1:44" ht="15.75" customHeight="1" x14ac:dyDescent="0.2">
      <c r="A15" s="97">
        <v>2</v>
      </c>
      <c r="B15" s="98">
        <v>3</v>
      </c>
      <c r="C15" s="99" t="str">
        <f>+B7</f>
        <v>Toronto Connex C</v>
      </c>
      <c r="D15" s="61">
        <v>4</v>
      </c>
      <c r="E15" s="163" t="str">
        <f t="shared" ref="E15:E16" si="18">+B8</f>
        <v>NY Freemason A</v>
      </c>
      <c r="F15" s="164"/>
      <c r="G15" s="164"/>
      <c r="H15" s="164"/>
      <c r="I15" s="164"/>
      <c r="J15" s="164"/>
      <c r="K15" s="164"/>
      <c r="L15" s="164"/>
      <c r="M15" s="143"/>
      <c r="N15" s="100">
        <v>2</v>
      </c>
      <c r="O15" s="168" t="str">
        <f>+B6</f>
        <v>Toronto Flying Tigers</v>
      </c>
      <c r="P15" s="143"/>
      <c r="Q15" s="144">
        <v>12</v>
      </c>
      <c r="R15" s="141"/>
      <c r="S15" s="101">
        <v>0</v>
      </c>
      <c r="T15" s="144">
        <v>21</v>
      </c>
      <c r="U15" s="141"/>
      <c r="V15" s="140">
        <v>13</v>
      </c>
      <c r="W15" s="141"/>
      <c r="X15" s="102">
        <v>0</v>
      </c>
      <c r="Y15" s="140">
        <v>21</v>
      </c>
      <c r="Z15" s="141"/>
      <c r="AA15" s="142"/>
      <c r="AB15" s="143"/>
      <c r="AC15" s="103" t="s">
        <v>178</v>
      </c>
      <c r="AD15" s="142"/>
      <c r="AE15" s="143"/>
      <c r="AF15" s="94"/>
      <c r="AG15" s="104" t="str">
        <f t="shared" si="16"/>
        <v>NY Freemason A</v>
      </c>
      <c r="AH15" s="96">
        <f t="shared" si="17"/>
        <v>-17</v>
      </c>
      <c r="AI15" s="149">
        <v>0.40972222222222227</v>
      </c>
      <c r="AJ15" s="150"/>
      <c r="AK15" s="5"/>
      <c r="AL15" s="5"/>
      <c r="AM15" s="5"/>
      <c r="AN15" s="5"/>
      <c r="AO15" s="5"/>
      <c r="AP15" s="5"/>
      <c r="AQ15" s="5"/>
      <c r="AR15" s="5"/>
    </row>
    <row r="16" spans="1:44" ht="15.75" customHeight="1" x14ac:dyDescent="0.2">
      <c r="A16" s="97">
        <v>3</v>
      </c>
      <c r="B16" s="98">
        <v>1</v>
      </c>
      <c r="C16" s="99" t="str">
        <f t="shared" ref="C16:C17" si="19">+B5</f>
        <v>Boston Hurricanes Black</v>
      </c>
      <c r="D16" s="61">
        <v>5</v>
      </c>
      <c r="E16" s="163" t="str">
        <f t="shared" si="18"/>
        <v>DC MVP B</v>
      </c>
      <c r="F16" s="164"/>
      <c r="G16" s="164"/>
      <c r="H16" s="164"/>
      <c r="I16" s="164"/>
      <c r="J16" s="164"/>
      <c r="K16" s="164"/>
      <c r="L16" s="164"/>
      <c r="M16" s="143"/>
      <c r="N16" s="100">
        <v>4</v>
      </c>
      <c r="O16" s="168" t="str">
        <f>+B8</f>
        <v>NY Freemason A</v>
      </c>
      <c r="P16" s="143"/>
      <c r="Q16" s="144">
        <v>21</v>
      </c>
      <c r="R16" s="141"/>
      <c r="S16" s="101">
        <v>0</v>
      </c>
      <c r="T16" s="144">
        <v>18</v>
      </c>
      <c r="U16" s="141"/>
      <c r="V16" s="140">
        <v>21</v>
      </c>
      <c r="W16" s="141"/>
      <c r="X16" s="102">
        <v>0</v>
      </c>
      <c r="Y16" s="140">
        <v>19</v>
      </c>
      <c r="Z16" s="141"/>
      <c r="AA16" s="142"/>
      <c r="AB16" s="143"/>
      <c r="AC16" s="103" t="s">
        <v>178</v>
      </c>
      <c r="AD16" s="142"/>
      <c r="AE16" s="143"/>
      <c r="AF16" s="94"/>
      <c r="AG16" s="104" t="str">
        <f t="shared" si="16"/>
        <v>Boston Hurricanes Black</v>
      </c>
      <c r="AH16" s="96">
        <f t="shared" si="17"/>
        <v>5</v>
      </c>
      <c r="AI16" s="149">
        <v>0.44444444444444442</v>
      </c>
      <c r="AJ16" s="150"/>
      <c r="AK16" s="5"/>
      <c r="AL16" s="5"/>
      <c r="AM16" s="5"/>
      <c r="AN16" s="5"/>
      <c r="AO16" s="5"/>
      <c r="AP16" s="5"/>
      <c r="AQ16" s="5"/>
      <c r="AR16" s="5"/>
    </row>
    <row r="17" spans="1:44" ht="15.75" customHeight="1" x14ac:dyDescent="0.2">
      <c r="A17" s="97">
        <v>4</v>
      </c>
      <c r="B17" s="98">
        <v>2</v>
      </c>
      <c r="C17" s="99" t="str">
        <f t="shared" si="19"/>
        <v>Toronto Flying Tigers</v>
      </c>
      <c r="D17" s="61">
        <v>3</v>
      </c>
      <c r="E17" s="163" t="str">
        <f>+B7</f>
        <v>Toronto Connex C</v>
      </c>
      <c r="F17" s="164"/>
      <c r="G17" s="164"/>
      <c r="H17" s="164"/>
      <c r="I17" s="164"/>
      <c r="J17" s="164"/>
      <c r="K17" s="164"/>
      <c r="L17" s="164"/>
      <c r="M17" s="143"/>
      <c r="N17" s="100">
        <v>1</v>
      </c>
      <c r="O17" s="168" t="str">
        <f>+B5</f>
        <v>Boston Hurricanes Black</v>
      </c>
      <c r="P17" s="143"/>
      <c r="Q17" s="144">
        <v>21</v>
      </c>
      <c r="R17" s="141"/>
      <c r="S17" s="101">
        <v>0</v>
      </c>
      <c r="T17" s="144">
        <v>12</v>
      </c>
      <c r="U17" s="141"/>
      <c r="V17" s="140">
        <v>19</v>
      </c>
      <c r="W17" s="141"/>
      <c r="X17" s="102">
        <v>0</v>
      </c>
      <c r="Y17" s="140">
        <v>21</v>
      </c>
      <c r="Z17" s="141"/>
      <c r="AA17" s="142"/>
      <c r="AB17" s="143"/>
      <c r="AC17" s="103" t="s">
        <v>178</v>
      </c>
      <c r="AD17" s="142"/>
      <c r="AE17" s="143"/>
      <c r="AF17" s="94"/>
      <c r="AG17" s="104" t="str">
        <f t="shared" si="16"/>
        <v>Toronto Flying Tigers</v>
      </c>
      <c r="AH17" s="96">
        <f t="shared" si="17"/>
        <v>7</v>
      </c>
      <c r="AI17" s="149">
        <v>0.47916666666666669</v>
      </c>
      <c r="AJ17" s="150"/>
      <c r="AK17" s="5"/>
      <c r="AL17" s="5"/>
      <c r="AM17" s="5"/>
      <c r="AN17" s="5"/>
      <c r="AO17" s="5"/>
      <c r="AP17" s="5"/>
      <c r="AQ17" s="5"/>
      <c r="AR17" s="5"/>
    </row>
    <row r="18" spans="1:44" ht="15.75" customHeight="1" x14ac:dyDescent="0.2">
      <c r="A18" s="97">
        <v>5</v>
      </c>
      <c r="B18" s="98">
        <v>4</v>
      </c>
      <c r="C18" s="99" t="str">
        <f>+B8</f>
        <v>NY Freemason A</v>
      </c>
      <c r="D18" s="61">
        <v>5</v>
      </c>
      <c r="E18" s="163" t="str">
        <f>+B9</f>
        <v>DC MVP B</v>
      </c>
      <c r="F18" s="164"/>
      <c r="G18" s="164"/>
      <c r="H18" s="164"/>
      <c r="I18" s="164"/>
      <c r="J18" s="164"/>
      <c r="K18" s="164"/>
      <c r="L18" s="164"/>
      <c r="M18" s="143"/>
      <c r="N18" s="100">
        <v>3</v>
      </c>
      <c r="O18" s="168" t="str">
        <f>+B7</f>
        <v>Toronto Connex C</v>
      </c>
      <c r="P18" s="143"/>
      <c r="Q18" s="144">
        <v>23</v>
      </c>
      <c r="R18" s="141"/>
      <c r="S18" s="101">
        <v>0</v>
      </c>
      <c r="T18" s="144">
        <v>22</v>
      </c>
      <c r="U18" s="141"/>
      <c r="V18" s="140">
        <v>19</v>
      </c>
      <c r="W18" s="141"/>
      <c r="X18" s="102">
        <v>0</v>
      </c>
      <c r="Y18" s="140">
        <v>21</v>
      </c>
      <c r="Z18" s="141"/>
      <c r="AA18" s="142"/>
      <c r="AB18" s="143"/>
      <c r="AC18" s="103" t="s">
        <v>178</v>
      </c>
      <c r="AD18" s="142"/>
      <c r="AE18" s="143"/>
      <c r="AF18" s="94"/>
      <c r="AG18" s="104" t="str">
        <f t="shared" si="16"/>
        <v>DC MVP B</v>
      </c>
      <c r="AH18" s="96">
        <f t="shared" si="17"/>
        <v>-1</v>
      </c>
      <c r="AI18" s="149">
        <v>0.53472222222222221</v>
      </c>
      <c r="AJ18" s="150"/>
      <c r="AK18" s="5"/>
      <c r="AL18" s="5"/>
      <c r="AM18" s="5"/>
      <c r="AN18" s="5"/>
      <c r="AO18" s="5"/>
      <c r="AP18" s="5"/>
      <c r="AQ18" s="5"/>
      <c r="AR18" s="5"/>
    </row>
    <row r="19" spans="1:44" ht="15.75" customHeight="1" x14ac:dyDescent="0.2">
      <c r="A19" s="97">
        <v>6</v>
      </c>
      <c r="B19" s="98">
        <v>1</v>
      </c>
      <c r="C19" s="99" t="str">
        <f t="shared" ref="C19:C21" si="20">+B5</f>
        <v>Boston Hurricanes Black</v>
      </c>
      <c r="D19" s="61">
        <v>3</v>
      </c>
      <c r="E19" s="163" t="str">
        <f t="shared" ref="E19:E21" si="21">+B7</f>
        <v>Toronto Connex C</v>
      </c>
      <c r="F19" s="164"/>
      <c r="G19" s="164"/>
      <c r="H19" s="164"/>
      <c r="I19" s="164"/>
      <c r="J19" s="164"/>
      <c r="K19" s="164"/>
      <c r="L19" s="164"/>
      <c r="M19" s="143"/>
      <c r="N19" s="100">
        <v>5</v>
      </c>
      <c r="O19" s="168" t="str">
        <f>+B9</f>
        <v>DC MVP B</v>
      </c>
      <c r="P19" s="143"/>
      <c r="Q19" s="144">
        <v>21</v>
      </c>
      <c r="R19" s="141"/>
      <c r="S19" s="101">
        <v>0</v>
      </c>
      <c r="T19" s="144">
        <v>19</v>
      </c>
      <c r="U19" s="141"/>
      <c r="V19" s="140">
        <v>21</v>
      </c>
      <c r="W19" s="141"/>
      <c r="X19" s="102">
        <v>0</v>
      </c>
      <c r="Y19" s="140">
        <v>11</v>
      </c>
      <c r="Z19" s="141"/>
      <c r="AA19" s="142"/>
      <c r="AB19" s="143"/>
      <c r="AC19" s="103" t="s">
        <v>178</v>
      </c>
      <c r="AD19" s="142"/>
      <c r="AE19" s="143"/>
      <c r="AF19" s="94"/>
      <c r="AG19" s="104" t="str">
        <f t="shared" si="16"/>
        <v>Boston Hurricanes Black</v>
      </c>
      <c r="AH19" s="96">
        <f t="shared" si="17"/>
        <v>12</v>
      </c>
      <c r="AI19" s="149">
        <v>6.9444444444444434E-2</v>
      </c>
      <c r="AJ19" s="150"/>
      <c r="AK19" s="5"/>
      <c r="AL19" s="5"/>
      <c r="AM19" s="5"/>
      <c r="AN19" s="5"/>
      <c r="AO19" s="5"/>
      <c r="AP19" s="5"/>
      <c r="AQ19" s="5"/>
      <c r="AR19" s="5"/>
    </row>
    <row r="20" spans="1:44" ht="15.75" customHeight="1" x14ac:dyDescent="0.2">
      <c r="A20" s="97">
        <v>7</v>
      </c>
      <c r="B20" s="98">
        <v>2</v>
      </c>
      <c r="C20" s="99" t="str">
        <f t="shared" si="20"/>
        <v>Toronto Flying Tigers</v>
      </c>
      <c r="D20" s="61">
        <v>4</v>
      </c>
      <c r="E20" s="163" t="str">
        <f t="shared" si="21"/>
        <v>NY Freemason A</v>
      </c>
      <c r="F20" s="164"/>
      <c r="G20" s="164"/>
      <c r="H20" s="164"/>
      <c r="I20" s="164"/>
      <c r="J20" s="164"/>
      <c r="K20" s="164"/>
      <c r="L20" s="164"/>
      <c r="M20" s="143"/>
      <c r="N20" s="61">
        <v>1</v>
      </c>
      <c r="O20" s="163" t="str">
        <f t="shared" ref="O20:O21" si="22">+B5</f>
        <v>Boston Hurricanes Black</v>
      </c>
      <c r="P20" s="143"/>
      <c r="Q20" s="204">
        <v>21</v>
      </c>
      <c r="R20" s="141"/>
      <c r="S20" s="127">
        <v>0</v>
      </c>
      <c r="T20" s="204">
        <v>14</v>
      </c>
      <c r="U20" s="141"/>
      <c r="V20" s="204">
        <v>18</v>
      </c>
      <c r="W20" s="141"/>
      <c r="X20" s="127">
        <v>0</v>
      </c>
      <c r="Y20" s="204">
        <v>21</v>
      </c>
      <c r="Z20" s="141"/>
      <c r="AA20" s="142"/>
      <c r="AB20" s="143"/>
      <c r="AC20" s="103" t="s">
        <v>178</v>
      </c>
      <c r="AD20" s="142"/>
      <c r="AE20" s="143"/>
      <c r="AF20" s="94"/>
      <c r="AG20" s="104" t="str">
        <f t="shared" si="16"/>
        <v>Toronto Flying Tigers</v>
      </c>
      <c r="AH20" s="96">
        <f t="shared" si="17"/>
        <v>4</v>
      </c>
      <c r="AI20" s="149">
        <v>0.10416666666666667</v>
      </c>
      <c r="AJ20" s="150"/>
      <c r="AK20" s="5"/>
      <c r="AL20" s="5"/>
      <c r="AM20" s="5"/>
      <c r="AN20" s="5"/>
      <c r="AO20" s="5"/>
      <c r="AP20" s="5"/>
      <c r="AQ20" s="5"/>
      <c r="AR20" s="5"/>
    </row>
    <row r="21" spans="1:44" ht="15.75" customHeight="1" x14ac:dyDescent="0.2">
      <c r="A21" s="97">
        <v>8</v>
      </c>
      <c r="B21" s="98">
        <v>3</v>
      </c>
      <c r="C21" s="99" t="str">
        <f t="shared" si="20"/>
        <v>Toronto Connex C</v>
      </c>
      <c r="D21" s="61">
        <v>5</v>
      </c>
      <c r="E21" s="163" t="str">
        <f t="shared" si="21"/>
        <v>DC MVP B</v>
      </c>
      <c r="F21" s="164"/>
      <c r="G21" s="164"/>
      <c r="H21" s="164"/>
      <c r="I21" s="164"/>
      <c r="J21" s="164"/>
      <c r="K21" s="164"/>
      <c r="L21" s="164"/>
      <c r="M21" s="143"/>
      <c r="N21" s="100">
        <v>2</v>
      </c>
      <c r="O21" s="168" t="str">
        <f t="shared" si="22"/>
        <v>Toronto Flying Tigers</v>
      </c>
      <c r="P21" s="143"/>
      <c r="Q21" s="144">
        <v>21</v>
      </c>
      <c r="R21" s="141"/>
      <c r="S21" s="101">
        <v>0</v>
      </c>
      <c r="T21" s="144">
        <v>15</v>
      </c>
      <c r="U21" s="141"/>
      <c r="V21" s="140">
        <v>19</v>
      </c>
      <c r="W21" s="141"/>
      <c r="X21" s="102">
        <v>0</v>
      </c>
      <c r="Y21" s="140">
        <v>21</v>
      </c>
      <c r="Z21" s="141"/>
      <c r="AA21" s="142"/>
      <c r="AB21" s="143"/>
      <c r="AC21" s="103" t="s">
        <v>178</v>
      </c>
      <c r="AD21" s="142"/>
      <c r="AE21" s="143"/>
      <c r="AF21" s="94"/>
      <c r="AG21" s="104" t="str">
        <f t="shared" si="16"/>
        <v>Toronto Connex C</v>
      </c>
      <c r="AH21" s="96">
        <f t="shared" si="17"/>
        <v>4</v>
      </c>
      <c r="AI21" s="149">
        <v>0.15972222222222224</v>
      </c>
      <c r="AJ21" s="150"/>
      <c r="AK21" s="5"/>
      <c r="AL21" s="5"/>
      <c r="AM21" s="5"/>
      <c r="AN21" s="5"/>
      <c r="AO21" s="5"/>
      <c r="AP21" s="5"/>
      <c r="AQ21" s="5"/>
      <c r="AR21" s="5"/>
    </row>
    <row r="22" spans="1:44" ht="15.75" customHeight="1" x14ac:dyDescent="0.2">
      <c r="A22" s="97">
        <v>9</v>
      </c>
      <c r="B22" s="98">
        <v>1</v>
      </c>
      <c r="C22" s="99" t="str">
        <f t="shared" ref="C22:C23" si="23">+B5</f>
        <v>Boston Hurricanes Black</v>
      </c>
      <c r="D22" s="61">
        <v>4</v>
      </c>
      <c r="E22" s="163" t="str">
        <f t="shared" ref="E22:E23" si="24">+B8</f>
        <v>NY Freemason A</v>
      </c>
      <c r="F22" s="164"/>
      <c r="G22" s="164"/>
      <c r="H22" s="164"/>
      <c r="I22" s="164"/>
      <c r="J22" s="164"/>
      <c r="K22" s="164"/>
      <c r="L22" s="164"/>
      <c r="M22" s="143"/>
      <c r="N22" s="100">
        <v>5</v>
      </c>
      <c r="O22" s="168" t="str">
        <f>+B9</f>
        <v>DC MVP B</v>
      </c>
      <c r="P22" s="143"/>
      <c r="Q22" s="144">
        <v>21</v>
      </c>
      <c r="R22" s="141"/>
      <c r="S22" s="101">
        <v>0</v>
      </c>
      <c r="T22" s="144">
        <v>18</v>
      </c>
      <c r="U22" s="141"/>
      <c r="V22" s="140">
        <v>21</v>
      </c>
      <c r="W22" s="141"/>
      <c r="X22" s="102">
        <v>0</v>
      </c>
      <c r="Y22" s="140">
        <v>18</v>
      </c>
      <c r="Z22" s="141"/>
      <c r="AA22" s="142"/>
      <c r="AB22" s="143"/>
      <c r="AC22" s="103" t="s">
        <v>178</v>
      </c>
      <c r="AD22" s="142"/>
      <c r="AE22" s="143"/>
      <c r="AF22" s="94"/>
      <c r="AG22" s="104" t="str">
        <f t="shared" si="16"/>
        <v>Boston Hurricanes Black</v>
      </c>
      <c r="AH22" s="96">
        <f t="shared" si="17"/>
        <v>6</v>
      </c>
      <c r="AI22" s="149">
        <v>0.19444444444444445</v>
      </c>
      <c r="AJ22" s="150"/>
      <c r="AK22" s="5"/>
      <c r="AL22" s="5"/>
      <c r="AM22" s="5"/>
      <c r="AN22" s="5"/>
      <c r="AO22" s="5"/>
      <c r="AP22" s="5"/>
      <c r="AQ22" s="5"/>
      <c r="AR22" s="5"/>
    </row>
    <row r="23" spans="1:44" ht="15.75" customHeight="1" x14ac:dyDescent="0.2">
      <c r="A23" s="109">
        <v>10</v>
      </c>
      <c r="B23" s="110">
        <v>2</v>
      </c>
      <c r="C23" s="111" t="str">
        <f t="shared" si="23"/>
        <v>Toronto Flying Tigers</v>
      </c>
      <c r="D23" s="78">
        <v>5</v>
      </c>
      <c r="E23" s="188" t="str">
        <f t="shared" si="24"/>
        <v>DC MVP B</v>
      </c>
      <c r="F23" s="189"/>
      <c r="G23" s="189"/>
      <c r="H23" s="189"/>
      <c r="I23" s="189"/>
      <c r="J23" s="189"/>
      <c r="K23" s="189"/>
      <c r="L23" s="189"/>
      <c r="M23" s="146"/>
      <c r="N23" s="112">
        <v>4</v>
      </c>
      <c r="O23" s="187" t="str">
        <f>+B8</f>
        <v>NY Freemason A</v>
      </c>
      <c r="P23" s="146"/>
      <c r="Q23" s="144">
        <v>21</v>
      </c>
      <c r="R23" s="141"/>
      <c r="S23" s="101">
        <v>0</v>
      </c>
      <c r="T23" s="144">
        <v>14</v>
      </c>
      <c r="U23" s="141"/>
      <c r="V23" s="140">
        <v>21</v>
      </c>
      <c r="W23" s="141"/>
      <c r="X23" s="102">
        <v>0</v>
      </c>
      <c r="Y23" s="140">
        <v>16</v>
      </c>
      <c r="Z23" s="141"/>
      <c r="AA23" s="145"/>
      <c r="AB23" s="146"/>
      <c r="AC23" s="113" t="s">
        <v>178</v>
      </c>
      <c r="AD23" s="145"/>
      <c r="AE23" s="146"/>
      <c r="AF23" s="94"/>
      <c r="AG23" s="104" t="str">
        <f t="shared" si="16"/>
        <v>Toronto Flying Tigers</v>
      </c>
      <c r="AH23" s="96">
        <f t="shared" si="17"/>
        <v>12</v>
      </c>
      <c r="AI23" s="184">
        <v>0.22916666666666666</v>
      </c>
      <c r="AJ23" s="185"/>
      <c r="AK23" s="5"/>
      <c r="AL23" s="5"/>
      <c r="AM23" s="5"/>
      <c r="AN23" s="5"/>
      <c r="AO23" s="5"/>
      <c r="AP23" s="5"/>
      <c r="AQ23" s="5"/>
      <c r="AR23" s="5"/>
    </row>
    <row r="24" spans="1:44" ht="12.75" customHeight="1" x14ac:dyDescent="0.2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5"/>
      <c r="AM24" s="5"/>
      <c r="AN24" s="5"/>
      <c r="AO24" s="5"/>
      <c r="AP24" s="5"/>
      <c r="AQ24" s="5"/>
      <c r="AR24" s="5"/>
    </row>
    <row r="25" spans="1:44" ht="12.75" customHeight="1" x14ac:dyDescent="0.2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5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5"/>
      <c r="AM25" s="5"/>
      <c r="AN25" s="5"/>
      <c r="AO25" s="5"/>
      <c r="AP25" s="5"/>
      <c r="AQ25" s="5"/>
      <c r="AR25" s="5"/>
    </row>
    <row r="26" spans="1:44" ht="12.75" customHeight="1" x14ac:dyDescent="0.2">
      <c r="A26" s="41"/>
      <c r="B26" s="57"/>
      <c r="C26" s="57" t="s">
        <v>179</v>
      </c>
      <c r="D26" s="57" t="s">
        <v>157</v>
      </c>
      <c r="E26" s="57" t="s">
        <v>180</v>
      </c>
      <c r="F26" s="57" t="s">
        <v>165</v>
      </c>
      <c r="G26" s="57" t="s">
        <v>166</v>
      </c>
      <c r="H26" s="41"/>
      <c r="I26" s="41"/>
      <c r="J26" s="41"/>
      <c r="K26" s="41"/>
      <c r="L26" s="41"/>
      <c r="M26" s="41"/>
      <c r="N26" s="41"/>
      <c r="O26" s="41"/>
      <c r="P26" s="41"/>
      <c r="Q26" s="5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5"/>
      <c r="AM26" s="5"/>
      <c r="AN26" s="5"/>
      <c r="AO26" s="5"/>
      <c r="AP26" s="5"/>
      <c r="AQ26" s="5"/>
      <c r="AR26" s="5"/>
    </row>
    <row r="27" spans="1:44" ht="12.75" customHeight="1" x14ac:dyDescent="0.2">
      <c r="A27" s="41"/>
      <c r="B27" s="57">
        <v>1</v>
      </c>
      <c r="C27" s="57" t="str">
        <f t="shared" ref="C27:C31" si="25">VLOOKUP(B27,$A$5:$AR$9,2,FALSE)</f>
        <v>Boston Hurricanes Black</v>
      </c>
      <c r="D27" s="57">
        <f t="shared" ref="D27:D31" si="26">VLOOKUP(B27,$A$5:$AR$9,15,FALSE)</f>
        <v>8</v>
      </c>
      <c r="E27" s="57">
        <f t="shared" ref="E27:E31" si="27">VLOOKUP(B27,$A$5:$AR$9,36,FALSE)</f>
        <v>30</v>
      </c>
      <c r="F27" s="114">
        <f t="shared" ref="F27:F31" si="28">VLOOKUP(B27,$A$5:$AR$9,40,FALSE)</f>
        <v>1</v>
      </c>
      <c r="G27" s="114">
        <f t="shared" ref="G27:G31" si="29">VLOOKUP(B27,$A$5:$AR$9,42,FALSE)</f>
        <v>3.75</v>
      </c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5"/>
      <c r="AM27" s="5"/>
      <c r="AN27" s="5"/>
      <c r="AO27" s="5"/>
      <c r="AP27" s="5"/>
      <c r="AQ27" s="5"/>
      <c r="AR27" s="5"/>
    </row>
    <row r="28" spans="1:44" ht="12.75" customHeight="1" x14ac:dyDescent="0.2">
      <c r="A28" s="41"/>
      <c r="B28" s="57">
        <v>2</v>
      </c>
      <c r="C28" s="57" t="str">
        <f t="shared" si="25"/>
        <v>Toronto Flying Tigers</v>
      </c>
      <c r="D28" s="57">
        <f t="shared" si="26"/>
        <v>4</v>
      </c>
      <c r="E28" s="57">
        <f t="shared" si="27"/>
        <v>16</v>
      </c>
      <c r="F28" s="114">
        <f t="shared" si="28"/>
        <v>0.5</v>
      </c>
      <c r="G28" s="114">
        <f t="shared" si="29"/>
        <v>2</v>
      </c>
      <c r="H28" s="41"/>
      <c r="I28" s="41"/>
      <c r="J28" s="41"/>
      <c r="K28" s="41"/>
      <c r="L28" s="41"/>
      <c r="M28" s="41"/>
      <c r="N28" s="41"/>
      <c r="O28" s="41"/>
      <c r="P28" s="5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183"/>
      <c r="AK28" s="136"/>
      <c r="AL28" s="5"/>
      <c r="AM28" s="5"/>
      <c r="AN28" s="5"/>
      <c r="AO28" s="5"/>
      <c r="AP28" s="5"/>
      <c r="AQ28" s="5"/>
      <c r="AR28" s="5"/>
    </row>
    <row r="29" spans="1:44" ht="12.75" customHeight="1" x14ac:dyDescent="0.2">
      <c r="A29" s="5"/>
      <c r="B29" s="14">
        <v>3</v>
      </c>
      <c r="C29" s="57" t="str">
        <f t="shared" si="25"/>
        <v>NY Freemason A</v>
      </c>
      <c r="D29" s="57">
        <f t="shared" si="26"/>
        <v>4</v>
      </c>
      <c r="E29" s="57">
        <f t="shared" si="27"/>
        <v>6</v>
      </c>
      <c r="F29" s="114">
        <f t="shared" si="28"/>
        <v>0.5</v>
      </c>
      <c r="G29" s="114">
        <f t="shared" si="29"/>
        <v>0.75</v>
      </c>
      <c r="H29" s="41"/>
      <c r="I29" s="41"/>
      <c r="J29" s="41"/>
      <c r="K29" s="41"/>
      <c r="L29" s="41"/>
      <c r="M29" s="41"/>
      <c r="N29" s="41"/>
      <c r="O29" s="41"/>
      <c r="P29" s="5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115"/>
      <c r="AK29" s="41"/>
      <c r="AL29" s="5"/>
      <c r="AM29" s="5"/>
      <c r="AN29" s="5"/>
      <c r="AO29" s="5"/>
      <c r="AP29" s="5"/>
      <c r="AQ29" s="5"/>
      <c r="AR29" s="5"/>
    </row>
    <row r="30" spans="1:44" ht="12.75" customHeight="1" x14ac:dyDescent="0.2">
      <c r="A30" s="5"/>
      <c r="B30" s="14">
        <v>4</v>
      </c>
      <c r="C30" s="57" t="str">
        <f t="shared" si="25"/>
        <v>Toronto Connex C</v>
      </c>
      <c r="D30" s="57">
        <f t="shared" si="26"/>
        <v>2</v>
      </c>
      <c r="E30" s="57">
        <f t="shared" si="27"/>
        <v>-32</v>
      </c>
      <c r="F30" s="114">
        <f t="shared" si="28"/>
        <v>0.25</v>
      </c>
      <c r="G30" s="114">
        <f t="shared" si="29"/>
        <v>-4</v>
      </c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115"/>
      <c r="AK30" s="41"/>
      <c r="AL30" s="5"/>
      <c r="AM30" s="5"/>
      <c r="AN30" s="5"/>
      <c r="AO30" s="5"/>
      <c r="AP30" s="5"/>
      <c r="AQ30" s="5"/>
      <c r="AR30" s="5"/>
    </row>
    <row r="31" spans="1:44" ht="12.75" customHeight="1" x14ac:dyDescent="0.2">
      <c r="A31" s="5"/>
      <c r="B31" s="14">
        <v>5</v>
      </c>
      <c r="C31" s="57" t="str">
        <f t="shared" si="25"/>
        <v>DC MVP B</v>
      </c>
      <c r="D31" s="57">
        <f t="shared" si="26"/>
        <v>2</v>
      </c>
      <c r="E31" s="57">
        <f t="shared" si="27"/>
        <v>-20</v>
      </c>
      <c r="F31" s="114">
        <f t="shared" si="28"/>
        <v>0.25</v>
      </c>
      <c r="G31" s="114">
        <f t="shared" si="29"/>
        <v>-2.5</v>
      </c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115"/>
      <c r="AK31" s="41"/>
      <c r="AL31" s="5"/>
      <c r="AM31" s="5"/>
      <c r="AN31" s="5"/>
      <c r="AO31" s="5"/>
      <c r="AP31" s="5"/>
      <c r="AQ31" s="5"/>
      <c r="AR31" s="5"/>
    </row>
  </sheetData>
  <mergeCells count="124">
    <mergeCell ref="AN4:AO4"/>
    <mergeCell ref="AJ4:AK4"/>
    <mergeCell ref="AP4:AQ4"/>
    <mergeCell ref="B5:D5"/>
    <mergeCell ref="J5:N5"/>
    <mergeCell ref="E14:M14"/>
    <mergeCell ref="J8:N8"/>
    <mergeCell ref="J9:N9"/>
    <mergeCell ref="V14:W14"/>
    <mergeCell ref="T14:U14"/>
    <mergeCell ref="AA14:AB14"/>
    <mergeCell ref="Y14:Z14"/>
    <mergeCell ref="AD14:AE14"/>
    <mergeCell ref="V13:Z13"/>
    <mergeCell ref="N13:P13"/>
    <mergeCell ref="Q13:U13"/>
    <mergeCell ref="Q14:R14"/>
    <mergeCell ref="O14:P14"/>
    <mergeCell ref="AA13:AE13"/>
    <mergeCell ref="E5:I5"/>
    <mergeCell ref="B4:D4"/>
    <mergeCell ref="A3:AG3"/>
    <mergeCell ref="A2:AG2"/>
    <mergeCell ref="A1:AG1"/>
    <mergeCell ref="R4:AF4"/>
    <mergeCell ref="A10:AG12"/>
    <mergeCell ref="J4:N4"/>
    <mergeCell ref="E4:I4"/>
    <mergeCell ref="AD20:AE20"/>
    <mergeCell ref="AD18:AE18"/>
    <mergeCell ref="AD19:AE19"/>
    <mergeCell ref="AD21:AE21"/>
    <mergeCell ref="B8:D8"/>
    <mergeCell ref="B6:D6"/>
    <mergeCell ref="B7:D7"/>
    <mergeCell ref="J6:N6"/>
    <mergeCell ref="J7:N7"/>
    <mergeCell ref="E7:I7"/>
    <mergeCell ref="T19:U19"/>
    <mergeCell ref="T20:U20"/>
    <mergeCell ref="Q19:R19"/>
    <mergeCell ref="T18:U18"/>
    <mergeCell ref="Q18:R18"/>
    <mergeCell ref="V19:W19"/>
    <mergeCell ref="V20:W20"/>
    <mergeCell ref="B9:D9"/>
    <mergeCell ref="E8:I8"/>
    <mergeCell ref="E9:I9"/>
    <mergeCell ref="E6:I6"/>
    <mergeCell ref="E15:M15"/>
    <mergeCell ref="A13:B13"/>
    <mergeCell ref="E13:M13"/>
    <mergeCell ref="T23:U23"/>
    <mergeCell ref="Y18:Z18"/>
    <mergeCell ref="V18:W18"/>
    <mergeCell ref="V23:W23"/>
    <mergeCell ref="AA23:AB23"/>
    <mergeCell ref="Y23:Z23"/>
    <mergeCell ref="Y22:Z22"/>
    <mergeCell ref="AA17:AB17"/>
    <mergeCell ref="AA18:AB18"/>
    <mergeCell ref="Y19:Z19"/>
    <mergeCell ref="AA22:AB22"/>
    <mergeCell ref="AA21:AB21"/>
    <mergeCell ref="AA20:AB20"/>
    <mergeCell ref="AA19:AB19"/>
    <mergeCell ref="E23:M23"/>
    <mergeCell ref="E16:M16"/>
    <mergeCell ref="O15:P15"/>
    <mergeCell ref="O16:P16"/>
    <mergeCell ref="E19:M19"/>
    <mergeCell ref="AD22:AE22"/>
    <mergeCell ref="AD23:AE23"/>
    <mergeCell ref="AJ28:AK28"/>
    <mergeCell ref="T22:U22"/>
    <mergeCell ref="V22:W22"/>
    <mergeCell ref="AI22:AJ22"/>
    <mergeCell ref="AI21:AJ21"/>
    <mergeCell ref="AI20:AJ20"/>
    <mergeCell ref="AI23:AJ23"/>
    <mergeCell ref="Y20:Z20"/>
    <mergeCell ref="Q21:R21"/>
    <mergeCell ref="Q22:R22"/>
    <mergeCell ref="Q20:R20"/>
    <mergeCell ref="O23:P23"/>
    <mergeCell ref="V21:W21"/>
    <mergeCell ref="T21:U21"/>
    <mergeCell ref="Q23:R23"/>
    <mergeCell ref="O21:P21"/>
    <mergeCell ref="Y21:Z21"/>
    <mergeCell ref="E17:M17"/>
    <mergeCell ref="O17:P17"/>
    <mergeCell ref="E21:M21"/>
    <mergeCell ref="E20:M20"/>
    <mergeCell ref="O20:P20"/>
    <mergeCell ref="O19:P19"/>
    <mergeCell ref="E18:M18"/>
    <mergeCell ref="O18:P18"/>
    <mergeCell ref="O22:P22"/>
    <mergeCell ref="E22:M22"/>
    <mergeCell ref="AI18:AJ18"/>
    <mergeCell ref="AI19:AJ19"/>
    <mergeCell ref="Y17:Z17"/>
    <mergeCell ref="T15:U15"/>
    <mergeCell ref="T16:U16"/>
    <mergeCell ref="AA16:AB16"/>
    <mergeCell ref="Y16:Z16"/>
    <mergeCell ref="Q15:R15"/>
    <mergeCell ref="AI16:AJ16"/>
    <mergeCell ref="AD15:AE15"/>
    <mergeCell ref="AD17:AE17"/>
    <mergeCell ref="AD16:AE16"/>
    <mergeCell ref="AA15:AB15"/>
    <mergeCell ref="Y15:Z15"/>
    <mergeCell ref="AI14:AJ14"/>
    <mergeCell ref="AI13:AJ13"/>
    <mergeCell ref="AI15:AJ15"/>
    <mergeCell ref="Q16:R16"/>
    <mergeCell ref="Q17:R17"/>
    <mergeCell ref="V15:W15"/>
    <mergeCell ref="V16:W16"/>
    <mergeCell ref="T17:U17"/>
    <mergeCell ref="V17:W17"/>
    <mergeCell ref="AI17:AJ1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R31"/>
  <sheetViews>
    <sheetView showGridLines="0" workbookViewId="0"/>
  </sheetViews>
  <sheetFormatPr baseColWidth="10" defaultColWidth="17.33203125" defaultRowHeight="15" customHeight="1" x14ac:dyDescent="0.2"/>
  <cols>
    <col min="1" max="1" width="4.1640625" customWidth="1"/>
    <col min="2" max="2" width="3.5" customWidth="1"/>
    <col min="3" max="3" width="25.6640625" customWidth="1"/>
    <col min="4" max="4" width="4.5" customWidth="1"/>
    <col min="5" max="5" width="3.33203125" customWidth="1"/>
    <col min="6" max="6" width="10.33203125" customWidth="1"/>
    <col min="7" max="7" width="9.6640625" customWidth="1"/>
    <col min="8" max="9" width="3.33203125" hidden="1" customWidth="1"/>
    <col min="10" max="14" width="3.33203125" customWidth="1"/>
    <col min="15" max="15" width="13.33203125" customWidth="1"/>
    <col min="16" max="16" width="13.1640625" customWidth="1"/>
    <col min="17" max="19" width="4" customWidth="1"/>
    <col min="20" max="22" width="3.33203125" customWidth="1"/>
    <col min="23" max="23" width="4" customWidth="1"/>
    <col min="24" max="25" width="3.33203125" customWidth="1"/>
    <col min="26" max="27" width="4" customWidth="1"/>
    <col min="28" max="31" width="3.33203125" customWidth="1"/>
    <col min="32" max="32" width="4.5" customWidth="1"/>
    <col min="33" max="33" width="15.33203125" customWidth="1"/>
    <col min="34" max="34" width="12.1640625" customWidth="1"/>
    <col min="35" max="35" width="13.1640625" customWidth="1"/>
    <col min="36" max="36" width="4.1640625" customWidth="1"/>
    <col min="37" max="37" width="7.1640625" customWidth="1"/>
    <col min="38" max="38" width="2.1640625" customWidth="1"/>
    <col min="39" max="39" width="7.1640625" customWidth="1"/>
    <col min="40" max="40" width="6.5" customWidth="1"/>
    <col min="41" max="44" width="8.83203125" customWidth="1"/>
  </cols>
  <sheetData>
    <row r="1" spans="1:44" ht="30.75" customHeight="1" x14ac:dyDescent="0.35">
      <c r="A1" s="180" t="s">
        <v>152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38"/>
      <c r="AI1" s="39"/>
      <c r="AJ1" s="39"/>
      <c r="AK1" s="39"/>
      <c r="AL1" s="39"/>
      <c r="AM1" s="39"/>
      <c r="AN1" s="39"/>
      <c r="AO1" s="1"/>
      <c r="AP1" s="1"/>
      <c r="AQ1" s="1"/>
      <c r="AR1" s="1"/>
    </row>
    <row r="2" spans="1:44" ht="30.75" customHeight="1" x14ac:dyDescent="0.35">
      <c r="A2" s="180" t="str">
        <f>+'Men''s Master'!J3</f>
        <v>CT14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38"/>
      <c r="AI2" s="39"/>
      <c r="AJ2" s="39"/>
      <c r="AK2" s="39"/>
      <c r="AL2" s="39"/>
      <c r="AM2" s="39"/>
      <c r="AN2" s="39"/>
      <c r="AO2" s="1"/>
      <c r="AP2" s="1"/>
      <c r="AQ2" s="1"/>
      <c r="AR2" s="1"/>
    </row>
    <row r="3" spans="1:44" ht="42.75" customHeight="1" x14ac:dyDescent="0.45">
      <c r="A3" s="197" t="str">
        <f>RIGHT(A2,2)</f>
        <v>14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40"/>
      <c r="AI3" s="41" t="s">
        <v>153</v>
      </c>
      <c r="AJ3" s="41"/>
      <c r="AK3" s="41"/>
      <c r="AL3" s="41"/>
      <c r="AM3" s="41"/>
      <c r="AN3" s="41"/>
      <c r="AO3" s="5"/>
      <c r="AP3" s="5"/>
      <c r="AQ3" s="5"/>
      <c r="AR3" s="5" t="s">
        <v>154</v>
      </c>
    </row>
    <row r="4" spans="1:44" ht="27" customHeight="1" x14ac:dyDescent="0.2">
      <c r="A4" s="42"/>
      <c r="B4" s="179" t="s">
        <v>102</v>
      </c>
      <c r="C4" s="173"/>
      <c r="D4" s="173"/>
      <c r="E4" s="155" t="s">
        <v>155</v>
      </c>
      <c r="F4" s="156"/>
      <c r="G4" s="156"/>
      <c r="H4" s="156"/>
      <c r="I4" s="157"/>
      <c r="J4" s="165" t="s">
        <v>156</v>
      </c>
      <c r="K4" s="156"/>
      <c r="L4" s="156"/>
      <c r="M4" s="156"/>
      <c r="N4" s="166"/>
      <c r="O4" s="43" t="s">
        <v>157</v>
      </c>
      <c r="P4" s="44" t="s">
        <v>158</v>
      </c>
      <c r="Q4" s="45"/>
      <c r="R4" s="194" t="s">
        <v>159</v>
      </c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53"/>
      <c r="AG4" s="46" t="s">
        <v>160</v>
      </c>
      <c r="AH4" s="47" t="s">
        <v>161</v>
      </c>
      <c r="AI4" s="47" t="s">
        <v>162</v>
      </c>
      <c r="AJ4" s="193" t="s">
        <v>163</v>
      </c>
      <c r="AK4" s="153"/>
      <c r="AL4" s="47" t="s">
        <v>164</v>
      </c>
      <c r="AM4" s="48"/>
      <c r="AN4" s="190" t="s">
        <v>165</v>
      </c>
      <c r="AO4" s="191"/>
      <c r="AP4" s="192" t="s">
        <v>166</v>
      </c>
      <c r="AQ4" s="191"/>
      <c r="AR4" s="50" t="s">
        <v>167</v>
      </c>
    </row>
    <row r="5" spans="1:44" ht="15.75" customHeight="1" x14ac:dyDescent="0.2">
      <c r="A5" s="51">
        <f t="shared" ref="A5:A9" si="0">AR5</f>
        <v>5</v>
      </c>
      <c r="B5" s="172" t="str">
        <f>+'Men''s Master'!J4</f>
        <v>DC CYC C</v>
      </c>
      <c r="C5" s="173"/>
      <c r="D5" s="173"/>
      <c r="E5" s="171">
        <f>SUM(IF(AG14=B5,1,0),IF(AG16=C16,1,0),IF(AG19=C19,1,0),IF(AG22=C22,1,0))</f>
        <v>0</v>
      </c>
      <c r="F5" s="162"/>
      <c r="G5" s="162"/>
      <c r="H5" s="162"/>
      <c r="I5" s="153"/>
      <c r="J5" s="169">
        <f>SUM(IF(AG14=C14,0,1),IF(AG16=C16,0,1),IF(AG19=C19,0,1),IF(AG22=C22,0,1))</f>
        <v>4</v>
      </c>
      <c r="K5" s="162"/>
      <c r="L5" s="162"/>
      <c r="M5" s="162"/>
      <c r="N5" s="170"/>
      <c r="O5" s="53">
        <f>SUM(IF(AD5&gt;0,1,0),IF(AE5&gt;0,1,0),IF(AF5&gt;0,1,0),IF(U5&gt;0,1,0),IF(V5&gt;0,1,0),IF(W5&gt;0,1,0),IF(X5&gt;0,1,0),IF(Y5&gt;0,1,0),IF(Z5&gt;0,1,0),IF(AA5&gt;0,1,0),IF(AB5&gt;0,1,0),IF(AC5&gt;0,1,0))</f>
        <v>1</v>
      </c>
      <c r="P5" s="52">
        <f>SUM(IF(AD5&lt;0,1,0),IF(AE5&lt;0,1,0),IF(AF5&lt;0,1,0),IF(U5&lt;0,1,0),IF(V5&lt;0,1,0),IF(W5&lt;0,1,0),IF(X5&lt;0,1,0),IF(Y5&lt;0,1,0),IF(Z5&lt;0,1,0),IF(AA5&lt;0,1,0),IF(AB5&lt;0,1,0),IF(AC5&lt;0,1,0))</f>
        <v>7</v>
      </c>
      <c r="Q5" s="54">
        <f>1+SUM(IF(O5&lt;O6,1,0),IF(O5&lt;O7,1,0),IF(O5&lt;O8,1,0),IF(O5&lt;O9,1,0))</f>
        <v>4</v>
      </c>
      <c r="R5" s="55"/>
      <c r="S5" s="56"/>
      <c r="T5" s="56"/>
      <c r="U5" s="57">
        <f>Q14-T14</f>
        <v>-11</v>
      </c>
      <c r="V5" s="57">
        <f>V14-Y14</f>
        <v>-12</v>
      </c>
      <c r="W5" s="57">
        <f>AA14-AD14</f>
        <v>0</v>
      </c>
      <c r="X5" s="57">
        <f>Q19-T19</f>
        <v>-2</v>
      </c>
      <c r="Y5" s="57">
        <f>V19-Y19</f>
        <v>-8</v>
      </c>
      <c r="Z5" s="57">
        <f>AA19-AD19</f>
        <v>0</v>
      </c>
      <c r="AA5" s="58">
        <f>Q22-T22</f>
        <v>-11</v>
      </c>
      <c r="AB5" s="58">
        <f>V22-Y22</f>
        <v>-9</v>
      </c>
      <c r="AC5" s="58">
        <f>AA22-AD22</f>
        <v>0</v>
      </c>
      <c r="AD5" s="58">
        <f>Q16-T16</f>
        <v>-4</v>
      </c>
      <c r="AE5" s="58">
        <f>V16-Y16</f>
        <v>2</v>
      </c>
      <c r="AF5" s="58">
        <f>AA16-AD16</f>
        <v>0</v>
      </c>
      <c r="AG5" s="58" t="str">
        <f>IF(Q5=Q6,IF(SUM(U5:W5)&gt;0,B5,B6),  IF(Q5=Q7,IF(SUM(X5:Z5)&gt;0, B5,B7),IF(Q5=Q8,IF(SUM(AA5:AC5)&gt;0, B5,B8),IF(Q5=Q9,IF(SUM(AD5:AF5)&lt;0,B5,B9)))))</f>
        <v>DC CYC C</v>
      </c>
      <c r="AH5" s="58" t="str">
        <f>IF(Q5=Q6,IF(SUM(U5:W5)&lt;0,B5,B6),  IF(Q5=Q7,IF(SUM(X5:Z5)&lt;0, B5,B7),IF(Q5=Q8,IF(SUM(AA5:AC5)&lt;0, B5,B8),IF(Q5=Q9, IF(SUM(AD5:AF5)&lt;0,B5,B9)))))</f>
        <v>DC CYC C</v>
      </c>
      <c r="AI5" s="60">
        <f t="shared" ref="AI5:AI9" si="1">Q5+IF(COUNTIF($AG$5:$AG$9,B5)&gt;0,0, IF(COUNTIF($AH$5:$AH$9,B5)&gt;0,1,0))</f>
        <v>4</v>
      </c>
      <c r="AJ5" s="61">
        <f t="shared" ref="AJ5:AJ9" si="2">SUM(R5:AF5)</f>
        <v>-55</v>
      </c>
      <c r="AK5" s="62">
        <f>1+SUM(IF(AJ5&lt;AJ6,1,0),IF(AJ5&lt;AJ7,1,0),IF(AJ5&lt;AJ8,1,0),IF(AJ5&lt;AJ9,1,0))</f>
        <v>5</v>
      </c>
      <c r="AL5" s="63">
        <f t="shared" ref="AL5:AL9" si="3">IF(SUM(E5,J5)=0,0,E5/(E5+J5))</f>
        <v>0</v>
      </c>
      <c r="AM5" s="62">
        <f>1+SUM(IF(AL5&lt;AL6,1,0),IF(AL5&lt;AL7,1,0),IF(AL5&lt;AL8,1,0),IF(AL5&lt;AL9,1,0))</f>
        <v>5</v>
      </c>
      <c r="AN5" s="64">
        <f t="shared" ref="AN5:AN9" si="4">IF(SUM(O5+P5)=0,0,O5/(O5+P5))</f>
        <v>0.125</v>
      </c>
      <c r="AO5" s="65">
        <f>1+SUM(IF(AN5&lt;AN6,1,0),IF(AN5&lt;AN7,1,0),IF(AN5&lt;AN8,1,0),IF(AN5&lt;AN9,1,0))</f>
        <v>4</v>
      </c>
      <c r="AP5" s="66">
        <f t="shared" ref="AP5:AP9" si="5">AJ5/SUM(O5:P5)</f>
        <v>-6.875</v>
      </c>
      <c r="AQ5" s="67">
        <f>1+SUM(IF(AP5&lt;AP6,1,0),IF(AP5&lt;AP7,1,0),IF(AP5&lt;AP8,1,0),IF(AP5&lt;AP9,1,0))</f>
        <v>5</v>
      </c>
      <c r="AR5" s="68">
        <f>1+SUM(IF(Q5&gt;Q6,1,IF(AND(Q5=Q6,AK5&gt;AK6),1,IF(AND(Q5=Q6,AK5=AK6),1,0))),IF(Q5&gt;Q7,1,IF(AND(Q5=Q7,AK5&gt;AK7),1,IF(AND(Q5=Q7,AK5=AK7),1,0))),IF(Q5&gt;Q8,1,IF(AND(Q5=Q8,AK5&gt;AK8),1,IF(AND(Q5=Q8,AK5=AK8),1,0))),IF(Q5&gt;Q9,1,IF(AND(Q5=Q9,AK5&gt;AK9),1,IF(AND(Q5=Q9,AK5=AK9),1,0))))</f>
        <v>5</v>
      </c>
    </row>
    <row r="6" spans="1:44" ht="15.75" customHeight="1" x14ac:dyDescent="0.2">
      <c r="A6" s="51">
        <f t="shared" si="0"/>
        <v>2</v>
      </c>
      <c r="B6" s="172" t="str">
        <f>+'Men''s Master'!J5</f>
        <v>Toronto Ngun Lam Blue</v>
      </c>
      <c r="C6" s="173"/>
      <c r="D6" s="173"/>
      <c r="E6" s="171">
        <f>SUM(IF(AG14=E14,1,0),IF(AG17=C17,1,0),IF(AG20=C20,1,0),IF(AG23=C23,1,0))</f>
        <v>3</v>
      </c>
      <c r="F6" s="162"/>
      <c r="G6" s="162"/>
      <c r="H6" s="162"/>
      <c r="I6" s="153"/>
      <c r="J6" s="169">
        <f>SUM(IF(AG14=E14,0,1),IF(AG17=C17,0,1),IF(AG20=C20,0,1),IF(AG23=C23,0,1))</f>
        <v>1</v>
      </c>
      <c r="K6" s="162"/>
      <c r="L6" s="162"/>
      <c r="M6" s="162"/>
      <c r="N6" s="170"/>
      <c r="O6" s="53">
        <f>SUM(IF(AD6&gt;0,1,0),IF(AE6&gt;0,1,0),IF(AF6&gt;0,1,0),IF(R6&gt;0,1,0),IF(S6&gt;0,1,0),IF(T6&gt;0,1,0),IF(X6&gt;0,1,0),IF(Y6&gt;0,1,0),IF(Z6&gt;0,1,0),IF(AA6&gt;0,1,0),IF(AB6&gt;0,1,0),IF(AC6&gt;0,1,0))</f>
        <v>6</v>
      </c>
      <c r="P6" s="52">
        <f>SUM(IF(AD6&lt;0,1,0),IF(AE6&lt;0,1,0),IF(AF6&lt;0,1,0),IF(R6&lt;0,1,0),IF(S6&lt;0,1,0),IF(T6&lt;0,1,0),IF(X6&lt;0,1,0),IF(Y6&lt;0,1,0),IF(Z6&lt;0,1,0),IF(AA6&lt;0,1,0),IF(AB6&lt;0,1,0),IF(AC6&lt;0,1,0))</f>
        <v>2</v>
      </c>
      <c r="Q6" s="54">
        <f>1+SUM(IF(O6&lt;O5,1,0),IF(O6&lt;O7,1,0),IF(O6&lt;O8,1,0),IF(O6&lt;O9,1,0))</f>
        <v>2</v>
      </c>
      <c r="R6" s="69">
        <f t="shared" ref="R6:T6" si="6">-U5</f>
        <v>11</v>
      </c>
      <c r="S6" s="58">
        <f t="shared" si="6"/>
        <v>12</v>
      </c>
      <c r="T6" s="58">
        <f t="shared" si="6"/>
        <v>0</v>
      </c>
      <c r="U6" s="56"/>
      <c r="V6" s="56"/>
      <c r="W6" s="56"/>
      <c r="X6" s="57">
        <f>Q17-T17</f>
        <v>2</v>
      </c>
      <c r="Y6" s="57">
        <f>V17-Y17</f>
        <v>2</v>
      </c>
      <c r="Z6" s="57">
        <f>AA17-AD17</f>
        <v>0</v>
      </c>
      <c r="AA6" s="58">
        <f>Q20-T20</f>
        <v>-6</v>
      </c>
      <c r="AB6" s="58">
        <f>V20-Y20</f>
        <v>-2</v>
      </c>
      <c r="AC6" s="58">
        <f>AA20-AD20</f>
        <v>0</v>
      </c>
      <c r="AD6" s="58">
        <f>Q23-T23</f>
        <v>6</v>
      </c>
      <c r="AE6" s="58">
        <f>V23-Y23</f>
        <v>12</v>
      </c>
      <c r="AF6" s="58">
        <f>AA23-AD23</f>
        <v>0</v>
      </c>
      <c r="AG6" s="58" t="b">
        <f>IF(Q6=Q7,IF(SUM(X6:Z6)&gt;0,B6,B7),IF(Q6=Q8,IF(SUM(AA6:AC6)&gt;0,B6,B8),IF(Q6=Q9,IF(SUM(AD6:AF6)&gt;0, B6,B9))))</f>
        <v>0</v>
      </c>
      <c r="AH6" s="58" t="b">
        <f>IF(Q6=Q7,IF(SUM(X6:Z6)&lt;0,B6,B7),IF(Q6=Q8,IF(SUM(AA6:AC6)&lt;0,B6,B8),IF(Q6=Q9,IF(SUM(AD6:AF6)&lt;0, B6,B9))))</f>
        <v>0</v>
      </c>
      <c r="AI6" s="60">
        <f t="shared" si="1"/>
        <v>2</v>
      </c>
      <c r="AJ6" s="61">
        <f t="shared" si="2"/>
        <v>37</v>
      </c>
      <c r="AK6" s="62">
        <f>1+SUM(IF(AJ6&lt;AJ5,1,0),IF(AJ6&lt;AJ7,1,0),IF(AJ6&lt;AJ8,1,0),IF(AJ6&lt;AJ9,1,0))</f>
        <v>2</v>
      </c>
      <c r="AL6" s="63">
        <f t="shared" si="3"/>
        <v>0.75</v>
      </c>
      <c r="AM6" s="62">
        <f>1+SUM(IF(AL6&lt;AL5,1,0),IF(AL6&lt;AL7,1,0),IF(AL6&lt;AL8,1,0),IF(AL6&lt;AL9,1,0))</f>
        <v>2</v>
      </c>
      <c r="AN6" s="64">
        <f t="shared" si="4"/>
        <v>0.75</v>
      </c>
      <c r="AO6" s="65">
        <f>1+SUM(IF(AN6&lt;AN5,1,0),IF(AN6&lt;AN7,1,0),IF(AN6&lt;AN8,1,0),IF(AN6&lt;AN9,1,0))</f>
        <v>2</v>
      </c>
      <c r="AP6" s="66">
        <f t="shared" si="5"/>
        <v>4.625</v>
      </c>
      <c r="AQ6" s="70">
        <f>1+SUM(IF(AP6&lt;AP5,1,0),IF(AP6&lt;AP7,1,0),IF(AP6&lt;AP8,1,0),IF(AP6&lt;AP9,1,0))</f>
        <v>2</v>
      </c>
      <c r="AR6" s="68">
        <f>1+SUM(IF(Q6&gt;Q5,1,IF(AND(Q6=Q5,AK6&gt;AK5),1,IF(AND(Q6=Q5,AK6=AK5),1,0))),IF(Q6&gt;Q7,1,IF(AND(Q6=Q7,AK6&gt;AK7),1,IF(AND(Q6=Q7,AK6=AK7),1,0))),IF(Q6&gt;Q8,1,IF(AND(Q6=Q8,AK6&gt;AK8),1,IF(AND(Q6=Q8,AK6=AK8),1,0))),IF(Q6&gt;Q9,1,IF(AND(Q6=Q9,AK6&gt;AK9),1,IF(AND(Q6=Q9,AK6=AK9),1,0))))</f>
        <v>2</v>
      </c>
    </row>
    <row r="7" spans="1:44" ht="15.75" customHeight="1" x14ac:dyDescent="0.2">
      <c r="A7" s="51">
        <f t="shared" si="0"/>
        <v>3</v>
      </c>
      <c r="B7" s="172" t="str">
        <f>+'Men''s Master'!J6</f>
        <v>Boston Rising Tide</v>
      </c>
      <c r="C7" s="173"/>
      <c r="D7" s="173"/>
      <c r="E7" s="171">
        <f>SUM(IF(AG15=C15,1,0),IF(AG17=E17,1,0),IF(AG19=E19,1,0),IF(AG21=C21,1,0))</f>
        <v>2</v>
      </c>
      <c r="F7" s="162"/>
      <c r="G7" s="162"/>
      <c r="H7" s="162"/>
      <c r="I7" s="153"/>
      <c r="J7" s="169">
        <f>SUM(IF(AG15=C15,0,1),IF(AG17=E17,0,1),IF(AG19=E19,0,1),IF(AG21=C21,0,1))</f>
        <v>2</v>
      </c>
      <c r="K7" s="162"/>
      <c r="L7" s="162"/>
      <c r="M7" s="162"/>
      <c r="N7" s="170"/>
      <c r="O7" s="53">
        <f>SUM(IF(AD7&gt;0,1,0),IF(AE7&gt;0,1,0),IF(AF7&gt;0,1,0),IF(U7&gt;0,1,0),IF(V7&gt;0,1,0),IF(W7&gt;0,1,0),IF(R7&gt;0,1,0),IF(S7&gt;0,1,0),IF(T7&gt;0,1,0),IF(AA7&gt;0,1,0),IF(AB7&gt;0,1,0),IF(AC7&gt;0,1,0))</f>
        <v>4</v>
      </c>
      <c r="P7" s="52">
        <f>SUM(IF(AD7&lt;0,1,0),IF(AE7&lt;0,1,0),IF(AF7&lt;0,1,0),IF(U7&lt;0,1,0),IF(V7&lt;0,1,0),IF(W7&lt;0,1,0),IF(R7&lt;0,1,0),IF(S7&lt;0,1,0),IF(T7&lt;0,1,0),IF(AA7&lt;0,1,0),IF(AB7&lt;0,1,0),IF(AC7&lt;0,1,0))</f>
        <v>4</v>
      </c>
      <c r="Q7" s="54">
        <f>1+SUM(IF(O7&lt;O6,1,0),IF(O7&lt;O5,1,0),IF(O7&lt;O8,1,0),IF(O7&lt;O9,1,0))</f>
        <v>3</v>
      </c>
      <c r="R7" s="69">
        <f t="shared" ref="R7:T7" si="7">-X5</f>
        <v>2</v>
      </c>
      <c r="S7" s="58">
        <f t="shared" si="7"/>
        <v>8</v>
      </c>
      <c r="T7" s="58">
        <f t="shared" si="7"/>
        <v>0</v>
      </c>
      <c r="U7" s="58">
        <f t="shared" ref="U7:W7" si="8">-X6</f>
        <v>-2</v>
      </c>
      <c r="V7" s="58">
        <f t="shared" si="8"/>
        <v>-2</v>
      </c>
      <c r="W7" s="58">
        <f t="shared" si="8"/>
        <v>0</v>
      </c>
      <c r="X7" s="71"/>
      <c r="Y7" s="71"/>
      <c r="Z7" s="71"/>
      <c r="AA7" s="58">
        <f>Q15-T15</f>
        <v>-8</v>
      </c>
      <c r="AB7" s="58">
        <f>V15-Y15</f>
        <v>-5</v>
      </c>
      <c r="AC7" s="58">
        <f>AA15-AD15</f>
        <v>0</v>
      </c>
      <c r="AD7" s="58">
        <f>Q21-T21</f>
        <v>4</v>
      </c>
      <c r="AE7" s="58">
        <f>V21-Y21</f>
        <v>4</v>
      </c>
      <c r="AF7" s="58">
        <f>AA21-AD21</f>
        <v>0</v>
      </c>
      <c r="AG7" s="58" t="b">
        <f>IF(Q7=Q8,IF(SUM(AA7:AC7)&gt;0,B7,B8),IF(Q7=Q9,IF(SUM(AD7:AF7)&gt;0,B7,B9)))</f>
        <v>0</v>
      </c>
      <c r="AH7" s="58" t="b">
        <f>IF(Q7=Q8,IF(SUM(AA7:AC7)&lt;0,B7,B8),IF(Q7=Q9,IF(SUM(AD7:AF7)&lt;0,B7,B9)))</f>
        <v>0</v>
      </c>
      <c r="AI7" s="60">
        <f t="shared" si="1"/>
        <v>3</v>
      </c>
      <c r="AJ7" s="61">
        <f t="shared" si="2"/>
        <v>1</v>
      </c>
      <c r="AK7" s="62">
        <f>1+SUM(IF(AJ7&lt;AJ6,1,0),IF(AJ7&lt;AJ5,1,0),IF(AJ7&lt;AJ8,1,0),IF(AJ7&lt;AJ9,1,0))</f>
        <v>3</v>
      </c>
      <c r="AL7" s="63">
        <f t="shared" si="3"/>
        <v>0.5</v>
      </c>
      <c r="AM7" s="62">
        <f>1+SUM(IF(AL7&lt;AL6,1,0),IF(AL7&lt;AL5,1,0),IF(AL7&lt;AL8,1,0),IF(AL7&lt;AL9,1,0))</f>
        <v>3</v>
      </c>
      <c r="AN7" s="64">
        <f t="shared" si="4"/>
        <v>0.5</v>
      </c>
      <c r="AO7" s="65">
        <f>1+SUM(IF(AN7&lt;AN6,1,0),IF(AN7&lt;AN5,1,0),IF(AN7&lt;AN8,1,0),IF(AN7&lt;AN9,1,0))</f>
        <v>3</v>
      </c>
      <c r="AP7" s="66">
        <f t="shared" si="5"/>
        <v>0.125</v>
      </c>
      <c r="AQ7" s="70">
        <f>1+SUM(IF(AP7&lt;AP6,1,0),IF(AP7&lt;AP5,1,0),IF(AP7&lt;AP8,1,0),IF(AP7&lt;AP9,1,0))</f>
        <v>3</v>
      </c>
      <c r="AR7" s="68">
        <f>1+SUM(IF(Q7&gt;Q5,1,IF(AND(Q7=Q5,AK7&gt;AK5),1,IF(AND(Q7=Q5,AK7=AK5),1,0))),IF(Q7&gt;Q6,1,IF(AND(Q7=Q6,AK7&gt;AK6),1,IF(AND(Q7=Q6,AK7=AK6),1,0))),IF(Q7&gt;Q8,1,IF(AND(Q7=Q8,AK7&gt;AK8),1,IF(AND(Q7=Q8,AK7=AK8),1,0))),IF(Q7&gt;Q9,1,IF(AND(Q7=Q9,AK7&gt;AK9),1,IF(AND(Q7=Q9,AK7=AK9),1,0))))</f>
        <v>3</v>
      </c>
    </row>
    <row r="8" spans="1:44" ht="15.75" customHeight="1" x14ac:dyDescent="0.2">
      <c r="A8" s="51">
        <f t="shared" si="0"/>
        <v>1</v>
      </c>
      <c r="B8" s="172" t="str">
        <f>+'Men''s Master'!J7</f>
        <v>Philly CIA A</v>
      </c>
      <c r="C8" s="173"/>
      <c r="D8" s="173"/>
      <c r="E8" s="171">
        <f>SUM(IF(AG15=E15,1,0),IF(AG18=C18,1,0),IF(AG20=E20,1,0),IF(AG22=E22,1,0))</f>
        <v>4</v>
      </c>
      <c r="F8" s="162"/>
      <c r="G8" s="162"/>
      <c r="H8" s="162"/>
      <c r="I8" s="153"/>
      <c r="J8" s="169">
        <f>SUM(IF(AG15=E15,0,1),IF(AG18=C18,0,1),IF(AG20=E20,0,1),IF(AG22=E22,0,1))</f>
        <v>0</v>
      </c>
      <c r="K8" s="162"/>
      <c r="L8" s="162"/>
      <c r="M8" s="162"/>
      <c r="N8" s="170"/>
      <c r="O8" s="53">
        <f>SUM(IF(AD8&gt;0,1,0),IF(AE8&gt;0,1,0),IF(AF8&gt;0,1,0),IF(U8&gt;0,1,0),IF(V8&gt;0,1,0),IF(W8&gt;0,1,0),IF(X8&gt;0,1,0),IF(Y8&gt;0,1,0),IF(Z8&gt;0,1,0),IF(R8&gt;0,1,0),IF(S8&gt;0,1,0),IF(T8&gt;0,1,0))</f>
        <v>8</v>
      </c>
      <c r="P8" s="52">
        <f>SUM(IF(AD8&lt;0,1,0),IF(AE8&lt;0,1,0),IF(AF8&lt;0,1,0),IF(U8&lt;0,1,0),IF(V8&lt;0,1,0),IF(W8&lt;0,1,0),IF(R8&lt;0,1,0),IF(S8&lt;0,1,0),IF(T8&lt;0,1,0),IF(X8&lt;0,1,0),IF(Y8&lt;0,1,0),IF(Z8&lt;0,1,0))</f>
        <v>0</v>
      </c>
      <c r="Q8" s="54">
        <f>1+SUM(IF(O8&lt;O6,1,0),IF(O8&lt;O7,1,0),IF(O8&lt;O5,1,0),IF(O8&lt;O9,1,0))</f>
        <v>1</v>
      </c>
      <c r="R8" s="69">
        <f t="shared" ref="R8:T8" si="9">-AA5</f>
        <v>11</v>
      </c>
      <c r="S8" s="58">
        <f t="shared" si="9"/>
        <v>9</v>
      </c>
      <c r="T8" s="58">
        <f t="shared" si="9"/>
        <v>0</v>
      </c>
      <c r="U8" s="58">
        <f t="shared" ref="U8:W8" si="10">-AA6</f>
        <v>6</v>
      </c>
      <c r="V8" s="58">
        <f t="shared" si="10"/>
        <v>2</v>
      </c>
      <c r="W8" s="58">
        <f t="shared" si="10"/>
        <v>0</v>
      </c>
      <c r="X8" s="58">
        <f t="shared" ref="X8:Z8" si="11">-AA7</f>
        <v>8</v>
      </c>
      <c r="Y8" s="58">
        <f t="shared" si="11"/>
        <v>5</v>
      </c>
      <c r="Z8" s="58">
        <f t="shared" si="11"/>
        <v>0</v>
      </c>
      <c r="AA8" s="71"/>
      <c r="AB8" s="71"/>
      <c r="AC8" s="71"/>
      <c r="AD8" s="58">
        <f>Q18-T18</f>
        <v>10</v>
      </c>
      <c r="AE8" s="58">
        <f>V18-Y18</f>
        <v>7</v>
      </c>
      <c r="AF8" s="58">
        <f>AA18-AD18</f>
        <v>0</v>
      </c>
      <c r="AG8" s="58" t="b">
        <f>IF(Q8=Q9,IF(SUM(AD8:AF8)&gt;0,B8,B9))</f>
        <v>0</v>
      </c>
      <c r="AH8" s="58" t="b">
        <f>IF(R8=R9,IF(SUM(AE8:AG8)&lt;0,C8,C9))</f>
        <v>0</v>
      </c>
      <c r="AI8" s="60">
        <f t="shared" si="1"/>
        <v>1</v>
      </c>
      <c r="AJ8" s="61">
        <f t="shared" si="2"/>
        <v>58</v>
      </c>
      <c r="AK8" s="72">
        <f>1+SUM(IF(AJ8&lt;AJ6,1,0),IF(AJ8&lt;AJ7,1,0),IF(AJ8&lt;AJ5,1,0),IF(AJ8&lt;AJ9,1,0))</f>
        <v>1</v>
      </c>
      <c r="AL8" s="63">
        <f t="shared" si="3"/>
        <v>1</v>
      </c>
      <c r="AM8" s="72">
        <f>1+SUM(IF(AL8&lt;AL6,1,0),IF(AL8&lt;AL7,1,0),IF(AL8&lt;AL5,1,0),IF(AL8&lt;AL9,1,0))</f>
        <v>1</v>
      </c>
      <c r="AN8" s="64">
        <f t="shared" si="4"/>
        <v>1</v>
      </c>
      <c r="AO8" s="65">
        <f>1+SUM(IF(AN8&lt;AN6,1,0),IF(AN8&lt;AN7,1,0),IF(AN8&lt;AN5,1,0),IF(AN8&lt;AN9,1,0))</f>
        <v>1</v>
      </c>
      <c r="AP8" s="66">
        <f t="shared" si="5"/>
        <v>7.25</v>
      </c>
      <c r="AQ8" s="73">
        <f>1+SUM(IF(AP8&lt;AP6,1,0),IF(AP8&lt;AP7,1,0),IF(AP8&lt;AP5,1,0),IF(AP8&lt;AP9,1,0))</f>
        <v>1</v>
      </c>
      <c r="AR8" s="68">
        <f>1+SUM(IF(Q8&gt;Q5,1,IF(AND(Q8=Q5,AK8&gt;AK5),1,IF(AND(Q8=Q5,AK8=AK5),1,0))),IF(Q8&gt;Q6,1,IF(AND(Q8=Q6,AK8&gt;AK6),1,IF(AND(Q8=Q6,AK8=AK6),1,0))),IF(Q8&gt;Q7,1,IF(AND(Q8=Q7,AK8&gt;AK7),1,IF(AND(Q8=Q7,AK8=AK7),1,0))),IF(Q8&gt;Q9,1,IF(AND(Q8=Q9,AK8&gt;AK9),1,IF(AND(Q8=Q9,AK8=AK9),1,0))))</f>
        <v>1</v>
      </c>
    </row>
    <row r="9" spans="1:44" ht="15.75" customHeight="1" x14ac:dyDescent="0.2">
      <c r="A9" s="51">
        <f t="shared" si="0"/>
        <v>4</v>
      </c>
      <c r="B9" s="172" t="str">
        <f>+'Men''s Master'!J8</f>
        <v>NY Gong Hoy</v>
      </c>
      <c r="C9" s="173"/>
      <c r="D9" s="173"/>
      <c r="E9" s="171">
        <f>SUM(IF(AG16=E16,1,0),IF(AG18=E18,1,0),IF(AG21=E21,1,0),IF(AG23=E23,1,0))</f>
        <v>1</v>
      </c>
      <c r="F9" s="162"/>
      <c r="G9" s="162"/>
      <c r="H9" s="162"/>
      <c r="I9" s="153"/>
      <c r="J9" s="169">
        <f>SUM(IF(AG16=E16,0,1),IF(AG18=E18,0,1),IF(AG21=E21,0,1),IF(AG23=E23,0,1))</f>
        <v>3</v>
      </c>
      <c r="K9" s="162"/>
      <c r="L9" s="162"/>
      <c r="M9" s="162"/>
      <c r="N9" s="170"/>
      <c r="O9" s="53">
        <f>SUM(IF(R9&gt;0,1,0),IF(S9&gt;0,1,0),IF(T9&gt;0,1,0),IF(U9&gt;0,1,0),IF(V9&gt;0,1,0),IF(W9&gt;0,1,0),IF(X9&gt;0,1,0),IF(Y9&gt;0,1,0),IF(Z9&gt;0,1,0),IF(AA9&gt;0,1,0),IF(AB9&gt;0,1,0),IF(AC9&gt;0,1,0))</f>
        <v>1</v>
      </c>
      <c r="P9" s="52">
        <f>SUM(IF(R9&lt;0,1,0),IF(S9&lt;0,1,0),IF(T9&lt;0,1,0),IF(U9&lt;0,1,0),IF(V9&lt;0,1,0),IF(W9&lt;0,1,0),IF(X9&lt;0,1,0),IF(Y9&lt;0,1,0),IF(Z9&lt;0,1,0),IF(AA9&lt;0,1,0),IF(AB9&lt;0,1,0),IF(AC9&lt;0,1,0))</f>
        <v>7</v>
      </c>
      <c r="Q9" s="54">
        <f>1+SUM(IF(O9&lt;O6,1,0),IF(O9&lt;O7,1,0),IF(O9&lt;O8,1,0),IF(O9&lt;O5,1,0))</f>
        <v>4</v>
      </c>
      <c r="R9" s="74">
        <f t="shared" ref="R9:T9" si="12">-AD5</f>
        <v>4</v>
      </c>
      <c r="S9" s="75">
        <f t="shared" si="12"/>
        <v>-2</v>
      </c>
      <c r="T9" s="75">
        <f t="shared" si="12"/>
        <v>0</v>
      </c>
      <c r="U9" s="75">
        <f t="shared" ref="U9:W9" si="13">-AD6</f>
        <v>-6</v>
      </c>
      <c r="V9" s="75">
        <f t="shared" si="13"/>
        <v>-12</v>
      </c>
      <c r="W9" s="75">
        <f t="shared" si="13"/>
        <v>0</v>
      </c>
      <c r="X9" s="75">
        <f t="shared" ref="X9:Z9" si="14">-AD7</f>
        <v>-4</v>
      </c>
      <c r="Y9" s="75">
        <f t="shared" si="14"/>
        <v>-4</v>
      </c>
      <c r="Z9" s="75">
        <f t="shared" si="14"/>
        <v>0</v>
      </c>
      <c r="AA9" s="75">
        <f t="shared" ref="AA9:AC9" si="15">-AD8</f>
        <v>-10</v>
      </c>
      <c r="AB9" s="75">
        <f t="shared" si="15"/>
        <v>-7</v>
      </c>
      <c r="AC9" s="75">
        <f t="shared" si="15"/>
        <v>0</v>
      </c>
      <c r="AD9" s="76"/>
      <c r="AE9" s="76"/>
      <c r="AF9" s="76"/>
      <c r="AG9" s="77" t="s">
        <v>168</v>
      </c>
      <c r="AH9" s="77" t="s">
        <v>168</v>
      </c>
      <c r="AI9" s="60">
        <f t="shared" si="1"/>
        <v>4</v>
      </c>
      <c r="AJ9" s="78">
        <f t="shared" si="2"/>
        <v>-41</v>
      </c>
      <c r="AK9" s="72">
        <f>1+SUM(IF(AJ9&lt;AJ6,1,0),IF(AJ9&lt;AJ7,1,0),IF(AJ9&lt;AJ8,1,0),IF(AJ9&lt;AJ5,1,0))</f>
        <v>4</v>
      </c>
      <c r="AL9" s="79">
        <f t="shared" si="3"/>
        <v>0.25</v>
      </c>
      <c r="AM9" s="72">
        <f>1+SUM(IF(AL9&lt;AL6,1,0),IF(AL9&lt;AL7,1,0),IF(AL9&lt;AL8,1,0),IF(AL9&lt;AL5,1,0))</f>
        <v>4</v>
      </c>
      <c r="AN9" s="64">
        <f t="shared" si="4"/>
        <v>0.125</v>
      </c>
      <c r="AO9" s="65">
        <f>1+SUM(IF(AN9&lt;AN6,1,0),IF(AN9&lt;AN7,1,0),IF(AN9&lt;AN8,1,0),IF(AN9&lt;AN5,1,0))</f>
        <v>4</v>
      </c>
      <c r="AP9" s="66">
        <f t="shared" si="5"/>
        <v>-5.125</v>
      </c>
      <c r="AQ9" s="73">
        <f>1+SUM(IF(AP9&lt;AP6,1,0),IF(AP9&lt;AP7,1,0),IF(AP9&lt;AP8,1,0),IF(AP9&lt;AP5,1,0))</f>
        <v>4</v>
      </c>
      <c r="AR9" s="68">
        <f>1+SUM(IF(Q9&gt;Q5,1,IF(AND(Q9=Q5,AK9&gt;AK5),1,IF(AND(Q9=Q5,AK9=AK5),1,0))),IF(Q9&gt;Q6,1,IF(AND(Q9=Q6,AK9&gt;AK6),1,IF(AND(Q9=Q6,AK9=AK6),1,0))),IF(Q9&gt;Q7,1,IF(AND(Q9=Q7,AK9&gt;AK7),1,IF(AND(Q9=Q7,AK9=AK7),1,0))),IF(Q9&gt;Q8,1,IF(AND(Q9=Q8,AK9&gt;AK8),1,IF(AND(Q9=Q8,AK9=AK8),1,0))))</f>
        <v>4</v>
      </c>
    </row>
    <row r="10" spans="1:44" ht="12.75" customHeight="1" x14ac:dyDescent="0.2">
      <c r="A10" s="174"/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80"/>
      <c r="AI10" s="41"/>
      <c r="AJ10" s="41"/>
      <c r="AK10" s="41"/>
      <c r="AL10" s="41"/>
      <c r="AM10" s="41"/>
      <c r="AN10" s="41"/>
      <c r="AO10" s="5"/>
      <c r="AP10" s="5"/>
      <c r="AQ10" s="5"/>
      <c r="AR10" s="5"/>
    </row>
    <row r="11" spans="1:44" ht="12.75" customHeight="1" x14ac:dyDescent="0.2">
      <c r="A11" s="136"/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80"/>
      <c r="AI11" s="41"/>
      <c r="AJ11" s="41"/>
      <c r="AK11" s="41"/>
      <c r="AL11" s="41"/>
      <c r="AM11" s="41"/>
      <c r="AN11" s="41"/>
      <c r="AO11" s="5"/>
      <c r="AP11" s="5"/>
      <c r="AQ11" s="5"/>
      <c r="AR11" s="5"/>
    </row>
    <row r="12" spans="1:44" ht="13.5" customHeight="1" x14ac:dyDescent="0.2">
      <c r="A12" s="136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80"/>
      <c r="AI12" s="41"/>
      <c r="AJ12" s="41"/>
      <c r="AK12" s="41"/>
      <c r="AL12" s="41"/>
      <c r="AM12" s="41"/>
      <c r="AN12" s="41"/>
      <c r="AO12" s="5"/>
      <c r="AP12" s="5"/>
      <c r="AQ12" s="5"/>
      <c r="AR12" s="5"/>
    </row>
    <row r="13" spans="1:44" ht="13.5" customHeight="1" x14ac:dyDescent="0.2">
      <c r="A13" s="167"/>
      <c r="B13" s="136"/>
      <c r="C13" s="81" t="s">
        <v>169</v>
      </c>
      <c r="D13" s="82" t="s">
        <v>170</v>
      </c>
      <c r="E13" s="165" t="s">
        <v>169</v>
      </c>
      <c r="F13" s="156"/>
      <c r="G13" s="156"/>
      <c r="H13" s="156"/>
      <c r="I13" s="156"/>
      <c r="J13" s="156"/>
      <c r="K13" s="156"/>
      <c r="L13" s="156"/>
      <c r="M13" s="166"/>
      <c r="N13" s="176" t="s">
        <v>171</v>
      </c>
      <c r="O13" s="177"/>
      <c r="P13" s="178"/>
      <c r="Q13" s="155" t="s">
        <v>172</v>
      </c>
      <c r="R13" s="156"/>
      <c r="S13" s="156"/>
      <c r="T13" s="156"/>
      <c r="U13" s="166"/>
      <c r="V13" s="175" t="s">
        <v>173</v>
      </c>
      <c r="W13" s="156"/>
      <c r="X13" s="156"/>
      <c r="Y13" s="156"/>
      <c r="Z13" s="166"/>
      <c r="AA13" s="155" t="s">
        <v>174</v>
      </c>
      <c r="AB13" s="156"/>
      <c r="AC13" s="156"/>
      <c r="AD13" s="156"/>
      <c r="AE13" s="157"/>
      <c r="AF13" s="83"/>
      <c r="AG13" s="84" t="s">
        <v>175</v>
      </c>
      <c r="AH13" s="49" t="s">
        <v>176</v>
      </c>
      <c r="AI13" s="158" t="s">
        <v>177</v>
      </c>
      <c r="AJ13" s="159"/>
      <c r="AK13" s="41"/>
      <c r="AL13" s="5"/>
      <c r="AM13" s="5"/>
      <c r="AN13" s="5"/>
      <c r="AO13" s="5"/>
      <c r="AP13" s="5"/>
      <c r="AQ13" s="5"/>
      <c r="AR13" s="5"/>
    </row>
    <row r="14" spans="1:44" ht="15.75" customHeight="1" x14ac:dyDescent="0.2">
      <c r="A14" s="85">
        <v>1</v>
      </c>
      <c r="B14" s="86">
        <v>1</v>
      </c>
      <c r="C14" s="117" t="str">
        <f>+B5</f>
        <v>DC CYC C</v>
      </c>
      <c r="D14" s="88">
        <v>2</v>
      </c>
      <c r="E14" s="161" t="str">
        <f>+B6</f>
        <v>Toronto Ngun Lam Blue</v>
      </c>
      <c r="F14" s="162"/>
      <c r="G14" s="162"/>
      <c r="H14" s="162"/>
      <c r="I14" s="162"/>
      <c r="J14" s="162"/>
      <c r="K14" s="162"/>
      <c r="L14" s="162"/>
      <c r="M14" s="153"/>
      <c r="N14" s="89">
        <v>3</v>
      </c>
      <c r="O14" s="160" t="str">
        <f>+B7</f>
        <v>Boston Rising Tide</v>
      </c>
      <c r="P14" s="153"/>
      <c r="Q14" s="151">
        <v>10</v>
      </c>
      <c r="R14" s="143"/>
      <c r="S14" s="91">
        <v>0</v>
      </c>
      <c r="T14" s="151">
        <v>21</v>
      </c>
      <c r="U14" s="143"/>
      <c r="V14" s="154">
        <v>9</v>
      </c>
      <c r="W14" s="143"/>
      <c r="X14" s="92">
        <v>0</v>
      </c>
      <c r="Y14" s="154">
        <v>21</v>
      </c>
      <c r="Z14" s="143"/>
      <c r="AA14" s="152"/>
      <c r="AB14" s="153"/>
      <c r="AC14" s="93" t="s">
        <v>178</v>
      </c>
      <c r="AD14" s="152"/>
      <c r="AE14" s="153"/>
      <c r="AF14" s="94"/>
      <c r="AG14" s="104" t="str">
        <f t="shared" ref="AG14:AG23" si="16">IF(AND(Q14&gt;T14,V14&gt;Y14),C14, IF(AND(T14&gt;Q14,Y14&gt;V14),E14, IF((Q14)+(V14)+(AA14)-(T14)-(Y14)-(AD14)&gt;0,C14,E14)))</f>
        <v>Toronto Ngun Lam Blue</v>
      </c>
      <c r="AH14" s="96">
        <f t="shared" ref="AH14:AH23" si="17">(Q14)+(V14)+(AA14)-(T14)-(Y14)-(AD14)</f>
        <v>-23</v>
      </c>
      <c r="AI14" s="147">
        <v>0.375</v>
      </c>
      <c r="AJ14" s="148"/>
      <c r="AK14" s="5"/>
      <c r="AL14" s="5"/>
      <c r="AM14" s="5"/>
      <c r="AN14" s="5"/>
      <c r="AO14" s="5"/>
      <c r="AP14" s="5"/>
      <c r="AQ14" s="5"/>
      <c r="AR14" s="5"/>
    </row>
    <row r="15" spans="1:44" ht="15.75" customHeight="1" x14ac:dyDescent="0.2">
      <c r="A15" s="97">
        <v>2</v>
      </c>
      <c r="B15" s="98">
        <v>3</v>
      </c>
      <c r="C15" s="99" t="str">
        <f>+B7</f>
        <v>Boston Rising Tide</v>
      </c>
      <c r="D15" s="61">
        <v>4</v>
      </c>
      <c r="E15" s="163" t="str">
        <f t="shared" ref="E15:E16" si="18">+B8</f>
        <v>Philly CIA A</v>
      </c>
      <c r="F15" s="164"/>
      <c r="G15" s="164"/>
      <c r="H15" s="164"/>
      <c r="I15" s="164"/>
      <c r="J15" s="164"/>
      <c r="K15" s="164"/>
      <c r="L15" s="164"/>
      <c r="M15" s="143"/>
      <c r="N15" s="100">
        <v>2</v>
      </c>
      <c r="O15" s="168" t="str">
        <f>+B6</f>
        <v>Toronto Ngun Lam Blue</v>
      </c>
      <c r="P15" s="143"/>
      <c r="Q15" s="144">
        <v>13</v>
      </c>
      <c r="R15" s="141"/>
      <c r="S15" s="101">
        <v>0</v>
      </c>
      <c r="T15" s="144">
        <v>21</v>
      </c>
      <c r="U15" s="141"/>
      <c r="V15" s="140">
        <v>16</v>
      </c>
      <c r="W15" s="141"/>
      <c r="X15" s="102">
        <v>0</v>
      </c>
      <c r="Y15" s="140">
        <v>21</v>
      </c>
      <c r="Z15" s="141"/>
      <c r="AA15" s="142"/>
      <c r="AB15" s="143"/>
      <c r="AC15" s="103" t="s">
        <v>178</v>
      </c>
      <c r="AD15" s="142"/>
      <c r="AE15" s="143"/>
      <c r="AF15" s="94"/>
      <c r="AG15" s="104" t="str">
        <f t="shared" si="16"/>
        <v>Philly CIA A</v>
      </c>
      <c r="AH15" s="96">
        <f t="shared" si="17"/>
        <v>-13</v>
      </c>
      <c r="AI15" s="149">
        <v>0.40972222222222227</v>
      </c>
      <c r="AJ15" s="150"/>
      <c r="AK15" s="5"/>
      <c r="AL15" s="5"/>
      <c r="AM15" s="5"/>
      <c r="AN15" s="5"/>
      <c r="AO15" s="5"/>
      <c r="AP15" s="5"/>
      <c r="AQ15" s="5"/>
      <c r="AR15" s="5"/>
    </row>
    <row r="16" spans="1:44" ht="15.75" customHeight="1" x14ac:dyDescent="0.2">
      <c r="A16" s="97">
        <v>3</v>
      </c>
      <c r="B16" s="98">
        <v>1</v>
      </c>
      <c r="C16" s="99" t="str">
        <f t="shared" ref="C16:C17" si="19">+B5</f>
        <v>DC CYC C</v>
      </c>
      <c r="D16" s="61">
        <v>5</v>
      </c>
      <c r="E16" s="163" t="str">
        <f t="shared" si="18"/>
        <v>NY Gong Hoy</v>
      </c>
      <c r="F16" s="164"/>
      <c r="G16" s="164"/>
      <c r="H16" s="164"/>
      <c r="I16" s="164"/>
      <c r="J16" s="164"/>
      <c r="K16" s="164"/>
      <c r="L16" s="164"/>
      <c r="M16" s="143"/>
      <c r="N16" s="100">
        <v>4</v>
      </c>
      <c r="O16" s="168" t="str">
        <f>+B8</f>
        <v>Philly CIA A</v>
      </c>
      <c r="P16" s="143"/>
      <c r="Q16" s="144">
        <v>17</v>
      </c>
      <c r="R16" s="141"/>
      <c r="S16" s="101">
        <v>0</v>
      </c>
      <c r="T16" s="144">
        <v>21</v>
      </c>
      <c r="U16" s="141"/>
      <c r="V16" s="140">
        <v>22</v>
      </c>
      <c r="W16" s="141"/>
      <c r="X16" s="102">
        <v>0</v>
      </c>
      <c r="Y16" s="140">
        <v>20</v>
      </c>
      <c r="Z16" s="141"/>
      <c r="AA16" s="142"/>
      <c r="AB16" s="143"/>
      <c r="AC16" s="103" t="s">
        <v>178</v>
      </c>
      <c r="AD16" s="142"/>
      <c r="AE16" s="143"/>
      <c r="AF16" s="94"/>
      <c r="AG16" s="104" t="str">
        <f t="shared" si="16"/>
        <v>NY Gong Hoy</v>
      </c>
      <c r="AH16" s="96">
        <f t="shared" si="17"/>
        <v>-2</v>
      </c>
      <c r="AI16" s="149">
        <v>0.44444444444444442</v>
      </c>
      <c r="AJ16" s="150"/>
      <c r="AK16" s="5"/>
      <c r="AL16" s="5"/>
      <c r="AM16" s="5"/>
      <c r="AN16" s="5"/>
      <c r="AO16" s="5"/>
      <c r="AP16" s="5"/>
      <c r="AQ16" s="5"/>
      <c r="AR16" s="5"/>
    </row>
    <row r="17" spans="1:44" ht="15.75" customHeight="1" x14ac:dyDescent="0.2">
      <c r="A17" s="97">
        <v>4</v>
      </c>
      <c r="B17" s="98">
        <v>2</v>
      </c>
      <c r="C17" s="99" t="str">
        <f t="shared" si="19"/>
        <v>Toronto Ngun Lam Blue</v>
      </c>
      <c r="D17" s="61">
        <v>3</v>
      </c>
      <c r="E17" s="163" t="str">
        <f>+B7</f>
        <v>Boston Rising Tide</v>
      </c>
      <c r="F17" s="164"/>
      <c r="G17" s="164"/>
      <c r="H17" s="164"/>
      <c r="I17" s="164"/>
      <c r="J17" s="164"/>
      <c r="K17" s="164"/>
      <c r="L17" s="164"/>
      <c r="M17" s="143"/>
      <c r="N17" s="100">
        <v>1</v>
      </c>
      <c r="O17" s="168" t="str">
        <f>+B5</f>
        <v>DC CYC C</v>
      </c>
      <c r="P17" s="143"/>
      <c r="Q17" s="144">
        <v>22</v>
      </c>
      <c r="R17" s="141"/>
      <c r="S17" s="101">
        <v>0</v>
      </c>
      <c r="T17" s="144">
        <v>20</v>
      </c>
      <c r="U17" s="141"/>
      <c r="V17" s="140">
        <v>21</v>
      </c>
      <c r="W17" s="141"/>
      <c r="X17" s="102">
        <v>0</v>
      </c>
      <c r="Y17" s="140">
        <v>19</v>
      </c>
      <c r="Z17" s="141"/>
      <c r="AA17" s="142"/>
      <c r="AB17" s="143"/>
      <c r="AC17" s="103" t="s">
        <v>178</v>
      </c>
      <c r="AD17" s="142"/>
      <c r="AE17" s="143"/>
      <c r="AF17" s="94"/>
      <c r="AG17" s="104" t="str">
        <f t="shared" si="16"/>
        <v>Toronto Ngun Lam Blue</v>
      </c>
      <c r="AH17" s="96">
        <f t="shared" si="17"/>
        <v>4</v>
      </c>
      <c r="AI17" s="149">
        <v>0.47916666666666669</v>
      </c>
      <c r="AJ17" s="150"/>
      <c r="AK17" s="5"/>
      <c r="AL17" s="5"/>
      <c r="AM17" s="5"/>
      <c r="AN17" s="5"/>
      <c r="AO17" s="5"/>
      <c r="AP17" s="5"/>
      <c r="AQ17" s="5"/>
      <c r="AR17" s="5"/>
    </row>
    <row r="18" spans="1:44" ht="15.75" customHeight="1" x14ac:dyDescent="0.2">
      <c r="A18" s="97">
        <v>5</v>
      </c>
      <c r="B18" s="98">
        <v>4</v>
      </c>
      <c r="C18" s="99" t="str">
        <f>+B8</f>
        <v>Philly CIA A</v>
      </c>
      <c r="D18" s="61">
        <v>5</v>
      </c>
      <c r="E18" s="163" t="str">
        <f>+B9</f>
        <v>NY Gong Hoy</v>
      </c>
      <c r="F18" s="164"/>
      <c r="G18" s="164"/>
      <c r="H18" s="164"/>
      <c r="I18" s="164"/>
      <c r="J18" s="164"/>
      <c r="K18" s="164"/>
      <c r="L18" s="164"/>
      <c r="M18" s="143"/>
      <c r="N18" s="100">
        <v>3</v>
      </c>
      <c r="O18" s="168" t="str">
        <f>+B7</f>
        <v>Boston Rising Tide</v>
      </c>
      <c r="P18" s="143"/>
      <c r="Q18" s="144">
        <v>21</v>
      </c>
      <c r="R18" s="141"/>
      <c r="S18" s="101">
        <v>0</v>
      </c>
      <c r="T18" s="144">
        <v>11</v>
      </c>
      <c r="U18" s="141"/>
      <c r="V18" s="140">
        <v>21</v>
      </c>
      <c r="W18" s="141"/>
      <c r="X18" s="102">
        <v>0</v>
      </c>
      <c r="Y18" s="140">
        <v>14</v>
      </c>
      <c r="Z18" s="141"/>
      <c r="AA18" s="142"/>
      <c r="AB18" s="143"/>
      <c r="AC18" s="103" t="s">
        <v>178</v>
      </c>
      <c r="AD18" s="142"/>
      <c r="AE18" s="143"/>
      <c r="AF18" s="94"/>
      <c r="AG18" s="104" t="str">
        <f t="shared" si="16"/>
        <v>Philly CIA A</v>
      </c>
      <c r="AH18" s="96">
        <f t="shared" si="17"/>
        <v>17</v>
      </c>
      <c r="AI18" s="149">
        <v>0.53472222222222221</v>
      </c>
      <c r="AJ18" s="150"/>
      <c r="AK18" s="5"/>
      <c r="AL18" s="5"/>
      <c r="AM18" s="5"/>
      <c r="AN18" s="5"/>
      <c r="AO18" s="5"/>
      <c r="AP18" s="5"/>
      <c r="AQ18" s="5"/>
      <c r="AR18" s="5"/>
    </row>
    <row r="19" spans="1:44" ht="15.75" customHeight="1" x14ac:dyDescent="0.2">
      <c r="A19" s="97">
        <v>6</v>
      </c>
      <c r="B19" s="98">
        <v>1</v>
      </c>
      <c r="C19" s="99" t="str">
        <f t="shared" ref="C19:C21" si="20">+B5</f>
        <v>DC CYC C</v>
      </c>
      <c r="D19" s="61">
        <v>3</v>
      </c>
      <c r="E19" s="163" t="str">
        <f t="shared" ref="E19:E21" si="21">+B7</f>
        <v>Boston Rising Tide</v>
      </c>
      <c r="F19" s="164"/>
      <c r="G19" s="164"/>
      <c r="H19" s="164"/>
      <c r="I19" s="164"/>
      <c r="J19" s="164"/>
      <c r="K19" s="164"/>
      <c r="L19" s="164"/>
      <c r="M19" s="143"/>
      <c r="N19" s="100">
        <v>5</v>
      </c>
      <c r="O19" s="168" t="str">
        <f>+B9</f>
        <v>NY Gong Hoy</v>
      </c>
      <c r="P19" s="143"/>
      <c r="Q19" s="144">
        <v>21</v>
      </c>
      <c r="R19" s="141"/>
      <c r="S19" s="101">
        <v>0</v>
      </c>
      <c r="T19" s="144">
        <v>23</v>
      </c>
      <c r="U19" s="141"/>
      <c r="V19" s="140">
        <v>13</v>
      </c>
      <c r="W19" s="141"/>
      <c r="X19" s="102">
        <v>0</v>
      </c>
      <c r="Y19" s="140">
        <v>21</v>
      </c>
      <c r="Z19" s="141"/>
      <c r="AA19" s="142"/>
      <c r="AB19" s="143"/>
      <c r="AC19" s="103" t="s">
        <v>178</v>
      </c>
      <c r="AD19" s="142"/>
      <c r="AE19" s="143"/>
      <c r="AF19" s="94"/>
      <c r="AG19" s="104" t="str">
        <f t="shared" si="16"/>
        <v>Boston Rising Tide</v>
      </c>
      <c r="AH19" s="96">
        <f t="shared" si="17"/>
        <v>-10</v>
      </c>
      <c r="AI19" s="149">
        <v>6.9444444444444434E-2</v>
      </c>
      <c r="AJ19" s="150"/>
      <c r="AK19" s="5"/>
      <c r="AL19" s="5"/>
      <c r="AM19" s="5"/>
      <c r="AN19" s="5"/>
      <c r="AO19" s="5"/>
      <c r="AP19" s="5"/>
      <c r="AQ19" s="5"/>
      <c r="AR19" s="5"/>
    </row>
    <row r="20" spans="1:44" ht="15.75" customHeight="1" x14ac:dyDescent="0.2">
      <c r="A20" s="97">
        <v>7</v>
      </c>
      <c r="B20" s="98">
        <v>2</v>
      </c>
      <c r="C20" s="99" t="str">
        <f t="shared" si="20"/>
        <v>Toronto Ngun Lam Blue</v>
      </c>
      <c r="D20" s="61">
        <v>4</v>
      </c>
      <c r="E20" s="163" t="str">
        <f t="shared" si="21"/>
        <v>Philly CIA A</v>
      </c>
      <c r="F20" s="164"/>
      <c r="G20" s="164"/>
      <c r="H20" s="164"/>
      <c r="I20" s="164"/>
      <c r="J20" s="164"/>
      <c r="K20" s="164"/>
      <c r="L20" s="164"/>
      <c r="M20" s="143"/>
      <c r="N20" s="100">
        <v>1</v>
      </c>
      <c r="O20" s="168" t="str">
        <f t="shared" ref="O20:O21" si="22">+B5</f>
        <v>DC CYC C</v>
      </c>
      <c r="P20" s="143"/>
      <c r="Q20" s="144">
        <v>15</v>
      </c>
      <c r="R20" s="141"/>
      <c r="S20" s="101">
        <v>0</v>
      </c>
      <c r="T20" s="144">
        <v>21</v>
      </c>
      <c r="U20" s="141"/>
      <c r="V20" s="140">
        <v>21</v>
      </c>
      <c r="W20" s="141"/>
      <c r="X20" s="102">
        <v>0</v>
      </c>
      <c r="Y20" s="140">
        <v>23</v>
      </c>
      <c r="Z20" s="141"/>
      <c r="AA20" s="142"/>
      <c r="AB20" s="143"/>
      <c r="AC20" s="103" t="s">
        <v>178</v>
      </c>
      <c r="AD20" s="142"/>
      <c r="AE20" s="143"/>
      <c r="AF20" s="94"/>
      <c r="AG20" s="104" t="str">
        <f t="shared" si="16"/>
        <v>Philly CIA A</v>
      </c>
      <c r="AH20" s="96">
        <f t="shared" si="17"/>
        <v>-8</v>
      </c>
      <c r="AI20" s="149">
        <v>0.10416666666666667</v>
      </c>
      <c r="AJ20" s="150"/>
      <c r="AK20" s="5"/>
      <c r="AL20" s="5"/>
      <c r="AM20" s="5"/>
      <c r="AN20" s="5"/>
      <c r="AO20" s="5"/>
      <c r="AP20" s="5"/>
      <c r="AQ20" s="5"/>
      <c r="AR20" s="5"/>
    </row>
    <row r="21" spans="1:44" ht="15.75" customHeight="1" x14ac:dyDescent="0.2">
      <c r="A21" s="97">
        <v>8</v>
      </c>
      <c r="B21" s="98">
        <v>3</v>
      </c>
      <c r="C21" s="99" t="str">
        <f t="shared" si="20"/>
        <v>Boston Rising Tide</v>
      </c>
      <c r="D21" s="61">
        <v>5</v>
      </c>
      <c r="E21" s="163" t="str">
        <f t="shared" si="21"/>
        <v>NY Gong Hoy</v>
      </c>
      <c r="F21" s="164"/>
      <c r="G21" s="164"/>
      <c r="H21" s="164"/>
      <c r="I21" s="164"/>
      <c r="J21" s="164"/>
      <c r="K21" s="164"/>
      <c r="L21" s="164"/>
      <c r="M21" s="143"/>
      <c r="N21" s="100">
        <v>2</v>
      </c>
      <c r="O21" s="168" t="str">
        <f t="shared" si="22"/>
        <v>Toronto Ngun Lam Blue</v>
      </c>
      <c r="P21" s="143"/>
      <c r="Q21" s="144">
        <v>21</v>
      </c>
      <c r="R21" s="141"/>
      <c r="S21" s="101">
        <v>0</v>
      </c>
      <c r="T21" s="144">
        <v>17</v>
      </c>
      <c r="U21" s="141"/>
      <c r="V21" s="140">
        <v>21</v>
      </c>
      <c r="W21" s="141"/>
      <c r="X21" s="102">
        <v>0</v>
      </c>
      <c r="Y21" s="140">
        <v>17</v>
      </c>
      <c r="Z21" s="141"/>
      <c r="AA21" s="142"/>
      <c r="AB21" s="143"/>
      <c r="AC21" s="103" t="s">
        <v>178</v>
      </c>
      <c r="AD21" s="142"/>
      <c r="AE21" s="143"/>
      <c r="AF21" s="94"/>
      <c r="AG21" s="104" t="str">
        <f t="shared" si="16"/>
        <v>Boston Rising Tide</v>
      </c>
      <c r="AH21" s="96">
        <f t="shared" si="17"/>
        <v>8</v>
      </c>
      <c r="AI21" s="149">
        <v>0.15972222222222224</v>
      </c>
      <c r="AJ21" s="150"/>
      <c r="AK21" s="5"/>
      <c r="AL21" s="5"/>
      <c r="AM21" s="5"/>
      <c r="AN21" s="5"/>
      <c r="AO21" s="5"/>
      <c r="AP21" s="5"/>
      <c r="AQ21" s="5"/>
      <c r="AR21" s="5"/>
    </row>
    <row r="22" spans="1:44" ht="15.75" customHeight="1" x14ac:dyDescent="0.2">
      <c r="A22" s="97">
        <v>9</v>
      </c>
      <c r="B22" s="98">
        <v>1</v>
      </c>
      <c r="C22" s="99" t="str">
        <f t="shared" ref="C22:C23" si="23">+B5</f>
        <v>DC CYC C</v>
      </c>
      <c r="D22" s="61">
        <v>4</v>
      </c>
      <c r="E22" s="163" t="str">
        <f t="shared" ref="E22:E23" si="24">+B8</f>
        <v>Philly CIA A</v>
      </c>
      <c r="F22" s="164"/>
      <c r="G22" s="164"/>
      <c r="H22" s="164"/>
      <c r="I22" s="164"/>
      <c r="J22" s="164"/>
      <c r="K22" s="164"/>
      <c r="L22" s="164"/>
      <c r="M22" s="143"/>
      <c r="N22" s="100">
        <v>5</v>
      </c>
      <c r="O22" s="168" t="str">
        <f>+B9</f>
        <v>NY Gong Hoy</v>
      </c>
      <c r="P22" s="143"/>
      <c r="Q22" s="144">
        <v>10</v>
      </c>
      <c r="R22" s="141"/>
      <c r="S22" s="101">
        <v>0</v>
      </c>
      <c r="T22" s="144">
        <v>21</v>
      </c>
      <c r="U22" s="141"/>
      <c r="V22" s="140">
        <v>12</v>
      </c>
      <c r="W22" s="141"/>
      <c r="X22" s="102">
        <v>0</v>
      </c>
      <c r="Y22" s="140">
        <v>21</v>
      </c>
      <c r="Z22" s="141"/>
      <c r="AA22" s="142"/>
      <c r="AB22" s="143"/>
      <c r="AC22" s="103" t="s">
        <v>178</v>
      </c>
      <c r="AD22" s="142"/>
      <c r="AE22" s="143"/>
      <c r="AF22" s="94"/>
      <c r="AG22" s="104" t="str">
        <f t="shared" si="16"/>
        <v>Philly CIA A</v>
      </c>
      <c r="AH22" s="96">
        <f t="shared" si="17"/>
        <v>-20</v>
      </c>
      <c r="AI22" s="149">
        <v>0.19444444444444445</v>
      </c>
      <c r="AJ22" s="150"/>
      <c r="AK22" s="5"/>
      <c r="AL22" s="5"/>
      <c r="AM22" s="5"/>
      <c r="AN22" s="5"/>
      <c r="AO22" s="5"/>
      <c r="AP22" s="5"/>
      <c r="AQ22" s="5"/>
      <c r="AR22" s="5"/>
    </row>
    <row r="23" spans="1:44" ht="15.75" customHeight="1" x14ac:dyDescent="0.2">
      <c r="A23" s="109">
        <v>10</v>
      </c>
      <c r="B23" s="110">
        <v>2</v>
      </c>
      <c r="C23" s="111" t="str">
        <f t="shared" si="23"/>
        <v>Toronto Ngun Lam Blue</v>
      </c>
      <c r="D23" s="78">
        <v>5</v>
      </c>
      <c r="E23" s="188" t="str">
        <f t="shared" si="24"/>
        <v>NY Gong Hoy</v>
      </c>
      <c r="F23" s="189"/>
      <c r="G23" s="189"/>
      <c r="H23" s="189"/>
      <c r="I23" s="189"/>
      <c r="J23" s="189"/>
      <c r="K23" s="189"/>
      <c r="L23" s="189"/>
      <c r="M23" s="146"/>
      <c r="N23" s="112">
        <v>4</v>
      </c>
      <c r="O23" s="187" t="str">
        <f>+B8</f>
        <v>Philly CIA A</v>
      </c>
      <c r="P23" s="146"/>
      <c r="Q23" s="144">
        <v>21</v>
      </c>
      <c r="R23" s="141"/>
      <c r="S23" s="101">
        <v>0</v>
      </c>
      <c r="T23" s="144">
        <v>15</v>
      </c>
      <c r="U23" s="141"/>
      <c r="V23" s="140">
        <v>21</v>
      </c>
      <c r="W23" s="141"/>
      <c r="X23" s="102">
        <v>0</v>
      </c>
      <c r="Y23" s="140">
        <v>9</v>
      </c>
      <c r="Z23" s="141"/>
      <c r="AA23" s="145"/>
      <c r="AB23" s="146"/>
      <c r="AC23" s="113" t="s">
        <v>178</v>
      </c>
      <c r="AD23" s="145"/>
      <c r="AE23" s="146"/>
      <c r="AF23" s="94"/>
      <c r="AG23" s="104" t="str">
        <f t="shared" si="16"/>
        <v>Toronto Ngun Lam Blue</v>
      </c>
      <c r="AH23" s="96">
        <f t="shared" si="17"/>
        <v>18</v>
      </c>
      <c r="AI23" s="184">
        <v>0.22916666666666666</v>
      </c>
      <c r="AJ23" s="185"/>
      <c r="AK23" s="5"/>
      <c r="AL23" s="5"/>
      <c r="AM23" s="5"/>
      <c r="AN23" s="5"/>
      <c r="AO23" s="5"/>
      <c r="AP23" s="5"/>
      <c r="AQ23" s="5"/>
      <c r="AR23" s="5"/>
    </row>
    <row r="24" spans="1:44" ht="12.75" customHeight="1" x14ac:dyDescent="0.2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5"/>
      <c r="AM24" s="5"/>
      <c r="AN24" s="5"/>
      <c r="AO24" s="5"/>
      <c r="AP24" s="5"/>
      <c r="AQ24" s="5"/>
      <c r="AR24" s="5"/>
    </row>
    <row r="25" spans="1:44" ht="12.75" customHeight="1" x14ac:dyDescent="0.2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5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5"/>
      <c r="AM25" s="5"/>
      <c r="AN25" s="5"/>
      <c r="AO25" s="5"/>
      <c r="AP25" s="5"/>
      <c r="AQ25" s="5"/>
      <c r="AR25" s="5"/>
    </row>
    <row r="26" spans="1:44" ht="12.75" customHeight="1" x14ac:dyDescent="0.2">
      <c r="A26" s="41"/>
      <c r="B26" s="57"/>
      <c r="C26" s="57" t="s">
        <v>179</v>
      </c>
      <c r="D26" s="57" t="s">
        <v>157</v>
      </c>
      <c r="E26" s="57" t="s">
        <v>180</v>
      </c>
      <c r="F26" s="57" t="s">
        <v>165</v>
      </c>
      <c r="G26" s="57" t="s">
        <v>166</v>
      </c>
      <c r="H26" s="41"/>
      <c r="I26" s="41"/>
      <c r="J26" s="41"/>
      <c r="K26" s="41"/>
      <c r="L26" s="41"/>
      <c r="M26" s="41"/>
      <c r="N26" s="41"/>
      <c r="O26" s="41"/>
      <c r="P26" s="41"/>
      <c r="Q26" s="5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5"/>
      <c r="AM26" s="5"/>
      <c r="AN26" s="5"/>
      <c r="AO26" s="5"/>
      <c r="AP26" s="5"/>
      <c r="AQ26" s="5"/>
      <c r="AR26" s="5"/>
    </row>
    <row r="27" spans="1:44" ht="12.75" customHeight="1" x14ac:dyDescent="0.2">
      <c r="A27" s="41"/>
      <c r="B27" s="57">
        <v>1</v>
      </c>
      <c r="C27" s="57" t="str">
        <f t="shared" ref="C27:C31" si="25">VLOOKUP(B27,$A$5:$AR$9,2,FALSE)</f>
        <v>Philly CIA A</v>
      </c>
      <c r="D27" s="57">
        <f t="shared" ref="D27:D31" si="26">VLOOKUP(B27,$A$5:$AR$9,15,FALSE)</f>
        <v>8</v>
      </c>
      <c r="E27" s="57">
        <f t="shared" ref="E27:E31" si="27">VLOOKUP(B27,$A$5:$AR$9,36,FALSE)</f>
        <v>58</v>
      </c>
      <c r="F27" s="114">
        <f t="shared" ref="F27:F31" si="28">VLOOKUP(B27,$A$5:$AR$9,40,FALSE)</f>
        <v>1</v>
      </c>
      <c r="G27" s="114">
        <f t="shared" ref="G27:G31" si="29">VLOOKUP(B27,$A$5:$AR$9,42,FALSE)</f>
        <v>7.25</v>
      </c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5"/>
      <c r="AM27" s="5"/>
      <c r="AN27" s="5"/>
      <c r="AO27" s="5"/>
      <c r="AP27" s="5"/>
      <c r="AQ27" s="5"/>
      <c r="AR27" s="5"/>
    </row>
    <row r="28" spans="1:44" ht="12.75" customHeight="1" x14ac:dyDescent="0.2">
      <c r="A28" s="41"/>
      <c r="B28" s="57">
        <v>2</v>
      </c>
      <c r="C28" s="57" t="str">
        <f t="shared" si="25"/>
        <v>Toronto Ngun Lam Blue</v>
      </c>
      <c r="D28" s="57">
        <f t="shared" si="26"/>
        <v>6</v>
      </c>
      <c r="E28" s="57">
        <f t="shared" si="27"/>
        <v>37</v>
      </c>
      <c r="F28" s="114">
        <f t="shared" si="28"/>
        <v>0.75</v>
      </c>
      <c r="G28" s="114">
        <f t="shared" si="29"/>
        <v>4.625</v>
      </c>
      <c r="H28" s="41"/>
      <c r="I28" s="41"/>
      <c r="J28" s="41"/>
      <c r="K28" s="41"/>
      <c r="L28" s="41"/>
      <c r="M28" s="41"/>
      <c r="N28" s="41"/>
      <c r="O28" s="41"/>
      <c r="P28" s="5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183"/>
      <c r="AK28" s="136"/>
      <c r="AL28" s="5"/>
      <c r="AM28" s="5"/>
      <c r="AN28" s="5"/>
      <c r="AO28" s="5"/>
      <c r="AP28" s="5"/>
      <c r="AQ28" s="5"/>
      <c r="AR28" s="5"/>
    </row>
    <row r="29" spans="1:44" ht="12.75" customHeight="1" x14ac:dyDescent="0.2">
      <c r="A29" s="5"/>
      <c r="B29" s="14">
        <v>3</v>
      </c>
      <c r="C29" s="57" t="str">
        <f t="shared" si="25"/>
        <v>Boston Rising Tide</v>
      </c>
      <c r="D29" s="57">
        <f t="shared" si="26"/>
        <v>4</v>
      </c>
      <c r="E29" s="57">
        <f t="shared" si="27"/>
        <v>1</v>
      </c>
      <c r="F29" s="114">
        <f t="shared" si="28"/>
        <v>0.5</v>
      </c>
      <c r="G29" s="114">
        <f t="shared" si="29"/>
        <v>0.125</v>
      </c>
      <c r="H29" s="41"/>
      <c r="I29" s="41"/>
      <c r="J29" s="41"/>
      <c r="K29" s="41"/>
      <c r="L29" s="41"/>
      <c r="M29" s="41"/>
      <c r="N29" s="41"/>
      <c r="O29" s="41"/>
      <c r="P29" s="5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115"/>
      <c r="AK29" s="41"/>
      <c r="AL29" s="5"/>
      <c r="AM29" s="5"/>
      <c r="AN29" s="5"/>
      <c r="AO29" s="5"/>
      <c r="AP29" s="5"/>
      <c r="AQ29" s="5"/>
      <c r="AR29" s="5"/>
    </row>
    <row r="30" spans="1:44" ht="12.75" customHeight="1" x14ac:dyDescent="0.2">
      <c r="A30" s="5"/>
      <c r="B30" s="14">
        <v>4</v>
      </c>
      <c r="C30" s="57" t="str">
        <f t="shared" si="25"/>
        <v>NY Gong Hoy</v>
      </c>
      <c r="D30" s="57">
        <f t="shared" si="26"/>
        <v>1</v>
      </c>
      <c r="E30" s="57">
        <f t="shared" si="27"/>
        <v>-41</v>
      </c>
      <c r="F30" s="114">
        <f t="shared" si="28"/>
        <v>0.125</v>
      </c>
      <c r="G30" s="114">
        <f t="shared" si="29"/>
        <v>-5.125</v>
      </c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115"/>
      <c r="AK30" s="41"/>
      <c r="AL30" s="5"/>
      <c r="AM30" s="5"/>
      <c r="AN30" s="5"/>
      <c r="AO30" s="5"/>
      <c r="AP30" s="5"/>
      <c r="AQ30" s="5"/>
      <c r="AR30" s="5"/>
    </row>
    <row r="31" spans="1:44" ht="12.75" customHeight="1" x14ac:dyDescent="0.2">
      <c r="A31" s="5"/>
      <c r="B31" s="14">
        <v>5</v>
      </c>
      <c r="C31" s="57" t="str">
        <f t="shared" si="25"/>
        <v>DC CYC C</v>
      </c>
      <c r="D31" s="57">
        <f t="shared" si="26"/>
        <v>1</v>
      </c>
      <c r="E31" s="57">
        <f t="shared" si="27"/>
        <v>-55</v>
      </c>
      <c r="F31" s="114">
        <f t="shared" si="28"/>
        <v>0.125</v>
      </c>
      <c r="G31" s="114">
        <f t="shared" si="29"/>
        <v>-6.875</v>
      </c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115"/>
      <c r="AK31" s="41"/>
      <c r="AL31" s="5"/>
      <c r="AM31" s="5"/>
      <c r="AN31" s="5"/>
      <c r="AO31" s="5"/>
      <c r="AP31" s="5"/>
      <c r="AQ31" s="5"/>
      <c r="AR31" s="5"/>
    </row>
  </sheetData>
  <mergeCells count="124">
    <mergeCell ref="A3:AG3"/>
    <mergeCell ref="A2:AG2"/>
    <mergeCell ref="A1:AG1"/>
    <mergeCell ref="R4:AF4"/>
    <mergeCell ref="J6:N6"/>
    <mergeCell ref="J9:N9"/>
    <mergeCell ref="A10:AG12"/>
    <mergeCell ref="E7:I7"/>
    <mergeCell ref="Y18:Z18"/>
    <mergeCell ref="AA18:AB18"/>
    <mergeCell ref="E17:M17"/>
    <mergeCell ref="E18:M18"/>
    <mergeCell ref="E16:M16"/>
    <mergeCell ref="Q18:R18"/>
    <mergeCell ref="O18:P18"/>
    <mergeCell ref="J4:N4"/>
    <mergeCell ref="J5:N5"/>
    <mergeCell ref="B8:D8"/>
    <mergeCell ref="E8:I8"/>
    <mergeCell ref="J7:N7"/>
    <mergeCell ref="J8:N8"/>
    <mergeCell ref="A13:B13"/>
    <mergeCell ref="E13:M13"/>
    <mergeCell ref="N13:P13"/>
    <mergeCell ref="AN4:AO4"/>
    <mergeCell ref="AJ4:AK4"/>
    <mergeCell ref="AP4:AQ4"/>
    <mergeCell ref="O15:P15"/>
    <mergeCell ref="V13:Z13"/>
    <mergeCell ref="Y14:Z14"/>
    <mergeCell ref="E15:M15"/>
    <mergeCell ref="E14:M14"/>
    <mergeCell ref="B7:D7"/>
    <mergeCell ref="B6:D6"/>
    <mergeCell ref="E6:I6"/>
    <mergeCell ref="E5:I5"/>
    <mergeCell ref="E4:I4"/>
    <mergeCell ref="B5:D5"/>
    <mergeCell ref="B4:D4"/>
    <mergeCell ref="B9:D9"/>
    <mergeCell ref="E9:I9"/>
    <mergeCell ref="AA14:AB14"/>
    <mergeCell ref="AA13:AE13"/>
    <mergeCell ref="AD14:AE14"/>
    <mergeCell ref="O16:P16"/>
    <mergeCell ref="O17:P17"/>
    <mergeCell ref="O14:P14"/>
    <mergeCell ref="AD15:AE15"/>
    <mergeCell ref="AD16:AE16"/>
    <mergeCell ref="AI15:AJ15"/>
    <mergeCell ref="AI16:AJ16"/>
    <mergeCell ref="AI13:AJ13"/>
    <mergeCell ref="AI14:AJ14"/>
    <mergeCell ref="AA15:AB15"/>
    <mergeCell ref="Y16:Z16"/>
    <mergeCell ref="Y17:Z17"/>
    <mergeCell ref="AA17:AB17"/>
    <mergeCell ref="Y15:Z15"/>
    <mergeCell ref="AA16:AB16"/>
    <mergeCell ref="Q13:U13"/>
    <mergeCell ref="Q14:R14"/>
    <mergeCell ref="Q16:R16"/>
    <mergeCell ref="Q15:R15"/>
    <mergeCell ref="T15:U15"/>
    <mergeCell ref="T14:U14"/>
    <mergeCell ref="T16:U16"/>
    <mergeCell ref="V15:W15"/>
    <mergeCell ref="V16:W16"/>
    <mergeCell ref="V14:W14"/>
    <mergeCell ref="AI21:AJ21"/>
    <mergeCell ref="AI20:AJ20"/>
    <mergeCell ref="AA22:AB22"/>
    <mergeCell ref="AA23:AB23"/>
    <mergeCell ref="AJ28:AK28"/>
    <mergeCell ref="AI22:AJ22"/>
    <mergeCell ref="AI23:AJ23"/>
    <mergeCell ref="T23:U23"/>
    <mergeCell ref="V23:W23"/>
    <mergeCell ref="E20:M20"/>
    <mergeCell ref="E19:M19"/>
    <mergeCell ref="AD17:AE17"/>
    <mergeCell ref="AI17:AJ17"/>
    <mergeCell ref="AI18:AJ18"/>
    <mergeCell ref="Q17:R17"/>
    <mergeCell ref="V17:W17"/>
    <mergeCell ref="AA19:AB19"/>
    <mergeCell ref="AD19:AE19"/>
    <mergeCell ref="AI19:AJ19"/>
    <mergeCell ref="AD20:AE20"/>
    <mergeCell ref="T17:U17"/>
    <mergeCell ref="V18:W18"/>
    <mergeCell ref="T18:U18"/>
    <mergeCell ref="AD18:AE18"/>
    <mergeCell ref="V21:W21"/>
    <mergeCell ref="T21:U21"/>
    <mergeCell ref="E21:M21"/>
    <mergeCell ref="E22:M22"/>
    <mergeCell ref="E23:M23"/>
    <mergeCell ref="O23:P23"/>
    <mergeCell ref="Q23:R23"/>
    <mergeCell ref="AD22:AE22"/>
    <mergeCell ref="AD21:AE21"/>
    <mergeCell ref="Y21:Z21"/>
    <mergeCell ref="Y22:Z22"/>
    <mergeCell ref="AA21:AB21"/>
    <mergeCell ref="T22:U22"/>
    <mergeCell ref="V22:W22"/>
    <mergeCell ref="AD23:AE23"/>
    <mergeCell ref="Y23:Z23"/>
    <mergeCell ref="Q22:R22"/>
    <mergeCell ref="Q21:R21"/>
    <mergeCell ref="O21:P21"/>
    <mergeCell ref="O22:P22"/>
    <mergeCell ref="V19:W19"/>
    <mergeCell ref="V20:W20"/>
    <mergeCell ref="Q19:R19"/>
    <mergeCell ref="O19:P19"/>
    <mergeCell ref="Y19:Z19"/>
    <mergeCell ref="AA20:AB20"/>
    <mergeCell ref="Y20:Z20"/>
    <mergeCell ref="O20:P20"/>
    <mergeCell ref="T20:U20"/>
    <mergeCell ref="Q20:R20"/>
    <mergeCell ref="T19:U1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R32"/>
  <sheetViews>
    <sheetView showGridLines="0" workbookViewId="0"/>
  </sheetViews>
  <sheetFormatPr baseColWidth="10" defaultColWidth="17.33203125" defaultRowHeight="15" customHeight="1" x14ac:dyDescent="0.2"/>
  <cols>
    <col min="1" max="1" width="4.1640625" customWidth="1"/>
    <col min="2" max="2" width="3.5" customWidth="1"/>
    <col min="3" max="3" width="25.6640625" customWidth="1"/>
    <col min="4" max="4" width="4.5" customWidth="1"/>
    <col min="5" max="5" width="3.33203125" customWidth="1"/>
    <col min="6" max="6" width="10.33203125" customWidth="1"/>
    <col min="7" max="7" width="9.6640625" customWidth="1"/>
    <col min="8" max="9" width="3.33203125" hidden="1" customWidth="1"/>
    <col min="10" max="14" width="3.33203125" customWidth="1"/>
    <col min="15" max="15" width="13.33203125" customWidth="1"/>
    <col min="16" max="16" width="17.5" customWidth="1"/>
    <col min="17" max="19" width="4" customWidth="1"/>
    <col min="20" max="22" width="3.33203125" customWidth="1"/>
    <col min="23" max="23" width="4" customWidth="1"/>
    <col min="24" max="25" width="3.33203125" customWidth="1"/>
    <col min="26" max="27" width="4" customWidth="1"/>
    <col min="28" max="31" width="3.33203125" customWidth="1"/>
    <col min="32" max="32" width="4.5" customWidth="1"/>
    <col min="33" max="33" width="15.33203125" customWidth="1"/>
    <col min="34" max="34" width="12.1640625" customWidth="1"/>
    <col min="35" max="35" width="13.1640625" customWidth="1"/>
    <col min="36" max="36" width="4.1640625" customWidth="1"/>
    <col min="37" max="37" width="7.1640625" customWidth="1"/>
    <col min="38" max="38" width="2.1640625" customWidth="1"/>
    <col min="39" max="39" width="7.1640625" customWidth="1"/>
    <col min="40" max="40" width="6.5" customWidth="1"/>
    <col min="41" max="44" width="8.83203125" customWidth="1"/>
  </cols>
  <sheetData>
    <row r="1" spans="1:44" ht="30.75" customHeight="1" x14ac:dyDescent="0.35">
      <c r="A1" s="180" t="s">
        <v>181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38"/>
      <c r="AI1" s="39"/>
      <c r="AJ1" s="39"/>
      <c r="AK1" s="39"/>
      <c r="AL1" s="39"/>
      <c r="AM1" s="39"/>
      <c r="AN1" s="39"/>
      <c r="AO1" s="1"/>
      <c r="AP1" s="1"/>
      <c r="AQ1" s="1"/>
      <c r="AR1" s="1"/>
    </row>
    <row r="2" spans="1:44" ht="30.75" customHeight="1" x14ac:dyDescent="0.35">
      <c r="A2" s="180" t="str">
        <f>+'Women''s Master'!B3</f>
        <v>CT05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38"/>
      <c r="AI2" s="39"/>
      <c r="AJ2" s="39"/>
      <c r="AK2" s="39"/>
      <c r="AL2" s="39"/>
      <c r="AM2" s="39"/>
      <c r="AN2" s="39"/>
      <c r="AO2" s="1"/>
      <c r="AP2" s="1"/>
      <c r="AQ2" s="1"/>
      <c r="AR2" s="1"/>
    </row>
    <row r="3" spans="1:44" ht="42.75" customHeight="1" x14ac:dyDescent="0.45">
      <c r="A3" s="181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40"/>
      <c r="AI3" s="41" t="s">
        <v>153</v>
      </c>
      <c r="AJ3" s="41"/>
      <c r="AK3" s="41"/>
      <c r="AL3" s="41"/>
      <c r="AM3" s="41"/>
      <c r="AN3" s="41"/>
      <c r="AO3" s="5"/>
      <c r="AP3" s="5"/>
      <c r="AQ3" s="5"/>
      <c r="AR3" s="5" t="s">
        <v>154</v>
      </c>
    </row>
    <row r="4" spans="1:44" ht="27" customHeight="1" x14ac:dyDescent="0.2">
      <c r="A4" s="42"/>
      <c r="B4" s="179" t="s">
        <v>102</v>
      </c>
      <c r="C4" s="173"/>
      <c r="D4" s="173"/>
      <c r="E4" s="155" t="s">
        <v>155</v>
      </c>
      <c r="F4" s="156"/>
      <c r="G4" s="156"/>
      <c r="H4" s="156"/>
      <c r="I4" s="157"/>
      <c r="J4" s="165" t="s">
        <v>156</v>
      </c>
      <c r="K4" s="156"/>
      <c r="L4" s="156"/>
      <c r="M4" s="156"/>
      <c r="N4" s="166"/>
      <c r="O4" s="43" t="s">
        <v>157</v>
      </c>
      <c r="P4" s="44" t="s">
        <v>158</v>
      </c>
      <c r="Q4" s="45"/>
      <c r="R4" s="194" t="s">
        <v>159</v>
      </c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53"/>
      <c r="AG4" s="46" t="s">
        <v>160</v>
      </c>
      <c r="AH4" s="47" t="s">
        <v>161</v>
      </c>
      <c r="AI4" s="47" t="s">
        <v>162</v>
      </c>
      <c r="AJ4" s="193" t="s">
        <v>163</v>
      </c>
      <c r="AK4" s="153"/>
      <c r="AL4" s="47" t="s">
        <v>164</v>
      </c>
      <c r="AM4" s="48"/>
      <c r="AN4" s="190" t="s">
        <v>165</v>
      </c>
      <c r="AO4" s="191"/>
      <c r="AP4" s="192" t="s">
        <v>166</v>
      </c>
      <c r="AQ4" s="191"/>
      <c r="AR4" s="50" t="s">
        <v>167</v>
      </c>
    </row>
    <row r="5" spans="1:44" ht="15.75" customHeight="1" x14ac:dyDescent="0.2">
      <c r="A5" s="51">
        <f t="shared" ref="A5:A9" si="0">AR5</f>
        <v>4</v>
      </c>
      <c r="B5" s="182" t="str">
        <f>+'Women''s Master'!B4</f>
        <v>Boston Hurricanes Blue</v>
      </c>
      <c r="C5" s="173"/>
      <c r="D5" s="173"/>
      <c r="E5" s="171">
        <f>SUM(IF(AG14=B5,1,0),IF(AG16=C16,1,0),IF(AG19=C19,1,0),IF(AG22=C22,1,0))</f>
        <v>1</v>
      </c>
      <c r="F5" s="162"/>
      <c r="G5" s="162"/>
      <c r="H5" s="162"/>
      <c r="I5" s="153"/>
      <c r="J5" s="169">
        <f>SUM(IF(AG14=C14,0,1),IF(AG16=C16,0,1),IF(AG19=C19,0,1),IF(AG22=C22,0,1))</f>
        <v>3</v>
      </c>
      <c r="K5" s="162"/>
      <c r="L5" s="162"/>
      <c r="M5" s="162"/>
      <c r="N5" s="170"/>
      <c r="O5" s="53">
        <f>SUM(IF(AD5&gt;0,1,0),IF(AE5&gt;0,1,0),IF(AF5&gt;0,1,0),IF(U5&gt;0,1,0),IF(V5&gt;0,1,0),IF(W5&gt;0,1,0),IF(X5&gt;0,1,0),IF(Y5&gt;0,1,0),IF(Z5&gt;0,1,0),IF(AA5&gt;0,1,0),IF(AB5&gt;0,1,0),IF(AC5&gt;0,1,0))</f>
        <v>2</v>
      </c>
      <c r="P5" s="52">
        <f>SUM(IF(AD5&lt;0,1,0),IF(AE5&lt;0,1,0),IF(AF5&lt;0,1,0),IF(U5&lt;0,1,0),IF(V5&lt;0,1,0),IF(W5&lt;0,1,0),IF(X5&lt;0,1,0),IF(Y5&lt;0,1,0),IF(Z5&lt;0,1,0),IF(AA5&lt;0,1,0),IF(AB5&lt;0,1,0),IF(AC5&lt;0,1,0))</f>
        <v>6</v>
      </c>
      <c r="Q5" s="54">
        <f>1+SUM(IF(O5&lt;O6,1,0),IF(O5&lt;O7,1,0),IF(O5&lt;O8,1,0),IF(O5&lt;O9,1,0))</f>
        <v>4</v>
      </c>
      <c r="R5" s="55"/>
      <c r="S5" s="56"/>
      <c r="T5" s="56"/>
      <c r="U5" s="57">
        <f>Q14-T14</f>
        <v>-8</v>
      </c>
      <c r="V5" s="57">
        <f>V14-Y14</f>
        <v>-3</v>
      </c>
      <c r="W5" s="57">
        <f>AA14-AD14</f>
        <v>0</v>
      </c>
      <c r="X5" s="57">
        <f>Q19-T19</f>
        <v>-9</v>
      </c>
      <c r="Y5" s="57">
        <f>V19-Y19</f>
        <v>-3</v>
      </c>
      <c r="Z5" s="57">
        <f>AA19-AD19</f>
        <v>0</v>
      </c>
      <c r="AA5" s="58">
        <f>Q22-T22</f>
        <v>-14</v>
      </c>
      <c r="AB5" s="58">
        <f>V22-Y22</f>
        <v>-13</v>
      </c>
      <c r="AC5" s="58">
        <f>AA22-AD22</f>
        <v>0</v>
      </c>
      <c r="AD5" s="58">
        <f>Q16-T16</f>
        <v>5</v>
      </c>
      <c r="AE5" s="58">
        <f>V16-Y16</f>
        <v>2</v>
      </c>
      <c r="AF5" s="58">
        <f>AA16-AD16</f>
        <v>0</v>
      </c>
      <c r="AG5" s="58" t="b">
        <f>IF(Q5=Q6,IF(SUM(U5:W5)&gt;0,B5,B6),  IF(Q5=Q7,IF(SUM(X5:Z5)&gt;0, B5,B7),IF(Q5=Q8,IF(SUM(AA5:AC5)&gt;0, B5,B8),IF(Q5=Q9,IF(SUM(AD5:AF5)&lt;0,B5,B9)))))</f>
        <v>0</v>
      </c>
      <c r="AH5" s="58" t="b">
        <f>IF(Q5=Q6,IF(SUM(U5:W5)&lt;0,B5,B6),  IF(Q5=Q7,IF(SUM(X5:Z5)&lt;0, B5,B7),IF(Q5=Q8,IF(SUM(AA5:AC5)&lt;0, B5,B8),IF(Q5=Q9, IF(SUM(AD5:AF5)&lt;0,B5,B9)))))</f>
        <v>0</v>
      </c>
      <c r="AI5" s="60">
        <f t="shared" ref="AI5:AI9" si="1">Q5+IF(COUNTIF($AG$5:$AG$9,B5)&gt;0,0, IF(COUNTIF($AH$5:$AH$9,B5)&gt;0,1,0))</f>
        <v>4</v>
      </c>
      <c r="AJ5" s="61">
        <f t="shared" ref="AJ5:AJ9" si="2">SUM(R5:AF5)</f>
        <v>-43</v>
      </c>
      <c r="AK5" s="62">
        <f>1+SUM(IF(AJ5&lt;AJ6,1,0),IF(AJ5&lt;AJ7,1,0),IF(AJ5&lt;AJ8,1,0),IF(AJ5&lt;AJ9,1,0))</f>
        <v>4</v>
      </c>
      <c r="AL5" s="63">
        <f t="shared" ref="AL5:AL9" si="3">IF(SUM(E5,J5)=0,0,E5/(E5+J5))</f>
        <v>0.25</v>
      </c>
      <c r="AM5" s="62">
        <f>1+SUM(IF(AL5&lt;AL6,1,0),IF(AL5&lt;AL7,1,0),IF(AL5&lt;AL8,1,0),IF(AL5&lt;AL9,1,0))</f>
        <v>4</v>
      </c>
      <c r="AN5" s="64">
        <f t="shared" ref="AN5:AN9" si="4">IF(SUM(O5+P5)=0,0,O5/(O5+P5))</f>
        <v>0.25</v>
      </c>
      <c r="AO5" s="65">
        <f>1+SUM(IF(AN5&lt;AN6,1,0),IF(AN5&lt;AN7,1,0),IF(AN5&lt;AN8,1,0),IF(AN5&lt;AN9,1,0))</f>
        <v>4</v>
      </c>
      <c r="AP5" s="106">
        <f t="shared" ref="AP5:AP9" si="5">AJ5/SUM(O5:P5)</f>
        <v>-5.375</v>
      </c>
      <c r="AQ5" s="67">
        <f>1+SUM(IF(AP5&lt;AP6,1,0),IF(AP5&lt;AP7,1,0),IF(AP5&lt;AP8,1,0),IF(AP5&lt;AP9,1,0))</f>
        <v>4</v>
      </c>
      <c r="AR5" s="68">
        <f>1+SUM(IF(Q5&gt;Q6,1,IF(AND(Q5=Q6,AK5&gt;AK6),1,IF(AND(Q5=Q6,AK5=AK6),1,0))),IF(Q5&gt;Q7,1,IF(AND(Q5=Q7,AK5&gt;AK7),1,IF(AND(Q5=Q7,AK5=AK7),1,0))),IF(Q5&gt;Q8,1,IF(AND(Q5=Q8,AK5&gt;AK8),1,IF(AND(Q5=Q8,AK5=AK8),1,0))),IF(Q5&gt;Q9,1,IF(AND(Q5=Q9,AK5&gt;AK9),1,IF(AND(Q5=Q9,AK5=AK9),1,0))))</f>
        <v>4</v>
      </c>
    </row>
    <row r="6" spans="1:44" ht="15.75" customHeight="1" x14ac:dyDescent="0.2">
      <c r="A6" s="51">
        <f t="shared" si="0"/>
        <v>3</v>
      </c>
      <c r="B6" s="172" t="str">
        <f>+'Women''s Master'!B5</f>
        <v>Philly CIA</v>
      </c>
      <c r="C6" s="173"/>
      <c r="D6" s="173"/>
      <c r="E6" s="171">
        <f>SUM(IF(AG14=E14,1,0),IF(AG17=C17,1,0),IF(AG20=C20,1,0),IF(AG23=C23,1,0))</f>
        <v>2</v>
      </c>
      <c r="F6" s="162"/>
      <c r="G6" s="162"/>
      <c r="H6" s="162"/>
      <c r="I6" s="153"/>
      <c r="J6" s="169">
        <f>SUM(IF(AG14=E14,0,1),IF(AG17=C17,0,1),IF(AG20=C20,0,1),IF(AG23=C23,0,1))</f>
        <v>2</v>
      </c>
      <c r="K6" s="162"/>
      <c r="L6" s="162"/>
      <c r="M6" s="162"/>
      <c r="N6" s="170"/>
      <c r="O6" s="53">
        <f>SUM(IF(AD6&gt;0,1,0),IF(AE6&gt;0,1,0),IF(AF6&gt;0,1,0),IF(R6&gt;0,1,0),IF(S6&gt;0,1,0),IF(T6&gt;0,1,0),IF(X6&gt;0,1,0),IF(Y6&gt;0,1,0),IF(Z6&gt;0,1,0),IF(AA6&gt;0,1,0),IF(AB6&gt;0,1,0),IF(AC6&gt;0,1,0))</f>
        <v>4</v>
      </c>
      <c r="P6" s="52">
        <f>SUM(IF(AD6&lt;0,1,0),IF(AE6&lt;0,1,0),IF(AF6&lt;0,1,0),IF(R6&lt;0,1,0),IF(S6&lt;0,1,0),IF(T6&lt;0,1,0),IF(X6&lt;0,1,0),IF(Y6&lt;0,1,0),IF(Z6&lt;0,1,0),IF(AA6&lt;0,1,0),IF(AB6&lt;0,1,0),IF(AC6&lt;0,1,0))</f>
        <v>4</v>
      </c>
      <c r="Q6" s="54">
        <f>1+SUM(IF(O6&lt;O5,1,0),IF(O6&lt;O7,1,0),IF(O6&lt;O8,1,0),IF(O6&lt;O9,1,0))</f>
        <v>3</v>
      </c>
      <c r="R6" s="69">
        <f t="shared" ref="R6:T6" si="6">-U5</f>
        <v>8</v>
      </c>
      <c r="S6" s="58">
        <f t="shared" si="6"/>
        <v>3</v>
      </c>
      <c r="T6" s="58">
        <f t="shared" si="6"/>
        <v>0</v>
      </c>
      <c r="U6" s="56"/>
      <c r="V6" s="56"/>
      <c r="W6" s="56"/>
      <c r="X6" s="57">
        <f>Q17-T17</f>
        <v>-14</v>
      </c>
      <c r="Y6" s="57">
        <f>V17-Y17</f>
        <v>-4</v>
      </c>
      <c r="Z6" s="57">
        <f>AA17-AD17</f>
        <v>0</v>
      </c>
      <c r="AA6" s="58">
        <f>Q20-T20</f>
        <v>-2</v>
      </c>
      <c r="AB6" s="58">
        <f>V20-Y20</f>
        <v>-9</v>
      </c>
      <c r="AC6" s="58">
        <f>AA20-AD20</f>
        <v>0</v>
      </c>
      <c r="AD6" s="58">
        <f>Q23-T23</f>
        <v>12</v>
      </c>
      <c r="AE6" s="58">
        <f>V23-Y23</f>
        <v>2</v>
      </c>
      <c r="AF6" s="58">
        <f>AA23-AD23</f>
        <v>0</v>
      </c>
      <c r="AG6" s="58" t="b">
        <f>IF(Q6=Q7,IF(SUM(X6:Z6)&gt;0,B6,B7),IF(Q6=Q8,IF(SUM(AA6:AC6)&gt;0,B6,B8),IF(Q6=Q9,IF(SUM(AD6:AF6)&gt;0, B6,B9))))</f>
        <v>0</v>
      </c>
      <c r="AH6" s="58" t="b">
        <f>IF(Q6=Q7,IF(SUM(X6:Z6)&lt;0,B6,B7),IF(Q6=Q8,IF(SUM(AA6:AC6)&lt;0,B6,B8),IF(Q6=Q9,IF(SUM(AD6:AF6)&lt;0, B6,B9))))</f>
        <v>0</v>
      </c>
      <c r="AI6" s="60">
        <f t="shared" si="1"/>
        <v>3</v>
      </c>
      <c r="AJ6" s="61">
        <f t="shared" si="2"/>
        <v>-4</v>
      </c>
      <c r="AK6" s="62">
        <f>1+SUM(IF(AJ6&lt;AJ5,1,0),IF(AJ6&lt;AJ7,1,0),IF(AJ6&lt;AJ8,1,0),IF(AJ6&lt;AJ9,1,0))</f>
        <v>3</v>
      </c>
      <c r="AL6" s="63">
        <f t="shared" si="3"/>
        <v>0.5</v>
      </c>
      <c r="AM6" s="62">
        <f>1+SUM(IF(AL6&lt;AL5,1,0),IF(AL6&lt;AL7,1,0),IF(AL6&lt;AL8,1,0),IF(AL6&lt;AL9,1,0))</f>
        <v>3</v>
      </c>
      <c r="AN6" s="64">
        <f t="shared" si="4"/>
        <v>0.5</v>
      </c>
      <c r="AO6" s="65">
        <f>1+SUM(IF(AN6&lt;AN5,1,0),IF(AN6&lt;AN7,1,0),IF(AN6&lt;AN8,1,0),IF(AN6&lt;AN9,1,0))</f>
        <v>3</v>
      </c>
      <c r="AP6" s="106">
        <f t="shared" si="5"/>
        <v>-0.5</v>
      </c>
      <c r="AQ6" s="70">
        <f>1+SUM(IF(AP6&lt;AP5,1,0),IF(AP6&lt;AP7,1,0),IF(AP6&lt;AP8,1,0),IF(AP6&lt;AP9,1,0))</f>
        <v>3</v>
      </c>
      <c r="AR6" s="68">
        <f>1+SUM(IF(Q6&gt;Q5,1,IF(AND(Q6=Q5,AK6&gt;AK5),1,IF(AND(Q6=Q5,AK6=AK5),1,0))),IF(Q6&gt;Q7,1,IF(AND(Q6=Q7,AK6&gt;AK7),1,IF(AND(Q6=Q7,AK6=AK7),1,0))),IF(Q6&gt;Q8,1,IF(AND(Q6=Q8,AK6&gt;AK8),1,IF(AND(Q6=Q8,AK6=AK8),1,0))),IF(Q6&gt;Q9,1,IF(AND(Q6=Q9,AK6&gt;AK9),1,IF(AND(Q6=Q9,AK6=AK9),1,0))))</f>
        <v>3</v>
      </c>
    </row>
    <row r="7" spans="1:44" ht="15.75" customHeight="1" x14ac:dyDescent="0.2">
      <c r="A7" s="51">
        <f t="shared" si="0"/>
        <v>2</v>
      </c>
      <c r="B7" s="172" t="str">
        <f>+'Women''s Master'!B6</f>
        <v>NY Impact Booming</v>
      </c>
      <c r="C7" s="173"/>
      <c r="D7" s="173"/>
      <c r="E7" s="171">
        <f>SUM(IF(AG15=C15,1,0),IF(AG17=E17,1,0),IF(AG19=E19,1,0),IF(AG21=C21,1,0))</f>
        <v>3</v>
      </c>
      <c r="F7" s="162"/>
      <c r="G7" s="162"/>
      <c r="H7" s="162"/>
      <c r="I7" s="153"/>
      <c r="J7" s="169">
        <f>SUM(IF(AG15=C15,0,1),IF(AG17=E17,0,1),IF(AG19=E19,0,1),IF(AG21=C21,0,1))</f>
        <v>1</v>
      </c>
      <c r="K7" s="162"/>
      <c r="L7" s="162"/>
      <c r="M7" s="162"/>
      <c r="N7" s="170"/>
      <c r="O7" s="53">
        <f>SUM(IF(AD7&gt;0,1,0),IF(AE7&gt;0,1,0),IF(AF7&gt;0,1,0),IF(U7&gt;0,1,0),IF(V7&gt;0,1,0),IF(W7&gt;0,1,0),IF(R7&gt;0,1,0),IF(S7&gt;0,1,0),IF(T7&gt;0,1,0),IF(AA7&gt;0,1,0),IF(AB7&gt;0,1,0),IF(AC7&gt;0,1,0))</f>
        <v>7</v>
      </c>
      <c r="P7" s="52">
        <f>SUM(IF(AD7&lt;0,1,0),IF(AE7&lt;0,1,0),IF(AF7&lt;0,1,0),IF(U7&lt;0,1,0),IF(V7&lt;0,1,0),IF(W7&lt;0,1,0),IF(R7&lt;0,1,0),IF(S7&lt;0,1,0),IF(T7&lt;0,1,0),IF(AA7&lt;0,1,0),IF(AB7&lt;0,1,0),IF(AC7&lt;0,1,0))</f>
        <v>1</v>
      </c>
      <c r="Q7" s="54">
        <f>1+SUM(IF(O7&lt;O6,1,0),IF(O7&lt;O5,1,0),IF(O7&lt;O8,1,0),IF(O7&lt;O9,1,0))</f>
        <v>1</v>
      </c>
      <c r="R7" s="69">
        <f t="shared" ref="R7:T7" si="7">-X5</f>
        <v>9</v>
      </c>
      <c r="S7" s="58">
        <f t="shared" si="7"/>
        <v>3</v>
      </c>
      <c r="T7" s="58">
        <f t="shared" si="7"/>
        <v>0</v>
      </c>
      <c r="U7" s="58">
        <f t="shared" ref="U7:W7" si="8">-X6</f>
        <v>14</v>
      </c>
      <c r="V7" s="58">
        <f t="shared" si="8"/>
        <v>4</v>
      </c>
      <c r="W7" s="58">
        <f t="shared" si="8"/>
        <v>0</v>
      </c>
      <c r="X7" s="71"/>
      <c r="Y7" s="71"/>
      <c r="Z7" s="71"/>
      <c r="AA7" s="58">
        <f>Q15-T15</f>
        <v>-6</v>
      </c>
      <c r="AB7" s="58">
        <f>V15-Y15</f>
        <v>2</v>
      </c>
      <c r="AC7" s="58">
        <f>AA15-AD15</f>
        <v>0</v>
      </c>
      <c r="AD7" s="58">
        <f>Q21-T21</f>
        <v>4</v>
      </c>
      <c r="AE7" s="58">
        <f>V21-Y21</f>
        <v>10</v>
      </c>
      <c r="AF7" s="58">
        <f>AA21-AD21</f>
        <v>0</v>
      </c>
      <c r="AG7" s="58" t="str">
        <f>IF(Q7=Q8,IF(SUM(AA7:AC7)&gt;0,B7,B8),IF(Q7=Q9,IF(SUM(AD7:AF7)&gt;0,B7,B9)))</f>
        <v>NY Vikings Rogue</v>
      </c>
      <c r="AH7" s="58" t="str">
        <f>IF(Q7=Q8,IF(SUM(AA7:AC7)&lt;0,B7,B8),IF(Q7=Q9,IF(SUM(AD7:AF7)&lt;0,B7,B9)))</f>
        <v>NY Impact Booming</v>
      </c>
      <c r="AI7" s="60">
        <f t="shared" si="1"/>
        <v>2</v>
      </c>
      <c r="AJ7" s="61">
        <f t="shared" si="2"/>
        <v>40</v>
      </c>
      <c r="AK7" s="62">
        <f>1+SUM(IF(AJ7&lt;AJ6,1,0),IF(AJ7&lt;AJ5,1,0),IF(AJ7&lt;AJ8,1,0),IF(AJ7&lt;AJ9,1,0))</f>
        <v>2</v>
      </c>
      <c r="AL7" s="63">
        <f t="shared" si="3"/>
        <v>0.75</v>
      </c>
      <c r="AM7" s="62">
        <f>1+SUM(IF(AL7&lt;AL6,1,0),IF(AL7&lt;AL5,1,0),IF(AL7&lt;AL8,1,0),IF(AL7&lt;AL9,1,0))</f>
        <v>2</v>
      </c>
      <c r="AN7" s="64">
        <f t="shared" si="4"/>
        <v>0.875</v>
      </c>
      <c r="AO7" s="65">
        <f>1+SUM(IF(AN7&lt;AN6,1,0),IF(AN7&lt;AN5,1,0),IF(AN7&lt;AN8,1,0),IF(AN7&lt;AN9,1,0))</f>
        <v>1</v>
      </c>
      <c r="AP7" s="106">
        <f t="shared" si="5"/>
        <v>5</v>
      </c>
      <c r="AQ7" s="70">
        <f>1+SUM(IF(AP7&lt;AP6,1,0),IF(AP7&lt;AP5,1,0),IF(AP7&lt;AP8,1,0),IF(AP7&lt;AP9,1,0))</f>
        <v>2</v>
      </c>
      <c r="AR7" s="68">
        <f>1+SUM(IF(Q7&gt;Q5,1,IF(AND(Q7=Q5,AK7&gt;AK5),1,IF(AND(Q7=Q5,AK7=AK5),1,0))),IF(Q7&gt;Q6,1,IF(AND(Q7=Q6,AK7&gt;AK6),1,IF(AND(Q7=Q6,AK7=AK6),1,0))),IF(Q7&gt;Q8,1,IF(AND(Q7=Q8,AK7&gt;AK8),1,IF(AND(Q7=Q8,AK7=AK8),1,0))),IF(Q7&gt;Q9,1,IF(AND(Q7=Q9,AK7&gt;AK9),1,IF(AND(Q7=Q9,AK7=AK9),1,0))))</f>
        <v>2</v>
      </c>
    </row>
    <row r="8" spans="1:44" ht="15.75" customHeight="1" x14ac:dyDescent="0.2">
      <c r="A8" s="51">
        <f t="shared" si="0"/>
        <v>1</v>
      </c>
      <c r="B8" s="172" t="str">
        <f>+'Women''s Master'!B7</f>
        <v>NY Vikings Rogue</v>
      </c>
      <c r="C8" s="173"/>
      <c r="D8" s="173"/>
      <c r="E8" s="171">
        <f>SUM(IF(AG15=E15,1,0),IF(AG18=C18,1,0),IF(AG20=E20,1,0),IF(AG22=E22,1,0))</f>
        <v>4</v>
      </c>
      <c r="F8" s="162"/>
      <c r="G8" s="162"/>
      <c r="H8" s="162"/>
      <c r="I8" s="153"/>
      <c r="J8" s="169">
        <f>SUM(IF(AG15=E15,0,1),IF(AG18=C18,0,1),IF(AG20=E20,0,1),IF(AG22=E22,0,1))</f>
        <v>0</v>
      </c>
      <c r="K8" s="162"/>
      <c r="L8" s="162"/>
      <c r="M8" s="162"/>
      <c r="N8" s="170"/>
      <c r="O8" s="53">
        <f>SUM(IF(AD8&gt;0,1,0),IF(AE8&gt;0,1,0),IF(AF8&gt;0,1,0),IF(U8&gt;0,1,0),IF(V8&gt;0,1,0),IF(W8&gt;0,1,0),IF(X8&gt;0,1,0),IF(Y8&gt;0,1,0),IF(Z8&gt;0,1,0),IF(R8&gt;0,1,0),IF(S8&gt;0,1,0),IF(T8&gt;0,1,0))</f>
        <v>7</v>
      </c>
      <c r="P8" s="52">
        <f>SUM(IF(AD8&lt;0,1,0),IF(AE8&lt;0,1,0),IF(AF8&lt;0,1,0),IF(U8&lt;0,1,0),IF(V8&lt;0,1,0),IF(W8&lt;0,1,0),IF(R8&lt;0,1,0),IF(S8&lt;0,1,0),IF(T8&lt;0,1,0),IF(X8&lt;0,1,0),IF(Y8&lt;0,1,0),IF(Z8&lt;0,1,0))</f>
        <v>1</v>
      </c>
      <c r="Q8" s="54">
        <f>1+SUM(IF(O8&lt;O6,1,0),IF(O8&lt;O7,1,0),IF(O8&lt;O5,1,0),IF(O8&lt;O9,1,0))</f>
        <v>1</v>
      </c>
      <c r="R8" s="69">
        <f t="shared" ref="R8:T8" si="9">-AA5</f>
        <v>14</v>
      </c>
      <c r="S8" s="58">
        <f t="shared" si="9"/>
        <v>13</v>
      </c>
      <c r="T8" s="58">
        <f t="shared" si="9"/>
        <v>0</v>
      </c>
      <c r="U8" s="58">
        <f t="shared" ref="U8:W8" si="10">-AA6</f>
        <v>2</v>
      </c>
      <c r="V8" s="58">
        <f t="shared" si="10"/>
        <v>9</v>
      </c>
      <c r="W8" s="58">
        <f t="shared" si="10"/>
        <v>0</v>
      </c>
      <c r="X8" s="58">
        <f t="shared" ref="X8:Z8" si="11">-AA7</f>
        <v>6</v>
      </c>
      <c r="Y8" s="58">
        <f t="shared" si="11"/>
        <v>-2</v>
      </c>
      <c r="Z8" s="58">
        <f t="shared" si="11"/>
        <v>0</v>
      </c>
      <c r="AA8" s="71"/>
      <c r="AB8" s="71"/>
      <c r="AC8" s="71"/>
      <c r="AD8" s="58">
        <f>Q18-T18</f>
        <v>14</v>
      </c>
      <c r="AE8" s="58">
        <f>V18-Y18</f>
        <v>9</v>
      </c>
      <c r="AF8" s="58">
        <f>AA18-AD18</f>
        <v>0</v>
      </c>
      <c r="AG8" s="58" t="b">
        <f>IF(Q8=Q9,IF(SUM(AD8:AF8)&gt;0,B8,B9))</f>
        <v>0</v>
      </c>
      <c r="AH8" s="58" t="b">
        <f>IF(R8=R9,IF(SUM(AE8:AG8)&lt;0,C8,C9))</f>
        <v>0</v>
      </c>
      <c r="AI8" s="60">
        <f t="shared" si="1"/>
        <v>1</v>
      </c>
      <c r="AJ8" s="61">
        <f t="shared" si="2"/>
        <v>65</v>
      </c>
      <c r="AK8" s="72">
        <f>1+SUM(IF(AJ8&lt;AJ6,1,0),IF(AJ8&lt;AJ7,1,0),IF(AJ8&lt;AJ5,1,0),IF(AJ8&lt;AJ9,1,0))</f>
        <v>1</v>
      </c>
      <c r="AL8" s="63">
        <f t="shared" si="3"/>
        <v>1</v>
      </c>
      <c r="AM8" s="72">
        <f>1+SUM(IF(AL8&lt;AL6,1,0),IF(AL8&lt;AL7,1,0),IF(AL8&lt;AL5,1,0),IF(AL8&lt;AL9,1,0))</f>
        <v>1</v>
      </c>
      <c r="AN8" s="64">
        <f t="shared" si="4"/>
        <v>0.875</v>
      </c>
      <c r="AO8" s="65">
        <f>1+SUM(IF(AN8&lt;AN6,1,0),IF(AN8&lt;AN7,1,0),IF(AN8&lt;AN5,1,0),IF(AN8&lt;AN9,1,0))</f>
        <v>1</v>
      </c>
      <c r="AP8" s="106">
        <f t="shared" si="5"/>
        <v>8.125</v>
      </c>
      <c r="AQ8" s="73">
        <f>1+SUM(IF(AP8&lt;AP6,1,0),IF(AP8&lt;AP7,1,0),IF(AP8&lt;AP5,1,0),IF(AP8&lt;AP9,1,0))</f>
        <v>1</v>
      </c>
      <c r="AR8" s="68">
        <f>1+SUM(IF(Q8&gt;Q5,1,IF(AND(Q8=Q5,AK8&gt;AK5),1,IF(AND(Q8=Q5,AK8=AK5),1,0))),IF(Q8&gt;Q6,1,IF(AND(Q8=Q6,AK8&gt;AK6),1,IF(AND(Q8=Q6,AK8=AK6),1,0))),IF(Q8&gt;Q7,1,IF(AND(Q8=Q7,AK8&gt;AK7),1,IF(AND(Q8=Q7,AK8=AK7),1,0))),IF(Q8&gt;Q9,1,IF(AND(Q8=Q9,AK8&gt;AK9),1,IF(AND(Q8=Q9,AK8=AK9),1,0))))</f>
        <v>1</v>
      </c>
    </row>
    <row r="9" spans="1:44" ht="15.75" customHeight="1" x14ac:dyDescent="0.2">
      <c r="A9" s="51">
        <f t="shared" si="0"/>
        <v>5</v>
      </c>
      <c r="B9" s="172" t="str">
        <f>+'Women''s Master'!B8</f>
        <v>Toronto Flying Tigers</v>
      </c>
      <c r="C9" s="173"/>
      <c r="D9" s="173"/>
      <c r="E9" s="171">
        <f>SUM(IF(AG16=E16,1,0),IF(AG18=E18,1,0),IF(AG21=E21,1,0),IF(AG23=E23,1,0))</f>
        <v>0</v>
      </c>
      <c r="F9" s="162"/>
      <c r="G9" s="162"/>
      <c r="H9" s="162"/>
      <c r="I9" s="153"/>
      <c r="J9" s="169">
        <f>SUM(IF(AG16=E16,0,1),IF(AG18=E18,0,1),IF(AG21=E21,0,1),IF(AG23=E23,0,1))</f>
        <v>4</v>
      </c>
      <c r="K9" s="162"/>
      <c r="L9" s="162"/>
      <c r="M9" s="162"/>
      <c r="N9" s="170"/>
      <c r="O9" s="53">
        <f>SUM(IF(R9&gt;0,1,0),IF(S9&gt;0,1,0),IF(T9&gt;0,1,0),IF(U9&gt;0,1,0),IF(V9&gt;0,1,0),IF(W9&gt;0,1,0),IF(X9&gt;0,1,0),IF(Y9&gt;0,1,0),IF(Z9&gt;0,1,0),IF(AA9&gt;0,1,0),IF(AB9&gt;0,1,0),IF(AC9&gt;0,1,0))</f>
        <v>0</v>
      </c>
      <c r="P9" s="52">
        <f>SUM(IF(R9&lt;0,1,0),IF(S9&lt;0,1,0),IF(T9&lt;0,1,0),IF(U9&lt;0,1,0),IF(V9&lt;0,1,0),IF(W9&lt;0,1,0),IF(X9&lt;0,1,0),IF(Y9&lt;0,1,0),IF(Z9&lt;0,1,0),IF(AA9&lt;0,1,0),IF(AB9&lt;0,1,0),IF(AC9&lt;0,1,0))</f>
        <v>8</v>
      </c>
      <c r="Q9" s="54">
        <f>1+SUM(IF(O9&lt;O6,1,0),IF(O9&lt;O7,1,0),IF(O9&lt;O8,1,0),IF(O9&lt;O5,1,0))</f>
        <v>5</v>
      </c>
      <c r="R9" s="74">
        <f t="shared" ref="R9:T9" si="12">-AD5</f>
        <v>-5</v>
      </c>
      <c r="S9" s="75">
        <f t="shared" si="12"/>
        <v>-2</v>
      </c>
      <c r="T9" s="75">
        <f t="shared" si="12"/>
        <v>0</v>
      </c>
      <c r="U9" s="75">
        <f t="shared" ref="U9:W9" si="13">-AD6</f>
        <v>-12</v>
      </c>
      <c r="V9" s="75">
        <f t="shared" si="13"/>
        <v>-2</v>
      </c>
      <c r="W9" s="75">
        <f t="shared" si="13"/>
        <v>0</v>
      </c>
      <c r="X9" s="75">
        <f t="shared" ref="X9:Z9" si="14">-AD7</f>
        <v>-4</v>
      </c>
      <c r="Y9" s="75">
        <f t="shared" si="14"/>
        <v>-10</v>
      </c>
      <c r="Z9" s="75">
        <f t="shared" si="14"/>
        <v>0</v>
      </c>
      <c r="AA9" s="75">
        <f t="shared" ref="AA9:AC9" si="15">-AD8</f>
        <v>-14</v>
      </c>
      <c r="AB9" s="75">
        <f t="shared" si="15"/>
        <v>-9</v>
      </c>
      <c r="AC9" s="75">
        <f t="shared" si="15"/>
        <v>0</v>
      </c>
      <c r="AD9" s="76"/>
      <c r="AE9" s="76"/>
      <c r="AF9" s="76"/>
      <c r="AG9" s="77" t="s">
        <v>168</v>
      </c>
      <c r="AH9" s="77" t="s">
        <v>168</v>
      </c>
      <c r="AI9" s="60">
        <f t="shared" si="1"/>
        <v>5</v>
      </c>
      <c r="AJ9" s="78">
        <f t="shared" si="2"/>
        <v>-58</v>
      </c>
      <c r="AK9" s="72">
        <f>1+SUM(IF(AJ9&lt;AJ6,1,0),IF(AJ9&lt;AJ7,1,0),IF(AJ9&lt;AJ8,1,0),IF(AJ9&lt;AJ5,1,0))</f>
        <v>5</v>
      </c>
      <c r="AL9" s="79">
        <f t="shared" si="3"/>
        <v>0</v>
      </c>
      <c r="AM9" s="72">
        <f>1+SUM(IF(AL9&lt;AL6,1,0),IF(AL9&lt;AL7,1,0),IF(AL9&lt;AL8,1,0),IF(AL9&lt;AL5,1,0))</f>
        <v>5</v>
      </c>
      <c r="AN9" s="64">
        <f t="shared" si="4"/>
        <v>0</v>
      </c>
      <c r="AO9" s="65">
        <f>1+SUM(IF(AN9&lt;AN6,1,0),IF(AN9&lt;AN7,1,0),IF(AN9&lt;AN8,1,0),IF(AN9&lt;AN5,1,0))</f>
        <v>5</v>
      </c>
      <c r="AP9" s="106">
        <f t="shared" si="5"/>
        <v>-7.25</v>
      </c>
      <c r="AQ9" s="73">
        <f>1+SUM(IF(AP9&lt;AP6,1,0),IF(AP9&lt;AP7,1,0),IF(AP9&lt;AP8,1,0),IF(AP9&lt;AP5,1,0))</f>
        <v>5</v>
      </c>
      <c r="AR9" s="68">
        <f>1+SUM(IF(Q9&gt;Q5,1,IF(AND(Q9=Q5,AK9&gt;AK5),1,IF(AND(Q9=Q5,AK9=AK5),1,0))),IF(Q9&gt;Q6,1,IF(AND(Q9=Q6,AK9&gt;AK6),1,IF(AND(Q9=Q6,AK9=AK6),1,0))),IF(Q9&gt;Q7,1,IF(AND(Q9=Q7,AK9&gt;AK7),1,IF(AND(Q9=Q7,AK9=AK7),1,0))),IF(Q9&gt;Q8,1,IF(AND(Q9=Q8,AK9&gt;AK8),1,IF(AND(Q9=Q8,AK9=AK8),1,0))))</f>
        <v>5</v>
      </c>
    </row>
    <row r="10" spans="1:44" ht="12.75" customHeight="1" x14ac:dyDescent="0.2">
      <c r="A10" s="174"/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80"/>
      <c r="AI10" s="41"/>
      <c r="AJ10" s="41"/>
      <c r="AK10" s="41"/>
      <c r="AL10" s="41"/>
      <c r="AM10" s="41"/>
      <c r="AN10" s="41"/>
      <c r="AO10" s="5"/>
      <c r="AP10" s="5"/>
      <c r="AQ10" s="5"/>
      <c r="AR10" s="5"/>
    </row>
    <row r="11" spans="1:44" ht="12.75" customHeight="1" x14ac:dyDescent="0.2">
      <c r="A11" s="136"/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80"/>
      <c r="AI11" s="41"/>
      <c r="AJ11" s="41"/>
      <c r="AK11" s="41"/>
      <c r="AL11" s="41"/>
      <c r="AM11" s="41"/>
      <c r="AN11" s="41"/>
      <c r="AO11" s="5"/>
      <c r="AP11" s="5"/>
      <c r="AQ11" s="5"/>
      <c r="AR11" s="5"/>
    </row>
    <row r="12" spans="1:44" ht="13.5" customHeight="1" x14ac:dyDescent="0.2">
      <c r="A12" s="136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80"/>
      <c r="AI12" s="41"/>
      <c r="AJ12" s="41"/>
      <c r="AK12" s="41"/>
      <c r="AL12" s="41"/>
      <c r="AM12" s="41"/>
      <c r="AN12" s="41"/>
      <c r="AO12" s="5"/>
      <c r="AP12" s="5"/>
      <c r="AQ12" s="5"/>
      <c r="AR12" s="5"/>
    </row>
    <row r="13" spans="1:44" ht="13.5" customHeight="1" x14ac:dyDescent="0.2">
      <c r="A13" s="167"/>
      <c r="B13" s="136"/>
      <c r="C13" s="81" t="s">
        <v>169</v>
      </c>
      <c r="D13" s="82" t="s">
        <v>170</v>
      </c>
      <c r="E13" s="165" t="s">
        <v>169</v>
      </c>
      <c r="F13" s="156"/>
      <c r="G13" s="156"/>
      <c r="H13" s="156"/>
      <c r="I13" s="156"/>
      <c r="J13" s="156"/>
      <c r="K13" s="156"/>
      <c r="L13" s="156"/>
      <c r="M13" s="166"/>
      <c r="N13" s="176" t="s">
        <v>171</v>
      </c>
      <c r="O13" s="177"/>
      <c r="P13" s="178"/>
      <c r="Q13" s="155" t="s">
        <v>172</v>
      </c>
      <c r="R13" s="156"/>
      <c r="S13" s="156"/>
      <c r="T13" s="156"/>
      <c r="U13" s="166"/>
      <c r="V13" s="175" t="s">
        <v>173</v>
      </c>
      <c r="W13" s="156"/>
      <c r="X13" s="156"/>
      <c r="Y13" s="156"/>
      <c r="Z13" s="166"/>
      <c r="AA13" s="155" t="s">
        <v>174</v>
      </c>
      <c r="AB13" s="156"/>
      <c r="AC13" s="156"/>
      <c r="AD13" s="156"/>
      <c r="AE13" s="157"/>
      <c r="AF13" s="83"/>
      <c r="AG13" s="84" t="s">
        <v>175</v>
      </c>
      <c r="AH13" s="49" t="s">
        <v>176</v>
      </c>
      <c r="AI13" s="158" t="s">
        <v>177</v>
      </c>
      <c r="AJ13" s="159"/>
      <c r="AK13" s="41"/>
      <c r="AL13" s="5"/>
      <c r="AM13" s="5"/>
      <c r="AN13" s="5"/>
      <c r="AO13" s="5"/>
      <c r="AP13" s="5"/>
      <c r="AQ13" s="5"/>
      <c r="AR13" s="5"/>
    </row>
    <row r="14" spans="1:44" ht="15.75" customHeight="1" x14ac:dyDescent="0.2">
      <c r="A14" s="85">
        <v>1</v>
      </c>
      <c r="B14" s="86">
        <v>1</v>
      </c>
      <c r="C14" s="87" t="str">
        <f>+B5</f>
        <v>Boston Hurricanes Blue</v>
      </c>
      <c r="D14" s="88">
        <v>2</v>
      </c>
      <c r="E14" s="161" t="str">
        <f>+B6</f>
        <v>Philly CIA</v>
      </c>
      <c r="F14" s="162"/>
      <c r="G14" s="162"/>
      <c r="H14" s="162"/>
      <c r="I14" s="162"/>
      <c r="J14" s="162"/>
      <c r="K14" s="162"/>
      <c r="L14" s="162"/>
      <c r="M14" s="153"/>
      <c r="N14" s="89">
        <v>3</v>
      </c>
      <c r="O14" s="160" t="str">
        <f>+B7</f>
        <v>NY Impact Booming</v>
      </c>
      <c r="P14" s="153"/>
      <c r="Q14" s="196">
        <v>17</v>
      </c>
      <c r="R14" s="143"/>
      <c r="S14" s="91">
        <v>0</v>
      </c>
      <c r="T14" s="151">
        <v>25</v>
      </c>
      <c r="U14" s="143"/>
      <c r="V14" s="154">
        <v>22</v>
      </c>
      <c r="W14" s="143"/>
      <c r="X14" s="92">
        <v>0</v>
      </c>
      <c r="Y14" s="154">
        <v>25</v>
      </c>
      <c r="Z14" s="143"/>
      <c r="AA14" s="152"/>
      <c r="AB14" s="153"/>
      <c r="AC14" s="93" t="s">
        <v>178</v>
      </c>
      <c r="AD14" s="152"/>
      <c r="AE14" s="153"/>
      <c r="AF14" s="94"/>
      <c r="AG14" s="104" t="str">
        <f t="shared" ref="AG14:AG23" si="16">IF((Q14)+(V14)+(AA14)-(T14)-(Y14)-(AD14)&gt;0,C14,E14)</f>
        <v>Philly CIA</v>
      </c>
      <c r="AH14" s="96">
        <f t="shared" ref="AH14:AH23" si="17">(Q14)+(V14)+(AA14)-(T14)-(Y14)-(AD14)</f>
        <v>-11</v>
      </c>
      <c r="AI14" s="147">
        <v>0.375</v>
      </c>
      <c r="AJ14" s="148"/>
      <c r="AK14" s="5"/>
      <c r="AL14" s="5"/>
      <c r="AM14" s="5"/>
      <c r="AN14" s="5"/>
      <c r="AO14" s="5"/>
      <c r="AP14" s="5"/>
      <c r="AQ14" s="5"/>
      <c r="AR14" s="5"/>
    </row>
    <row r="15" spans="1:44" ht="15.75" customHeight="1" x14ac:dyDescent="0.2">
      <c r="A15" s="97">
        <v>2</v>
      </c>
      <c r="B15" s="98">
        <v>3</v>
      </c>
      <c r="C15" s="99" t="str">
        <f>+B7</f>
        <v>NY Impact Booming</v>
      </c>
      <c r="D15" s="61">
        <v>4</v>
      </c>
      <c r="E15" s="163" t="str">
        <f t="shared" ref="E15:E16" si="18">+B8</f>
        <v>NY Vikings Rogue</v>
      </c>
      <c r="F15" s="164"/>
      <c r="G15" s="164"/>
      <c r="H15" s="164"/>
      <c r="I15" s="164"/>
      <c r="J15" s="164"/>
      <c r="K15" s="164"/>
      <c r="L15" s="164"/>
      <c r="M15" s="143"/>
      <c r="N15" s="100">
        <v>2</v>
      </c>
      <c r="O15" s="168" t="str">
        <f>+B6</f>
        <v>Philly CIA</v>
      </c>
      <c r="P15" s="143"/>
      <c r="Q15" s="195">
        <v>19</v>
      </c>
      <c r="R15" s="141"/>
      <c r="S15" s="101">
        <v>0</v>
      </c>
      <c r="T15" s="144">
        <v>25</v>
      </c>
      <c r="U15" s="141"/>
      <c r="V15" s="140">
        <v>27</v>
      </c>
      <c r="W15" s="141"/>
      <c r="X15" s="102">
        <v>0</v>
      </c>
      <c r="Y15" s="140">
        <v>25</v>
      </c>
      <c r="Z15" s="141"/>
      <c r="AA15" s="142"/>
      <c r="AB15" s="143"/>
      <c r="AC15" s="103" t="s">
        <v>178</v>
      </c>
      <c r="AD15" s="142"/>
      <c r="AE15" s="143"/>
      <c r="AF15" s="94"/>
      <c r="AG15" s="129" t="str">
        <f t="shared" si="16"/>
        <v>NY Vikings Rogue</v>
      </c>
      <c r="AH15" s="96">
        <f t="shared" si="17"/>
        <v>-4</v>
      </c>
      <c r="AI15" s="149">
        <v>0.40972222222222227</v>
      </c>
      <c r="AJ15" s="150"/>
      <c r="AK15" s="5"/>
      <c r="AL15" s="5"/>
      <c r="AM15" s="5"/>
      <c r="AN15" s="5"/>
      <c r="AO15" s="5"/>
      <c r="AP15" s="5"/>
      <c r="AQ15" s="5"/>
      <c r="AR15" s="5"/>
    </row>
    <row r="16" spans="1:44" ht="15.75" customHeight="1" x14ac:dyDescent="0.2">
      <c r="A16" s="97">
        <v>3</v>
      </c>
      <c r="B16" s="98">
        <v>1</v>
      </c>
      <c r="C16" s="105" t="str">
        <f t="shared" ref="C16:C17" si="19">+B5</f>
        <v>Boston Hurricanes Blue</v>
      </c>
      <c r="D16" s="61">
        <v>5</v>
      </c>
      <c r="E16" s="163" t="str">
        <f t="shared" si="18"/>
        <v>Toronto Flying Tigers</v>
      </c>
      <c r="F16" s="164"/>
      <c r="G16" s="164"/>
      <c r="H16" s="164"/>
      <c r="I16" s="164"/>
      <c r="J16" s="164"/>
      <c r="K16" s="164"/>
      <c r="L16" s="164"/>
      <c r="M16" s="143"/>
      <c r="N16" s="100">
        <v>4</v>
      </c>
      <c r="O16" s="168" t="str">
        <f>+B8</f>
        <v>NY Vikings Rogue</v>
      </c>
      <c r="P16" s="143"/>
      <c r="Q16" s="195">
        <v>25</v>
      </c>
      <c r="R16" s="141"/>
      <c r="S16" s="101">
        <v>0</v>
      </c>
      <c r="T16" s="144">
        <v>20</v>
      </c>
      <c r="U16" s="141"/>
      <c r="V16" s="140">
        <v>26</v>
      </c>
      <c r="W16" s="141"/>
      <c r="X16" s="102">
        <v>0</v>
      </c>
      <c r="Y16" s="140">
        <v>24</v>
      </c>
      <c r="Z16" s="141"/>
      <c r="AA16" s="142"/>
      <c r="AB16" s="143"/>
      <c r="AC16" s="103" t="s">
        <v>178</v>
      </c>
      <c r="AD16" s="142"/>
      <c r="AE16" s="143"/>
      <c r="AF16" s="94"/>
      <c r="AG16" s="130" t="str">
        <f t="shared" si="16"/>
        <v>Boston Hurricanes Blue</v>
      </c>
      <c r="AH16" s="96">
        <f t="shared" si="17"/>
        <v>7</v>
      </c>
      <c r="AI16" s="149">
        <v>0.44444444444444442</v>
      </c>
      <c r="AJ16" s="150"/>
      <c r="AK16" s="5"/>
      <c r="AL16" s="5"/>
      <c r="AM16" s="5"/>
      <c r="AN16" s="5"/>
      <c r="AO16" s="5"/>
      <c r="AP16" s="5"/>
      <c r="AQ16" s="5"/>
      <c r="AR16" s="5"/>
    </row>
    <row r="17" spans="1:44" ht="15.75" customHeight="1" x14ac:dyDescent="0.2">
      <c r="A17" s="97">
        <v>4</v>
      </c>
      <c r="B17" s="98">
        <v>2</v>
      </c>
      <c r="C17" s="99" t="str">
        <f t="shared" si="19"/>
        <v>Philly CIA</v>
      </c>
      <c r="D17" s="61">
        <v>3</v>
      </c>
      <c r="E17" s="163" t="str">
        <f>+B7</f>
        <v>NY Impact Booming</v>
      </c>
      <c r="F17" s="164"/>
      <c r="G17" s="164"/>
      <c r="H17" s="164"/>
      <c r="I17" s="164"/>
      <c r="J17" s="164"/>
      <c r="K17" s="164"/>
      <c r="L17" s="164"/>
      <c r="M17" s="143"/>
      <c r="N17" s="100">
        <v>1</v>
      </c>
      <c r="O17" s="186" t="str">
        <f>+B5</f>
        <v>Boston Hurricanes Blue</v>
      </c>
      <c r="P17" s="143"/>
      <c r="Q17" s="195">
        <v>11</v>
      </c>
      <c r="R17" s="141"/>
      <c r="S17" s="101">
        <v>0</v>
      </c>
      <c r="T17" s="144">
        <v>25</v>
      </c>
      <c r="U17" s="141"/>
      <c r="V17" s="140">
        <v>21</v>
      </c>
      <c r="W17" s="141"/>
      <c r="X17" s="102">
        <v>0</v>
      </c>
      <c r="Y17" s="140">
        <v>25</v>
      </c>
      <c r="Z17" s="141"/>
      <c r="AA17" s="142"/>
      <c r="AB17" s="143"/>
      <c r="AC17" s="103" t="s">
        <v>178</v>
      </c>
      <c r="AD17" s="142"/>
      <c r="AE17" s="143"/>
      <c r="AF17" s="94"/>
      <c r="AG17" s="129" t="str">
        <f t="shared" si="16"/>
        <v>NY Impact Booming</v>
      </c>
      <c r="AH17" s="96">
        <f t="shared" si="17"/>
        <v>-18</v>
      </c>
      <c r="AI17" s="149">
        <v>0.47916666666666669</v>
      </c>
      <c r="AJ17" s="150"/>
      <c r="AK17" s="5"/>
      <c r="AL17" s="5"/>
      <c r="AM17" s="5"/>
      <c r="AN17" s="5"/>
      <c r="AO17" s="5"/>
      <c r="AP17" s="5"/>
      <c r="AQ17" s="5"/>
      <c r="AR17" s="5"/>
    </row>
    <row r="18" spans="1:44" ht="15.75" customHeight="1" x14ac:dyDescent="0.2">
      <c r="A18" s="97">
        <v>5</v>
      </c>
      <c r="B18" s="98">
        <v>4</v>
      </c>
      <c r="C18" s="99" t="str">
        <f>+B8</f>
        <v>NY Vikings Rogue</v>
      </c>
      <c r="D18" s="61">
        <v>5</v>
      </c>
      <c r="E18" s="163" t="str">
        <f>+B9</f>
        <v>Toronto Flying Tigers</v>
      </c>
      <c r="F18" s="164"/>
      <c r="G18" s="164"/>
      <c r="H18" s="164"/>
      <c r="I18" s="164"/>
      <c r="J18" s="164"/>
      <c r="K18" s="164"/>
      <c r="L18" s="164"/>
      <c r="M18" s="143"/>
      <c r="N18" s="100">
        <v>3</v>
      </c>
      <c r="O18" s="168" t="str">
        <f>+B7</f>
        <v>NY Impact Booming</v>
      </c>
      <c r="P18" s="143"/>
      <c r="Q18" s="205">
        <v>25</v>
      </c>
      <c r="R18" s="141"/>
      <c r="S18" s="127">
        <v>0</v>
      </c>
      <c r="T18" s="204">
        <v>11</v>
      </c>
      <c r="U18" s="141"/>
      <c r="V18" s="140">
        <v>25</v>
      </c>
      <c r="W18" s="141"/>
      <c r="X18" s="102">
        <v>0</v>
      </c>
      <c r="Y18" s="140">
        <v>16</v>
      </c>
      <c r="Z18" s="141"/>
      <c r="AA18" s="142"/>
      <c r="AB18" s="143"/>
      <c r="AC18" s="103" t="s">
        <v>178</v>
      </c>
      <c r="AD18" s="142"/>
      <c r="AE18" s="143"/>
      <c r="AF18" s="94"/>
      <c r="AG18" s="129" t="str">
        <f t="shared" si="16"/>
        <v>NY Vikings Rogue</v>
      </c>
      <c r="AH18" s="96">
        <f t="shared" si="17"/>
        <v>23</v>
      </c>
      <c r="AI18" s="149">
        <v>0.53472222222222221</v>
      </c>
      <c r="AJ18" s="150"/>
      <c r="AK18" s="5"/>
      <c r="AL18" s="5"/>
      <c r="AM18" s="5"/>
      <c r="AN18" s="5"/>
      <c r="AO18" s="5"/>
      <c r="AP18" s="5"/>
      <c r="AQ18" s="5"/>
      <c r="AR18" s="5"/>
    </row>
    <row r="19" spans="1:44" ht="15.75" customHeight="1" x14ac:dyDescent="0.2">
      <c r="A19" s="97">
        <v>6</v>
      </c>
      <c r="B19" s="98">
        <v>1</v>
      </c>
      <c r="C19" s="105" t="str">
        <f t="shared" ref="C19:C21" si="20">+B5</f>
        <v>Boston Hurricanes Blue</v>
      </c>
      <c r="D19" s="61">
        <v>3</v>
      </c>
      <c r="E19" s="163" t="str">
        <f t="shared" ref="E19:E21" si="21">+B7</f>
        <v>NY Impact Booming</v>
      </c>
      <c r="F19" s="164"/>
      <c r="G19" s="164"/>
      <c r="H19" s="164"/>
      <c r="I19" s="164"/>
      <c r="J19" s="164"/>
      <c r="K19" s="164"/>
      <c r="L19" s="164"/>
      <c r="M19" s="143"/>
      <c r="N19" s="100">
        <v>5</v>
      </c>
      <c r="O19" s="168" t="str">
        <f>+B9</f>
        <v>Toronto Flying Tigers</v>
      </c>
      <c r="P19" s="143"/>
      <c r="Q19" s="195">
        <v>16</v>
      </c>
      <c r="R19" s="141"/>
      <c r="S19" s="101">
        <v>0</v>
      </c>
      <c r="T19" s="144">
        <v>25</v>
      </c>
      <c r="U19" s="141"/>
      <c r="V19" s="140">
        <v>22</v>
      </c>
      <c r="W19" s="141"/>
      <c r="X19" s="102">
        <v>0</v>
      </c>
      <c r="Y19" s="140">
        <v>25</v>
      </c>
      <c r="Z19" s="141"/>
      <c r="AA19" s="142"/>
      <c r="AB19" s="143"/>
      <c r="AC19" s="103" t="s">
        <v>178</v>
      </c>
      <c r="AD19" s="142"/>
      <c r="AE19" s="143"/>
      <c r="AF19" s="94"/>
      <c r="AG19" s="129" t="str">
        <f t="shared" si="16"/>
        <v>NY Impact Booming</v>
      </c>
      <c r="AH19" s="96">
        <f t="shared" si="17"/>
        <v>-12</v>
      </c>
      <c r="AI19" s="149">
        <v>6.9444444444444434E-2</v>
      </c>
      <c r="AJ19" s="150"/>
      <c r="AK19" s="5"/>
      <c r="AL19" s="5"/>
      <c r="AM19" s="5"/>
      <c r="AN19" s="5"/>
      <c r="AO19" s="5"/>
      <c r="AP19" s="5"/>
      <c r="AQ19" s="5"/>
      <c r="AR19" s="5"/>
    </row>
    <row r="20" spans="1:44" ht="15.75" customHeight="1" x14ac:dyDescent="0.2">
      <c r="A20" s="97">
        <v>7</v>
      </c>
      <c r="B20" s="98">
        <v>2</v>
      </c>
      <c r="C20" s="99" t="str">
        <f t="shared" si="20"/>
        <v>Philly CIA</v>
      </c>
      <c r="D20" s="61">
        <v>4</v>
      </c>
      <c r="E20" s="163" t="str">
        <f t="shared" si="21"/>
        <v>NY Vikings Rogue</v>
      </c>
      <c r="F20" s="164"/>
      <c r="G20" s="164"/>
      <c r="H20" s="164"/>
      <c r="I20" s="164"/>
      <c r="J20" s="164"/>
      <c r="K20" s="164"/>
      <c r="L20" s="164"/>
      <c r="M20" s="143"/>
      <c r="N20" s="100">
        <v>1</v>
      </c>
      <c r="O20" s="186" t="str">
        <f t="shared" ref="O20:O21" si="22">+B5</f>
        <v>Boston Hurricanes Blue</v>
      </c>
      <c r="P20" s="143"/>
      <c r="Q20" s="195">
        <v>23</v>
      </c>
      <c r="R20" s="141"/>
      <c r="S20" s="101">
        <v>0</v>
      </c>
      <c r="T20" s="144">
        <v>25</v>
      </c>
      <c r="U20" s="141"/>
      <c r="V20" s="140">
        <v>16</v>
      </c>
      <c r="W20" s="141"/>
      <c r="X20" s="102">
        <v>0</v>
      </c>
      <c r="Y20" s="140">
        <v>25</v>
      </c>
      <c r="Z20" s="141"/>
      <c r="AA20" s="142"/>
      <c r="AB20" s="143"/>
      <c r="AC20" s="103" t="s">
        <v>178</v>
      </c>
      <c r="AD20" s="142"/>
      <c r="AE20" s="143"/>
      <c r="AF20" s="94"/>
      <c r="AG20" s="129" t="str">
        <f t="shared" si="16"/>
        <v>NY Vikings Rogue</v>
      </c>
      <c r="AH20" s="96">
        <f t="shared" si="17"/>
        <v>-11</v>
      </c>
      <c r="AI20" s="149">
        <v>0.10416666666666667</v>
      </c>
      <c r="AJ20" s="150"/>
      <c r="AK20" s="5"/>
      <c r="AL20" s="5"/>
      <c r="AM20" s="5"/>
      <c r="AN20" s="5"/>
      <c r="AO20" s="5"/>
      <c r="AP20" s="5"/>
      <c r="AQ20" s="5"/>
      <c r="AR20" s="5"/>
    </row>
    <row r="21" spans="1:44" ht="15.75" customHeight="1" x14ac:dyDescent="0.2">
      <c r="A21" s="97">
        <v>8</v>
      </c>
      <c r="B21" s="98">
        <v>3</v>
      </c>
      <c r="C21" s="99" t="str">
        <f t="shared" si="20"/>
        <v>NY Impact Booming</v>
      </c>
      <c r="D21" s="61">
        <v>5</v>
      </c>
      <c r="E21" s="163" t="str">
        <f t="shared" si="21"/>
        <v>Toronto Flying Tigers</v>
      </c>
      <c r="F21" s="164"/>
      <c r="G21" s="164"/>
      <c r="H21" s="164"/>
      <c r="I21" s="164"/>
      <c r="J21" s="164"/>
      <c r="K21" s="164"/>
      <c r="L21" s="164"/>
      <c r="M21" s="143"/>
      <c r="N21" s="100">
        <v>2</v>
      </c>
      <c r="O21" s="168" t="str">
        <f t="shared" si="22"/>
        <v>Philly CIA</v>
      </c>
      <c r="P21" s="143"/>
      <c r="Q21" s="195">
        <v>25</v>
      </c>
      <c r="R21" s="141"/>
      <c r="S21" s="101">
        <v>0</v>
      </c>
      <c r="T21" s="144">
        <v>21</v>
      </c>
      <c r="U21" s="141"/>
      <c r="V21" s="140">
        <v>25</v>
      </c>
      <c r="W21" s="141"/>
      <c r="X21" s="102">
        <v>0</v>
      </c>
      <c r="Y21" s="140">
        <v>15</v>
      </c>
      <c r="Z21" s="141"/>
      <c r="AA21" s="142"/>
      <c r="AB21" s="143"/>
      <c r="AC21" s="103" t="s">
        <v>178</v>
      </c>
      <c r="AD21" s="142"/>
      <c r="AE21" s="143"/>
      <c r="AF21" s="94"/>
      <c r="AG21" s="129" t="str">
        <f t="shared" si="16"/>
        <v>NY Impact Booming</v>
      </c>
      <c r="AH21" s="96">
        <f t="shared" si="17"/>
        <v>14</v>
      </c>
      <c r="AI21" s="149">
        <v>0.15972222222222224</v>
      </c>
      <c r="AJ21" s="150"/>
      <c r="AK21" s="5"/>
      <c r="AL21" s="5"/>
      <c r="AM21" s="5"/>
      <c r="AN21" s="5"/>
      <c r="AO21" s="5"/>
      <c r="AP21" s="5"/>
      <c r="AQ21" s="5"/>
      <c r="AR21" s="5"/>
    </row>
    <row r="22" spans="1:44" ht="15.75" customHeight="1" x14ac:dyDescent="0.2">
      <c r="A22" s="97">
        <v>9</v>
      </c>
      <c r="B22" s="98">
        <v>1</v>
      </c>
      <c r="C22" s="105" t="str">
        <f t="shared" ref="C22:C23" si="23">+B5</f>
        <v>Boston Hurricanes Blue</v>
      </c>
      <c r="D22" s="61">
        <v>4</v>
      </c>
      <c r="E22" s="163" t="str">
        <f t="shared" ref="E22:E23" si="24">+B8</f>
        <v>NY Vikings Rogue</v>
      </c>
      <c r="F22" s="164"/>
      <c r="G22" s="164"/>
      <c r="H22" s="164"/>
      <c r="I22" s="164"/>
      <c r="J22" s="164"/>
      <c r="K22" s="164"/>
      <c r="L22" s="164"/>
      <c r="M22" s="143"/>
      <c r="N22" s="100">
        <v>5</v>
      </c>
      <c r="O22" s="168" t="str">
        <f>+B9</f>
        <v>Toronto Flying Tigers</v>
      </c>
      <c r="P22" s="143"/>
      <c r="Q22" s="195">
        <v>11</v>
      </c>
      <c r="R22" s="141"/>
      <c r="S22" s="101">
        <v>0</v>
      </c>
      <c r="T22" s="144">
        <v>25</v>
      </c>
      <c r="U22" s="141"/>
      <c r="V22" s="140">
        <v>12</v>
      </c>
      <c r="W22" s="141"/>
      <c r="X22" s="102">
        <v>0</v>
      </c>
      <c r="Y22" s="140">
        <v>25</v>
      </c>
      <c r="Z22" s="141"/>
      <c r="AA22" s="142"/>
      <c r="AB22" s="143"/>
      <c r="AC22" s="103" t="s">
        <v>178</v>
      </c>
      <c r="AD22" s="142"/>
      <c r="AE22" s="143"/>
      <c r="AF22" s="94"/>
      <c r="AG22" s="129" t="str">
        <f t="shared" si="16"/>
        <v>NY Vikings Rogue</v>
      </c>
      <c r="AH22" s="96">
        <f t="shared" si="17"/>
        <v>-27</v>
      </c>
      <c r="AI22" s="149">
        <v>0.19444444444444445</v>
      </c>
      <c r="AJ22" s="150"/>
      <c r="AK22" s="5"/>
      <c r="AL22" s="5"/>
      <c r="AM22" s="5"/>
      <c r="AN22" s="5"/>
      <c r="AO22" s="5"/>
      <c r="AP22" s="5"/>
      <c r="AQ22" s="5"/>
      <c r="AR22" s="5"/>
    </row>
    <row r="23" spans="1:44" ht="15.75" customHeight="1" x14ac:dyDescent="0.2">
      <c r="A23" s="109">
        <v>10</v>
      </c>
      <c r="B23" s="110">
        <v>2</v>
      </c>
      <c r="C23" s="111" t="str">
        <f t="shared" si="23"/>
        <v>Philly CIA</v>
      </c>
      <c r="D23" s="78">
        <v>5</v>
      </c>
      <c r="E23" s="188" t="str">
        <f t="shared" si="24"/>
        <v>Toronto Flying Tigers</v>
      </c>
      <c r="F23" s="189"/>
      <c r="G23" s="189"/>
      <c r="H23" s="189"/>
      <c r="I23" s="189"/>
      <c r="J23" s="189"/>
      <c r="K23" s="189"/>
      <c r="L23" s="189"/>
      <c r="M23" s="146"/>
      <c r="N23" s="112">
        <v>4</v>
      </c>
      <c r="O23" s="187" t="str">
        <f>+B8</f>
        <v>NY Vikings Rogue</v>
      </c>
      <c r="P23" s="146"/>
      <c r="Q23" s="195">
        <v>25</v>
      </c>
      <c r="R23" s="141"/>
      <c r="S23" s="101">
        <v>0</v>
      </c>
      <c r="T23" s="144">
        <v>13</v>
      </c>
      <c r="U23" s="141"/>
      <c r="V23" s="140">
        <v>27</v>
      </c>
      <c r="W23" s="141"/>
      <c r="X23" s="102">
        <v>0</v>
      </c>
      <c r="Y23" s="140">
        <v>25</v>
      </c>
      <c r="Z23" s="141"/>
      <c r="AA23" s="145"/>
      <c r="AB23" s="146"/>
      <c r="AC23" s="113" t="s">
        <v>178</v>
      </c>
      <c r="AD23" s="145"/>
      <c r="AE23" s="146"/>
      <c r="AF23" s="94"/>
      <c r="AG23" s="131" t="str">
        <f t="shared" si="16"/>
        <v>Philly CIA</v>
      </c>
      <c r="AH23" s="96">
        <f t="shared" si="17"/>
        <v>14</v>
      </c>
      <c r="AI23" s="184">
        <v>0.22916666666666666</v>
      </c>
      <c r="AJ23" s="185"/>
      <c r="AK23" s="5"/>
      <c r="AL23" s="5"/>
      <c r="AM23" s="5"/>
      <c r="AN23" s="5"/>
      <c r="AO23" s="5"/>
      <c r="AP23" s="5"/>
      <c r="AQ23" s="5"/>
      <c r="AR23" s="5"/>
    </row>
    <row r="24" spans="1:44" ht="12.75" customHeight="1" x14ac:dyDescent="0.2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5"/>
      <c r="AM24" s="5"/>
      <c r="AN24" s="5"/>
      <c r="AO24" s="5"/>
      <c r="AP24" s="5"/>
      <c r="AQ24" s="5"/>
      <c r="AR24" s="5"/>
    </row>
    <row r="25" spans="1:44" ht="12.75" customHeight="1" x14ac:dyDescent="0.2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5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5"/>
      <c r="AM25" s="5"/>
      <c r="AN25" s="5"/>
      <c r="AO25" s="5"/>
      <c r="AP25" s="5"/>
      <c r="AQ25" s="5"/>
      <c r="AR25" s="5"/>
    </row>
    <row r="26" spans="1:44" ht="12.75" customHeight="1" x14ac:dyDescent="0.2">
      <c r="A26" s="41"/>
      <c r="B26" s="57"/>
      <c r="C26" s="57" t="s">
        <v>179</v>
      </c>
      <c r="D26" s="57" t="s">
        <v>157</v>
      </c>
      <c r="E26" s="57" t="s">
        <v>180</v>
      </c>
      <c r="F26" s="57" t="s">
        <v>165</v>
      </c>
      <c r="G26" s="57" t="s">
        <v>166</v>
      </c>
      <c r="H26" s="41"/>
      <c r="I26" s="41"/>
      <c r="J26" s="41"/>
      <c r="K26" s="41"/>
      <c r="L26" s="41"/>
      <c r="M26" s="41"/>
      <c r="N26" s="41"/>
      <c r="O26" s="41"/>
      <c r="P26" s="41"/>
      <c r="Q26" s="5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5"/>
      <c r="AM26" s="5"/>
      <c r="AN26" s="5"/>
      <c r="AO26" s="5"/>
      <c r="AP26" s="5"/>
      <c r="AQ26" s="5"/>
      <c r="AR26" s="5"/>
    </row>
    <row r="27" spans="1:44" ht="12.75" customHeight="1" x14ac:dyDescent="0.2">
      <c r="A27" s="41"/>
      <c r="B27" s="57">
        <v>1</v>
      </c>
      <c r="C27" s="57" t="str">
        <f t="shared" ref="C27:C31" si="25">VLOOKUP(B27,$A$5:$AR$9,2,FALSE)</f>
        <v>NY Vikings Rogue</v>
      </c>
      <c r="D27" s="57">
        <f t="shared" ref="D27:D31" si="26">VLOOKUP(B27,$A$5:$AR$9,15,FALSE)</f>
        <v>7</v>
      </c>
      <c r="E27" s="57">
        <f t="shared" ref="E27:E31" si="27">VLOOKUP(B27,$A$5:$AR$9,36,FALSE)</f>
        <v>65</v>
      </c>
      <c r="F27" s="114">
        <f t="shared" ref="F27:F31" si="28">VLOOKUP(B27,$A$5:$AR$9,40,FALSE)</f>
        <v>0.875</v>
      </c>
      <c r="G27" s="114">
        <f t="shared" ref="G27:G31" si="29">VLOOKUP(B27,$A$5:$AR$9,42,FALSE)</f>
        <v>8.125</v>
      </c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5"/>
      <c r="AM27" s="5"/>
      <c r="AN27" s="5"/>
      <c r="AO27" s="5"/>
      <c r="AP27" s="5"/>
      <c r="AQ27" s="5"/>
      <c r="AR27" s="5"/>
    </row>
    <row r="28" spans="1:44" ht="12.75" customHeight="1" x14ac:dyDescent="0.2">
      <c r="A28" s="41"/>
      <c r="B28" s="57">
        <v>2</v>
      </c>
      <c r="C28" s="57" t="str">
        <f t="shared" si="25"/>
        <v>NY Impact Booming</v>
      </c>
      <c r="D28" s="57">
        <f t="shared" si="26"/>
        <v>7</v>
      </c>
      <c r="E28" s="57">
        <f t="shared" si="27"/>
        <v>40</v>
      </c>
      <c r="F28" s="114">
        <f t="shared" si="28"/>
        <v>0.875</v>
      </c>
      <c r="G28" s="114">
        <f t="shared" si="29"/>
        <v>5</v>
      </c>
      <c r="H28" s="41"/>
      <c r="I28" s="41"/>
      <c r="J28" s="41"/>
      <c r="K28" s="41"/>
      <c r="L28" s="41"/>
      <c r="M28" s="41"/>
      <c r="N28" s="41"/>
      <c r="O28" s="41"/>
      <c r="P28" s="5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183"/>
      <c r="AK28" s="136"/>
      <c r="AL28" s="5"/>
      <c r="AM28" s="5"/>
      <c r="AN28" s="5"/>
      <c r="AO28" s="5"/>
      <c r="AP28" s="5"/>
      <c r="AQ28" s="5"/>
      <c r="AR28" s="5"/>
    </row>
    <row r="29" spans="1:44" ht="12.75" customHeight="1" x14ac:dyDescent="0.2">
      <c r="A29" s="5"/>
      <c r="B29" s="14">
        <v>3</v>
      </c>
      <c r="C29" s="57" t="str">
        <f t="shared" si="25"/>
        <v>Philly CIA</v>
      </c>
      <c r="D29" s="57">
        <f t="shared" si="26"/>
        <v>4</v>
      </c>
      <c r="E29" s="57">
        <f t="shared" si="27"/>
        <v>-4</v>
      </c>
      <c r="F29" s="114">
        <f t="shared" si="28"/>
        <v>0.5</v>
      </c>
      <c r="G29" s="114">
        <f t="shared" si="29"/>
        <v>-0.5</v>
      </c>
      <c r="H29" s="41"/>
      <c r="I29" s="41"/>
      <c r="J29" s="41"/>
      <c r="K29" s="41"/>
      <c r="L29" s="41"/>
      <c r="M29" s="41"/>
      <c r="N29" s="41"/>
      <c r="O29" s="41"/>
      <c r="P29" s="5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115"/>
      <c r="AK29" s="41"/>
      <c r="AL29" s="5"/>
      <c r="AM29" s="5"/>
      <c r="AN29" s="5"/>
      <c r="AO29" s="5"/>
      <c r="AP29" s="5"/>
      <c r="AQ29" s="5"/>
      <c r="AR29" s="5"/>
    </row>
    <row r="30" spans="1:44" ht="12.75" customHeight="1" x14ac:dyDescent="0.2">
      <c r="A30" s="5"/>
      <c r="B30" s="14">
        <v>4</v>
      </c>
      <c r="C30" s="116" t="str">
        <f t="shared" si="25"/>
        <v>Boston Hurricanes Blue</v>
      </c>
      <c r="D30" s="57">
        <f t="shared" si="26"/>
        <v>2</v>
      </c>
      <c r="E30" s="57">
        <f t="shared" si="27"/>
        <v>-43</v>
      </c>
      <c r="F30" s="114">
        <f t="shared" si="28"/>
        <v>0.25</v>
      </c>
      <c r="G30" s="114">
        <f t="shared" si="29"/>
        <v>-5.375</v>
      </c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115"/>
      <c r="AK30" s="41"/>
      <c r="AL30" s="5"/>
      <c r="AM30" s="5"/>
      <c r="AN30" s="5"/>
      <c r="AO30" s="5"/>
      <c r="AP30" s="5"/>
      <c r="AQ30" s="5"/>
      <c r="AR30" s="5"/>
    </row>
    <row r="31" spans="1:44" ht="12.75" customHeight="1" x14ac:dyDescent="0.2">
      <c r="A31" s="5"/>
      <c r="B31" s="14">
        <v>5</v>
      </c>
      <c r="C31" s="57" t="str">
        <f t="shared" si="25"/>
        <v>Toronto Flying Tigers</v>
      </c>
      <c r="D31" s="57">
        <f t="shared" si="26"/>
        <v>0</v>
      </c>
      <c r="E31" s="57">
        <f t="shared" si="27"/>
        <v>-58</v>
      </c>
      <c r="F31" s="114">
        <f t="shared" si="28"/>
        <v>0</v>
      </c>
      <c r="G31" s="114">
        <f t="shared" si="29"/>
        <v>-7.25</v>
      </c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115"/>
      <c r="AK31" s="41"/>
      <c r="AL31" s="5"/>
      <c r="AM31" s="5"/>
      <c r="AN31" s="5"/>
      <c r="AO31" s="5"/>
      <c r="AP31" s="5"/>
      <c r="AQ31" s="5"/>
      <c r="AR31" s="5"/>
    </row>
    <row r="32" spans="1:44" ht="12.75" customHeight="1" x14ac:dyDescent="0.2">
      <c r="A32" s="5"/>
      <c r="B32" s="5"/>
      <c r="C32" s="5"/>
      <c r="D32" s="5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115"/>
      <c r="AK32" s="41"/>
      <c r="AL32" s="5"/>
      <c r="AM32" s="5"/>
      <c r="AN32" s="5"/>
      <c r="AO32" s="5"/>
      <c r="AP32" s="5"/>
      <c r="AQ32" s="5"/>
      <c r="AR32" s="5"/>
    </row>
  </sheetData>
  <mergeCells count="124">
    <mergeCell ref="A1:AG1"/>
    <mergeCell ref="R4:AF4"/>
    <mergeCell ref="AJ4:AK4"/>
    <mergeCell ref="AN4:AO4"/>
    <mergeCell ref="AP4:AQ4"/>
    <mergeCell ref="V22:W22"/>
    <mergeCell ref="V23:W23"/>
    <mergeCell ref="V21:W21"/>
    <mergeCell ref="AA23:AB23"/>
    <mergeCell ref="AA22:AB22"/>
    <mergeCell ref="AA21:AB21"/>
    <mergeCell ref="Y23:Z23"/>
    <mergeCell ref="E22:M22"/>
    <mergeCell ref="E21:M21"/>
    <mergeCell ref="E23:M23"/>
    <mergeCell ref="T22:U22"/>
    <mergeCell ref="Q22:R22"/>
    <mergeCell ref="O22:P22"/>
    <mergeCell ref="O23:P23"/>
    <mergeCell ref="Q23:R23"/>
    <mergeCell ref="T23:U23"/>
    <mergeCell ref="O21:P21"/>
    <mergeCell ref="T21:U21"/>
    <mergeCell ref="AA18:AB18"/>
    <mergeCell ref="AD22:AE22"/>
    <mergeCell ref="AD21:AE21"/>
    <mergeCell ref="AI23:AJ23"/>
    <mergeCell ref="AJ28:AK28"/>
    <mergeCell ref="AI22:AJ22"/>
    <mergeCell ref="AI21:AJ21"/>
    <mergeCell ref="AD20:AE20"/>
    <mergeCell ref="A2:AG2"/>
    <mergeCell ref="A3:AG3"/>
    <mergeCell ref="B7:D7"/>
    <mergeCell ref="J7:N7"/>
    <mergeCell ref="AA20:AB20"/>
    <mergeCell ref="AA19:AB19"/>
    <mergeCell ref="Y22:Z22"/>
    <mergeCell ref="Y21:Z21"/>
    <mergeCell ref="AD17:AE17"/>
    <mergeCell ref="AD18:AE18"/>
    <mergeCell ref="Y17:Z17"/>
    <mergeCell ref="AD23:AE23"/>
    <mergeCell ref="AA17:AB17"/>
    <mergeCell ref="AD19:AE19"/>
    <mergeCell ref="AI14:AJ14"/>
    <mergeCell ref="AI15:AJ15"/>
    <mergeCell ref="AD15:AE15"/>
    <mergeCell ref="T17:U17"/>
    <mergeCell ref="Q13:U13"/>
    <mergeCell ref="T16:U16"/>
    <mergeCell ref="N13:P13"/>
    <mergeCell ref="V13:Z13"/>
    <mergeCell ref="V17:W17"/>
    <mergeCell ref="AI20:AJ20"/>
    <mergeCell ref="AI16:AJ16"/>
    <mergeCell ref="AI19:AJ19"/>
    <mergeCell ref="AI18:AJ18"/>
    <mergeCell ref="AI17:AJ17"/>
    <mergeCell ref="AD16:AE16"/>
    <mergeCell ref="T14:U14"/>
    <mergeCell ref="V14:W14"/>
    <mergeCell ref="AI13:AJ13"/>
    <mergeCell ref="AA13:AE13"/>
    <mergeCell ref="AD14:AE14"/>
    <mergeCell ref="Y14:Z14"/>
    <mergeCell ref="AA15:AB15"/>
    <mergeCell ref="AA14:AB14"/>
    <mergeCell ref="AA16:AB16"/>
    <mergeCell ref="Y15:Z15"/>
    <mergeCell ref="Y16:Z16"/>
    <mergeCell ref="V16:W16"/>
    <mergeCell ref="V15:W15"/>
    <mergeCell ref="T15:U15"/>
    <mergeCell ref="V19:W19"/>
    <mergeCell ref="V18:W18"/>
    <mergeCell ref="T18:U18"/>
    <mergeCell ref="Y18:Z18"/>
    <mergeCell ref="O20:P20"/>
    <mergeCell ref="O19:P19"/>
    <mergeCell ref="V20:W20"/>
    <mergeCell ref="Y20:Z20"/>
    <mergeCell ref="T19:U19"/>
    <mergeCell ref="Y19:Z19"/>
    <mergeCell ref="T20:U20"/>
    <mergeCell ref="Q14:R14"/>
    <mergeCell ref="O14:P14"/>
    <mergeCell ref="Q18:R18"/>
    <mergeCell ref="Q17:R17"/>
    <mergeCell ref="O15:P15"/>
    <mergeCell ref="Q15:R15"/>
    <mergeCell ref="Q20:R20"/>
    <mergeCell ref="Q21:R21"/>
    <mergeCell ref="Q19:R19"/>
    <mergeCell ref="O18:P18"/>
    <mergeCell ref="O16:P16"/>
    <mergeCell ref="Q16:R16"/>
    <mergeCell ref="O17:P17"/>
    <mergeCell ref="E18:M18"/>
    <mergeCell ref="E15:M15"/>
    <mergeCell ref="E17:M17"/>
    <mergeCell ref="E16:M16"/>
    <mergeCell ref="E14:M14"/>
    <mergeCell ref="E13:M13"/>
    <mergeCell ref="E19:M19"/>
    <mergeCell ref="E20:M20"/>
    <mergeCell ref="B4:D4"/>
    <mergeCell ref="B5:D5"/>
    <mergeCell ref="E4:I4"/>
    <mergeCell ref="E5:I5"/>
    <mergeCell ref="E7:I7"/>
    <mergeCell ref="A10:AG12"/>
    <mergeCell ref="A13:B13"/>
    <mergeCell ref="J4:N4"/>
    <mergeCell ref="J6:N6"/>
    <mergeCell ref="J5:N5"/>
    <mergeCell ref="J8:N8"/>
    <mergeCell ref="J9:N9"/>
    <mergeCell ref="B6:D6"/>
    <mergeCell ref="E6:I6"/>
    <mergeCell ref="B8:D8"/>
    <mergeCell ref="E9:I9"/>
    <mergeCell ref="E8:I8"/>
    <mergeCell ref="B9:D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R32"/>
  <sheetViews>
    <sheetView showGridLines="0" workbookViewId="0"/>
  </sheetViews>
  <sheetFormatPr baseColWidth="10" defaultColWidth="17.33203125" defaultRowHeight="15" customHeight="1" x14ac:dyDescent="0.2"/>
  <cols>
    <col min="1" max="1" width="4.1640625" customWidth="1"/>
    <col min="2" max="2" width="3.5" customWidth="1"/>
    <col min="3" max="3" width="25.6640625" customWidth="1"/>
    <col min="4" max="4" width="4.5" customWidth="1"/>
    <col min="5" max="5" width="3.33203125" customWidth="1"/>
    <col min="6" max="6" width="10.33203125" customWidth="1"/>
    <col min="7" max="7" width="9.6640625" customWidth="1"/>
    <col min="8" max="9" width="3.33203125" hidden="1" customWidth="1"/>
    <col min="10" max="14" width="3.33203125" customWidth="1"/>
    <col min="15" max="15" width="13.33203125" customWidth="1"/>
    <col min="16" max="16" width="13.1640625" customWidth="1"/>
    <col min="17" max="19" width="4" customWidth="1"/>
    <col min="20" max="22" width="3.33203125" customWidth="1"/>
    <col min="23" max="23" width="4" customWidth="1"/>
    <col min="24" max="25" width="3.33203125" customWidth="1"/>
    <col min="26" max="27" width="4" customWidth="1"/>
    <col min="28" max="31" width="3.33203125" customWidth="1"/>
    <col min="32" max="32" width="4.5" customWidth="1"/>
    <col min="33" max="33" width="15.33203125" customWidth="1"/>
    <col min="34" max="34" width="12.1640625" customWidth="1"/>
    <col min="35" max="35" width="13.1640625" customWidth="1"/>
    <col min="36" max="36" width="4.1640625" customWidth="1"/>
    <col min="37" max="37" width="7.1640625" customWidth="1"/>
    <col min="38" max="38" width="11.83203125" customWidth="1"/>
    <col min="39" max="39" width="7.1640625" customWidth="1"/>
    <col min="40" max="40" width="6.5" customWidth="1"/>
    <col min="41" max="44" width="8.83203125" customWidth="1"/>
  </cols>
  <sheetData>
    <row r="1" spans="1:44" ht="30.75" customHeight="1" x14ac:dyDescent="0.35">
      <c r="A1" s="180" t="s">
        <v>181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38"/>
      <c r="AI1" s="39"/>
      <c r="AJ1" s="39"/>
      <c r="AK1" s="39"/>
      <c r="AL1" s="39"/>
      <c r="AM1" s="39"/>
      <c r="AN1" s="39"/>
      <c r="AO1" s="1"/>
      <c r="AP1" s="1"/>
      <c r="AQ1" s="1"/>
      <c r="AR1" s="1"/>
    </row>
    <row r="2" spans="1:44" ht="30.75" customHeight="1" x14ac:dyDescent="0.35">
      <c r="A2" s="180" t="str">
        <f>+'Women''s Master'!C3</f>
        <v>CT06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38"/>
      <c r="AI2" s="39"/>
      <c r="AJ2" s="39"/>
      <c r="AK2" s="39"/>
      <c r="AL2" s="39"/>
      <c r="AM2" s="39"/>
      <c r="AN2" s="39"/>
      <c r="AO2" s="1"/>
      <c r="AP2" s="1"/>
      <c r="AQ2" s="1"/>
      <c r="AR2" s="1"/>
    </row>
    <row r="3" spans="1:44" ht="42.75" customHeight="1" x14ac:dyDescent="0.45">
      <c r="A3" s="181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40"/>
      <c r="AI3" s="41" t="s">
        <v>153</v>
      </c>
      <c r="AJ3" s="41"/>
      <c r="AK3" s="41"/>
      <c r="AL3" s="41"/>
      <c r="AM3" s="41"/>
      <c r="AN3" s="41"/>
      <c r="AO3" s="5"/>
      <c r="AP3" s="5"/>
      <c r="AQ3" s="5"/>
      <c r="AR3" s="5" t="s">
        <v>154</v>
      </c>
    </row>
    <row r="4" spans="1:44" ht="27" customHeight="1" x14ac:dyDescent="0.2">
      <c r="A4" s="42"/>
      <c r="B4" s="179" t="s">
        <v>102</v>
      </c>
      <c r="C4" s="173"/>
      <c r="D4" s="173"/>
      <c r="E4" s="155" t="s">
        <v>155</v>
      </c>
      <c r="F4" s="156"/>
      <c r="G4" s="156"/>
      <c r="H4" s="156"/>
      <c r="I4" s="157"/>
      <c r="J4" s="165" t="s">
        <v>156</v>
      </c>
      <c r="K4" s="156"/>
      <c r="L4" s="156"/>
      <c r="M4" s="156"/>
      <c r="N4" s="166"/>
      <c r="O4" s="43" t="s">
        <v>157</v>
      </c>
      <c r="P4" s="44" t="s">
        <v>158</v>
      </c>
      <c r="Q4" s="45"/>
      <c r="R4" s="194" t="s">
        <v>159</v>
      </c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53"/>
      <c r="AG4" s="46" t="s">
        <v>160</v>
      </c>
      <c r="AH4" s="47" t="s">
        <v>161</v>
      </c>
      <c r="AI4" s="47" t="s">
        <v>162</v>
      </c>
      <c r="AJ4" s="193" t="s">
        <v>163</v>
      </c>
      <c r="AK4" s="153"/>
      <c r="AL4" s="47" t="s">
        <v>164</v>
      </c>
      <c r="AM4" s="48"/>
      <c r="AN4" s="190" t="s">
        <v>165</v>
      </c>
      <c r="AO4" s="191"/>
      <c r="AP4" s="192" t="s">
        <v>166</v>
      </c>
      <c r="AQ4" s="191"/>
      <c r="AR4" s="50" t="s">
        <v>167</v>
      </c>
    </row>
    <row r="5" spans="1:44" ht="15.75" customHeight="1" x14ac:dyDescent="0.2">
      <c r="A5" s="51">
        <f t="shared" ref="A5:A9" si="0">AR5</f>
        <v>1</v>
      </c>
      <c r="B5" s="172" t="str">
        <f>+'Women''s Master'!C4</f>
        <v>DC CYC Red</v>
      </c>
      <c r="C5" s="173"/>
      <c r="D5" s="173"/>
      <c r="E5" s="171">
        <f>SUM(IF(AG14=B5,1,0),IF(AG16=C16,1,0),IF(AG19=C19,1,0),IF(AG22=C22,1,0))</f>
        <v>4</v>
      </c>
      <c r="F5" s="162"/>
      <c r="G5" s="162"/>
      <c r="H5" s="162"/>
      <c r="I5" s="153"/>
      <c r="J5" s="169">
        <f>SUM(IF(AG14=C14,0,1),IF(AG16=C16,0,1),IF(AG19=C19,0,1),IF(AG22=C22,0,1))</f>
        <v>0</v>
      </c>
      <c r="K5" s="162"/>
      <c r="L5" s="162"/>
      <c r="M5" s="162"/>
      <c r="N5" s="170"/>
      <c r="O5" s="53">
        <f>SUM(IF(AD5&gt;0,1,0),IF(AE5&gt;0,1,0),IF(AF5&gt;0,1,0),IF(U5&gt;0,1,0),IF(V5&gt;0,1,0),IF(W5&gt;0,1,0),IF(X5&gt;0,1,0),IF(Y5&gt;0,1,0),IF(Z5&gt;0,1,0),IF(AA5&gt;0,1,0),IF(AB5&gt;0,1,0),IF(AC5&gt;0,1,0))</f>
        <v>8</v>
      </c>
      <c r="P5" s="52">
        <f>SUM(IF(AD5&lt;0,1,0),IF(AE5&lt;0,1,0),IF(AF5&lt;0,1,0),IF(U5&lt;0,1,0),IF(V5&lt;0,1,0),IF(W5&lt;0,1,0),IF(X5&lt;0,1,0),IF(Y5&lt;0,1,0),IF(Z5&lt;0,1,0),IF(AA5&lt;0,1,0),IF(AB5&lt;0,1,0),IF(AC5&lt;0,1,0))</f>
        <v>0</v>
      </c>
      <c r="Q5" s="54">
        <f>1+SUM(IF(O5&lt;O6,1,0),IF(O5&lt;O7,1,0),IF(O5&lt;O8,1,0),IF(O5&lt;O9,1,0))</f>
        <v>1</v>
      </c>
      <c r="R5" s="55"/>
      <c r="S5" s="56"/>
      <c r="T5" s="56"/>
      <c r="U5" s="57">
        <f>Q14-T14</f>
        <v>16</v>
      </c>
      <c r="V5" s="57">
        <f>V14-Y14</f>
        <v>10</v>
      </c>
      <c r="W5" s="57">
        <f>AA14-AD14</f>
        <v>0</v>
      </c>
      <c r="X5" s="57">
        <f>Q19-T19</f>
        <v>14</v>
      </c>
      <c r="Y5" s="57">
        <f>V19-Y19</f>
        <v>14</v>
      </c>
      <c r="Z5" s="57">
        <f>AA19-AD19</f>
        <v>0</v>
      </c>
      <c r="AA5" s="58">
        <f>Q22-T22</f>
        <v>16</v>
      </c>
      <c r="AB5" s="58">
        <f>V22-Y22</f>
        <v>8</v>
      </c>
      <c r="AC5" s="58">
        <f>AA22-AD22</f>
        <v>0</v>
      </c>
      <c r="AD5" s="58">
        <f>Q16-T16</f>
        <v>14</v>
      </c>
      <c r="AE5" s="58">
        <f>V16-Y16</f>
        <v>15</v>
      </c>
      <c r="AF5" s="58">
        <f>AA16-AD16</f>
        <v>0</v>
      </c>
      <c r="AG5" s="58" t="b">
        <f>IF(Q5=Q6,IF(SUM(U5:W5)&gt;0,B5,B6),  IF(Q5=Q7,IF(SUM(X5:Z5)&gt;0, B5,B7),IF(Q5=Q8,IF(SUM(AA5:AC5)&gt;0, B5,B8),IF(Q5=Q9,IF(SUM(AD5:AF5)&lt;0,B5,B9)))))</f>
        <v>0</v>
      </c>
      <c r="AH5" s="58" t="b">
        <f>IF(Q5=Q6,IF(SUM(U5:W5)&lt;0,B5,B6),  IF(Q5=Q7,IF(SUM(X5:Z5)&lt;0, B5,B7),IF(Q5=Q8,IF(SUM(AA5:AC5)&lt;0, B5,B8),IF(Q5=Q9, IF(SUM(AD5:AF5)&lt;0,B5,B9)))))</f>
        <v>0</v>
      </c>
      <c r="AI5" s="60">
        <f t="shared" ref="AI5:AI9" si="1">Q5+IF(COUNTIF($AG$5:$AG$9,B5)&gt;0,0, IF(COUNTIF($AH$5:$AH$9,B5)&gt;0,1,0))</f>
        <v>1</v>
      </c>
      <c r="AJ5" s="61">
        <f t="shared" ref="AJ5:AJ9" si="2">SUM(R5:AF5)</f>
        <v>107</v>
      </c>
      <c r="AK5" s="62">
        <f>1+SUM(IF(AJ5&lt;AJ6,1,0),IF(AJ5&lt;AJ7,1,0),IF(AJ5&lt;AJ8,1,0),IF(AJ5&lt;AJ9,1,0))</f>
        <v>1</v>
      </c>
      <c r="AL5" s="63">
        <f t="shared" ref="AL5:AL9" si="3">IF(SUM(E5,J5)=0,0,E5/(E5+J5))</f>
        <v>1</v>
      </c>
      <c r="AM5" s="62">
        <f>1+SUM(IF(AL5&lt;AL6,1,0),IF(AL5&lt;AL7,1,0),IF(AL5&lt;AL8,1,0),IF(AL5&lt;AL9,1,0))</f>
        <v>1</v>
      </c>
      <c r="AN5" s="64">
        <f t="shared" ref="AN5:AN9" si="4">IF(SUM(O5+P5)=0,0,O5/(O5+P5))</f>
        <v>1</v>
      </c>
      <c r="AO5" s="65">
        <f>1+SUM(IF(AN5&lt;AN6,1,0),IF(AN5&lt;AN7,1,0),IF(AN5&lt;AN8,1,0),IF(AN5&lt;AN9,1,0))</f>
        <v>1</v>
      </c>
      <c r="AP5" s="106">
        <f t="shared" ref="AP5:AP9" si="5">AJ5/SUM(O5:P5)</f>
        <v>13.375</v>
      </c>
      <c r="AQ5" s="67">
        <f>1+SUM(IF(AP5&lt;AP6,1,0),IF(AP5&lt;AP7,1,0),IF(AP5&lt;AP8,1,0),IF(AP5&lt;AP9,1,0))</f>
        <v>1</v>
      </c>
      <c r="AR5" s="68">
        <f>1+SUM(IF(Q5&gt;Q6,1,IF(AND(Q5=Q6,AI5&gt;AI6),1,IF(AND(Q5=Q6,AI5=AI6),1,0))),IF(Q5&gt;Q7,1,IF(AND(Q5=Q7,AI5&gt;AI7),1,IF(AND(Q5=Q7,AI5=AI7),1,0))),IF(Q5&gt;Q8,1,IF(AND(Q5=Q8,AI5&gt;AI8),1,IF(AND(Q5=Q8,AI5=AI8),1,0))),IF(Q5&gt;Q9,1,IF(AND(Q5=Q9,AI5&gt;AI9),1,IF(AND(Q5=Q9,AI5=AI9),1,0))))</f>
        <v>1</v>
      </c>
    </row>
    <row r="6" spans="1:44" ht="15.75" customHeight="1" x14ac:dyDescent="0.2">
      <c r="A6" s="51">
        <f t="shared" si="0"/>
        <v>5</v>
      </c>
      <c r="B6" s="172" t="str">
        <f>+'Women''s Master'!C5</f>
        <v>Toronto Storm X</v>
      </c>
      <c r="C6" s="173"/>
      <c r="D6" s="173"/>
      <c r="E6" s="171">
        <f>SUM(IF(AG14=E14,1,0),IF(AG17=C17,1,0),IF(AG20=C20,1,0),IF(AG23=C23,1,0))</f>
        <v>1</v>
      </c>
      <c r="F6" s="162"/>
      <c r="G6" s="162"/>
      <c r="H6" s="162"/>
      <c r="I6" s="153"/>
      <c r="J6" s="169">
        <f>SUM(IF(AG14=E14,0,1),IF(AG17=C17,0,1),IF(AG20=C20,0,1),IF(AG23=C23,0,1))</f>
        <v>3</v>
      </c>
      <c r="K6" s="162"/>
      <c r="L6" s="162"/>
      <c r="M6" s="162"/>
      <c r="N6" s="170"/>
      <c r="O6" s="53">
        <f>SUM(IF(AD6&gt;0,1,0),IF(AE6&gt;0,1,0),IF(AF6&gt;0,1,0),IF(R6&gt;0,1,0),IF(S6&gt;0,1,0),IF(T6&gt;0,1,0),IF(X6&gt;0,1,0),IF(Y6&gt;0,1,0),IF(Z6&gt;0,1,0),IF(AA6&gt;0,1,0),IF(AB6&gt;0,1,0),IF(AC6&gt;0,1,0))</f>
        <v>2</v>
      </c>
      <c r="P6" s="52">
        <f>SUM(IF(AD6&lt;0,1,0),IF(AE6&lt;0,1,0),IF(AF6&lt;0,1,0),IF(R6&lt;0,1,0),IF(S6&lt;0,1,0),IF(T6&lt;0,1,0),IF(X6&lt;0,1,0),IF(Y6&lt;0,1,0),IF(Z6&lt;0,1,0),IF(AA6&lt;0,1,0),IF(AB6&lt;0,1,0),IF(AC6&lt;0,1,0))</f>
        <v>6</v>
      </c>
      <c r="Q6" s="54">
        <f>1+SUM(IF(O6&lt;O5,1,0),IF(O6&lt;O7,1,0),IF(O6&lt;O8,1,0),IF(O6&lt;O9,1,0))</f>
        <v>5</v>
      </c>
      <c r="R6" s="69">
        <f t="shared" ref="R6:T6" si="6">-U5</f>
        <v>-16</v>
      </c>
      <c r="S6" s="58">
        <f t="shared" si="6"/>
        <v>-10</v>
      </c>
      <c r="T6" s="58">
        <f t="shared" si="6"/>
        <v>0</v>
      </c>
      <c r="U6" s="56"/>
      <c r="V6" s="56"/>
      <c r="W6" s="56"/>
      <c r="X6" s="57">
        <f>Q17-T17</f>
        <v>-5</v>
      </c>
      <c r="Y6" s="57">
        <f>V17-Y17</f>
        <v>-5</v>
      </c>
      <c r="Z6" s="57">
        <f>AA17-AD17</f>
        <v>0</v>
      </c>
      <c r="AA6" s="58">
        <f>Q20-T20</f>
        <v>8</v>
      </c>
      <c r="AB6" s="58">
        <f>V20-Y20</f>
        <v>-3</v>
      </c>
      <c r="AC6" s="58">
        <f>AA20-AD20</f>
        <v>0</v>
      </c>
      <c r="AD6" s="58">
        <f>Q23-T23</f>
        <v>4</v>
      </c>
      <c r="AE6" s="58">
        <f>V23-Y23</f>
        <v>-8</v>
      </c>
      <c r="AF6" s="58">
        <f>AA23-AD23</f>
        <v>0</v>
      </c>
      <c r="AG6" s="58" t="b">
        <f>IF(Q6=Q7,IF(SUM(X6:Z6)&gt;0,B6,B7),IF(Q6=Q8,IF(SUM(AA6:AC6)&gt;0,B6,B8),IF(Q6=Q9,IF(SUM(AD6:AF6)&gt;0, B6,B9))))</f>
        <v>0</v>
      </c>
      <c r="AH6" s="58" t="b">
        <f>IF(Q6=Q7,IF(SUM(X6:Z6)&lt;0,B6,B7),IF(Q6=Q8,IF(SUM(AA6:AC6)&lt;0,B6,B8),IF(Q6=Q9,IF(SUM(AD6:AF6)&lt;0, B6,B9))))</f>
        <v>0</v>
      </c>
      <c r="AI6" s="60">
        <f t="shared" si="1"/>
        <v>5</v>
      </c>
      <c r="AJ6" s="61">
        <f t="shared" si="2"/>
        <v>-35</v>
      </c>
      <c r="AK6" s="62">
        <f>1+SUM(IF(AJ6&lt;AJ5,1,0),IF(AJ6&lt;AJ7,1,0),IF(AJ6&lt;AJ8,1,0),IF(AJ6&lt;AJ9,1,0))</f>
        <v>4</v>
      </c>
      <c r="AL6" s="63">
        <f t="shared" si="3"/>
        <v>0.25</v>
      </c>
      <c r="AM6" s="62">
        <f>1+SUM(IF(AL6&lt;AL5,1,0),IF(AL6&lt;AL7,1,0),IF(AL6&lt;AL8,1,0),IF(AL6&lt;AL9,1,0))</f>
        <v>3</v>
      </c>
      <c r="AN6" s="64">
        <f t="shared" si="4"/>
        <v>0.25</v>
      </c>
      <c r="AO6" s="65">
        <f>1+SUM(IF(AN6&lt;AN5,1,0),IF(AN6&lt;AN7,1,0),IF(AN6&lt;AN8,1,0),IF(AN6&lt;AN9,1,0))</f>
        <v>5</v>
      </c>
      <c r="AP6" s="106">
        <f t="shared" si="5"/>
        <v>-4.375</v>
      </c>
      <c r="AQ6" s="70">
        <f>1+SUM(IF(AP6&lt;AP5,1,0),IF(AP6&lt;AP7,1,0),IF(AP6&lt;AP8,1,0),IF(AP6&lt;AP9,1,0))</f>
        <v>4</v>
      </c>
      <c r="AR6" s="68">
        <f>1+SUM(IF(Q6&gt;Q5,1,IF(AND(Q6=Q5,AI6&gt;AI5),1,IF(AND(Q6=Q5,AI6=AI5),1,0))),IF(Q6&gt;Q7,1,IF(AND(Q6=Q7,AI6&gt;AI7),1,IF(AND(Q6=Q7,AI6=AI7),1,0))),IF(Q6&gt;Q8,1,IF(AND(Q6=Q8,AI6&gt;AI8),1,IF(AND(Q6=Q8,AI6=AI8),1,0))),IF(Q6&gt;Q9,1,IF(AND(Q6=Q9,AI6&gt;AI9),1,IF(AND(Q6=Q9,AI6=AI9),1,0))))</f>
        <v>5</v>
      </c>
    </row>
    <row r="7" spans="1:44" ht="15.75" customHeight="1" x14ac:dyDescent="0.2">
      <c r="A7" s="128">
        <f t="shared" si="0"/>
        <v>4</v>
      </c>
      <c r="B7" s="172" t="str">
        <f>+'Women''s Master'!C6</f>
        <v>NJ Fastbelles Jr</v>
      </c>
      <c r="C7" s="173"/>
      <c r="D7" s="173"/>
      <c r="E7" s="171">
        <f>SUM(IF(AG15=C15,1,0),IF(AG17=E17,1,0),IF(AG19=E19,1,0),IF(AG21=C21,1,0))</f>
        <v>1</v>
      </c>
      <c r="F7" s="162"/>
      <c r="G7" s="162"/>
      <c r="H7" s="162"/>
      <c r="I7" s="153"/>
      <c r="J7" s="169">
        <f>SUM(IF(AG15=C15,0,1),IF(AG17=E17,0,1),IF(AG19=E19,0,1),IF(AG21=C21,0,1))</f>
        <v>3</v>
      </c>
      <c r="K7" s="162"/>
      <c r="L7" s="162"/>
      <c r="M7" s="162"/>
      <c r="N7" s="170"/>
      <c r="O7" s="53">
        <f>SUM(IF(AD7&gt;0,1,0),IF(AE7&gt;0,1,0),IF(AF7&gt;0,1,0),IF(U7&gt;0,1,0),IF(V7&gt;0,1,0),IF(W7&gt;0,1,0),IF(R7&gt;0,1,0),IF(S7&gt;0,1,0),IF(T7&gt;0,1,0),IF(AA7&gt;0,1,0),IF(AB7&gt;0,1,0),IF(AC7&gt;0,1,0))</f>
        <v>3</v>
      </c>
      <c r="P7" s="52">
        <f>SUM(IF(AD7&lt;0,1,0),IF(AE7&lt;0,1,0),IF(AF7&lt;0,1,0),IF(U7&lt;0,1,0),IF(V7&lt;0,1,0),IF(W7&lt;0,1,0),IF(R7&lt;0,1,0),IF(S7&lt;0,1,0),IF(T7&lt;0,1,0),IF(AA7&lt;0,1,0),IF(AB7&lt;0,1,0),IF(AC7&lt;0,1,0))</f>
        <v>5</v>
      </c>
      <c r="Q7" s="54">
        <f>1+SUM(IF(O7&lt;O6,1,0),IF(O7&lt;O5,1,0),IF(O7&lt;O8,1,0),IF(O7&lt;O9,1,0))</f>
        <v>3</v>
      </c>
      <c r="R7" s="69">
        <f t="shared" ref="R7:T7" si="7">-X5</f>
        <v>-14</v>
      </c>
      <c r="S7" s="58">
        <f t="shared" si="7"/>
        <v>-14</v>
      </c>
      <c r="T7" s="58">
        <f t="shared" si="7"/>
        <v>0</v>
      </c>
      <c r="U7" s="58">
        <f t="shared" ref="U7:W7" si="8">-X6</f>
        <v>5</v>
      </c>
      <c r="V7" s="58">
        <f t="shared" si="8"/>
        <v>5</v>
      </c>
      <c r="W7" s="58">
        <f t="shared" si="8"/>
        <v>0</v>
      </c>
      <c r="X7" s="71"/>
      <c r="Y7" s="71"/>
      <c r="Z7" s="71"/>
      <c r="AA7" s="58">
        <f>Q15-T15</f>
        <v>7</v>
      </c>
      <c r="AB7" s="58">
        <f>V15-Y15</f>
        <v>-10</v>
      </c>
      <c r="AC7" s="58">
        <f>AA15-AD15</f>
        <v>0</v>
      </c>
      <c r="AD7" s="58">
        <f>Q21-T21</f>
        <v>-8</v>
      </c>
      <c r="AE7" s="58">
        <f>V21-Y21</f>
        <v>-11</v>
      </c>
      <c r="AF7" s="58">
        <f>AA21-AD21</f>
        <v>0</v>
      </c>
      <c r="AG7" s="58" t="str">
        <f>IF(Q7=Q8,IF(SUM(AA7:AC7)&gt;0,B7,B8),IF(Q7=Q9,IF(SUM(AD7:AF7)&gt;0,B7,B9)))</f>
        <v>NY Strangers Fire</v>
      </c>
      <c r="AH7" s="58" t="str">
        <f>IF(Q7=Q8,IF(SUM(AA7:AC7)&lt;0,B7,B8),IF(Q7=Q9,IF(SUM(AD7:AF7)&lt;0,B7,B9)))</f>
        <v>NJ Fastbelles Jr</v>
      </c>
      <c r="AI7" s="60">
        <f t="shared" si="1"/>
        <v>4</v>
      </c>
      <c r="AJ7" s="61">
        <f t="shared" si="2"/>
        <v>-40</v>
      </c>
      <c r="AK7" s="62">
        <f>1+SUM(IF(AJ7&lt;AJ6,1,0),IF(AJ7&lt;AJ5,1,0),IF(AJ7&lt;AJ8,1,0),IF(AJ7&lt;AJ9,1,0))</f>
        <v>5</v>
      </c>
      <c r="AL7" s="63">
        <f t="shared" si="3"/>
        <v>0.25</v>
      </c>
      <c r="AM7" s="62">
        <f>1+SUM(IF(AL7&lt;AL6,1,0),IF(AL7&lt;AL5,1,0),IF(AL7&lt;AL8,1,0),IF(AL7&lt;AL9,1,0))</f>
        <v>3</v>
      </c>
      <c r="AN7" s="64">
        <f t="shared" si="4"/>
        <v>0.375</v>
      </c>
      <c r="AO7" s="65">
        <f>1+SUM(IF(AN7&lt;AN6,1,0),IF(AN7&lt;AN5,1,0),IF(AN7&lt;AN8,1,0),IF(AN7&lt;AN9,1,0))</f>
        <v>3</v>
      </c>
      <c r="AP7" s="106">
        <f t="shared" si="5"/>
        <v>-5</v>
      </c>
      <c r="AQ7" s="70">
        <f>1+SUM(IF(AP7&lt;AP6,1,0),IF(AP7&lt;AP5,1,0),IF(AP7&lt;AP8,1,0),IF(AP7&lt;AP9,1,0))</f>
        <v>5</v>
      </c>
      <c r="AR7" s="68">
        <f>1+SUM(IF(Q7&gt;Q5,1,IF(AND(Q7=Q5,AI7&gt;AI5),1,IF(AND(Q7=Q5,AI7=AI5),1,0))),IF(Q7&gt;Q6,1,IF(AND(Q7=Q6,AI7&gt;AI6),1,IF(AND(Q7=Q6,AI7=AI6),1,0))),IF(Q7&gt;Q8,1,IF(AND(Q7=Q8,AI7&gt;AI8),1,IF(AND(Q7=Q8,AI7=AI8),1,0))),IF(Q7&gt;Q9,1,IF(AND(Q7=Q9,AI7&gt;AI9),1,IF(AND(Q7=Q9,AI7=AI9),1,0))))</f>
        <v>4</v>
      </c>
    </row>
    <row r="8" spans="1:44" ht="15.75" customHeight="1" x14ac:dyDescent="0.2">
      <c r="A8" s="51">
        <f t="shared" si="0"/>
        <v>3</v>
      </c>
      <c r="B8" s="172" t="str">
        <f>+'Women''s Master'!C7</f>
        <v>NY Strangers Fire</v>
      </c>
      <c r="C8" s="173"/>
      <c r="D8" s="173"/>
      <c r="E8" s="171">
        <f>SUM(IF(AG15=E15,1,0),IF(AG18=C18,1,0),IF(AG20=E20,1,0),IF(AG22=E22,1,0))</f>
        <v>1</v>
      </c>
      <c r="F8" s="162"/>
      <c r="G8" s="162"/>
      <c r="H8" s="162"/>
      <c r="I8" s="153"/>
      <c r="J8" s="169">
        <f>SUM(IF(AG15=E15,0,1),IF(AG18=C18,0,1),IF(AG20=E20,0,1),IF(AG22=E22,0,1))</f>
        <v>3</v>
      </c>
      <c r="K8" s="162"/>
      <c r="L8" s="162"/>
      <c r="M8" s="162"/>
      <c r="N8" s="170"/>
      <c r="O8" s="53">
        <f>SUM(IF(AD8&gt;0,1,0),IF(AE8&gt;0,1,0),IF(AF8&gt;0,1,0),IF(U8&gt;0,1,0),IF(V8&gt;0,1,0),IF(W8&gt;0,1,0),IF(X8&gt;0,1,0),IF(Y8&gt;0,1,0),IF(Z8&gt;0,1,0),IF(R8&gt;0,1,0),IF(S8&gt;0,1,0),IF(T8&gt;0,1,0))</f>
        <v>3</v>
      </c>
      <c r="P8" s="52">
        <f>SUM(IF(AD8&lt;0,1,0),IF(AE8&lt;0,1,0),IF(AF8&lt;0,1,0),IF(U8&lt;0,1,0),IF(V8&lt;0,1,0),IF(W8&lt;0,1,0),IF(R8&lt;0,1,0),IF(S8&lt;0,1,0),IF(T8&lt;0,1,0),IF(X8&lt;0,1,0),IF(Y8&lt;0,1,0),IF(Z8&lt;0,1,0))</f>
        <v>5</v>
      </c>
      <c r="Q8" s="54">
        <f>1+SUM(IF(O8&lt;O6,1,0),IF(O8&lt;O7,1,0),IF(O8&lt;O5,1,0),IF(O8&lt;O9,1,0))</f>
        <v>3</v>
      </c>
      <c r="R8" s="69">
        <f t="shared" ref="R8:T8" si="9">-AA5</f>
        <v>-16</v>
      </c>
      <c r="S8" s="58">
        <f t="shared" si="9"/>
        <v>-8</v>
      </c>
      <c r="T8" s="58">
        <f t="shared" si="9"/>
        <v>0</v>
      </c>
      <c r="U8" s="58">
        <f t="shared" ref="U8:W8" si="10">-AA6</f>
        <v>-8</v>
      </c>
      <c r="V8" s="58">
        <f t="shared" si="10"/>
        <v>3</v>
      </c>
      <c r="W8" s="58">
        <f t="shared" si="10"/>
        <v>0</v>
      </c>
      <c r="X8" s="58">
        <f t="shared" ref="X8:Z8" si="11">-AA7</f>
        <v>-7</v>
      </c>
      <c r="Y8" s="58">
        <f t="shared" si="11"/>
        <v>10</v>
      </c>
      <c r="Z8" s="58">
        <f t="shared" si="11"/>
        <v>0</v>
      </c>
      <c r="AA8" s="71"/>
      <c r="AB8" s="71"/>
      <c r="AC8" s="71"/>
      <c r="AD8" s="58">
        <f>Q18-T18</f>
        <v>-6</v>
      </c>
      <c r="AE8" s="58">
        <f>V18-Y18</f>
        <v>3</v>
      </c>
      <c r="AF8" s="58">
        <f>AA18-AD18</f>
        <v>0</v>
      </c>
      <c r="AG8" s="58" t="b">
        <f>IF(Q8=Q9,IF(SUM(AD8:AF8)&gt;0,B8,B9))</f>
        <v>0</v>
      </c>
      <c r="AH8" s="58" t="b">
        <f>IF(R8=R9,IF(SUM(AE8:AG8)&lt;0,C8,C9))</f>
        <v>0</v>
      </c>
      <c r="AI8" s="60">
        <f t="shared" si="1"/>
        <v>3</v>
      </c>
      <c r="AJ8" s="61">
        <f t="shared" si="2"/>
        <v>-29</v>
      </c>
      <c r="AK8" s="72">
        <f>1+SUM(IF(AJ8&lt;AJ6,1,0),IF(AJ8&lt;AJ7,1,0),IF(AJ8&lt;AJ5,1,0),IF(AJ8&lt;AJ9,1,0))</f>
        <v>3</v>
      </c>
      <c r="AL8" s="63">
        <f t="shared" si="3"/>
        <v>0.25</v>
      </c>
      <c r="AM8" s="72">
        <f>1+SUM(IF(AL8&lt;AL6,1,0),IF(AL8&lt;AL7,1,0),IF(AL8&lt;AL5,1,0),IF(AL8&lt;AL9,1,0))</f>
        <v>3</v>
      </c>
      <c r="AN8" s="64">
        <f t="shared" si="4"/>
        <v>0.375</v>
      </c>
      <c r="AO8" s="65">
        <f>1+SUM(IF(AN8&lt;AN6,1,0),IF(AN8&lt;AN7,1,0),IF(AN8&lt;AN5,1,0),IF(AN8&lt;AN9,1,0))</f>
        <v>3</v>
      </c>
      <c r="AP8" s="106">
        <f t="shared" si="5"/>
        <v>-3.625</v>
      </c>
      <c r="AQ8" s="73">
        <f>1+SUM(IF(AP8&lt;AP6,1,0),IF(AP8&lt;AP7,1,0),IF(AP8&lt;AP5,1,0),IF(AP8&lt;AP9,1,0))</f>
        <v>3</v>
      </c>
      <c r="AR8" s="68">
        <f>1+SUM(IF(Q8&gt;Q5,1,IF(AND(Q8=Q5,AI8&gt;AI5),1,IF(AND(Q8=Q5,AI8=AI5),1,0))),IF(Q8&gt;Q6,1,IF(AND(Q8=Q6,AI8&gt;AI6),1,IF(AND(Q8=Q6,AI8=AI6),1,0))),IF(Q8&gt;Q7,1,IF(AND(Q8=Q7,AI8&gt;AI7),1,IF(AND(Q8=Q7,AI8=AI7),1,0))),IF(Q8&gt;Q9,1,IF(AND(Q8=Q9,AI8&gt;AI9),1,IF(AND(Q8=Q9,AI8=AI9),1,0))))</f>
        <v>3</v>
      </c>
    </row>
    <row r="9" spans="1:44" ht="15.75" customHeight="1" x14ac:dyDescent="0.2">
      <c r="A9" s="51">
        <f t="shared" si="0"/>
        <v>2</v>
      </c>
      <c r="B9" s="172" t="str">
        <f>+'Women''s Master'!C8</f>
        <v>Boston Lady Knights A</v>
      </c>
      <c r="C9" s="173"/>
      <c r="D9" s="173"/>
      <c r="E9" s="171">
        <f>SUM(IF(AG16=E16,1,0),IF(AG18=E18,1,0),IF(AG21=E21,1,0),IF(AG23=E23,1,0))</f>
        <v>3</v>
      </c>
      <c r="F9" s="162"/>
      <c r="G9" s="162"/>
      <c r="H9" s="162"/>
      <c r="I9" s="153"/>
      <c r="J9" s="169">
        <f>SUM(IF(AG16=E16,0,1),IF(AG18=E18,0,1),IF(AG21=E21,0,1),IF(AG23=E23,0,1))</f>
        <v>1</v>
      </c>
      <c r="K9" s="162"/>
      <c r="L9" s="162"/>
      <c r="M9" s="162"/>
      <c r="N9" s="170"/>
      <c r="O9" s="53">
        <f>SUM(IF(R9&gt;0,1,0),IF(S9&gt;0,1,0),IF(T9&gt;0,1,0),IF(U9&gt;0,1,0),IF(V9&gt;0,1,0),IF(W9&gt;0,1,0),IF(X9&gt;0,1,0),IF(Y9&gt;0,1,0),IF(Z9&gt;0,1,0),IF(AA9&gt;0,1,0),IF(AB9&gt;0,1,0),IF(AC9&gt;0,1,0))</f>
        <v>4</v>
      </c>
      <c r="P9" s="52">
        <f>SUM(IF(R9&lt;0,1,0),IF(S9&lt;0,1,0),IF(T9&lt;0,1,0),IF(U9&lt;0,1,0),IF(V9&lt;0,1,0),IF(W9&lt;0,1,0),IF(X9&lt;0,1,0),IF(Y9&lt;0,1,0),IF(Z9&lt;0,1,0),IF(AA9&lt;0,1,0),IF(AB9&lt;0,1,0),IF(AC9&lt;0,1,0))</f>
        <v>4</v>
      </c>
      <c r="Q9" s="54">
        <f>1+SUM(IF(O9&lt;O6,1,0),IF(O9&lt;O7,1,0),IF(O9&lt;O8,1,0),IF(O9&lt;O5,1,0))</f>
        <v>2</v>
      </c>
      <c r="R9" s="74">
        <f t="shared" ref="R9:T9" si="12">-AD5</f>
        <v>-14</v>
      </c>
      <c r="S9" s="75">
        <f t="shared" si="12"/>
        <v>-15</v>
      </c>
      <c r="T9" s="75">
        <f t="shared" si="12"/>
        <v>0</v>
      </c>
      <c r="U9" s="75">
        <f t="shared" ref="U9:W9" si="13">-AD6</f>
        <v>-4</v>
      </c>
      <c r="V9" s="75">
        <f t="shared" si="13"/>
        <v>8</v>
      </c>
      <c r="W9" s="75">
        <f t="shared" si="13"/>
        <v>0</v>
      </c>
      <c r="X9" s="75">
        <f t="shared" ref="X9:Z9" si="14">-AD7</f>
        <v>8</v>
      </c>
      <c r="Y9" s="75">
        <f t="shared" si="14"/>
        <v>11</v>
      </c>
      <c r="Z9" s="75">
        <f t="shared" si="14"/>
        <v>0</v>
      </c>
      <c r="AA9" s="75">
        <f t="shared" ref="AA9:AC9" si="15">-AD8</f>
        <v>6</v>
      </c>
      <c r="AB9" s="75">
        <f t="shared" si="15"/>
        <v>-3</v>
      </c>
      <c r="AC9" s="75">
        <f t="shared" si="15"/>
        <v>0</v>
      </c>
      <c r="AD9" s="76"/>
      <c r="AE9" s="76"/>
      <c r="AF9" s="76"/>
      <c r="AG9" s="77" t="s">
        <v>168</v>
      </c>
      <c r="AH9" s="77" t="s">
        <v>168</v>
      </c>
      <c r="AI9" s="60">
        <f t="shared" si="1"/>
        <v>2</v>
      </c>
      <c r="AJ9" s="78">
        <f t="shared" si="2"/>
        <v>-3</v>
      </c>
      <c r="AK9" s="72">
        <f>1+SUM(IF(AJ9&lt;AJ6,1,0),IF(AJ9&lt;AJ7,1,0),IF(AJ9&lt;AJ8,1,0),IF(AJ9&lt;AJ5,1,0))</f>
        <v>2</v>
      </c>
      <c r="AL9" s="79">
        <f t="shared" si="3"/>
        <v>0.75</v>
      </c>
      <c r="AM9" s="72">
        <f>1+SUM(IF(AL9&lt;AL6,1,0),IF(AL9&lt;AL7,1,0),IF(AL9&lt;AL8,1,0),IF(AL9&lt;AL5,1,0))</f>
        <v>2</v>
      </c>
      <c r="AN9" s="64">
        <f t="shared" si="4"/>
        <v>0.5</v>
      </c>
      <c r="AO9" s="65">
        <f>1+SUM(IF(AN9&lt;AN6,1,0),IF(AN9&lt;AN7,1,0),IF(AN9&lt;AN8,1,0),IF(AN9&lt;AN5,1,0))</f>
        <v>2</v>
      </c>
      <c r="AP9" s="106">
        <f t="shared" si="5"/>
        <v>-0.375</v>
      </c>
      <c r="AQ9" s="73">
        <f>1+SUM(IF(AP9&lt;AP6,1,0),IF(AP9&lt;AP7,1,0),IF(AP9&lt;AP8,1,0),IF(AP9&lt;AP5,1,0))</f>
        <v>2</v>
      </c>
      <c r="AR9" s="68">
        <f>1+SUM(IF(Q9&gt;Q5,1,IF(AND(Q9=Q5,AI9&gt;AI5),1,IF(AND(Q9=Q5,AI9=AI5),1,0))),IF(Q9&gt;Q6,1,IF(AND(Q9=Q6,AI9&gt;AI6),1,IF(AND(Q9=Q6,AI9=AI6),1,0))),IF(Q9&gt;Q7,1,IF(AND(Q9=Q7,AI9&gt;AI7),1,IF(AND(Q9=Q7,AI9=AI7),1,0))),IF(Q9&gt;Q8,1,IF(AND(Q9=Q8,AI9&gt;AI8),1,IF(AND(Q9=Q8,AI9=AI8),1,0))))</f>
        <v>2</v>
      </c>
    </row>
    <row r="10" spans="1:44" ht="12.75" customHeight="1" x14ac:dyDescent="0.2">
      <c r="A10" s="174"/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80"/>
      <c r="AI10" s="41"/>
      <c r="AJ10" s="41"/>
      <c r="AK10" s="41"/>
      <c r="AL10" s="41"/>
      <c r="AM10" s="41"/>
      <c r="AN10" s="41"/>
      <c r="AO10" s="5"/>
      <c r="AP10" s="5"/>
      <c r="AQ10" s="5"/>
      <c r="AR10" s="5"/>
    </row>
    <row r="11" spans="1:44" ht="12.75" customHeight="1" x14ac:dyDescent="0.2">
      <c r="A11" s="136"/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80"/>
      <c r="AI11" s="41"/>
      <c r="AJ11" s="41"/>
      <c r="AK11" s="41"/>
      <c r="AL11" s="41"/>
      <c r="AM11" s="41"/>
      <c r="AN11" s="41"/>
      <c r="AO11" s="5"/>
      <c r="AP11" s="5"/>
      <c r="AQ11" s="5"/>
      <c r="AR11" s="5"/>
    </row>
    <row r="12" spans="1:44" ht="13.5" customHeight="1" x14ac:dyDescent="0.2">
      <c r="A12" s="136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80"/>
      <c r="AI12" s="41"/>
      <c r="AJ12" s="41"/>
      <c r="AK12" s="41"/>
      <c r="AL12" s="41"/>
      <c r="AM12" s="41"/>
      <c r="AN12" s="41"/>
      <c r="AO12" s="5"/>
      <c r="AP12" s="5"/>
      <c r="AQ12" s="5"/>
      <c r="AR12" s="5"/>
    </row>
    <row r="13" spans="1:44" ht="13.5" customHeight="1" x14ac:dyDescent="0.2">
      <c r="A13" s="167"/>
      <c r="B13" s="136"/>
      <c r="C13" s="81" t="s">
        <v>169</v>
      </c>
      <c r="D13" s="82" t="s">
        <v>170</v>
      </c>
      <c r="E13" s="165" t="s">
        <v>169</v>
      </c>
      <c r="F13" s="156"/>
      <c r="G13" s="156"/>
      <c r="H13" s="156"/>
      <c r="I13" s="156"/>
      <c r="J13" s="156"/>
      <c r="K13" s="156"/>
      <c r="L13" s="156"/>
      <c r="M13" s="166"/>
      <c r="N13" s="176" t="s">
        <v>171</v>
      </c>
      <c r="O13" s="177"/>
      <c r="P13" s="178"/>
      <c r="Q13" s="155" t="s">
        <v>172</v>
      </c>
      <c r="R13" s="156"/>
      <c r="S13" s="156"/>
      <c r="T13" s="156"/>
      <c r="U13" s="166"/>
      <c r="V13" s="175" t="s">
        <v>173</v>
      </c>
      <c r="W13" s="156"/>
      <c r="X13" s="156"/>
      <c r="Y13" s="156"/>
      <c r="Z13" s="166"/>
      <c r="AA13" s="155" t="s">
        <v>174</v>
      </c>
      <c r="AB13" s="156"/>
      <c r="AC13" s="156"/>
      <c r="AD13" s="156"/>
      <c r="AE13" s="157"/>
      <c r="AF13" s="83"/>
      <c r="AG13" s="84" t="s">
        <v>175</v>
      </c>
      <c r="AH13" s="49" t="s">
        <v>176</v>
      </c>
      <c r="AI13" s="158" t="s">
        <v>177</v>
      </c>
      <c r="AJ13" s="159"/>
      <c r="AK13" s="41"/>
      <c r="AL13" s="5"/>
      <c r="AM13" s="5"/>
      <c r="AN13" s="5"/>
      <c r="AO13" s="5"/>
      <c r="AP13" s="5"/>
      <c r="AQ13" s="5"/>
      <c r="AR13" s="5"/>
    </row>
    <row r="14" spans="1:44" ht="15.75" customHeight="1" x14ac:dyDescent="0.2">
      <c r="A14" s="85">
        <v>1</v>
      </c>
      <c r="B14" s="86">
        <v>1</v>
      </c>
      <c r="C14" s="117" t="str">
        <f>+B5</f>
        <v>DC CYC Red</v>
      </c>
      <c r="D14" s="88">
        <v>2</v>
      </c>
      <c r="E14" s="161" t="str">
        <f>+B6</f>
        <v>Toronto Storm X</v>
      </c>
      <c r="F14" s="162"/>
      <c r="G14" s="162"/>
      <c r="H14" s="162"/>
      <c r="I14" s="162"/>
      <c r="J14" s="162"/>
      <c r="K14" s="162"/>
      <c r="L14" s="162"/>
      <c r="M14" s="153"/>
      <c r="N14" s="89">
        <v>3</v>
      </c>
      <c r="O14" s="160" t="str">
        <f>+B7</f>
        <v>NJ Fastbelles Jr</v>
      </c>
      <c r="P14" s="153"/>
      <c r="Q14" s="196">
        <v>25</v>
      </c>
      <c r="R14" s="143"/>
      <c r="S14" s="91">
        <v>0</v>
      </c>
      <c r="T14" s="151">
        <v>9</v>
      </c>
      <c r="U14" s="143"/>
      <c r="V14" s="154">
        <v>25</v>
      </c>
      <c r="W14" s="143"/>
      <c r="X14" s="92">
        <v>0</v>
      </c>
      <c r="Y14" s="154">
        <v>15</v>
      </c>
      <c r="Z14" s="143"/>
      <c r="AA14" s="152"/>
      <c r="AB14" s="153"/>
      <c r="AC14" s="93" t="s">
        <v>178</v>
      </c>
      <c r="AD14" s="152"/>
      <c r="AE14" s="153"/>
      <c r="AF14" s="94"/>
      <c r="AG14" s="104" t="str">
        <f t="shared" ref="AG14:AG23" si="16">IF((Q14)+(V14)+(AA14)-(T14)-(Y14)-(AD14)&gt;0,C14,E14)</f>
        <v>DC CYC Red</v>
      </c>
      <c r="AH14" s="96">
        <f t="shared" ref="AH14:AH23" si="17">(Q14)+(V14)+(AA14)-(T14)-(Y14)-(AD14)</f>
        <v>26</v>
      </c>
      <c r="AI14" s="147">
        <v>0.375</v>
      </c>
      <c r="AJ14" s="148"/>
      <c r="AK14" s="5"/>
      <c r="AL14" s="5"/>
      <c r="AM14" s="5"/>
      <c r="AN14" s="5"/>
      <c r="AO14" s="5"/>
      <c r="AP14" s="5"/>
      <c r="AQ14" s="5"/>
      <c r="AR14" s="5"/>
    </row>
    <row r="15" spans="1:44" ht="15.75" customHeight="1" x14ac:dyDescent="0.2">
      <c r="A15" s="97">
        <v>2</v>
      </c>
      <c r="B15" s="98">
        <v>3</v>
      </c>
      <c r="C15" s="99" t="str">
        <f>+B7</f>
        <v>NJ Fastbelles Jr</v>
      </c>
      <c r="D15" s="61">
        <v>4</v>
      </c>
      <c r="E15" s="163" t="str">
        <f t="shared" ref="E15:E16" si="18">+B8</f>
        <v>NY Strangers Fire</v>
      </c>
      <c r="F15" s="164"/>
      <c r="G15" s="164"/>
      <c r="H15" s="164"/>
      <c r="I15" s="164"/>
      <c r="J15" s="164"/>
      <c r="K15" s="164"/>
      <c r="L15" s="164"/>
      <c r="M15" s="143"/>
      <c r="N15" s="100">
        <v>2</v>
      </c>
      <c r="O15" s="168" t="str">
        <f>+B6</f>
        <v>Toronto Storm X</v>
      </c>
      <c r="P15" s="143"/>
      <c r="Q15" s="195">
        <v>25</v>
      </c>
      <c r="R15" s="141"/>
      <c r="S15" s="101">
        <v>0</v>
      </c>
      <c r="T15" s="144">
        <v>18</v>
      </c>
      <c r="U15" s="141"/>
      <c r="V15" s="140">
        <v>15</v>
      </c>
      <c r="W15" s="141"/>
      <c r="X15" s="102">
        <v>0</v>
      </c>
      <c r="Y15" s="140">
        <v>25</v>
      </c>
      <c r="Z15" s="141"/>
      <c r="AA15" s="142"/>
      <c r="AB15" s="143"/>
      <c r="AC15" s="103" t="s">
        <v>178</v>
      </c>
      <c r="AD15" s="142"/>
      <c r="AE15" s="143"/>
      <c r="AF15" s="94"/>
      <c r="AG15" s="129" t="str">
        <f t="shared" si="16"/>
        <v>NY Strangers Fire</v>
      </c>
      <c r="AH15" s="96">
        <f t="shared" si="17"/>
        <v>-3</v>
      </c>
      <c r="AI15" s="149">
        <v>0.40972222222222227</v>
      </c>
      <c r="AJ15" s="150"/>
      <c r="AK15" s="5"/>
      <c r="AL15" s="5"/>
      <c r="AM15" s="5"/>
      <c r="AN15" s="5"/>
      <c r="AO15" s="5"/>
      <c r="AP15" s="5"/>
      <c r="AQ15" s="5"/>
      <c r="AR15" s="5"/>
    </row>
    <row r="16" spans="1:44" ht="15.75" customHeight="1" x14ac:dyDescent="0.2">
      <c r="A16" s="97">
        <v>3</v>
      </c>
      <c r="B16" s="98">
        <v>1</v>
      </c>
      <c r="C16" s="99" t="str">
        <f t="shared" ref="C16:C17" si="19">+B5</f>
        <v>DC CYC Red</v>
      </c>
      <c r="D16" s="61">
        <v>5</v>
      </c>
      <c r="E16" s="163" t="str">
        <f t="shared" si="18"/>
        <v>Boston Lady Knights A</v>
      </c>
      <c r="F16" s="164"/>
      <c r="G16" s="164"/>
      <c r="H16" s="164"/>
      <c r="I16" s="164"/>
      <c r="J16" s="164"/>
      <c r="K16" s="164"/>
      <c r="L16" s="164"/>
      <c r="M16" s="143"/>
      <c r="N16" s="100">
        <v>4</v>
      </c>
      <c r="O16" s="168" t="str">
        <f>+B8</f>
        <v>NY Strangers Fire</v>
      </c>
      <c r="P16" s="143"/>
      <c r="Q16" s="195">
        <v>25</v>
      </c>
      <c r="R16" s="141"/>
      <c r="S16" s="101">
        <v>0</v>
      </c>
      <c r="T16" s="144">
        <v>11</v>
      </c>
      <c r="U16" s="141"/>
      <c r="V16" s="140">
        <v>25</v>
      </c>
      <c r="W16" s="141"/>
      <c r="X16" s="102">
        <v>0</v>
      </c>
      <c r="Y16" s="140">
        <v>10</v>
      </c>
      <c r="Z16" s="141"/>
      <c r="AA16" s="142"/>
      <c r="AB16" s="143"/>
      <c r="AC16" s="103" t="s">
        <v>178</v>
      </c>
      <c r="AD16" s="142"/>
      <c r="AE16" s="143"/>
      <c r="AF16" s="94"/>
      <c r="AG16" s="129" t="str">
        <f t="shared" si="16"/>
        <v>DC CYC Red</v>
      </c>
      <c r="AH16" s="96">
        <f t="shared" si="17"/>
        <v>29</v>
      </c>
      <c r="AI16" s="149">
        <v>0.44444444444444442</v>
      </c>
      <c r="AJ16" s="150"/>
      <c r="AK16" s="5"/>
      <c r="AL16" s="5"/>
      <c r="AM16" s="5"/>
      <c r="AN16" s="5"/>
      <c r="AO16" s="5"/>
      <c r="AP16" s="5"/>
      <c r="AQ16" s="5"/>
      <c r="AR16" s="5"/>
    </row>
    <row r="17" spans="1:44" ht="15.75" customHeight="1" x14ac:dyDescent="0.2">
      <c r="A17" s="97">
        <v>4</v>
      </c>
      <c r="B17" s="98">
        <v>2</v>
      </c>
      <c r="C17" s="99" t="str">
        <f t="shared" si="19"/>
        <v>Toronto Storm X</v>
      </c>
      <c r="D17" s="61">
        <v>3</v>
      </c>
      <c r="E17" s="163" t="str">
        <f>+B7</f>
        <v>NJ Fastbelles Jr</v>
      </c>
      <c r="F17" s="164"/>
      <c r="G17" s="164"/>
      <c r="H17" s="164"/>
      <c r="I17" s="164"/>
      <c r="J17" s="164"/>
      <c r="K17" s="164"/>
      <c r="L17" s="164"/>
      <c r="M17" s="143"/>
      <c r="N17" s="100">
        <v>1</v>
      </c>
      <c r="O17" s="168" t="str">
        <f>+B5</f>
        <v>DC CYC Red</v>
      </c>
      <c r="P17" s="143"/>
      <c r="Q17" s="195">
        <v>20</v>
      </c>
      <c r="R17" s="141"/>
      <c r="S17" s="101">
        <v>0</v>
      </c>
      <c r="T17" s="144">
        <v>25</v>
      </c>
      <c r="U17" s="141"/>
      <c r="V17" s="140">
        <v>20</v>
      </c>
      <c r="W17" s="141"/>
      <c r="X17" s="102">
        <v>0</v>
      </c>
      <c r="Y17" s="140">
        <v>25</v>
      </c>
      <c r="Z17" s="141"/>
      <c r="AA17" s="142"/>
      <c r="AB17" s="143"/>
      <c r="AC17" s="103" t="s">
        <v>178</v>
      </c>
      <c r="AD17" s="142"/>
      <c r="AE17" s="143"/>
      <c r="AF17" s="94"/>
      <c r="AG17" s="129" t="str">
        <f t="shared" si="16"/>
        <v>NJ Fastbelles Jr</v>
      </c>
      <c r="AH17" s="96">
        <f t="shared" si="17"/>
        <v>-10</v>
      </c>
      <c r="AI17" s="149">
        <v>0.47916666666666669</v>
      </c>
      <c r="AJ17" s="150"/>
      <c r="AK17" s="5"/>
      <c r="AL17" s="5"/>
      <c r="AM17" s="5"/>
      <c r="AN17" s="5"/>
      <c r="AO17" s="5"/>
      <c r="AP17" s="5"/>
      <c r="AQ17" s="5"/>
      <c r="AR17" s="5"/>
    </row>
    <row r="18" spans="1:44" ht="15.75" customHeight="1" x14ac:dyDescent="0.2">
      <c r="A18" s="97">
        <v>5</v>
      </c>
      <c r="B18" s="98">
        <v>4</v>
      </c>
      <c r="C18" s="99" t="str">
        <f>+B8</f>
        <v>NY Strangers Fire</v>
      </c>
      <c r="D18" s="61">
        <v>5</v>
      </c>
      <c r="E18" s="163" t="str">
        <f>+B9</f>
        <v>Boston Lady Knights A</v>
      </c>
      <c r="F18" s="164"/>
      <c r="G18" s="164"/>
      <c r="H18" s="164"/>
      <c r="I18" s="164"/>
      <c r="J18" s="164"/>
      <c r="K18" s="164"/>
      <c r="L18" s="164"/>
      <c r="M18" s="143"/>
      <c r="N18" s="100">
        <v>3</v>
      </c>
      <c r="O18" s="168" t="str">
        <f>+B7</f>
        <v>NJ Fastbelles Jr</v>
      </c>
      <c r="P18" s="143"/>
      <c r="Q18" s="195">
        <v>19</v>
      </c>
      <c r="R18" s="141"/>
      <c r="S18" s="101">
        <v>0</v>
      </c>
      <c r="T18" s="144">
        <v>25</v>
      </c>
      <c r="U18" s="141"/>
      <c r="V18" s="140">
        <v>25</v>
      </c>
      <c r="W18" s="141"/>
      <c r="X18" s="102">
        <v>0</v>
      </c>
      <c r="Y18" s="140">
        <v>22</v>
      </c>
      <c r="Z18" s="141"/>
      <c r="AA18" s="142"/>
      <c r="AB18" s="143"/>
      <c r="AC18" s="103" t="s">
        <v>178</v>
      </c>
      <c r="AD18" s="142"/>
      <c r="AE18" s="143"/>
      <c r="AF18" s="94"/>
      <c r="AG18" s="129" t="str">
        <f t="shared" si="16"/>
        <v>Boston Lady Knights A</v>
      </c>
      <c r="AH18" s="96">
        <f t="shared" si="17"/>
        <v>-3</v>
      </c>
      <c r="AI18" s="149">
        <v>0.53472222222222221</v>
      </c>
      <c r="AJ18" s="150"/>
      <c r="AK18" s="5"/>
      <c r="AL18" s="5"/>
      <c r="AM18" s="5"/>
      <c r="AN18" s="5"/>
      <c r="AO18" s="5"/>
      <c r="AP18" s="5"/>
      <c r="AQ18" s="5"/>
      <c r="AR18" s="5"/>
    </row>
    <row r="19" spans="1:44" ht="15.75" customHeight="1" x14ac:dyDescent="0.2">
      <c r="A19" s="97">
        <v>6</v>
      </c>
      <c r="B19" s="98">
        <v>1</v>
      </c>
      <c r="C19" s="99" t="str">
        <f t="shared" ref="C19:C21" si="20">+B5</f>
        <v>DC CYC Red</v>
      </c>
      <c r="D19" s="61">
        <v>3</v>
      </c>
      <c r="E19" s="163" t="str">
        <f t="shared" ref="E19:E21" si="21">+B7</f>
        <v>NJ Fastbelles Jr</v>
      </c>
      <c r="F19" s="164"/>
      <c r="G19" s="164"/>
      <c r="H19" s="164"/>
      <c r="I19" s="164"/>
      <c r="J19" s="164"/>
      <c r="K19" s="164"/>
      <c r="L19" s="164"/>
      <c r="M19" s="143"/>
      <c r="N19" s="100">
        <v>5</v>
      </c>
      <c r="O19" s="168" t="str">
        <f>+B9</f>
        <v>Boston Lady Knights A</v>
      </c>
      <c r="P19" s="143"/>
      <c r="Q19" s="195">
        <v>25</v>
      </c>
      <c r="R19" s="141"/>
      <c r="S19" s="101">
        <v>0</v>
      </c>
      <c r="T19" s="144">
        <v>11</v>
      </c>
      <c r="U19" s="141"/>
      <c r="V19" s="140">
        <v>25</v>
      </c>
      <c r="W19" s="141"/>
      <c r="X19" s="102">
        <v>0</v>
      </c>
      <c r="Y19" s="140">
        <v>11</v>
      </c>
      <c r="Z19" s="141"/>
      <c r="AA19" s="142"/>
      <c r="AB19" s="143"/>
      <c r="AC19" s="103" t="s">
        <v>178</v>
      </c>
      <c r="AD19" s="142"/>
      <c r="AE19" s="143"/>
      <c r="AF19" s="94"/>
      <c r="AG19" s="129" t="str">
        <f t="shared" si="16"/>
        <v>DC CYC Red</v>
      </c>
      <c r="AH19" s="96">
        <f t="shared" si="17"/>
        <v>28</v>
      </c>
      <c r="AI19" s="149">
        <v>6.9444444444444434E-2</v>
      </c>
      <c r="AJ19" s="150"/>
      <c r="AK19" s="5"/>
      <c r="AL19" s="5"/>
      <c r="AM19" s="5"/>
      <c r="AN19" s="5"/>
      <c r="AO19" s="5"/>
      <c r="AP19" s="5"/>
      <c r="AQ19" s="5"/>
      <c r="AR19" s="5"/>
    </row>
    <row r="20" spans="1:44" ht="15.75" customHeight="1" x14ac:dyDescent="0.2">
      <c r="A20" s="97">
        <v>7</v>
      </c>
      <c r="B20" s="98">
        <v>2</v>
      </c>
      <c r="C20" s="99" t="str">
        <f t="shared" si="20"/>
        <v>Toronto Storm X</v>
      </c>
      <c r="D20" s="61">
        <v>4</v>
      </c>
      <c r="E20" s="163" t="str">
        <f t="shared" si="21"/>
        <v>NY Strangers Fire</v>
      </c>
      <c r="F20" s="164"/>
      <c r="G20" s="164"/>
      <c r="H20" s="164"/>
      <c r="I20" s="164"/>
      <c r="J20" s="164"/>
      <c r="K20" s="164"/>
      <c r="L20" s="164"/>
      <c r="M20" s="143"/>
      <c r="N20" s="100">
        <v>1</v>
      </c>
      <c r="O20" s="168" t="str">
        <f t="shared" ref="O20:O21" si="22">+B5</f>
        <v>DC CYC Red</v>
      </c>
      <c r="P20" s="143"/>
      <c r="Q20" s="195">
        <v>25</v>
      </c>
      <c r="R20" s="141"/>
      <c r="S20" s="101">
        <v>0</v>
      </c>
      <c r="T20" s="144">
        <v>17</v>
      </c>
      <c r="U20" s="141"/>
      <c r="V20" s="140">
        <v>22</v>
      </c>
      <c r="W20" s="141"/>
      <c r="X20" s="102">
        <v>0</v>
      </c>
      <c r="Y20" s="140">
        <v>25</v>
      </c>
      <c r="Z20" s="141"/>
      <c r="AA20" s="142"/>
      <c r="AB20" s="143"/>
      <c r="AC20" s="103" t="s">
        <v>178</v>
      </c>
      <c r="AD20" s="142"/>
      <c r="AE20" s="143"/>
      <c r="AF20" s="94"/>
      <c r="AG20" s="129" t="str">
        <f t="shared" si="16"/>
        <v>Toronto Storm X</v>
      </c>
      <c r="AH20" s="96">
        <f t="shared" si="17"/>
        <v>5</v>
      </c>
      <c r="AI20" s="149">
        <v>0.10416666666666667</v>
      </c>
      <c r="AJ20" s="150"/>
      <c r="AK20" s="5"/>
      <c r="AL20" s="5"/>
      <c r="AM20" s="5"/>
      <c r="AN20" s="5"/>
      <c r="AO20" s="5"/>
      <c r="AP20" s="5"/>
      <c r="AQ20" s="5"/>
      <c r="AR20" s="5"/>
    </row>
    <row r="21" spans="1:44" ht="15.75" customHeight="1" x14ac:dyDescent="0.2">
      <c r="A21" s="97">
        <v>8</v>
      </c>
      <c r="B21" s="98">
        <v>3</v>
      </c>
      <c r="C21" s="99" t="str">
        <f t="shared" si="20"/>
        <v>NJ Fastbelles Jr</v>
      </c>
      <c r="D21" s="61">
        <v>5</v>
      </c>
      <c r="E21" s="163" t="str">
        <f t="shared" si="21"/>
        <v>Boston Lady Knights A</v>
      </c>
      <c r="F21" s="164"/>
      <c r="G21" s="164"/>
      <c r="H21" s="164"/>
      <c r="I21" s="164"/>
      <c r="J21" s="164"/>
      <c r="K21" s="164"/>
      <c r="L21" s="164"/>
      <c r="M21" s="143"/>
      <c r="N21" s="100">
        <v>2</v>
      </c>
      <c r="O21" s="168" t="str">
        <f t="shared" si="22"/>
        <v>Toronto Storm X</v>
      </c>
      <c r="P21" s="143"/>
      <c r="Q21" s="195">
        <v>17</v>
      </c>
      <c r="R21" s="141"/>
      <c r="S21" s="101">
        <v>0</v>
      </c>
      <c r="T21" s="144">
        <v>25</v>
      </c>
      <c r="U21" s="141"/>
      <c r="V21" s="140">
        <v>14</v>
      </c>
      <c r="W21" s="141"/>
      <c r="X21" s="102">
        <v>0</v>
      </c>
      <c r="Y21" s="140">
        <v>25</v>
      </c>
      <c r="Z21" s="141"/>
      <c r="AA21" s="142"/>
      <c r="AB21" s="143"/>
      <c r="AC21" s="103" t="s">
        <v>178</v>
      </c>
      <c r="AD21" s="142"/>
      <c r="AE21" s="143"/>
      <c r="AF21" s="94"/>
      <c r="AG21" s="129" t="str">
        <f t="shared" si="16"/>
        <v>Boston Lady Knights A</v>
      </c>
      <c r="AH21" s="96">
        <f t="shared" si="17"/>
        <v>-19</v>
      </c>
      <c r="AI21" s="149">
        <v>0.15972222222222224</v>
      </c>
      <c r="AJ21" s="150"/>
      <c r="AK21" s="5"/>
      <c r="AL21" s="5"/>
      <c r="AM21" s="5"/>
      <c r="AN21" s="5"/>
      <c r="AO21" s="5"/>
      <c r="AP21" s="5"/>
      <c r="AQ21" s="5"/>
      <c r="AR21" s="5"/>
    </row>
    <row r="22" spans="1:44" ht="15.75" customHeight="1" x14ac:dyDescent="0.2">
      <c r="A22" s="97">
        <v>9</v>
      </c>
      <c r="B22" s="98">
        <v>1</v>
      </c>
      <c r="C22" s="99" t="str">
        <f t="shared" ref="C22:C23" si="23">+B5</f>
        <v>DC CYC Red</v>
      </c>
      <c r="D22" s="61">
        <v>4</v>
      </c>
      <c r="E22" s="163" t="str">
        <f t="shared" ref="E22:E23" si="24">+B8</f>
        <v>NY Strangers Fire</v>
      </c>
      <c r="F22" s="164"/>
      <c r="G22" s="164"/>
      <c r="H22" s="164"/>
      <c r="I22" s="164"/>
      <c r="J22" s="164"/>
      <c r="K22" s="164"/>
      <c r="L22" s="164"/>
      <c r="M22" s="143"/>
      <c r="N22" s="100">
        <v>5</v>
      </c>
      <c r="O22" s="168" t="str">
        <f>+B9</f>
        <v>Boston Lady Knights A</v>
      </c>
      <c r="P22" s="143"/>
      <c r="Q22" s="195">
        <v>25</v>
      </c>
      <c r="R22" s="141"/>
      <c r="S22" s="101">
        <v>0</v>
      </c>
      <c r="T22" s="144">
        <v>9</v>
      </c>
      <c r="U22" s="141"/>
      <c r="V22" s="140">
        <v>25</v>
      </c>
      <c r="W22" s="141"/>
      <c r="X22" s="102">
        <v>0</v>
      </c>
      <c r="Y22" s="140">
        <v>17</v>
      </c>
      <c r="Z22" s="141"/>
      <c r="AA22" s="142"/>
      <c r="AB22" s="143"/>
      <c r="AC22" s="103" t="s">
        <v>178</v>
      </c>
      <c r="AD22" s="142"/>
      <c r="AE22" s="143"/>
      <c r="AF22" s="94"/>
      <c r="AG22" s="129" t="str">
        <f t="shared" si="16"/>
        <v>DC CYC Red</v>
      </c>
      <c r="AH22" s="96">
        <f t="shared" si="17"/>
        <v>24</v>
      </c>
      <c r="AI22" s="149">
        <v>0.19444444444444445</v>
      </c>
      <c r="AJ22" s="150"/>
      <c r="AK22" s="5"/>
      <c r="AL22" s="5"/>
      <c r="AM22" s="5"/>
      <c r="AN22" s="5"/>
      <c r="AO22" s="5"/>
      <c r="AP22" s="5"/>
      <c r="AQ22" s="5"/>
      <c r="AR22" s="5"/>
    </row>
    <row r="23" spans="1:44" ht="15.75" customHeight="1" x14ac:dyDescent="0.2">
      <c r="A23" s="109">
        <v>10</v>
      </c>
      <c r="B23" s="110">
        <v>2</v>
      </c>
      <c r="C23" s="111" t="str">
        <f t="shared" si="23"/>
        <v>Toronto Storm X</v>
      </c>
      <c r="D23" s="78">
        <v>5</v>
      </c>
      <c r="E23" s="188" t="str">
        <f t="shared" si="24"/>
        <v>Boston Lady Knights A</v>
      </c>
      <c r="F23" s="189"/>
      <c r="G23" s="189"/>
      <c r="H23" s="189"/>
      <c r="I23" s="189"/>
      <c r="J23" s="189"/>
      <c r="K23" s="189"/>
      <c r="L23" s="189"/>
      <c r="M23" s="146"/>
      <c r="N23" s="112">
        <v>4</v>
      </c>
      <c r="O23" s="187" t="str">
        <f>+B8</f>
        <v>NY Strangers Fire</v>
      </c>
      <c r="P23" s="146"/>
      <c r="Q23" s="195">
        <v>25</v>
      </c>
      <c r="R23" s="141"/>
      <c r="S23" s="101">
        <v>0</v>
      </c>
      <c r="T23" s="144">
        <v>21</v>
      </c>
      <c r="U23" s="141"/>
      <c r="V23" s="140">
        <v>17</v>
      </c>
      <c r="W23" s="141"/>
      <c r="X23" s="102">
        <v>0</v>
      </c>
      <c r="Y23" s="140">
        <v>25</v>
      </c>
      <c r="Z23" s="141"/>
      <c r="AA23" s="145"/>
      <c r="AB23" s="146"/>
      <c r="AC23" s="113" t="s">
        <v>178</v>
      </c>
      <c r="AD23" s="145"/>
      <c r="AE23" s="146"/>
      <c r="AF23" s="94"/>
      <c r="AG23" s="131" t="str">
        <f t="shared" si="16"/>
        <v>Boston Lady Knights A</v>
      </c>
      <c r="AH23" s="96">
        <f t="shared" si="17"/>
        <v>-4</v>
      </c>
      <c r="AI23" s="184">
        <v>0.22916666666666666</v>
      </c>
      <c r="AJ23" s="185"/>
      <c r="AK23" s="5"/>
      <c r="AL23" s="5"/>
      <c r="AM23" s="5"/>
      <c r="AN23" s="5"/>
      <c r="AO23" s="5"/>
      <c r="AP23" s="5"/>
      <c r="AQ23" s="5"/>
      <c r="AR23" s="5"/>
    </row>
    <row r="24" spans="1:44" ht="12.75" customHeight="1" x14ac:dyDescent="0.2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5"/>
      <c r="AM24" s="5"/>
      <c r="AN24" s="5"/>
      <c r="AO24" s="5"/>
      <c r="AP24" s="5"/>
      <c r="AQ24" s="5"/>
      <c r="AR24" s="5"/>
    </row>
    <row r="25" spans="1:44" ht="12.75" customHeight="1" x14ac:dyDescent="0.2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5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5"/>
      <c r="AM25" s="5"/>
      <c r="AN25" s="5"/>
      <c r="AO25" s="5"/>
      <c r="AP25" s="5"/>
      <c r="AQ25" s="5"/>
      <c r="AR25" s="5"/>
    </row>
    <row r="26" spans="1:44" ht="12.75" customHeight="1" x14ac:dyDescent="0.2">
      <c r="A26" s="41"/>
      <c r="B26" s="57"/>
      <c r="C26" s="57" t="s">
        <v>179</v>
      </c>
      <c r="D26" s="57" t="s">
        <v>157</v>
      </c>
      <c r="E26" s="57" t="s">
        <v>180</v>
      </c>
      <c r="F26" s="57" t="s">
        <v>165</v>
      </c>
      <c r="G26" s="57" t="s">
        <v>166</v>
      </c>
      <c r="H26" s="41"/>
      <c r="I26" s="41"/>
      <c r="J26" s="41"/>
      <c r="K26" s="41"/>
      <c r="L26" s="41"/>
      <c r="M26" s="41"/>
      <c r="N26" s="41"/>
      <c r="O26" s="41"/>
      <c r="P26" s="41"/>
      <c r="Q26" s="5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5"/>
      <c r="AM26" s="5"/>
      <c r="AN26" s="5"/>
      <c r="AO26" s="5"/>
      <c r="AP26" s="5"/>
      <c r="AQ26" s="5"/>
      <c r="AR26" s="5"/>
    </row>
    <row r="27" spans="1:44" ht="12.75" customHeight="1" x14ac:dyDescent="0.2">
      <c r="A27" s="41"/>
      <c r="B27" s="57">
        <v>1</v>
      </c>
      <c r="C27" s="57" t="str">
        <f t="shared" ref="C27:C31" si="25">VLOOKUP(B27,$A$5:$AR$9,2,FALSE)</f>
        <v>DC CYC Red</v>
      </c>
      <c r="D27" s="57">
        <f t="shared" ref="D27:D31" si="26">VLOOKUP(B27,$A$5:$AR$9,15,FALSE)</f>
        <v>8</v>
      </c>
      <c r="E27" s="57">
        <f t="shared" ref="E27:E31" si="27">VLOOKUP(B27,$A$5:$AR$9,36,FALSE)</f>
        <v>107</v>
      </c>
      <c r="F27" s="114">
        <f t="shared" ref="F27:F31" si="28">VLOOKUP(B27,$A$5:$AR$9,40,FALSE)</f>
        <v>1</v>
      </c>
      <c r="G27" s="114">
        <f t="shared" ref="G27:G31" si="29">VLOOKUP(B27,$A$5:$AR$9,42,FALSE)</f>
        <v>13.375</v>
      </c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5"/>
      <c r="AM27" s="5"/>
      <c r="AN27" s="5"/>
      <c r="AO27" s="5"/>
      <c r="AP27" s="5"/>
      <c r="AQ27" s="5"/>
      <c r="AR27" s="5"/>
    </row>
    <row r="28" spans="1:44" ht="12.75" customHeight="1" x14ac:dyDescent="0.2">
      <c r="A28" s="41"/>
      <c r="B28" s="57">
        <v>2</v>
      </c>
      <c r="C28" s="57" t="str">
        <f t="shared" si="25"/>
        <v>Boston Lady Knights A</v>
      </c>
      <c r="D28" s="57">
        <f t="shared" si="26"/>
        <v>4</v>
      </c>
      <c r="E28" s="57">
        <f t="shared" si="27"/>
        <v>-3</v>
      </c>
      <c r="F28" s="114">
        <f t="shared" si="28"/>
        <v>0.5</v>
      </c>
      <c r="G28" s="114">
        <f t="shared" si="29"/>
        <v>-0.375</v>
      </c>
      <c r="H28" s="41"/>
      <c r="I28" s="41"/>
      <c r="J28" s="41"/>
      <c r="K28" s="41"/>
      <c r="L28" s="41"/>
      <c r="M28" s="41"/>
      <c r="N28" s="41"/>
      <c r="O28" s="41"/>
      <c r="P28" s="5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183"/>
      <c r="AK28" s="136"/>
      <c r="AL28" s="5"/>
      <c r="AM28" s="5"/>
      <c r="AN28" s="5"/>
      <c r="AO28" s="5"/>
      <c r="AP28" s="5"/>
      <c r="AQ28" s="5"/>
      <c r="AR28" s="5"/>
    </row>
    <row r="29" spans="1:44" ht="12.75" customHeight="1" x14ac:dyDescent="0.2">
      <c r="A29" s="5"/>
      <c r="B29" s="14">
        <v>3</v>
      </c>
      <c r="C29" s="57" t="str">
        <f t="shared" si="25"/>
        <v>NY Strangers Fire</v>
      </c>
      <c r="D29" s="57">
        <f t="shared" si="26"/>
        <v>3</v>
      </c>
      <c r="E29" s="57">
        <f t="shared" si="27"/>
        <v>-29</v>
      </c>
      <c r="F29" s="114">
        <f t="shared" si="28"/>
        <v>0.375</v>
      </c>
      <c r="G29" s="114">
        <f t="shared" si="29"/>
        <v>-3.625</v>
      </c>
      <c r="H29" s="41"/>
      <c r="I29" s="41"/>
      <c r="J29" s="41"/>
      <c r="K29" s="41"/>
      <c r="L29" s="41"/>
      <c r="M29" s="41"/>
      <c r="N29" s="41"/>
      <c r="O29" s="41"/>
      <c r="P29" s="5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115"/>
      <c r="AK29" s="41"/>
      <c r="AL29" s="5"/>
      <c r="AM29" s="5"/>
      <c r="AN29" s="5"/>
      <c r="AO29" s="5"/>
      <c r="AP29" s="5"/>
      <c r="AQ29" s="5"/>
      <c r="AR29" s="5"/>
    </row>
    <row r="30" spans="1:44" ht="12.75" customHeight="1" x14ac:dyDescent="0.2">
      <c r="A30" s="5"/>
      <c r="B30" s="14">
        <v>4</v>
      </c>
      <c r="C30" s="57" t="str">
        <f t="shared" si="25"/>
        <v>NJ Fastbelles Jr</v>
      </c>
      <c r="D30" s="57">
        <f t="shared" si="26"/>
        <v>3</v>
      </c>
      <c r="E30" s="57">
        <f t="shared" si="27"/>
        <v>-40</v>
      </c>
      <c r="F30" s="114">
        <f t="shared" si="28"/>
        <v>0.375</v>
      </c>
      <c r="G30" s="114">
        <f t="shared" si="29"/>
        <v>-5</v>
      </c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115"/>
      <c r="AK30" s="41"/>
      <c r="AL30" s="5"/>
      <c r="AM30" s="5"/>
      <c r="AN30" s="5"/>
      <c r="AO30" s="5"/>
      <c r="AP30" s="5"/>
      <c r="AQ30" s="5"/>
      <c r="AR30" s="5"/>
    </row>
    <row r="31" spans="1:44" ht="12.75" customHeight="1" x14ac:dyDescent="0.2">
      <c r="A31" s="5"/>
      <c r="B31" s="14">
        <v>5</v>
      </c>
      <c r="C31" s="57" t="str">
        <f t="shared" si="25"/>
        <v>Toronto Storm X</v>
      </c>
      <c r="D31" s="57">
        <f t="shared" si="26"/>
        <v>2</v>
      </c>
      <c r="E31" s="57">
        <f t="shared" si="27"/>
        <v>-35</v>
      </c>
      <c r="F31" s="114">
        <f t="shared" si="28"/>
        <v>0.25</v>
      </c>
      <c r="G31" s="114">
        <f t="shared" si="29"/>
        <v>-4.375</v>
      </c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115"/>
      <c r="AK31" s="41"/>
      <c r="AL31" s="5"/>
      <c r="AM31" s="5"/>
      <c r="AN31" s="5"/>
      <c r="AO31" s="5"/>
      <c r="AP31" s="5"/>
      <c r="AQ31" s="5"/>
      <c r="AR31" s="5"/>
    </row>
    <row r="32" spans="1:44" ht="12.75" customHeight="1" x14ac:dyDescent="0.2">
      <c r="A32" s="5"/>
      <c r="B32" s="5"/>
      <c r="C32" s="5"/>
      <c r="D32" s="5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115"/>
      <c r="AK32" s="41"/>
      <c r="AL32" s="5"/>
      <c r="AM32" s="5"/>
      <c r="AN32" s="5"/>
      <c r="AO32" s="5"/>
      <c r="AP32" s="5"/>
      <c r="AQ32" s="5"/>
      <c r="AR32" s="5"/>
    </row>
  </sheetData>
  <mergeCells count="124">
    <mergeCell ref="AA14:AB14"/>
    <mergeCell ref="Q14:R14"/>
    <mergeCell ref="V13:Z13"/>
    <mergeCell ref="Q13:U13"/>
    <mergeCell ref="N13:P13"/>
    <mergeCell ref="O14:P14"/>
    <mergeCell ref="O20:P20"/>
    <mergeCell ref="O21:P21"/>
    <mergeCell ref="O22:P22"/>
    <mergeCell ref="O23:P23"/>
    <mergeCell ref="T16:U16"/>
    <mergeCell ref="T15:U15"/>
    <mergeCell ref="T20:U20"/>
    <mergeCell ref="Q20:R20"/>
    <mergeCell ref="Q22:R22"/>
    <mergeCell ref="Q21:R21"/>
    <mergeCell ref="T23:U23"/>
    <mergeCell ref="Q23:R23"/>
    <mergeCell ref="V23:W23"/>
    <mergeCell ref="V22:W22"/>
    <mergeCell ref="V21:W21"/>
    <mergeCell ref="AD19:AE19"/>
    <mergeCell ref="AD22:AE22"/>
    <mergeCell ref="AD23:AE23"/>
    <mergeCell ref="AD15:AE15"/>
    <mergeCell ref="AD16:AE16"/>
    <mergeCell ref="T22:U22"/>
    <mergeCell ref="T21:U21"/>
    <mergeCell ref="E8:I8"/>
    <mergeCell ref="E7:I7"/>
    <mergeCell ref="B6:D6"/>
    <mergeCell ref="B5:D5"/>
    <mergeCell ref="B8:D8"/>
    <mergeCell ref="B7:D7"/>
    <mergeCell ref="A13:B13"/>
    <mergeCell ref="B4:D4"/>
    <mergeCell ref="Y17:Z17"/>
    <mergeCell ref="Y16:Z16"/>
    <mergeCell ref="V17:W17"/>
    <mergeCell ref="V14:W14"/>
    <mergeCell ref="T14:U14"/>
    <mergeCell ref="Y14:Z14"/>
    <mergeCell ref="AI15:AJ15"/>
    <mergeCell ref="AI14:AJ14"/>
    <mergeCell ref="AJ4:AK4"/>
    <mergeCell ref="AI13:AJ13"/>
    <mergeCell ref="AN4:AO4"/>
    <mergeCell ref="AP4:AQ4"/>
    <mergeCell ref="AA21:AB21"/>
    <mergeCell ref="AA22:AB22"/>
    <mergeCell ref="Y22:Z22"/>
    <mergeCell ref="Y21:Z21"/>
    <mergeCell ref="AD21:AE21"/>
    <mergeCell ref="AD20:AE20"/>
    <mergeCell ref="AA17:AB17"/>
    <mergeCell ref="AD17:AE17"/>
    <mergeCell ref="AI17:AJ17"/>
    <mergeCell ref="AI21:AJ21"/>
    <mergeCell ref="AI19:AJ19"/>
    <mergeCell ref="AI18:AJ18"/>
    <mergeCell ref="AI20:AJ20"/>
    <mergeCell ref="Y20:Z20"/>
    <mergeCell ref="AA20:AB20"/>
    <mergeCell ref="AA13:AE13"/>
    <mergeCell ref="AD14:AE14"/>
    <mergeCell ref="AA19:AB19"/>
    <mergeCell ref="V19:W19"/>
    <mergeCell ref="O18:P18"/>
    <mergeCell ref="O19:P19"/>
    <mergeCell ref="E19:M19"/>
    <mergeCell ref="T19:U19"/>
    <mergeCell ref="AI22:AJ22"/>
    <mergeCell ref="AJ28:AK28"/>
    <mergeCell ref="AI23:AJ23"/>
    <mergeCell ref="AI16:AJ16"/>
    <mergeCell ref="AA23:AB23"/>
    <mergeCell ref="Y23:Z23"/>
    <mergeCell ref="AA16:AB16"/>
    <mergeCell ref="AA18:AB18"/>
    <mergeCell ref="Y19:Z19"/>
    <mergeCell ref="Y18:Z18"/>
    <mergeCell ref="AD18:AE18"/>
    <mergeCell ref="E20:M20"/>
    <mergeCell ref="E21:M21"/>
    <mergeCell ref="E22:M22"/>
    <mergeCell ref="E23:M23"/>
    <mergeCell ref="E17:M17"/>
    <mergeCell ref="E18:M18"/>
    <mergeCell ref="V18:W18"/>
    <mergeCell ref="V20:W20"/>
    <mergeCell ref="Q17:R17"/>
    <mergeCell ref="O17:P17"/>
    <mergeCell ref="O16:P16"/>
    <mergeCell ref="Q16:R16"/>
    <mergeCell ref="Q18:R18"/>
    <mergeCell ref="Q19:R19"/>
    <mergeCell ref="T17:U17"/>
    <mergeCell ref="T18:U18"/>
    <mergeCell ref="E15:M15"/>
    <mergeCell ref="E16:M16"/>
    <mergeCell ref="V16:W16"/>
    <mergeCell ref="V15:W15"/>
    <mergeCell ref="Q15:R15"/>
    <mergeCell ref="O15:P15"/>
    <mergeCell ref="A10:AG12"/>
    <mergeCell ref="A2:AG2"/>
    <mergeCell ref="A3:AG3"/>
    <mergeCell ref="A1:AG1"/>
    <mergeCell ref="R4:AF4"/>
    <mergeCell ref="J4:N4"/>
    <mergeCell ref="AA15:AB15"/>
    <mergeCell ref="Y15:Z15"/>
    <mergeCell ref="J9:N9"/>
    <mergeCell ref="E9:I9"/>
    <mergeCell ref="B9:D9"/>
    <mergeCell ref="J7:N7"/>
    <mergeCell ref="J8:N8"/>
    <mergeCell ref="E5:I5"/>
    <mergeCell ref="J5:N5"/>
    <mergeCell ref="J6:N6"/>
    <mergeCell ref="E13:M13"/>
    <mergeCell ref="E14:M14"/>
    <mergeCell ref="E6:I6"/>
    <mergeCell ref="E4:I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AR32"/>
  <sheetViews>
    <sheetView showGridLines="0" workbookViewId="0"/>
  </sheetViews>
  <sheetFormatPr baseColWidth="10" defaultColWidth="17.33203125" defaultRowHeight="15" customHeight="1" x14ac:dyDescent="0.2"/>
  <cols>
    <col min="1" max="1" width="4.1640625" customWidth="1"/>
    <col min="2" max="2" width="3.5" customWidth="1"/>
    <col min="3" max="3" width="25.6640625" customWidth="1"/>
    <col min="4" max="4" width="4.5" customWidth="1"/>
    <col min="5" max="5" width="3.33203125" customWidth="1"/>
    <col min="6" max="6" width="10.33203125" customWidth="1"/>
    <col min="7" max="7" width="9.6640625" customWidth="1"/>
    <col min="8" max="9" width="3.33203125" hidden="1" customWidth="1"/>
    <col min="10" max="14" width="3.33203125" customWidth="1"/>
    <col min="15" max="15" width="13.33203125" customWidth="1"/>
    <col min="16" max="16" width="13.1640625" customWidth="1"/>
    <col min="17" max="19" width="4" customWidth="1"/>
    <col min="20" max="22" width="3.33203125" customWidth="1"/>
    <col min="23" max="23" width="4" customWidth="1"/>
    <col min="24" max="25" width="3.33203125" customWidth="1"/>
    <col min="26" max="27" width="4" customWidth="1"/>
    <col min="28" max="31" width="3.33203125" customWidth="1"/>
    <col min="32" max="32" width="4.5" customWidth="1"/>
    <col min="33" max="33" width="15.33203125" customWidth="1"/>
    <col min="34" max="34" width="12.1640625" customWidth="1"/>
    <col min="35" max="35" width="13.1640625" customWidth="1"/>
    <col min="36" max="36" width="4.1640625" customWidth="1"/>
    <col min="37" max="37" width="7.1640625" customWidth="1"/>
    <col min="38" max="38" width="2.1640625" customWidth="1"/>
    <col min="39" max="39" width="7.1640625" customWidth="1"/>
    <col min="40" max="40" width="6.5" customWidth="1"/>
    <col min="41" max="44" width="8.83203125" customWidth="1"/>
  </cols>
  <sheetData>
    <row r="1" spans="1:44" ht="30.75" customHeight="1" x14ac:dyDescent="0.35">
      <c r="A1" s="180" t="s">
        <v>181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38"/>
      <c r="AI1" s="39"/>
      <c r="AJ1" s="39"/>
      <c r="AK1" s="39"/>
      <c r="AL1" s="39"/>
      <c r="AM1" s="39"/>
      <c r="AN1" s="39"/>
      <c r="AO1" s="1"/>
      <c r="AP1" s="1"/>
      <c r="AQ1" s="1"/>
      <c r="AR1" s="1"/>
    </row>
    <row r="2" spans="1:44" ht="30.75" customHeight="1" x14ac:dyDescent="0.35">
      <c r="A2" s="180" t="str">
        <f>+'Women''s Master'!D3</f>
        <v>CT09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38"/>
      <c r="AI2" s="39"/>
      <c r="AJ2" s="39"/>
      <c r="AK2" s="39"/>
      <c r="AL2" s="39"/>
      <c r="AM2" s="39"/>
      <c r="AN2" s="39"/>
      <c r="AO2" s="1"/>
      <c r="AP2" s="1"/>
      <c r="AQ2" s="1"/>
      <c r="AR2" s="1"/>
    </row>
    <row r="3" spans="1:44" ht="42.75" customHeight="1" x14ac:dyDescent="0.45">
      <c r="A3" s="180" t="str">
        <f>RIGHT(A2,2)</f>
        <v>09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40"/>
      <c r="AI3" s="41" t="s">
        <v>153</v>
      </c>
      <c r="AJ3" s="41"/>
      <c r="AK3" s="41"/>
      <c r="AL3" s="41"/>
      <c r="AM3" s="41"/>
      <c r="AN3" s="41"/>
      <c r="AO3" s="5"/>
      <c r="AP3" s="5"/>
      <c r="AQ3" s="5"/>
      <c r="AR3" s="5" t="s">
        <v>154</v>
      </c>
    </row>
    <row r="4" spans="1:44" ht="27" customHeight="1" x14ac:dyDescent="0.2">
      <c r="A4" s="42"/>
      <c r="B4" s="179" t="s">
        <v>102</v>
      </c>
      <c r="C4" s="173"/>
      <c r="D4" s="173"/>
      <c r="E4" s="155" t="s">
        <v>155</v>
      </c>
      <c r="F4" s="156"/>
      <c r="G4" s="156"/>
      <c r="H4" s="156"/>
      <c r="I4" s="157"/>
      <c r="J4" s="165" t="s">
        <v>156</v>
      </c>
      <c r="K4" s="156"/>
      <c r="L4" s="156"/>
      <c r="M4" s="156"/>
      <c r="N4" s="166"/>
      <c r="O4" s="43" t="s">
        <v>157</v>
      </c>
      <c r="P4" s="44" t="s">
        <v>158</v>
      </c>
      <c r="Q4" s="45"/>
      <c r="R4" s="194" t="s">
        <v>159</v>
      </c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53"/>
      <c r="AG4" s="46" t="s">
        <v>160</v>
      </c>
      <c r="AH4" s="47" t="s">
        <v>161</v>
      </c>
      <c r="AI4" s="47" t="s">
        <v>162</v>
      </c>
      <c r="AJ4" s="193" t="s">
        <v>163</v>
      </c>
      <c r="AK4" s="153"/>
      <c r="AL4" s="47" t="s">
        <v>164</v>
      </c>
      <c r="AM4" s="48"/>
      <c r="AN4" s="190" t="s">
        <v>165</v>
      </c>
      <c r="AO4" s="191"/>
      <c r="AP4" s="192" t="s">
        <v>166</v>
      </c>
      <c r="AQ4" s="191"/>
      <c r="AR4" s="50" t="s">
        <v>167</v>
      </c>
    </row>
    <row r="5" spans="1:44" ht="15.75" customHeight="1" x14ac:dyDescent="0.2">
      <c r="A5" s="51">
        <f t="shared" ref="A5:A9" si="0">AR5</f>
        <v>2</v>
      </c>
      <c r="B5" s="172" t="str">
        <f>+'Women''s Master'!D4</f>
        <v>DC Jin Long</v>
      </c>
      <c r="C5" s="173"/>
      <c r="D5" s="173"/>
      <c r="E5" s="171">
        <f>SUM(IF(AG14=B5,1,0),IF(AG16=C16,1,0),IF(AG19=C19,1,0),IF(AG22=C22,1,0))</f>
        <v>3</v>
      </c>
      <c r="F5" s="162"/>
      <c r="G5" s="162"/>
      <c r="H5" s="162"/>
      <c r="I5" s="153"/>
      <c r="J5" s="169">
        <f>SUM(IF(AG14=C14,0,1),IF(AG16=C16,0,1),IF(AG19=C19,0,1),IF(AG22=C22,0,1))</f>
        <v>1</v>
      </c>
      <c r="K5" s="162"/>
      <c r="L5" s="162"/>
      <c r="M5" s="162"/>
      <c r="N5" s="170"/>
      <c r="O5" s="53">
        <f>SUM(IF(AD5&gt;0,1,0),IF(AE5&gt;0,1,0),IF(AF5&gt;0,1,0),IF(U5&gt;0,1,0),IF(V5&gt;0,1,0),IF(W5&gt;0,1,0),IF(X5&gt;0,1,0),IF(Y5&gt;0,1,0),IF(Z5&gt;0,1,0),IF(AA5&gt;0,1,0),IF(AB5&gt;0,1,0),IF(AC5&gt;0,1,0))</f>
        <v>6</v>
      </c>
      <c r="P5" s="52">
        <f>SUM(IF(AD5&lt;0,1,0),IF(AE5&lt;0,1,0),IF(AF5&lt;0,1,0),IF(U5&lt;0,1,0),IF(V5&lt;0,1,0),IF(W5&lt;0,1,0),IF(X5&lt;0,1,0),IF(Y5&lt;0,1,0),IF(Z5&lt;0,1,0),IF(AA5&lt;0,1,0),IF(AB5&lt;0,1,0),IF(AC5&lt;0,1,0))</f>
        <v>2</v>
      </c>
      <c r="Q5" s="54">
        <f>1+SUM(IF(O5&lt;O6,1,0),IF(O5&lt;O7,1,0),IF(O5&lt;O8,1,0),IF(O5&lt;O9,1,0))</f>
        <v>1</v>
      </c>
      <c r="R5" s="55"/>
      <c r="S5" s="56"/>
      <c r="T5" s="56"/>
      <c r="U5" s="57">
        <f>Q14-T14</f>
        <v>3</v>
      </c>
      <c r="V5" s="57">
        <f>V14-Y14</f>
        <v>4</v>
      </c>
      <c r="W5" s="57">
        <f>AA14-AD14</f>
        <v>0</v>
      </c>
      <c r="X5" s="57">
        <f>Q19-T19</f>
        <v>10</v>
      </c>
      <c r="Y5" s="57">
        <f>V19-Y19</f>
        <v>6</v>
      </c>
      <c r="Z5" s="57">
        <f>AA19-AD19</f>
        <v>0</v>
      </c>
      <c r="AA5" s="58">
        <f>Q22-T22</f>
        <v>-3</v>
      </c>
      <c r="AB5" s="58">
        <f>V22-Y22</f>
        <v>-6</v>
      </c>
      <c r="AC5" s="58">
        <f>AA22-AD22</f>
        <v>0</v>
      </c>
      <c r="AD5" s="58">
        <f>Q16-T16</f>
        <v>5</v>
      </c>
      <c r="AE5" s="58">
        <f>V16-Y16</f>
        <v>5</v>
      </c>
      <c r="AF5" s="58">
        <f>AA16-AD16</f>
        <v>0</v>
      </c>
      <c r="AG5" s="58" t="str">
        <f>IF(Q5=Q6,IF(SUM(U5:W5)&gt;0,B5,B6),  IF(Q5=Q7,IF(SUM(X5:Z5)&gt;0, B5,B7),IF(Q5=Q8,IF(SUM(AA5:AC5)&gt;0, B5,B8),IF(Q5=Q9,IF(SUM(AD5:AF5)&gt;0,B5,B9)))))</f>
        <v>Toronto Connex A</v>
      </c>
      <c r="AH5" s="58" t="str">
        <f>IF(Q5=Q6,IF(SUM(U5:W5)&lt;0,B5,B6),  IF(Q5=Q7,IF(SUM(X5:Z5)&lt;0, B5,B7),IF(Q5=Q8,IF(SUM(AA5:AC5)&lt;0, B5,B8),IF(Q5=Q9, IF(SUM(AD5:AF5)&lt;0,B5,B9)))))</f>
        <v>DC Jin Long</v>
      </c>
      <c r="AI5" s="60">
        <f t="shared" ref="AI5:AI9" si="1">Q5+IF(COUNTIF($AG$5:$AG$9,B5)&gt;0,0, IF(COUNTIF($AH$5:$AH$9,B5)&gt;0,1,0))</f>
        <v>2</v>
      </c>
      <c r="AJ5" s="61">
        <f t="shared" ref="AJ5:AJ9" si="2">SUM(R5:AF5)</f>
        <v>24</v>
      </c>
      <c r="AK5" s="62">
        <f>1+SUM(IF(AJ5&lt;AJ6,1,0),IF(AJ5&lt;AJ7,1,0),IF(AJ5&lt;AJ8,1,0),IF(AJ5&lt;AJ9,1,0))</f>
        <v>3</v>
      </c>
      <c r="AL5" s="63">
        <f t="shared" ref="AL5:AL9" si="3">IF(SUM(E5,J5)=0,0,E5/(E5+J5))</f>
        <v>0.75</v>
      </c>
      <c r="AM5" s="62">
        <f>1+SUM(IF(AL5&lt;AL6,1,0),IF(AL5&lt;AL7,1,0),IF(AL5&lt;AL8,1,0),IF(AL5&lt;AL9,1,0))</f>
        <v>1</v>
      </c>
      <c r="AN5" s="64">
        <f t="shared" ref="AN5:AN9" si="4">IF(SUM(O5+P5)=0,0,O5/(O5+P5))</f>
        <v>0.75</v>
      </c>
      <c r="AO5" s="65">
        <f>1+SUM(IF(AN5&lt;AN6,1,0),IF(AN5&lt;AN7,1,0),IF(AN5&lt;AN8,1,0),IF(AN5&lt;AN9,1,0))</f>
        <v>1</v>
      </c>
      <c r="AP5" s="106">
        <f t="shared" ref="AP5:AP9" si="5">AJ5/SUM(O5:P5)</f>
        <v>3</v>
      </c>
      <c r="AQ5" s="67">
        <f>1+SUM(IF(AP5&lt;AP6,1,0),IF(AP5&lt;AP7,1,0),IF(AP5&lt;AP8,1,0),IF(AP5&lt;AP9,1,0))</f>
        <v>3</v>
      </c>
      <c r="AR5" s="68">
        <f>1+SUM(IF(Q5&gt;Q6,1,IF(AND(Q5=Q6,AK5&gt;AK6),1,IF(AND(Q5=Q6,AK5=AK6),1,0))),IF(Q5&gt;Q7,1,IF(AND(Q5=Q7,AK5&gt;AK7),1,IF(AND(Q5=Q7,AK5=AK7),1,0))),IF(Q5&gt;Q8,1,IF(AND(Q5=Q8,AK5&gt;AK8),1,IF(AND(Q5=Q8,AK5=AK8),1,0))),IF(Q5&gt;Q9,1,IF(AND(Q5=Q9,AK5&gt;AK9),1,IF(AND(Q5=Q9,AK5=AK9),1,0))))</f>
        <v>2</v>
      </c>
    </row>
    <row r="6" spans="1:44" ht="15.75" customHeight="1" x14ac:dyDescent="0.2">
      <c r="A6" s="51">
        <f t="shared" si="0"/>
        <v>4</v>
      </c>
      <c r="B6" s="172" t="str">
        <f>+'Women''s Master'!D5</f>
        <v>NY Super mom</v>
      </c>
      <c r="C6" s="173"/>
      <c r="D6" s="173"/>
      <c r="E6" s="171">
        <f>SUM(IF(AG14=E14,1,0),IF(AG17=C17,1,0),IF(AG20=C20,1,0),IF(AG23=C23,1,0))</f>
        <v>1</v>
      </c>
      <c r="F6" s="162"/>
      <c r="G6" s="162"/>
      <c r="H6" s="162"/>
      <c r="I6" s="153"/>
      <c r="J6" s="169">
        <f>SUM(IF(AG14=E14,0,1),IF(AG17=C17,0,1),IF(AG20=C20,0,1),IF(AG23=C23,0,1))</f>
        <v>3</v>
      </c>
      <c r="K6" s="162"/>
      <c r="L6" s="162"/>
      <c r="M6" s="162"/>
      <c r="N6" s="170"/>
      <c r="O6" s="53">
        <f>SUM(IF(AD6&gt;0,1,0),IF(AE6&gt;0,1,0),IF(AF6&gt;0,1,0),IF(R6&gt;0,1,0),IF(S6&gt;0,1,0),IF(T6&gt;0,1,0),IF(X6&gt;0,1,0),IF(Y6&gt;0,1,0),IF(Z6&gt;0,1,0),IF(AA6&gt;0,1,0),IF(AB6&gt;0,1,0),IF(AC6&gt;0,1,0))</f>
        <v>3</v>
      </c>
      <c r="P6" s="52">
        <f>SUM(IF(AD6&lt;0,1,0),IF(AE6&lt;0,1,0),IF(AF6&lt;0,1,0),IF(R6&lt;0,1,0),IF(S6&lt;0,1,0),IF(T6&lt;0,1,0),IF(X6&lt;0,1,0),IF(Y6&lt;0,1,0),IF(Z6&lt;0,1,0),IF(AA6&lt;0,1,0),IF(AB6&lt;0,1,0),IF(AC6&lt;0,1,0))</f>
        <v>5</v>
      </c>
      <c r="Q6" s="54">
        <f>1+SUM(IF(O6&lt;O5,1,0),IF(O6&lt;O7,1,0),IF(O6&lt;O8,1,0),IF(O6&lt;O9,1,0))</f>
        <v>4</v>
      </c>
      <c r="R6" s="69">
        <f t="shared" ref="R6:T6" si="6">-U5</f>
        <v>-3</v>
      </c>
      <c r="S6" s="58">
        <f t="shared" si="6"/>
        <v>-4</v>
      </c>
      <c r="T6" s="58">
        <f t="shared" si="6"/>
        <v>0</v>
      </c>
      <c r="U6" s="56"/>
      <c r="V6" s="56"/>
      <c r="W6" s="56"/>
      <c r="X6" s="57">
        <f>Q17-T17</f>
        <v>14</v>
      </c>
      <c r="Y6" s="57">
        <f>V17-Y17</f>
        <v>4</v>
      </c>
      <c r="Z6" s="57">
        <f>AA17-AD17</f>
        <v>0</v>
      </c>
      <c r="AA6" s="58">
        <f>Q20-T20</f>
        <v>2</v>
      </c>
      <c r="AB6" s="58">
        <f>V20-Y20</f>
        <v>-9</v>
      </c>
      <c r="AC6" s="58">
        <f>AA20-AD20</f>
        <v>0</v>
      </c>
      <c r="AD6" s="58">
        <f>Q23-T23</f>
        <v>-8</v>
      </c>
      <c r="AE6" s="58">
        <f>V23-Y23</f>
        <v>-3</v>
      </c>
      <c r="AF6" s="58">
        <f>AA23-AD23</f>
        <v>0</v>
      </c>
      <c r="AG6" s="58" t="b">
        <f>IF(Q6=Q7,IF(SUM(X6:Z6)&gt;0,B6,B7),IF(Q6=Q8,IF(SUM(AA6:AC6)&gt;0,B6,B8),IF(Q6=Q9,IF(SUM(AD6:AF6)&gt;0, B6,B9))))</f>
        <v>0</v>
      </c>
      <c r="AH6" s="58" t="b">
        <f>IF(Q6=Q7,IF(SUM(X6:Z6)&lt;0,B6,B7),IF(Q6=Q8,IF(SUM(AA6:AC6)&lt;0,B6,B8),IF(Q6=Q9,IF(SUM(AD6:AF6)&lt;0, B6,B9))))</f>
        <v>0</v>
      </c>
      <c r="AI6" s="60">
        <f t="shared" si="1"/>
        <v>4</v>
      </c>
      <c r="AJ6" s="61">
        <f t="shared" si="2"/>
        <v>-7</v>
      </c>
      <c r="AK6" s="62">
        <f>1+SUM(IF(AJ6&lt;AJ5,1,0),IF(AJ6&lt;AJ7,1,0),IF(AJ6&lt;AJ8,1,0),IF(AJ6&lt;AJ9,1,0))</f>
        <v>4</v>
      </c>
      <c r="AL6" s="63">
        <f t="shared" si="3"/>
        <v>0.25</v>
      </c>
      <c r="AM6" s="62">
        <f>1+SUM(IF(AL6&lt;AL5,1,0),IF(AL6&lt;AL7,1,0),IF(AL6&lt;AL8,1,0),IF(AL6&lt;AL9,1,0))</f>
        <v>4</v>
      </c>
      <c r="AN6" s="64">
        <f t="shared" si="4"/>
        <v>0.375</v>
      </c>
      <c r="AO6" s="65">
        <f>1+SUM(IF(AN6&lt;AN5,1,0),IF(AN6&lt;AN7,1,0),IF(AN6&lt;AN8,1,0),IF(AN6&lt;AN9,1,0))</f>
        <v>4</v>
      </c>
      <c r="AP6" s="106">
        <f t="shared" si="5"/>
        <v>-0.875</v>
      </c>
      <c r="AQ6" s="70">
        <f>1+SUM(IF(AP6&lt;AP5,1,0),IF(AP6&lt;AP7,1,0),IF(AP6&lt;AP8,1,0),IF(AP6&lt;AP9,1,0))</f>
        <v>4</v>
      </c>
      <c r="AR6" s="68">
        <f>1+SUM(IF(Q6&gt;Q5,1,IF(AND(Q6=Q5,AK6&gt;AK5),1,IF(AND(Q6=Q5,AK6=AK5),1,0))),IF(Q6&gt;Q7,1,IF(AND(Q6=Q7,AK6&gt;AK7),1,IF(AND(Q6=Q7,AK6=AK7),1,0))),IF(Q6&gt;Q8,1,IF(AND(Q6=Q8,AK6&gt;AK8),1,IF(AND(Q6=Q8,AK6=AK8),1,0))),IF(Q6&gt;Q9,1,IF(AND(Q6=Q9,AK6&gt;AK9),1,IF(AND(Q6=Q9,AK6=AK9),1,0))))</f>
        <v>4</v>
      </c>
    </row>
    <row r="7" spans="1:44" ht="15.75" customHeight="1" x14ac:dyDescent="0.2">
      <c r="A7" s="51">
        <f t="shared" si="0"/>
        <v>5</v>
      </c>
      <c r="B7" s="182" t="str">
        <f>+'Women''s Master'!D6</f>
        <v>Boston Lady Knights B</v>
      </c>
      <c r="C7" s="173"/>
      <c r="D7" s="173"/>
      <c r="E7" s="171">
        <f>SUM(IF(AG15=C15,1,0),IF(AG17=E17,1,0),IF(AG19=E19,1,0),IF(AG21=C21,1,0))</f>
        <v>0</v>
      </c>
      <c r="F7" s="162"/>
      <c r="G7" s="162"/>
      <c r="H7" s="162"/>
      <c r="I7" s="153"/>
      <c r="J7" s="169">
        <f>SUM(IF(AG15=C15,0,1),IF(AG17=E17,0,1),IF(AG19=E19,0,1),IF(AG21=C21,0,1))</f>
        <v>4</v>
      </c>
      <c r="K7" s="162"/>
      <c r="L7" s="162"/>
      <c r="M7" s="162"/>
      <c r="N7" s="170"/>
      <c r="O7" s="53">
        <f>SUM(IF(AD7&gt;0,1,0),IF(AE7&gt;0,1,0),IF(AF7&gt;0,1,0),IF(U7&gt;0,1,0),IF(V7&gt;0,1,0),IF(W7&gt;0,1,0),IF(R7&gt;0,1,0),IF(S7&gt;0,1,0),IF(T7&gt;0,1,0),IF(AA7&gt;0,1,0),IF(AB7&gt;0,1,0),IF(AC7&gt;0,1,0))</f>
        <v>0</v>
      </c>
      <c r="P7" s="52">
        <f>SUM(IF(AD7&lt;0,1,0),IF(AE7&lt;0,1,0),IF(AF7&lt;0,1,0),IF(U7&lt;0,1,0),IF(V7&lt;0,1,0),IF(W7&lt;0,1,0),IF(R7&lt;0,1,0),IF(S7&lt;0,1,0),IF(T7&lt;0,1,0),IF(AA7&lt;0,1,0),IF(AB7&lt;0,1,0),IF(AC7&lt;0,1,0))</f>
        <v>8</v>
      </c>
      <c r="Q7" s="54">
        <f>1+SUM(IF(O7&lt;O6,1,0),IF(O7&lt;O5,1,0),IF(O7&lt;O8,1,0),IF(O7&lt;O9,1,0))</f>
        <v>5</v>
      </c>
      <c r="R7" s="69">
        <f t="shared" ref="R7:T7" si="7">-X5</f>
        <v>-10</v>
      </c>
      <c r="S7" s="58">
        <f t="shared" si="7"/>
        <v>-6</v>
      </c>
      <c r="T7" s="58">
        <f t="shared" si="7"/>
        <v>0</v>
      </c>
      <c r="U7" s="58">
        <f t="shared" ref="U7:W7" si="8">-X6</f>
        <v>-14</v>
      </c>
      <c r="V7" s="58">
        <f t="shared" si="8"/>
        <v>-4</v>
      </c>
      <c r="W7" s="58">
        <f t="shared" si="8"/>
        <v>0</v>
      </c>
      <c r="X7" s="71"/>
      <c r="Y7" s="71"/>
      <c r="Z7" s="71"/>
      <c r="AA7" s="58">
        <f>Q15-T15</f>
        <v>-11</v>
      </c>
      <c r="AB7" s="58">
        <f>V15-Y15</f>
        <v>-7</v>
      </c>
      <c r="AC7" s="58">
        <f>AA15-AD15</f>
        <v>0</v>
      </c>
      <c r="AD7" s="58">
        <f>Q21-T21</f>
        <v>-16</v>
      </c>
      <c r="AE7" s="58">
        <f>V21-Y21</f>
        <v>-15</v>
      </c>
      <c r="AF7" s="58">
        <f>AA21-AD21</f>
        <v>0</v>
      </c>
      <c r="AG7" s="58" t="b">
        <f>IF(Q7=Q8,IF(SUM(AA7:AC7)&gt;0,B7,B8),IF(Q7=Q9,IF(SUM(AD7:AF7)&gt;0,B7,B9)))</f>
        <v>0</v>
      </c>
      <c r="AH7" s="58" t="b">
        <f>IF(Q7=Q8,IF(SUM(AA7:AC7)&lt;0,B7,B8),IF(Q7=Q9,IF(SUM(AD7:AF7)&lt;0,B7,B9)))</f>
        <v>0</v>
      </c>
      <c r="AI7" s="60">
        <f t="shared" si="1"/>
        <v>5</v>
      </c>
      <c r="AJ7" s="61">
        <f t="shared" si="2"/>
        <v>-83</v>
      </c>
      <c r="AK7" s="62">
        <f>1+SUM(IF(AJ7&lt;AJ6,1,0),IF(AJ7&lt;AJ5,1,0),IF(AJ7&lt;AJ8,1,0),IF(AJ7&lt;AJ9,1,0))</f>
        <v>5</v>
      </c>
      <c r="AL7" s="63">
        <f t="shared" si="3"/>
        <v>0</v>
      </c>
      <c r="AM7" s="62">
        <f>1+SUM(IF(AL7&lt;AL6,1,0),IF(AL7&lt;AL5,1,0),IF(AL7&lt;AL8,1,0),IF(AL7&lt;AL9,1,0))</f>
        <v>5</v>
      </c>
      <c r="AN7" s="64">
        <f t="shared" si="4"/>
        <v>0</v>
      </c>
      <c r="AO7" s="65">
        <f>1+SUM(IF(AN7&lt;AN6,1,0),IF(AN7&lt;AN5,1,0),IF(AN7&lt;AN8,1,0),IF(AN7&lt;AN9,1,0))</f>
        <v>5</v>
      </c>
      <c r="AP7" s="106">
        <f t="shared" si="5"/>
        <v>-10.375</v>
      </c>
      <c r="AQ7" s="70">
        <f>1+SUM(IF(AP7&lt;AP6,1,0),IF(AP7&lt;AP5,1,0),IF(AP7&lt;AP8,1,0),IF(AP7&lt;AP9,1,0))</f>
        <v>5</v>
      </c>
      <c r="AR7" s="68">
        <f>1+SUM(IF(Q7&gt;Q5,1,IF(AND(Q7=Q5,AK7&gt;AK5),1,IF(AND(Q7=Q5,AK7=AK5),1,0))),IF(Q7&gt;Q6,1,IF(AND(Q7=Q6,AK7&gt;AK6),1,IF(AND(Q7=Q6,AK7=AK6),1,0))),IF(Q7&gt;Q8,1,IF(AND(Q7=Q8,AK7&gt;AK8),1,IF(AND(Q7=Q8,AK7=AK8),1,0))),IF(Q7&gt;Q9,1,IF(AND(Q7=Q9,AK7&gt;AK9),1,IF(AND(Q7=Q9,AK7=AK9),1,0))))</f>
        <v>5</v>
      </c>
    </row>
    <row r="8" spans="1:44" ht="15.75" customHeight="1" x14ac:dyDescent="0.2">
      <c r="A8" s="51">
        <f t="shared" si="0"/>
        <v>1</v>
      </c>
      <c r="B8" s="172" t="str">
        <f>+'Women''s Master'!D7</f>
        <v>Toronto Connex A</v>
      </c>
      <c r="C8" s="173"/>
      <c r="D8" s="173"/>
      <c r="E8" s="171">
        <f>SUM(IF(AG15=E15,1,0),IF(AG18=C18,1,0),IF(AG20=E20,1,0),IF(AG22=E22,1,0))</f>
        <v>3</v>
      </c>
      <c r="F8" s="162"/>
      <c r="G8" s="162"/>
      <c r="H8" s="162"/>
      <c r="I8" s="153"/>
      <c r="J8" s="169">
        <f>SUM(IF(AG15=E15,0,1),IF(AG18=C18,0,1),IF(AG20=E20,0,1),IF(AG22=E22,0,1))</f>
        <v>1</v>
      </c>
      <c r="K8" s="162"/>
      <c r="L8" s="162"/>
      <c r="M8" s="162"/>
      <c r="N8" s="170"/>
      <c r="O8" s="53">
        <f>SUM(IF(AD8&gt;0,1,0),IF(AE8&gt;0,1,0),IF(AF8&gt;0,1,0),IF(U8&gt;0,1,0),IF(V8&gt;0,1,0),IF(W8&gt;0,1,0),IF(X8&gt;0,1,0),IF(Y8&gt;0,1,0),IF(Z8&gt;0,1,0),IF(R8&gt;0,1,0),IF(S8&gt;0,1,0),IF(T8&gt;0,1,0))</f>
        <v>6</v>
      </c>
      <c r="P8" s="52">
        <f>SUM(IF(AD8&lt;0,1,0),IF(AE8&lt;0,1,0),IF(AF8&lt;0,1,0),IF(U8&lt;0,1,0),IF(V8&lt;0,1,0),IF(W8&lt;0,1,0),IF(R8&lt;0,1,0),IF(S8&lt;0,1,0),IF(T8&lt;0,1,0),IF(X8&lt;0,1,0),IF(Y8&lt;0,1,0),IF(Z8&lt;0,1,0))</f>
        <v>2</v>
      </c>
      <c r="Q8" s="54">
        <f>1+SUM(IF(O8&lt;O6,1,0),IF(O8&lt;O7,1,0),IF(O8&lt;O5,1,0),IF(O8&lt;O9,1,0))</f>
        <v>1</v>
      </c>
      <c r="R8" s="69">
        <f t="shared" ref="R8:T8" si="9">-AA5</f>
        <v>3</v>
      </c>
      <c r="S8" s="58">
        <f t="shared" si="9"/>
        <v>6</v>
      </c>
      <c r="T8" s="58">
        <f t="shared" si="9"/>
        <v>0</v>
      </c>
      <c r="U8" s="58">
        <f t="shared" ref="U8:W8" si="10">-AA6</f>
        <v>-2</v>
      </c>
      <c r="V8" s="58">
        <f t="shared" si="10"/>
        <v>9</v>
      </c>
      <c r="W8" s="58">
        <f t="shared" si="10"/>
        <v>0</v>
      </c>
      <c r="X8" s="58">
        <f t="shared" ref="X8:Z8" si="11">-AA7</f>
        <v>11</v>
      </c>
      <c r="Y8" s="58">
        <f t="shared" si="11"/>
        <v>7</v>
      </c>
      <c r="Z8" s="58">
        <f t="shared" si="11"/>
        <v>0</v>
      </c>
      <c r="AA8" s="71"/>
      <c r="AB8" s="71"/>
      <c r="AC8" s="71"/>
      <c r="AD8" s="58">
        <f>Q18-T18</f>
        <v>-5</v>
      </c>
      <c r="AE8" s="58">
        <f>V18-Y18</f>
        <v>3</v>
      </c>
      <c r="AF8" s="58">
        <f>AA18-AD18</f>
        <v>0</v>
      </c>
      <c r="AG8" s="58" t="b">
        <f>IF(Q8=Q9,IF(SUM(AD8:AF8)&gt;0,B8,B9))</f>
        <v>0</v>
      </c>
      <c r="AH8" s="58" t="b">
        <f>IF(R8=R9,IF(SUM(AE8:AG8)&lt;0,C8,C9))</f>
        <v>0</v>
      </c>
      <c r="AI8" s="60">
        <f t="shared" si="1"/>
        <v>1</v>
      </c>
      <c r="AJ8" s="61">
        <f t="shared" si="2"/>
        <v>32</v>
      </c>
      <c r="AK8" s="72">
        <f>1+SUM(IF(AJ8&lt;AJ6,1,0),IF(AJ8&lt;AJ7,1,0),IF(AJ8&lt;AJ5,1,0),IF(AJ8&lt;AJ9,1,0))</f>
        <v>2</v>
      </c>
      <c r="AL8" s="63">
        <f t="shared" si="3"/>
        <v>0.75</v>
      </c>
      <c r="AM8" s="72">
        <f>1+SUM(IF(AL8&lt;AL6,1,0),IF(AL8&lt;AL7,1,0),IF(AL8&lt;AL5,1,0),IF(AL8&lt;AL9,1,0))</f>
        <v>1</v>
      </c>
      <c r="AN8" s="64">
        <f t="shared" si="4"/>
        <v>0.75</v>
      </c>
      <c r="AO8" s="65">
        <f>1+SUM(IF(AN8&lt;AN6,1,0),IF(AN8&lt;AN7,1,0),IF(AN8&lt;AN5,1,0),IF(AN8&lt;AN9,1,0))</f>
        <v>1</v>
      </c>
      <c r="AP8" s="106">
        <f t="shared" si="5"/>
        <v>4</v>
      </c>
      <c r="AQ8" s="73">
        <f>1+SUM(IF(AP8&lt;AP6,1,0),IF(AP8&lt;AP7,1,0),IF(AP8&lt;AP5,1,0),IF(AP8&lt;AP9,1,0))</f>
        <v>2</v>
      </c>
      <c r="AR8" s="68">
        <f>1+SUM(IF(Q8&gt;Q5,1,IF(AND(Q8=Q5,AK8&gt;AK5),1,IF(AND(Q8=Q5,AK8=AK5),1,0))),IF(Q8&gt;Q6,1,IF(AND(Q8=Q6,AK8&gt;AK6),1,IF(AND(Q8=Q6,AK8=AK6),1,0))),IF(Q8&gt;Q7,1,IF(AND(Q8=Q7,AK8&gt;AK7),1,IF(AND(Q8=Q7,AK8=AK7),1,0))),IF(Q8&gt;Q9,1,IF(AND(Q8=Q9,AK8&gt;AK9),1,IF(AND(Q8=Q9,AK8=AK9),1,0))))</f>
        <v>1</v>
      </c>
    </row>
    <row r="9" spans="1:44" ht="15.75" customHeight="1" x14ac:dyDescent="0.2">
      <c r="A9" s="51">
        <f t="shared" si="0"/>
        <v>3</v>
      </c>
      <c r="B9" s="172" t="str">
        <f>+'Women''s Master'!D8</f>
        <v>NY Strangers Wind</v>
      </c>
      <c r="C9" s="173"/>
      <c r="D9" s="173"/>
      <c r="E9" s="171">
        <f>SUM(IF(AG16=E16,1,0),IF(AG18=E18,1,0),IF(AG21=E21,1,0),IF(AG23=E23,1,0))</f>
        <v>3</v>
      </c>
      <c r="F9" s="162"/>
      <c r="G9" s="162"/>
      <c r="H9" s="162"/>
      <c r="I9" s="153"/>
      <c r="J9" s="169">
        <f>SUM(IF(AG16=E16,0,1),IF(AG18=E18,0,1),IF(AG21=E21,0,1),IF(AG23=E23,0,1))</f>
        <v>1</v>
      </c>
      <c r="K9" s="162"/>
      <c r="L9" s="162"/>
      <c r="M9" s="162"/>
      <c r="N9" s="170"/>
      <c r="O9" s="53">
        <f>SUM(IF(R9&gt;0,1,0),IF(S9&gt;0,1,0),IF(T9&gt;0,1,0),IF(U9&gt;0,1,0),IF(V9&gt;0,1,0),IF(W9&gt;0,1,0),IF(X9&gt;0,1,0),IF(Y9&gt;0,1,0),IF(Z9&gt;0,1,0),IF(AA9&gt;0,1,0),IF(AB9&gt;0,1,0),IF(AC9&gt;0,1,0))</f>
        <v>5</v>
      </c>
      <c r="P9" s="52">
        <f>SUM(IF(R9&lt;0,1,0),IF(S9&lt;0,1,0),IF(T9&lt;0,1,0),IF(U9&lt;0,1,0),IF(V9&lt;0,1,0),IF(W9&lt;0,1,0),IF(X9&lt;0,1,0),IF(Y9&lt;0,1,0),IF(Z9&lt;0,1,0),IF(AA9&lt;0,1,0),IF(AB9&lt;0,1,0),IF(AC9&lt;0,1,0))</f>
        <v>3</v>
      </c>
      <c r="Q9" s="54">
        <f>1+SUM(IF(O9&lt;O6,1,0),IF(O9&lt;O7,1,0),IF(O9&lt;O8,1,0),IF(O9&lt;O5,1,0))</f>
        <v>3</v>
      </c>
      <c r="R9" s="74">
        <f t="shared" ref="R9:T9" si="12">-AD5</f>
        <v>-5</v>
      </c>
      <c r="S9" s="75">
        <f t="shared" si="12"/>
        <v>-5</v>
      </c>
      <c r="T9" s="75">
        <f t="shared" si="12"/>
        <v>0</v>
      </c>
      <c r="U9" s="75">
        <f t="shared" ref="U9:W9" si="13">-AD6</f>
        <v>8</v>
      </c>
      <c r="V9" s="75">
        <f t="shared" si="13"/>
        <v>3</v>
      </c>
      <c r="W9" s="75">
        <f t="shared" si="13"/>
        <v>0</v>
      </c>
      <c r="X9" s="75">
        <f t="shared" ref="X9:Z9" si="14">-AD7</f>
        <v>16</v>
      </c>
      <c r="Y9" s="75">
        <f t="shared" si="14"/>
        <v>15</v>
      </c>
      <c r="Z9" s="75">
        <f t="shared" si="14"/>
        <v>0</v>
      </c>
      <c r="AA9" s="75">
        <f t="shared" ref="AA9:AC9" si="15">-AD8</f>
        <v>5</v>
      </c>
      <c r="AB9" s="75">
        <f t="shared" si="15"/>
        <v>-3</v>
      </c>
      <c r="AC9" s="75">
        <f t="shared" si="15"/>
        <v>0</v>
      </c>
      <c r="AD9" s="76"/>
      <c r="AE9" s="76"/>
      <c r="AF9" s="76"/>
      <c r="AG9" s="77" t="s">
        <v>168</v>
      </c>
      <c r="AH9" s="77" t="s">
        <v>168</v>
      </c>
      <c r="AI9" s="60">
        <f t="shared" si="1"/>
        <v>3</v>
      </c>
      <c r="AJ9" s="78">
        <f t="shared" si="2"/>
        <v>34</v>
      </c>
      <c r="AK9" s="72">
        <f>1+SUM(IF(AJ9&lt;AJ6,1,0),IF(AJ9&lt;AJ7,1,0),IF(AJ9&lt;AJ8,1,0),IF(AJ9&lt;AJ5,1,0))</f>
        <v>1</v>
      </c>
      <c r="AL9" s="79">
        <f t="shared" si="3"/>
        <v>0.75</v>
      </c>
      <c r="AM9" s="72">
        <f>1+SUM(IF(AL9&lt;AL6,1,0),IF(AL9&lt;AL7,1,0),IF(AL9&lt;AL8,1,0),IF(AL9&lt;AL5,1,0))</f>
        <v>1</v>
      </c>
      <c r="AN9" s="64">
        <f t="shared" si="4"/>
        <v>0.625</v>
      </c>
      <c r="AO9" s="65">
        <f>1+SUM(IF(AN9&lt;AN6,1,0),IF(AN9&lt;AN7,1,0),IF(AN9&lt;AN8,1,0),IF(AN9&lt;AN5,1,0))</f>
        <v>3</v>
      </c>
      <c r="AP9" s="106">
        <f t="shared" si="5"/>
        <v>4.25</v>
      </c>
      <c r="AQ9" s="73">
        <f>1+SUM(IF(AP9&lt;AP6,1,0),IF(AP9&lt;AP7,1,0),IF(AP9&lt;AP8,1,0),IF(AP9&lt;AP5,1,0))</f>
        <v>1</v>
      </c>
      <c r="AR9" s="68">
        <f>1+SUM(IF(Q9&gt;Q5,1,IF(AND(Q9=Q5,AK9&gt;AK5),1,IF(AND(Q9=Q5,AK9=AK5),1,0))),IF(Q9&gt;Q6,1,IF(AND(Q9=Q6,AK9&gt;AK6),1,IF(AND(Q9=Q6,AK9=AK6),1,0))),IF(Q9&gt;Q7,1,IF(AND(Q9=Q7,AK9&gt;AK7),1,IF(AND(Q9=Q7,AK9=AK7),1,0))),IF(Q9&gt;Q8,1,IF(AND(Q9=Q8,AK9&gt;AK8),1,IF(AND(Q9=Q8,AK9=AK8),1,0))))</f>
        <v>3</v>
      </c>
    </row>
    <row r="10" spans="1:44" ht="12.75" customHeight="1" x14ac:dyDescent="0.2">
      <c r="A10" s="174"/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80"/>
      <c r="AI10" s="41"/>
      <c r="AJ10" s="41"/>
      <c r="AK10" s="41"/>
      <c r="AL10" s="41"/>
      <c r="AM10" s="41"/>
      <c r="AN10" s="41"/>
      <c r="AO10" s="5"/>
      <c r="AP10" s="5"/>
      <c r="AQ10" s="5"/>
      <c r="AR10" s="5"/>
    </row>
    <row r="11" spans="1:44" ht="12.75" customHeight="1" x14ac:dyDescent="0.2">
      <c r="A11" s="136"/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80"/>
      <c r="AI11" s="41"/>
      <c r="AJ11" s="41"/>
      <c r="AK11" s="41"/>
      <c r="AL11" s="41"/>
      <c r="AM11" s="41"/>
      <c r="AN11" s="41"/>
      <c r="AO11" s="5"/>
      <c r="AP11" s="5"/>
      <c r="AQ11" s="5"/>
      <c r="AR11" s="5"/>
    </row>
    <row r="12" spans="1:44" ht="13.5" customHeight="1" x14ac:dyDescent="0.2">
      <c r="A12" s="136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80"/>
      <c r="AI12" s="41"/>
      <c r="AJ12" s="41"/>
      <c r="AK12" s="41"/>
      <c r="AL12" s="41"/>
      <c r="AM12" s="41"/>
      <c r="AN12" s="41"/>
      <c r="AO12" s="5"/>
      <c r="AP12" s="5"/>
      <c r="AQ12" s="5"/>
      <c r="AR12" s="5"/>
    </row>
    <row r="13" spans="1:44" ht="13.5" customHeight="1" x14ac:dyDescent="0.2">
      <c r="A13" s="167"/>
      <c r="B13" s="136"/>
      <c r="C13" s="81" t="s">
        <v>169</v>
      </c>
      <c r="D13" s="82" t="s">
        <v>170</v>
      </c>
      <c r="E13" s="165" t="s">
        <v>169</v>
      </c>
      <c r="F13" s="156"/>
      <c r="G13" s="156"/>
      <c r="H13" s="156"/>
      <c r="I13" s="156"/>
      <c r="J13" s="156"/>
      <c r="K13" s="156"/>
      <c r="L13" s="156"/>
      <c r="M13" s="166"/>
      <c r="N13" s="176" t="s">
        <v>171</v>
      </c>
      <c r="O13" s="177"/>
      <c r="P13" s="178"/>
      <c r="Q13" s="155" t="s">
        <v>172</v>
      </c>
      <c r="R13" s="156"/>
      <c r="S13" s="156"/>
      <c r="T13" s="156"/>
      <c r="U13" s="166"/>
      <c r="V13" s="175" t="s">
        <v>173</v>
      </c>
      <c r="W13" s="156"/>
      <c r="X13" s="156"/>
      <c r="Y13" s="156"/>
      <c r="Z13" s="166"/>
      <c r="AA13" s="155" t="s">
        <v>174</v>
      </c>
      <c r="AB13" s="156"/>
      <c r="AC13" s="156"/>
      <c r="AD13" s="156"/>
      <c r="AE13" s="157"/>
      <c r="AF13" s="83"/>
      <c r="AG13" s="84" t="s">
        <v>175</v>
      </c>
      <c r="AH13" s="49" t="s">
        <v>176</v>
      </c>
      <c r="AI13" s="158" t="s">
        <v>177</v>
      </c>
      <c r="AJ13" s="159"/>
      <c r="AK13" s="41"/>
      <c r="AL13" s="5"/>
      <c r="AM13" s="5"/>
      <c r="AN13" s="5"/>
      <c r="AO13" s="5"/>
      <c r="AP13" s="5"/>
      <c r="AQ13" s="5"/>
      <c r="AR13" s="5"/>
    </row>
    <row r="14" spans="1:44" ht="15.75" customHeight="1" x14ac:dyDescent="0.2">
      <c r="A14" s="85">
        <v>1</v>
      </c>
      <c r="B14" s="86">
        <v>1</v>
      </c>
      <c r="C14" s="117" t="str">
        <f>+B5</f>
        <v>DC Jin Long</v>
      </c>
      <c r="D14" s="88">
        <v>2</v>
      </c>
      <c r="E14" s="161" t="str">
        <f>+B6</f>
        <v>NY Super mom</v>
      </c>
      <c r="F14" s="162"/>
      <c r="G14" s="162"/>
      <c r="H14" s="162"/>
      <c r="I14" s="162"/>
      <c r="J14" s="162"/>
      <c r="K14" s="162"/>
      <c r="L14" s="162"/>
      <c r="M14" s="153"/>
      <c r="N14" s="89">
        <v>3</v>
      </c>
      <c r="O14" s="198" t="str">
        <f>+B7</f>
        <v>Boston Lady Knights B</v>
      </c>
      <c r="P14" s="153"/>
      <c r="Q14" s="196">
        <v>25</v>
      </c>
      <c r="R14" s="143"/>
      <c r="S14" s="91">
        <v>0</v>
      </c>
      <c r="T14" s="151">
        <v>22</v>
      </c>
      <c r="U14" s="143"/>
      <c r="V14" s="154">
        <v>25</v>
      </c>
      <c r="W14" s="143"/>
      <c r="X14" s="92">
        <v>0</v>
      </c>
      <c r="Y14" s="154">
        <v>21</v>
      </c>
      <c r="Z14" s="143"/>
      <c r="AA14" s="152"/>
      <c r="AB14" s="153"/>
      <c r="AC14" s="93" t="s">
        <v>178</v>
      </c>
      <c r="AD14" s="152"/>
      <c r="AE14" s="153"/>
      <c r="AF14" s="94"/>
      <c r="AG14" s="104" t="str">
        <f t="shared" ref="AG14:AG23" si="16">IF((Q14)+(V14)+(AA14)-(T14)-(Y14)-(AD14)&gt;0,C14,E14)</f>
        <v>DC Jin Long</v>
      </c>
      <c r="AH14" s="96">
        <f t="shared" ref="AH14:AH23" si="17">(Q14)+(V14)+(AA14)-(T14)-(Y14)-(AD14)</f>
        <v>7</v>
      </c>
      <c r="AI14" s="147">
        <v>0.375</v>
      </c>
      <c r="AJ14" s="148"/>
      <c r="AK14" s="5"/>
      <c r="AL14" s="5"/>
      <c r="AM14" s="5"/>
      <c r="AN14" s="5"/>
      <c r="AO14" s="5"/>
      <c r="AP14" s="5"/>
      <c r="AQ14" s="5"/>
      <c r="AR14" s="5"/>
    </row>
    <row r="15" spans="1:44" ht="15.75" customHeight="1" x14ac:dyDescent="0.2">
      <c r="A15" s="97">
        <v>2</v>
      </c>
      <c r="B15" s="98">
        <v>3</v>
      </c>
      <c r="C15" s="105" t="str">
        <f>+B7</f>
        <v>Boston Lady Knights B</v>
      </c>
      <c r="D15" s="61">
        <v>4</v>
      </c>
      <c r="E15" s="163" t="str">
        <f t="shared" ref="E15:E16" si="18">+B8</f>
        <v>Toronto Connex A</v>
      </c>
      <c r="F15" s="164"/>
      <c r="G15" s="164"/>
      <c r="H15" s="164"/>
      <c r="I15" s="164"/>
      <c r="J15" s="164"/>
      <c r="K15" s="164"/>
      <c r="L15" s="164"/>
      <c r="M15" s="143"/>
      <c r="N15" s="100">
        <v>4</v>
      </c>
      <c r="O15" s="186" t="str">
        <f t="shared" ref="O15:O16" si="19">+B7</f>
        <v>Boston Lady Knights B</v>
      </c>
      <c r="P15" s="143"/>
      <c r="Q15" s="195">
        <v>14</v>
      </c>
      <c r="R15" s="141"/>
      <c r="S15" s="101">
        <v>0</v>
      </c>
      <c r="T15" s="144">
        <v>25</v>
      </c>
      <c r="U15" s="141"/>
      <c r="V15" s="140">
        <v>18</v>
      </c>
      <c r="W15" s="141"/>
      <c r="X15" s="102">
        <v>0</v>
      </c>
      <c r="Y15" s="140">
        <v>25</v>
      </c>
      <c r="Z15" s="141"/>
      <c r="AA15" s="142"/>
      <c r="AB15" s="143"/>
      <c r="AC15" s="103" t="s">
        <v>178</v>
      </c>
      <c r="AD15" s="142"/>
      <c r="AE15" s="143"/>
      <c r="AF15" s="94"/>
      <c r="AG15" s="129" t="str">
        <f t="shared" si="16"/>
        <v>Toronto Connex A</v>
      </c>
      <c r="AH15" s="96">
        <f t="shared" si="17"/>
        <v>-18</v>
      </c>
      <c r="AI15" s="149">
        <v>0.40972222222222227</v>
      </c>
      <c r="AJ15" s="150"/>
      <c r="AK15" s="5"/>
      <c r="AL15" s="5"/>
      <c r="AM15" s="5"/>
      <c r="AN15" s="5"/>
      <c r="AO15" s="5"/>
      <c r="AP15" s="5"/>
      <c r="AQ15" s="5"/>
      <c r="AR15" s="5"/>
    </row>
    <row r="16" spans="1:44" ht="15.75" customHeight="1" x14ac:dyDescent="0.2">
      <c r="A16" s="97">
        <v>3</v>
      </c>
      <c r="B16" s="98">
        <v>1</v>
      </c>
      <c r="C16" s="99" t="str">
        <f t="shared" ref="C16:C17" si="20">+B5</f>
        <v>DC Jin Long</v>
      </c>
      <c r="D16" s="61">
        <v>5</v>
      </c>
      <c r="E16" s="163" t="str">
        <f t="shared" si="18"/>
        <v>NY Strangers Wind</v>
      </c>
      <c r="F16" s="164"/>
      <c r="G16" s="164"/>
      <c r="H16" s="164"/>
      <c r="I16" s="164"/>
      <c r="J16" s="164"/>
      <c r="K16" s="164"/>
      <c r="L16" s="164"/>
      <c r="M16" s="143"/>
      <c r="N16" s="100">
        <v>4</v>
      </c>
      <c r="O16" s="168" t="str">
        <f t="shared" si="19"/>
        <v>Toronto Connex A</v>
      </c>
      <c r="P16" s="143"/>
      <c r="Q16" s="195">
        <v>25</v>
      </c>
      <c r="R16" s="141"/>
      <c r="S16" s="101">
        <v>0</v>
      </c>
      <c r="T16" s="144">
        <v>20</v>
      </c>
      <c r="U16" s="141"/>
      <c r="V16" s="140">
        <v>25</v>
      </c>
      <c r="W16" s="141"/>
      <c r="X16" s="102">
        <v>0</v>
      </c>
      <c r="Y16" s="140">
        <v>20</v>
      </c>
      <c r="Z16" s="141"/>
      <c r="AA16" s="142"/>
      <c r="AB16" s="143"/>
      <c r="AC16" s="103" t="s">
        <v>178</v>
      </c>
      <c r="AD16" s="142"/>
      <c r="AE16" s="143"/>
      <c r="AF16" s="94"/>
      <c r="AG16" s="129" t="str">
        <f t="shared" si="16"/>
        <v>DC Jin Long</v>
      </c>
      <c r="AH16" s="96">
        <f t="shared" si="17"/>
        <v>10</v>
      </c>
      <c r="AI16" s="149">
        <v>0.44444444444444442</v>
      </c>
      <c r="AJ16" s="150"/>
      <c r="AK16" s="5"/>
      <c r="AL16" s="5"/>
      <c r="AM16" s="5"/>
      <c r="AN16" s="5"/>
      <c r="AO16" s="5"/>
      <c r="AP16" s="5"/>
      <c r="AQ16" s="5"/>
      <c r="AR16" s="5"/>
    </row>
    <row r="17" spans="1:44" ht="15.75" customHeight="1" x14ac:dyDescent="0.2">
      <c r="A17" s="97">
        <v>4</v>
      </c>
      <c r="B17" s="98">
        <v>2</v>
      </c>
      <c r="C17" s="99" t="str">
        <f t="shared" si="20"/>
        <v>NY Super mom</v>
      </c>
      <c r="D17" s="61">
        <v>3</v>
      </c>
      <c r="E17" s="201" t="str">
        <f>+B7</f>
        <v>Boston Lady Knights B</v>
      </c>
      <c r="F17" s="164"/>
      <c r="G17" s="164"/>
      <c r="H17" s="164"/>
      <c r="I17" s="164"/>
      <c r="J17" s="164"/>
      <c r="K17" s="164"/>
      <c r="L17" s="164"/>
      <c r="M17" s="143"/>
      <c r="N17" s="100">
        <v>1</v>
      </c>
      <c r="O17" s="168" t="str">
        <f>+B5</f>
        <v>DC Jin Long</v>
      </c>
      <c r="P17" s="143"/>
      <c r="Q17" s="195">
        <v>25</v>
      </c>
      <c r="R17" s="141"/>
      <c r="S17" s="101">
        <v>0</v>
      </c>
      <c r="T17" s="144">
        <v>11</v>
      </c>
      <c r="U17" s="141"/>
      <c r="V17" s="140">
        <v>25</v>
      </c>
      <c r="W17" s="141"/>
      <c r="X17" s="102">
        <v>0</v>
      </c>
      <c r="Y17" s="140">
        <v>21</v>
      </c>
      <c r="Z17" s="141"/>
      <c r="AA17" s="142"/>
      <c r="AB17" s="143"/>
      <c r="AC17" s="103" t="s">
        <v>178</v>
      </c>
      <c r="AD17" s="142"/>
      <c r="AE17" s="143"/>
      <c r="AF17" s="94"/>
      <c r="AG17" s="129" t="str">
        <f t="shared" si="16"/>
        <v>NY Super mom</v>
      </c>
      <c r="AH17" s="96">
        <f t="shared" si="17"/>
        <v>18</v>
      </c>
      <c r="AI17" s="149">
        <v>0.47916666666666669</v>
      </c>
      <c r="AJ17" s="150"/>
      <c r="AK17" s="5"/>
      <c r="AL17" s="5"/>
      <c r="AM17" s="5"/>
      <c r="AN17" s="5"/>
      <c r="AO17" s="5"/>
      <c r="AP17" s="5"/>
      <c r="AQ17" s="5"/>
      <c r="AR17" s="5"/>
    </row>
    <row r="18" spans="1:44" ht="15.75" customHeight="1" x14ac:dyDescent="0.2">
      <c r="A18" s="97">
        <v>5</v>
      </c>
      <c r="B18" s="98">
        <v>4</v>
      </c>
      <c r="C18" s="99" t="str">
        <f>+B8</f>
        <v>Toronto Connex A</v>
      </c>
      <c r="D18" s="61">
        <v>5</v>
      </c>
      <c r="E18" s="163" t="str">
        <f>+B9</f>
        <v>NY Strangers Wind</v>
      </c>
      <c r="F18" s="164"/>
      <c r="G18" s="164"/>
      <c r="H18" s="164"/>
      <c r="I18" s="164"/>
      <c r="J18" s="164"/>
      <c r="K18" s="164"/>
      <c r="L18" s="164"/>
      <c r="M18" s="143"/>
      <c r="N18" s="100">
        <v>3</v>
      </c>
      <c r="O18" s="186" t="str">
        <f>+B7</f>
        <v>Boston Lady Knights B</v>
      </c>
      <c r="P18" s="143"/>
      <c r="Q18" s="195">
        <v>20</v>
      </c>
      <c r="R18" s="141"/>
      <c r="S18" s="101">
        <v>0</v>
      </c>
      <c r="T18" s="144">
        <v>25</v>
      </c>
      <c r="U18" s="141"/>
      <c r="V18" s="140">
        <v>25</v>
      </c>
      <c r="W18" s="141"/>
      <c r="X18" s="102">
        <v>0</v>
      </c>
      <c r="Y18" s="140">
        <v>22</v>
      </c>
      <c r="Z18" s="141"/>
      <c r="AA18" s="142"/>
      <c r="AB18" s="143"/>
      <c r="AC18" s="103" t="s">
        <v>178</v>
      </c>
      <c r="AD18" s="142"/>
      <c r="AE18" s="143"/>
      <c r="AF18" s="94"/>
      <c r="AG18" s="129" t="str">
        <f t="shared" si="16"/>
        <v>NY Strangers Wind</v>
      </c>
      <c r="AH18" s="96">
        <f t="shared" si="17"/>
        <v>-2</v>
      </c>
      <c r="AI18" s="149">
        <v>0.53472222222222221</v>
      </c>
      <c r="AJ18" s="150"/>
      <c r="AK18" s="5"/>
      <c r="AL18" s="5"/>
      <c r="AM18" s="5"/>
      <c r="AN18" s="5"/>
      <c r="AO18" s="5"/>
      <c r="AP18" s="5"/>
      <c r="AQ18" s="5"/>
      <c r="AR18" s="5"/>
    </row>
    <row r="19" spans="1:44" ht="15.75" customHeight="1" x14ac:dyDescent="0.2">
      <c r="A19" s="97">
        <v>6</v>
      </c>
      <c r="B19" s="98">
        <v>1</v>
      </c>
      <c r="C19" s="99" t="str">
        <f t="shared" ref="C19:C21" si="21">+B5</f>
        <v>DC Jin Long</v>
      </c>
      <c r="D19" s="61">
        <v>3</v>
      </c>
      <c r="E19" s="201" t="str">
        <f t="shared" ref="E19:E21" si="22">+B7</f>
        <v>Boston Lady Knights B</v>
      </c>
      <c r="F19" s="164"/>
      <c r="G19" s="164"/>
      <c r="H19" s="164"/>
      <c r="I19" s="164"/>
      <c r="J19" s="164"/>
      <c r="K19" s="164"/>
      <c r="L19" s="164"/>
      <c r="M19" s="143"/>
      <c r="N19" s="100">
        <v>5</v>
      </c>
      <c r="O19" s="168" t="str">
        <f>+B9</f>
        <v>NY Strangers Wind</v>
      </c>
      <c r="P19" s="143"/>
      <c r="Q19" s="195">
        <v>25</v>
      </c>
      <c r="R19" s="141"/>
      <c r="S19" s="101">
        <v>0</v>
      </c>
      <c r="T19" s="144">
        <v>15</v>
      </c>
      <c r="U19" s="141"/>
      <c r="V19" s="140">
        <v>25</v>
      </c>
      <c r="W19" s="141"/>
      <c r="X19" s="102">
        <v>0</v>
      </c>
      <c r="Y19" s="140">
        <v>19</v>
      </c>
      <c r="Z19" s="141"/>
      <c r="AA19" s="142"/>
      <c r="AB19" s="143"/>
      <c r="AC19" s="103" t="s">
        <v>178</v>
      </c>
      <c r="AD19" s="142"/>
      <c r="AE19" s="143"/>
      <c r="AF19" s="94"/>
      <c r="AG19" s="129" t="str">
        <f t="shared" si="16"/>
        <v>DC Jin Long</v>
      </c>
      <c r="AH19" s="96">
        <f t="shared" si="17"/>
        <v>16</v>
      </c>
      <c r="AI19" s="149">
        <v>6.9444444444444434E-2</v>
      </c>
      <c r="AJ19" s="150"/>
      <c r="AK19" s="5"/>
      <c r="AL19" s="5"/>
      <c r="AM19" s="5"/>
      <c r="AN19" s="5"/>
      <c r="AO19" s="5"/>
      <c r="AP19" s="5"/>
      <c r="AQ19" s="5"/>
      <c r="AR19" s="5"/>
    </row>
    <row r="20" spans="1:44" ht="15.75" customHeight="1" x14ac:dyDescent="0.2">
      <c r="A20" s="97">
        <v>7</v>
      </c>
      <c r="B20" s="98">
        <v>2</v>
      </c>
      <c r="C20" s="99" t="str">
        <f t="shared" si="21"/>
        <v>NY Super mom</v>
      </c>
      <c r="D20" s="61">
        <v>4</v>
      </c>
      <c r="E20" s="163" t="str">
        <f t="shared" si="22"/>
        <v>Toronto Connex A</v>
      </c>
      <c r="F20" s="164"/>
      <c r="G20" s="164"/>
      <c r="H20" s="164"/>
      <c r="I20" s="164"/>
      <c r="J20" s="164"/>
      <c r="K20" s="164"/>
      <c r="L20" s="164"/>
      <c r="M20" s="143"/>
      <c r="N20" s="100">
        <v>1</v>
      </c>
      <c r="O20" s="168" t="str">
        <f t="shared" ref="O20:O21" si="23">+B5</f>
        <v>DC Jin Long</v>
      </c>
      <c r="P20" s="143"/>
      <c r="Q20" s="195">
        <v>26</v>
      </c>
      <c r="R20" s="141"/>
      <c r="S20" s="101">
        <v>0</v>
      </c>
      <c r="T20" s="144">
        <v>24</v>
      </c>
      <c r="U20" s="141"/>
      <c r="V20" s="140">
        <v>16</v>
      </c>
      <c r="W20" s="141"/>
      <c r="X20" s="102">
        <v>0</v>
      </c>
      <c r="Y20" s="140">
        <v>25</v>
      </c>
      <c r="Z20" s="141"/>
      <c r="AA20" s="142"/>
      <c r="AB20" s="143"/>
      <c r="AC20" s="103" t="s">
        <v>178</v>
      </c>
      <c r="AD20" s="142"/>
      <c r="AE20" s="143"/>
      <c r="AF20" s="94"/>
      <c r="AG20" s="129" t="str">
        <f t="shared" si="16"/>
        <v>Toronto Connex A</v>
      </c>
      <c r="AH20" s="96">
        <f t="shared" si="17"/>
        <v>-7</v>
      </c>
      <c r="AI20" s="149">
        <v>0.10416666666666667</v>
      </c>
      <c r="AJ20" s="150"/>
      <c r="AK20" s="5"/>
      <c r="AL20" s="5"/>
      <c r="AM20" s="5"/>
      <c r="AN20" s="5"/>
      <c r="AO20" s="5"/>
      <c r="AP20" s="5"/>
      <c r="AQ20" s="5"/>
      <c r="AR20" s="5"/>
    </row>
    <row r="21" spans="1:44" ht="15.75" customHeight="1" x14ac:dyDescent="0.2">
      <c r="A21" s="97">
        <v>8</v>
      </c>
      <c r="B21" s="98">
        <v>3</v>
      </c>
      <c r="C21" s="105" t="str">
        <f t="shared" si="21"/>
        <v>Boston Lady Knights B</v>
      </c>
      <c r="D21" s="61">
        <v>5</v>
      </c>
      <c r="E21" s="163" t="str">
        <f t="shared" si="22"/>
        <v>NY Strangers Wind</v>
      </c>
      <c r="F21" s="164"/>
      <c r="G21" s="164"/>
      <c r="H21" s="164"/>
      <c r="I21" s="164"/>
      <c r="J21" s="164"/>
      <c r="K21" s="164"/>
      <c r="L21" s="164"/>
      <c r="M21" s="143"/>
      <c r="N21" s="100">
        <v>2</v>
      </c>
      <c r="O21" s="168" t="str">
        <f t="shared" si="23"/>
        <v>NY Super mom</v>
      </c>
      <c r="P21" s="143"/>
      <c r="Q21" s="195">
        <v>9</v>
      </c>
      <c r="R21" s="141"/>
      <c r="S21" s="101">
        <v>0</v>
      </c>
      <c r="T21" s="144">
        <v>25</v>
      </c>
      <c r="U21" s="141"/>
      <c r="V21" s="140">
        <v>10</v>
      </c>
      <c r="W21" s="141"/>
      <c r="X21" s="102">
        <v>0</v>
      </c>
      <c r="Y21" s="140">
        <v>25</v>
      </c>
      <c r="Z21" s="141"/>
      <c r="AA21" s="142"/>
      <c r="AB21" s="143"/>
      <c r="AC21" s="103" t="s">
        <v>178</v>
      </c>
      <c r="AD21" s="142"/>
      <c r="AE21" s="143"/>
      <c r="AF21" s="94"/>
      <c r="AG21" s="129" t="str">
        <f t="shared" si="16"/>
        <v>NY Strangers Wind</v>
      </c>
      <c r="AH21" s="96">
        <f t="shared" si="17"/>
        <v>-31</v>
      </c>
      <c r="AI21" s="149">
        <v>0.15972222222222224</v>
      </c>
      <c r="AJ21" s="150"/>
      <c r="AK21" s="5"/>
      <c r="AL21" s="5"/>
      <c r="AM21" s="5"/>
      <c r="AN21" s="5"/>
      <c r="AO21" s="5"/>
      <c r="AP21" s="5"/>
      <c r="AQ21" s="5"/>
      <c r="AR21" s="5"/>
    </row>
    <row r="22" spans="1:44" ht="15.75" customHeight="1" x14ac:dyDescent="0.2">
      <c r="A22" s="97">
        <v>9</v>
      </c>
      <c r="B22" s="98">
        <v>1</v>
      </c>
      <c r="C22" s="99" t="str">
        <f t="shared" ref="C22:C23" si="24">+B5</f>
        <v>DC Jin Long</v>
      </c>
      <c r="D22" s="61">
        <v>4</v>
      </c>
      <c r="E22" s="163" t="str">
        <f t="shared" ref="E22:E23" si="25">+B8</f>
        <v>Toronto Connex A</v>
      </c>
      <c r="F22" s="164"/>
      <c r="G22" s="164"/>
      <c r="H22" s="164"/>
      <c r="I22" s="164"/>
      <c r="J22" s="164"/>
      <c r="K22" s="164"/>
      <c r="L22" s="164"/>
      <c r="M22" s="143"/>
      <c r="N22" s="100">
        <v>5</v>
      </c>
      <c r="O22" s="168" t="str">
        <f>+B9</f>
        <v>NY Strangers Wind</v>
      </c>
      <c r="P22" s="143"/>
      <c r="Q22" s="195">
        <v>22</v>
      </c>
      <c r="R22" s="141"/>
      <c r="S22" s="101">
        <v>0</v>
      </c>
      <c r="T22" s="144">
        <v>25</v>
      </c>
      <c r="U22" s="141"/>
      <c r="V22" s="140">
        <v>19</v>
      </c>
      <c r="W22" s="141"/>
      <c r="X22" s="102">
        <v>0</v>
      </c>
      <c r="Y22" s="140">
        <v>25</v>
      </c>
      <c r="Z22" s="141"/>
      <c r="AA22" s="142"/>
      <c r="AB22" s="143"/>
      <c r="AC22" s="103" t="s">
        <v>178</v>
      </c>
      <c r="AD22" s="142"/>
      <c r="AE22" s="143"/>
      <c r="AF22" s="94"/>
      <c r="AG22" s="129" t="str">
        <f t="shared" si="16"/>
        <v>Toronto Connex A</v>
      </c>
      <c r="AH22" s="96">
        <f t="shared" si="17"/>
        <v>-9</v>
      </c>
      <c r="AI22" s="149">
        <v>0.19444444444444445</v>
      </c>
      <c r="AJ22" s="150"/>
      <c r="AK22" s="5"/>
      <c r="AL22" s="5"/>
      <c r="AM22" s="5"/>
      <c r="AN22" s="5"/>
      <c r="AO22" s="5"/>
      <c r="AP22" s="5"/>
      <c r="AQ22" s="5"/>
      <c r="AR22" s="5"/>
    </row>
    <row r="23" spans="1:44" ht="15.75" customHeight="1" x14ac:dyDescent="0.2">
      <c r="A23" s="109">
        <v>10</v>
      </c>
      <c r="B23" s="110">
        <v>2</v>
      </c>
      <c r="C23" s="111" t="str">
        <f t="shared" si="24"/>
        <v>NY Super mom</v>
      </c>
      <c r="D23" s="78">
        <v>5</v>
      </c>
      <c r="E23" s="188" t="str">
        <f t="shared" si="25"/>
        <v>NY Strangers Wind</v>
      </c>
      <c r="F23" s="189"/>
      <c r="G23" s="189"/>
      <c r="H23" s="189"/>
      <c r="I23" s="189"/>
      <c r="J23" s="189"/>
      <c r="K23" s="189"/>
      <c r="L23" s="189"/>
      <c r="M23" s="146"/>
      <c r="N23" s="112">
        <v>4</v>
      </c>
      <c r="O23" s="187" t="str">
        <f>+B8</f>
        <v>Toronto Connex A</v>
      </c>
      <c r="P23" s="146"/>
      <c r="Q23" s="195">
        <v>17</v>
      </c>
      <c r="R23" s="141"/>
      <c r="S23" s="101">
        <v>0</v>
      </c>
      <c r="T23" s="144">
        <v>25</v>
      </c>
      <c r="U23" s="141"/>
      <c r="V23" s="140">
        <v>22</v>
      </c>
      <c r="W23" s="141"/>
      <c r="X23" s="102">
        <v>0</v>
      </c>
      <c r="Y23" s="140">
        <v>25</v>
      </c>
      <c r="Z23" s="141"/>
      <c r="AA23" s="145"/>
      <c r="AB23" s="146"/>
      <c r="AC23" s="113" t="s">
        <v>178</v>
      </c>
      <c r="AD23" s="145"/>
      <c r="AE23" s="146"/>
      <c r="AF23" s="94"/>
      <c r="AG23" s="131" t="str">
        <f t="shared" si="16"/>
        <v>NY Strangers Wind</v>
      </c>
      <c r="AH23" s="96">
        <f t="shared" si="17"/>
        <v>-11</v>
      </c>
      <c r="AI23" s="184">
        <v>0.22916666666666666</v>
      </c>
      <c r="AJ23" s="185"/>
      <c r="AK23" s="5"/>
      <c r="AL23" s="5"/>
      <c r="AM23" s="5"/>
      <c r="AN23" s="5"/>
      <c r="AO23" s="5"/>
      <c r="AP23" s="5"/>
      <c r="AQ23" s="5"/>
      <c r="AR23" s="5"/>
    </row>
    <row r="24" spans="1:44" ht="12.75" customHeight="1" x14ac:dyDescent="0.2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5"/>
      <c r="AM24" s="5"/>
      <c r="AN24" s="5"/>
      <c r="AO24" s="5"/>
      <c r="AP24" s="5"/>
      <c r="AQ24" s="5"/>
      <c r="AR24" s="5"/>
    </row>
    <row r="25" spans="1:44" ht="12.75" customHeight="1" x14ac:dyDescent="0.2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5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5"/>
      <c r="AM25" s="5"/>
      <c r="AN25" s="5"/>
      <c r="AO25" s="5"/>
      <c r="AP25" s="5"/>
      <c r="AQ25" s="5"/>
      <c r="AR25" s="5"/>
    </row>
    <row r="26" spans="1:44" ht="12.75" customHeight="1" x14ac:dyDescent="0.2">
      <c r="A26" s="41"/>
      <c r="B26" s="57"/>
      <c r="C26" s="57" t="s">
        <v>179</v>
      </c>
      <c r="D26" s="57" t="s">
        <v>157</v>
      </c>
      <c r="E26" s="57" t="s">
        <v>180</v>
      </c>
      <c r="F26" s="57" t="s">
        <v>165</v>
      </c>
      <c r="G26" s="57" t="s">
        <v>166</v>
      </c>
      <c r="H26" s="41"/>
      <c r="I26" s="41"/>
      <c r="J26" s="41"/>
      <c r="K26" s="41"/>
      <c r="L26" s="41"/>
      <c r="M26" s="41"/>
      <c r="N26" s="41"/>
      <c r="O26" s="41"/>
      <c r="P26" s="41"/>
      <c r="Q26" s="5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5"/>
      <c r="AM26" s="5"/>
      <c r="AN26" s="5"/>
      <c r="AO26" s="5"/>
      <c r="AP26" s="5"/>
      <c r="AQ26" s="5"/>
      <c r="AR26" s="5"/>
    </row>
    <row r="27" spans="1:44" ht="12.75" customHeight="1" x14ac:dyDescent="0.2">
      <c r="A27" s="41"/>
      <c r="B27" s="57">
        <v>1</v>
      </c>
      <c r="C27" s="57" t="str">
        <f t="shared" ref="C27:C31" si="26">VLOOKUP(B27,$A$5:$AR$9,2,FALSE)</f>
        <v>Toronto Connex A</v>
      </c>
      <c r="D27" s="57">
        <f t="shared" ref="D27:D31" si="27">VLOOKUP(B27,$A$5:$AR$9,15,FALSE)</f>
        <v>6</v>
      </c>
      <c r="E27" s="57">
        <f t="shared" ref="E27:E31" si="28">VLOOKUP(B27,$A$5:$AR$9,36,FALSE)</f>
        <v>32</v>
      </c>
      <c r="F27" s="114">
        <f t="shared" ref="F27:F31" si="29">VLOOKUP(B27,$A$5:$AR$9,40,FALSE)</f>
        <v>0.75</v>
      </c>
      <c r="G27" s="114">
        <f t="shared" ref="G27:G31" si="30">VLOOKUP(B27,$A$5:$AR$9,42,FALSE)</f>
        <v>4</v>
      </c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5"/>
      <c r="AM27" s="5"/>
      <c r="AN27" s="5"/>
      <c r="AO27" s="5"/>
      <c r="AP27" s="5"/>
      <c r="AQ27" s="5"/>
      <c r="AR27" s="5"/>
    </row>
    <row r="28" spans="1:44" ht="12.75" customHeight="1" x14ac:dyDescent="0.2">
      <c r="A28" s="41"/>
      <c r="B28" s="57">
        <v>2</v>
      </c>
      <c r="C28" s="57" t="str">
        <f t="shared" si="26"/>
        <v>DC Jin Long</v>
      </c>
      <c r="D28" s="57">
        <f t="shared" si="27"/>
        <v>6</v>
      </c>
      <c r="E28" s="57">
        <f t="shared" si="28"/>
        <v>24</v>
      </c>
      <c r="F28" s="114">
        <f t="shared" si="29"/>
        <v>0.75</v>
      </c>
      <c r="G28" s="114">
        <f t="shared" si="30"/>
        <v>3</v>
      </c>
      <c r="H28" s="41"/>
      <c r="I28" s="41"/>
      <c r="J28" s="41"/>
      <c r="K28" s="41"/>
      <c r="L28" s="41"/>
      <c r="M28" s="41"/>
      <c r="N28" s="41"/>
      <c r="O28" s="41"/>
      <c r="P28" s="5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183"/>
      <c r="AK28" s="136"/>
      <c r="AL28" s="5"/>
      <c r="AM28" s="5"/>
      <c r="AN28" s="5"/>
      <c r="AO28" s="5"/>
      <c r="AP28" s="5"/>
      <c r="AQ28" s="5"/>
      <c r="AR28" s="5"/>
    </row>
    <row r="29" spans="1:44" ht="12.75" customHeight="1" x14ac:dyDescent="0.2">
      <c r="A29" s="5"/>
      <c r="B29" s="14">
        <v>3</v>
      </c>
      <c r="C29" s="57" t="str">
        <f t="shared" si="26"/>
        <v>NY Strangers Wind</v>
      </c>
      <c r="D29" s="57">
        <f t="shared" si="27"/>
        <v>5</v>
      </c>
      <c r="E29" s="57">
        <f t="shared" si="28"/>
        <v>34</v>
      </c>
      <c r="F29" s="114">
        <f t="shared" si="29"/>
        <v>0.625</v>
      </c>
      <c r="G29" s="114">
        <f t="shared" si="30"/>
        <v>4.25</v>
      </c>
      <c r="H29" s="41"/>
      <c r="I29" s="41"/>
      <c r="J29" s="41"/>
      <c r="K29" s="41"/>
      <c r="L29" s="41"/>
      <c r="M29" s="41"/>
      <c r="N29" s="41"/>
      <c r="O29" s="41"/>
      <c r="P29" s="5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115"/>
      <c r="AK29" s="41"/>
      <c r="AL29" s="5"/>
      <c r="AM29" s="5"/>
      <c r="AN29" s="5"/>
      <c r="AO29" s="5"/>
      <c r="AP29" s="5"/>
      <c r="AQ29" s="5"/>
      <c r="AR29" s="5"/>
    </row>
    <row r="30" spans="1:44" ht="12.75" customHeight="1" x14ac:dyDescent="0.2">
      <c r="A30" s="5"/>
      <c r="B30" s="14">
        <v>4</v>
      </c>
      <c r="C30" s="57" t="str">
        <f t="shared" si="26"/>
        <v>NY Super mom</v>
      </c>
      <c r="D30" s="57">
        <f t="shared" si="27"/>
        <v>3</v>
      </c>
      <c r="E30" s="57">
        <f t="shared" si="28"/>
        <v>-7</v>
      </c>
      <c r="F30" s="114">
        <f t="shared" si="29"/>
        <v>0.375</v>
      </c>
      <c r="G30" s="114">
        <f t="shared" si="30"/>
        <v>-0.875</v>
      </c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115"/>
      <c r="AK30" s="41"/>
      <c r="AL30" s="5"/>
      <c r="AM30" s="5"/>
      <c r="AN30" s="5"/>
      <c r="AO30" s="5"/>
      <c r="AP30" s="5"/>
      <c r="AQ30" s="5"/>
      <c r="AR30" s="5"/>
    </row>
    <row r="31" spans="1:44" ht="12.75" customHeight="1" x14ac:dyDescent="0.2">
      <c r="A31" s="5"/>
      <c r="B31" s="14">
        <v>5</v>
      </c>
      <c r="C31" s="116" t="str">
        <f t="shared" si="26"/>
        <v>Boston Lady Knights B</v>
      </c>
      <c r="D31" s="57">
        <f t="shared" si="27"/>
        <v>0</v>
      </c>
      <c r="E31" s="57">
        <f t="shared" si="28"/>
        <v>-83</v>
      </c>
      <c r="F31" s="114">
        <f t="shared" si="29"/>
        <v>0</v>
      </c>
      <c r="G31" s="114">
        <f t="shared" si="30"/>
        <v>-10.375</v>
      </c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115"/>
      <c r="AK31" s="41"/>
      <c r="AL31" s="5"/>
      <c r="AM31" s="5"/>
      <c r="AN31" s="5"/>
      <c r="AO31" s="5"/>
      <c r="AP31" s="5"/>
      <c r="AQ31" s="5"/>
      <c r="AR31" s="5"/>
    </row>
    <row r="32" spans="1:44" ht="12.75" customHeight="1" x14ac:dyDescent="0.2">
      <c r="A32" s="5"/>
      <c r="B32" s="5"/>
      <c r="C32" s="5"/>
      <c r="D32" s="5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115"/>
      <c r="AK32" s="41"/>
      <c r="AL32" s="5"/>
      <c r="AM32" s="5"/>
      <c r="AN32" s="5"/>
      <c r="AO32" s="5"/>
      <c r="AP32" s="5"/>
      <c r="AQ32" s="5"/>
      <c r="AR32" s="5"/>
    </row>
  </sheetData>
  <mergeCells count="124">
    <mergeCell ref="AI23:AJ23"/>
    <mergeCell ref="AJ28:AK28"/>
    <mergeCell ref="AI19:AJ19"/>
    <mergeCell ref="AI18:AJ18"/>
    <mergeCell ref="AI14:AJ14"/>
    <mergeCell ref="AD14:AE14"/>
    <mergeCell ref="AA14:AB14"/>
    <mergeCell ref="AI15:AJ15"/>
    <mergeCell ref="AI13:AJ13"/>
    <mergeCell ref="AD15:AE15"/>
    <mergeCell ref="AA23:AB23"/>
    <mergeCell ref="Y23:Z23"/>
    <mergeCell ref="V23:W23"/>
    <mergeCell ref="AD18:AE18"/>
    <mergeCell ref="AD17:AE17"/>
    <mergeCell ref="AD20:AE20"/>
    <mergeCell ref="AD22:AE22"/>
    <mergeCell ref="AD23:AE23"/>
    <mergeCell ref="AD21:AE21"/>
    <mergeCell ref="AD19:AE19"/>
    <mergeCell ref="AD16:AE16"/>
    <mergeCell ref="AA16:AB16"/>
    <mergeCell ref="AA17:AB17"/>
    <mergeCell ref="AI17:AJ17"/>
    <mergeCell ref="AI16:AJ16"/>
    <mergeCell ref="AI22:AJ22"/>
    <mergeCell ref="AI20:AJ20"/>
    <mergeCell ref="AI21:AJ21"/>
    <mergeCell ref="AA15:AB15"/>
    <mergeCell ref="AA19:AB19"/>
    <mergeCell ref="Y17:Z17"/>
    <mergeCell ref="T20:U20"/>
    <mergeCell ref="V20:W20"/>
    <mergeCell ref="AA13:AE13"/>
    <mergeCell ref="V13:Z13"/>
    <mergeCell ref="Y14:Z14"/>
    <mergeCell ref="Y15:Z15"/>
    <mergeCell ref="B8:D8"/>
    <mergeCell ref="B7:D7"/>
    <mergeCell ref="Y20:Z20"/>
    <mergeCell ref="Y21:Z21"/>
    <mergeCell ref="T21:U21"/>
    <mergeCell ref="AA21:AB21"/>
    <mergeCell ref="AA22:AB22"/>
    <mergeCell ref="Y22:Z22"/>
    <mergeCell ref="AA20:AB20"/>
    <mergeCell ref="V22:W22"/>
    <mergeCell ref="V21:W21"/>
    <mergeCell ref="T15:U15"/>
    <mergeCell ref="V15:W15"/>
    <mergeCell ref="V17:W17"/>
    <mergeCell ref="V16:W16"/>
    <mergeCell ref="V14:W14"/>
    <mergeCell ref="T17:U17"/>
    <mergeCell ref="T19:U19"/>
    <mergeCell ref="V18:W18"/>
    <mergeCell ref="Y19:Z19"/>
    <mergeCell ref="V19:W19"/>
    <mergeCell ref="Y18:Z18"/>
    <mergeCell ref="AA18:AB18"/>
    <mergeCell ref="Y16:Z16"/>
    <mergeCell ref="N13:P13"/>
    <mergeCell ref="E13:M13"/>
    <mergeCell ref="A13:B13"/>
    <mergeCell ref="Q13:U13"/>
    <mergeCell ref="T16:U16"/>
    <mergeCell ref="Q16:R16"/>
    <mergeCell ref="O16:P16"/>
    <mergeCell ref="O15:P15"/>
    <mergeCell ref="T14:U14"/>
    <mergeCell ref="O14:P14"/>
    <mergeCell ref="AN4:AO4"/>
    <mergeCell ref="AP4:AQ4"/>
    <mergeCell ref="AJ4:AK4"/>
    <mergeCell ref="R4:AF4"/>
    <mergeCell ref="A3:AG3"/>
    <mergeCell ref="J5:N5"/>
    <mergeCell ref="E6:I6"/>
    <mergeCell ref="E7:I7"/>
    <mergeCell ref="J7:N7"/>
    <mergeCell ref="J6:N6"/>
    <mergeCell ref="B4:D4"/>
    <mergeCell ref="E4:I4"/>
    <mergeCell ref="B6:D6"/>
    <mergeCell ref="J4:N4"/>
    <mergeCell ref="E23:M23"/>
    <mergeCell ref="Q22:R22"/>
    <mergeCell ref="E19:M19"/>
    <mergeCell ref="E9:I9"/>
    <mergeCell ref="B9:D9"/>
    <mergeCell ref="A10:AG12"/>
    <mergeCell ref="A2:AG2"/>
    <mergeCell ref="A1:AG1"/>
    <mergeCell ref="B5:D5"/>
    <mergeCell ref="E5:I5"/>
    <mergeCell ref="J8:N8"/>
    <mergeCell ref="J9:N9"/>
    <mergeCell ref="E8:I8"/>
    <mergeCell ref="E22:M22"/>
    <mergeCell ref="O22:P22"/>
    <mergeCell ref="T22:U22"/>
    <mergeCell ref="O23:P23"/>
    <mergeCell ref="Q23:R23"/>
    <mergeCell ref="T23:U23"/>
    <mergeCell ref="E18:M18"/>
    <mergeCell ref="Q18:R18"/>
    <mergeCell ref="O18:P18"/>
    <mergeCell ref="T18:U18"/>
    <mergeCell ref="Q17:R17"/>
    <mergeCell ref="E16:M16"/>
    <mergeCell ref="E15:M15"/>
    <mergeCell ref="Q14:R14"/>
    <mergeCell ref="E14:M14"/>
    <mergeCell ref="Q19:R19"/>
    <mergeCell ref="O19:P19"/>
    <mergeCell ref="Q21:R21"/>
    <mergeCell ref="O21:P21"/>
    <mergeCell ref="O20:P20"/>
    <mergeCell ref="Q20:R20"/>
    <mergeCell ref="Q15:R15"/>
    <mergeCell ref="E17:M17"/>
    <mergeCell ref="E20:M20"/>
    <mergeCell ref="E21:M21"/>
    <mergeCell ref="O17:P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AR32"/>
  <sheetViews>
    <sheetView showGridLines="0" workbookViewId="0"/>
  </sheetViews>
  <sheetFormatPr baseColWidth="10" defaultColWidth="17.33203125" defaultRowHeight="15" customHeight="1" x14ac:dyDescent="0.2"/>
  <cols>
    <col min="1" max="1" width="4.1640625" customWidth="1"/>
    <col min="2" max="2" width="3.5" customWidth="1"/>
    <col min="3" max="3" width="25.6640625" customWidth="1"/>
    <col min="4" max="4" width="4.5" customWidth="1"/>
    <col min="5" max="5" width="3.33203125" customWidth="1"/>
    <col min="6" max="6" width="10.33203125" customWidth="1"/>
    <col min="7" max="7" width="9.6640625" customWidth="1"/>
    <col min="8" max="9" width="3.33203125" hidden="1" customWidth="1"/>
    <col min="10" max="14" width="3.33203125" customWidth="1"/>
    <col min="15" max="15" width="13.33203125" customWidth="1"/>
    <col min="16" max="16" width="13.1640625" customWidth="1"/>
    <col min="17" max="19" width="4" customWidth="1"/>
    <col min="20" max="22" width="3.33203125" customWidth="1"/>
    <col min="23" max="23" width="4" customWidth="1"/>
    <col min="24" max="25" width="3.33203125" customWidth="1"/>
    <col min="26" max="27" width="4" customWidth="1"/>
    <col min="28" max="31" width="3.33203125" customWidth="1"/>
    <col min="32" max="32" width="4.5" customWidth="1"/>
    <col min="33" max="33" width="15.33203125" customWidth="1"/>
    <col min="34" max="34" width="12.1640625" customWidth="1"/>
    <col min="35" max="35" width="13.1640625" customWidth="1"/>
    <col min="36" max="36" width="4.1640625" customWidth="1"/>
    <col min="37" max="37" width="7.1640625" customWidth="1"/>
    <col min="38" max="38" width="2.1640625" customWidth="1"/>
    <col min="39" max="39" width="7.1640625" customWidth="1"/>
    <col min="40" max="40" width="6.5" customWidth="1"/>
    <col min="41" max="44" width="8.83203125" customWidth="1"/>
  </cols>
  <sheetData>
    <row r="1" spans="1:44" ht="30.75" customHeight="1" x14ac:dyDescent="0.35">
      <c r="A1" s="180" t="s">
        <v>181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38"/>
      <c r="AI1" s="39"/>
      <c r="AJ1" s="39"/>
      <c r="AK1" s="39"/>
      <c r="AL1" s="39"/>
      <c r="AM1" s="39"/>
      <c r="AN1" s="39"/>
      <c r="AO1" s="1"/>
      <c r="AP1" s="1"/>
      <c r="AQ1" s="1"/>
      <c r="AR1" s="1"/>
    </row>
    <row r="2" spans="1:44" ht="30.75" customHeight="1" x14ac:dyDescent="0.35">
      <c r="A2" s="180" t="str">
        <f>+'Women''s Master'!E3</f>
        <v>CT10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38"/>
      <c r="AI2" s="39"/>
      <c r="AJ2" s="39"/>
      <c r="AK2" s="39"/>
      <c r="AL2" s="39"/>
      <c r="AM2" s="39"/>
      <c r="AN2" s="39"/>
      <c r="AO2" s="1"/>
      <c r="AP2" s="1"/>
      <c r="AQ2" s="1"/>
      <c r="AR2" s="1"/>
    </row>
    <row r="3" spans="1:44" ht="42.75" customHeight="1" x14ac:dyDescent="0.45">
      <c r="A3" s="180" t="str">
        <f>RIGHT(A2,2)</f>
        <v>10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40"/>
      <c r="AI3" s="41" t="s">
        <v>153</v>
      </c>
      <c r="AJ3" s="41"/>
      <c r="AK3" s="41"/>
      <c r="AL3" s="41"/>
      <c r="AM3" s="41"/>
      <c r="AN3" s="41"/>
      <c r="AO3" s="5"/>
      <c r="AP3" s="5"/>
      <c r="AQ3" s="5"/>
      <c r="AR3" s="5" t="s">
        <v>154</v>
      </c>
    </row>
    <row r="4" spans="1:44" ht="27" customHeight="1" x14ac:dyDescent="0.2">
      <c r="A4" s="42"/>
      <c r="B4" s="179" t="s">
        <v>102</v>
      </c>
      <c r="C4" s="173"/>
      <c r="D4" s="173"/>
      <c r="E4" s="155" t="s">
        <v>155</v>
      </c>
      <c r="F4" s="156"/>
      <c r="G4" s="156"/>
      <c r="H4" s="156"/>
      <c r="I4" s="157"/>
      <c r="J4" s="165" t="s">
        <v>156</v>
      </c>
      <c r="K4" s="156"/>
      <c r="L4" s="156"/>
      <c r="M4" s="156"/>
      <c r="N4" s="166"/>
      <c r="O4" s="43" t="s">
        <v>157</v>
      </c>
      <c r="P4" s="44" t="s">
        <v>158</v>
      </c>
      <c r="Q4" s="45"/>
      <c r="R4" s="194" t="s">
        <v>159</v>
      </c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53"/>
      <c r="AG4" s="46" t="s">
        <v>160</v>
      </c>
      <c r="AH4" s="47" t="s">
        <v>161</v>
      </c>
      <c r="AI4" s="47" t="s">
        <v>162</v>
      </c>
      <c r="AJ4" s="193" t="s">
        <v>163</v>
      </c>
      <c r="AK4" s="153"/>
      <c r="AL4" s="47" t="s">
        <v>164</v>
      </c>
      <c r="AM4" s="48"/>
      <c r="AN4" s="190" t="s">
        <v>165</v>
      </c>
      <c r="AO4" s="191"/>
      <c r="AP4" s="192" t="s">
        <v>166</v>
      </c>
      <c r="AQ4" s="191"/>
      <c r="AR4" s="50" t="s">
        <v>167</v>
      </c>
    </row>
    <row r="5" spans="1:44" ht="15.75" customHeight="1" x14ac:dyDescent="0.2">
      <c r="A5" s="51">
        <f t="shared" ref="A5:A9" si="0">AR5</f>
        <v>4</v>
      </c>
      <c r="B5" s="172" t="str">
        <f>+'Women''s Master'!E4</f>
        <v>Boston GHOTANE White</v>
      </c>
      <c r="C5" s="173"/>
      <c r="D5" s="173"/>
      <c r="E5" s="171">
        <f>SUM(IF(AG14=B5,1,0),IF(AG16=C16,1,0),IF(AG19=C19,1,0),IF(AG22=C22,1,0))</f>
        <v>1</v>
      </c>
      <c r="F5" s="162"/>
      <c r="G5" s="162"/>
      <c r="H5" s="162"/>
      <c r="I5" s="153"/>
      <c r="J5" s="169">
        <f>SUM(IF(AG14=C14,0,1),IF(AG16=C16,0,1),IF(AG19=C19,0,1),IF(AG22=C22,0,1))</f>
        <v>3</v>
      </c>
      <c r="K5" s="162"/>
      <c r="L5" s="162"/>
      <c r="M5" s="162"/>
      <c r="N5" s="170"/>
      <c r="O5" s="53">
        <f>SUM(IF(AD5&gt;0,1,0),IF(AE5&gt;0,1,0),IF(AF5&gt;0,1,0),IF(U5&gt;0,1,0),IF(V5&gt;0,1,0),IF(W5&gt;0,1,0),IF(X5&gt;0,1,0),IF(Y5&gt;0,1,0),IF(Z5&gt;0,1,0),IF(AA5&gt;0,1,0),IF(AB5&gt;0,1,0),IF(AC5&gt;0,1,0))</f>
        <v>2</v>
      </c>
      <c r="P5" s="52">
        <f>SUM(IF(AD5&lt;0,1,0),IF(AE5&lt;0,1,0),IF(AF5&lt;0,1,0),IF(U5&lt;0,1,0),IF(V5&lt;0,1,0),IF(W5&lt;0,1,0),IF(X5&lt;0,1,0),IF(Y5&lt;0,1,0),IF(Z5&lt;0,1,0),IF(AA5&lt;0,1,0),IF(AB5&lt;0,1,0),IF(AC5&lt;0,1,0))</f>
        <v>6</v>
      </c>
      <c r="Q5" s="54">
        <f>1+SUM(IF(O5&lt;O6,1,0),IF(O5&lt;O7,1,0),IF(O5&lt;O8,1,0),IF(O5&lt;O9,1,0))</f>
        <v>4</v>
      </c>
      <c r="R5" s="55"/>
      <c r="S5" s="56"/>
      <c r="T5" s="56"/>
      <c r="U5" s="57">
        <f>Q14-T14</f>
        <v>-2</v>
      </c>
      <c r="V5" s="57">
        <f>V14-Y14</f>
        <v>-7</v>
      </c>
      <c r="W5" s="57">
        <f>AA14-AD14</f>
        <v>0</v>
      </c>
      <c r="X5" s="57">
        <f>Q19-T19</f>
        <v>-17</v>
      </c>
      <c r="Y5" s="57">
        <f>V19-Y19</f>
        <v>-9</v>
      </c>
      <c r="Z5" s="57">
        <f>AA19-AD19</f>
        <v>0</v>
      </c>
      <c r="AA5" s="58">
        <f>Q22-T22</f>
        <v>10</v>
      </c>
      <c r="AB5" s="58">
        <f>V22-Y22</f>
        <v>4</v>
      </c>
      <c r="AC5" s="58">
        <f>AA22-AD22</f>
        <v>0</v>
      </c>
      <c r="AD5" s="58">
        <f>Q16-T16</f>
        <v>-14</v>
      </c>
      <c r="AE5" s="58">
        <f>V16-Y16</f>
        <v>-13</v>
      </c>
      <c r="AF5" s="58">
        <f>AA16-AD16</f>
        <v>0</v>
      </c>
      <c r="AG5" s="58" t="b">
        <f>IF(Q5=Q6,IF(SUM(U5:W5)&gt;0,B5,B6),  IF(Q5=Q7,IF(SUM(X5:Z5)&gt;0, B5,B7),IF(Q5=Q8,IF(SUM(AA5:AC5)&gt;0, B5,B8),IF(Q5=Q9,IF(SUM(AD5:AF5)&lt;0,B5,B9)))))</f>
        <v>0</v>
      </c>
      <c r="AH5" s="58" t="b">
        <f>IF(Q5=Q6,IF(SUM(U5:W5)&lt;0,B5,B6),  IF(Q5=Q7,IF(SUM(X5:Z5)&lt;0, B5,B7),IF(Q5=Q8,IF(SUM(AA5:AC5)&lt;0, B5,B8),IF(Q5=Q9, IF(SUM(AD5:AF5)&lt;0,B5,B9)))))</f>
        <v>0</v>
      </c>
      <c r="AI5" s="60">
        <f t="shared" ref="AI5:AI9" si="1">Q5+IF(COUNTIF($AG$5:$AG$9,B5)&gt;0,0, IF(COUNTIF($AH$5:$AH$9,B5)&gt;0,1,0))</f>
        <v>4</v>
      </c>
      <c r="AJ5" s="61">
        <f t="shared" ref="AJ5:AJ9" si="2">SUM(R5:AF5)</f>
        <v>-48</v>
      </c>
      <c r="AK5" s="62">
        <f>1+SUM(IF(AJ5&lt;AJ6,1,0),IF(AJ5&lt;AJ7,1,0),IF(AJ5&lt;AJ8,1,0),IF(AJ5&lt;AJ9,1,0))</f>
        <v>4</v>
      </c>
      <c r="AL5" s="63">
        <f t="shared" ref="AL5:AL9" si="3">IF(SUM(E5,J5)=0,0,E5/(E5+J5))</f>
        <v>0.25</v>
      </c>
      <c r="AM5" s="62">
        <f>1+SUM(IF(AL5&lt;AL6,1,0),IF(AL5&lt;AL7,1,0),IF(AL5&lt;AL8,1,0),IF(AL5&lt;AL9,1,0))</f>
        <v>4</v>
      </c>
      <c r="AN5" s="64">
        <f t="shared" ref="AN5:AN9" si="4">IF(SUM(O5+P5)=0,0,O5/(O5+P5))</f>
        <v>0.25</v>
      </c>
      <c r="AO5" s="65">
        <f>1+SUM(IF(AN5&lt;AN6,1,0),IF(AN5&lt;AN7,1,0),IF(AN5&lt;AN8,1,0),IF(AN5&lt;AN9,1,0))</f>
        <v>4</v>
      </c>
      <c r="AP5" s="106">
        <f t="shared" ref="AP5:AP9" si="5">AJ5/SUM(O5:P5)</f>
        <v>-6</v>
      </c>
      <c r="AQ5" s="67">
        <f>1+SUM(IF(AP5&lt;AP6,1,0),IF(AP5&lt;AP7,1,0),IF(AP5&lt;AP8,1,0),IF(AP5&lt;AP9,1,0))</f>
        <v>4</v>
      </c>
      <c r="AR5" s="68">
        <f>1+SUM(IF(Q5&gt;Q6,1,IF(AND(Q5=Q6,AK5&gt;AK6),1,IF(AND(Q5=Q6,AK5=AK6),1,0))),IF(Q5&gt;Q7,1,IF(AND(Q5=Q7,AK5&gt;AK7),1,IF(AND(Q5=Q7,AK5=AK7),1,0))),IF(Q5&gt;Q8,1,IF(AND(Q5=Q8,AK5&gt;AK8),1,IF(AND(Q5=Q8,AK5=AK8),1,0))),IF(Q5&gt;Q9,1,IF(AND(Q5=Q9,AK5&gt;AK9),1,IF(AND(Q5=Q9,AK5=AK9),1,0))))</f>
        <v>4</v>
      </c>
    </row>
    <row r="6" spans="1:44" ht="15.75" customHeight="1" x14ac:dyDescent="0.2">
      <c r="A6" s="51">
        <f t="shared" si="0"/>
        <v>3</v>
      </c>
      <c r="B6" s="172" t="str">
        <f>+'Women''s Master'!E5</f>
        <v>Philly CIA Fire</v>
      </c>
      <c r="C6" s="173"/>
      <c r="D6" s="173"/>
      <c r="E6" s="171">
        <f>SUM(IF(AG14=E14,1,0),IF(AG17=C17,1,0),IF(AG20=C20,1,0),IF(AG23=C23,1,0))</f>
        <v>2</v>
      </c>
      <c r="F6" s="162"/>
      <c r="G6" s="162"/>
      <c r="H6" s="162"/>
      <c r="I6" s="153"/>
      <c r="J6" s="169">
        <f>SUM(IF(AG14=E14,0,1),IF(AG17=C17,0,1),IF(AG20=C20,0,1),IF(AG23=C23,0,1))</f>
        <v>2</v>
      </c>
      <c r="K6" s="162"/>
      <c r="L6" s="162"/>
      <c r="M6" s="162"/>
      <c r="N6" s="170"/>
      <c r="O6" s="53">
        <f>SUM(IF(AD6&gt;0,1,0),IF(AE6&gt;0,1,0),IF(AF6&gt;0,1,0),IF(R6&gt;0,1,0),IF(S6&gt;0,1,0),IF(T6&gt;0,1,0),IF(X6&gt;0,1,0),IF(Y6&gt;0,1,0),IF(Z6&gt;0,1,0),IF(AA6&gt;0,1,0),IF(AB6&gt;0,1,0),IF(AC6&gt;0,1,0))</f>
        <v>5</v>
      </c>
      <c r="P6" s="52">
        <f>SUM(IF(AD6&lt;0,1,0),IF(AE6&lt;0,1,0),IF(AF6&lt;0,1,0),IF(R6&lt;0,1,0),IF(S6&lt;0,1,0),IF(T6&lt;0,1,0),IF(X6&lt;0,1,0),IF(Y6&lt;0,1,0),IF(Z6&lt;0,1,0),IF(AA6&lt;0,1,0),IF(AB6&lt;0,1,0),IF(AC6&lt;0,1,0))</f>
        <v>3</v>
      </c>
      <c r="Q6" s="54">
        <f>1+SUM(IF(O6&lt;O5,1,0),IF(O6&lt;O7,1,0),IF(O6&lt;O8,1,0),IF(O6&lt;O9,1,0))</f>
        <v>2</v>
      </c>
      <c r="R6" s="69">
        <f t="shared" ref="R6:T6" si="6">-U5</f>
        <v>2</v>
      </c>
      <c r="S6" s="58">
        <f t="shared" si="6"/>
        <v>7</v>
      </c>
      <c r="T6" s="58">
        <f t="shared" si="6"/>
        <v>0</v>
      </c>
      <c r="U6" s="56"/>
      <c r="V6" s="56"/>
      <c r="W6" s="56"/>
      <c r="X6" s="57">
        <f>Q17-T17</f>
        <v>2</v>
      </c>
      <c r="Y6" s="57">
        <f>V17-Y17</f>
        <v>-3</v>
      </c>
      <c r="Z6" s="57">
        <f>AA17-AD17</f>
        <v>0</v>
      </c>
      <c r="AA6" s="58">
        <f>Q20-T20</f>
        <v>11</v>
      </c>
      <c r="AB6" s="58">
        <f>V20-Y20</f>
        <v>4</v>
      </c>
      <c r="AC6" s="58">
        <f>AA20-AD20</f>
        <v>0</v>
      </c>
      <c r="AD6" s="58">
        <f>Q23-T23</f>
        <v>-7</v>
      </c>
      <c r="AE6" s="58">
        <f>V23-Y23</f>
        <v>-2</v>
      </c>
      <c r="AF6" s="58">
        <f>AA23-AD23</f>
        <v>0</v>
      </c>
      <c r="AG6" s="58" t="str">
        <f>IF(Q6=Q7,IF(SUM(X6:Z6)&gt;0,B6,B7),IF(Q6=Q8,IF(SUM(AA6:AC6)&gt;0,B6,B8),IF(Q6=Q9,IF(SUM(AD6:AF6)&gt;0, B6,B9))))</f>
        <v>Toronto Connex B</v>
      </c>
      <c r="AH6" s="58" t="str">
        <f>IF(Q6=Q7,IF(SUM(X6:Z6)&lt;0,B6,B7),IF(Q6=Q8,IF(SUM(AA6:AC6)&lt;0,B6,B8),IF(Q6=Q9,IF(SUM(AD6:AF6)&lt;0, B6,B9))))</f>
        <v>Philly CIA Fire</v>
      </c>
      <c r="AI6" s="60">
        <f t="shared" si="1"/>
        <v>3</v>
      </c>
      <c r="AJ6" s="61">
        <f t="shared" si="2"/>
        <v>14</v>
      </c>
      <c r="AK6" s="62">
        <f>1+SUM(IF(AJ6&lt;AJ5,1,0),IF(AJ6&lt;AJ7,1,0),IF(AJ6&lt;AJ8,1,0),IF(AJ6&lt;AJ9,1,0))</f>
        <v>3</v>
      </c>
      <c r="AL6" s="63">
        <f t="shared" si="3"/>
        <v>0.5</v>
      </c>
      <c r="AM6" s="62">
        <f>1+SUM(IF(AL6&lt;AL5,1,0),IF(AL6&lt;AL7,1,0),IF(AL6&lt;AL8,1,0),IF(AL6&lt;AL9,1,0))</f>
        <v>3</v>
      </c>
      <c r="AN6" s="64">
        <f t="shared" si="4"/>
        <v>0.625</v>
      </c>
      <c r="AO6" s="65">
        <f>1+SUM(IF(AN6&lt;AN5,1,0),IF(AN6&lt;AN7,1,0),IF(AN6&lt;AN8,1,0),IF(AN6&lt;AN9,1,0))</f>
        <v>2</v>
      </c>
      <c r="AP6" s="106">
        <f t="shared" si="5"/>
        <v>1.75</v>
      </c>
      <c r="AQ6" s="70">
        <f>1+SUM(IF(AP6&lt;AP5,1,0),IF(AP6&lt;AP7,1,0),IF(AP6&lt;AP8,1,0),IF(AP6&lt;AP9,1,0))</f>
        <v>3</v>
      </c>
      <c r="AR6" s="68">
        <f>1+SUM(IF(Q6&gt;Q5,1,IF(AND(Q6=Q5,AK6&gt;AK5),1,IF(AND(Q6=Q5,AK6=AK5),1,0))),IF(Q6&gt;Q7,1,IF(AND(Q6=Q7,AK6&gt;AK7),1,IF(AND(Q6=Q7,AK6=AK7),1,0))),IF(Q6&gt;Q8,1,IF(AND(Q6=Q8,AK6&gt;AK8),1,IF(AND(Q6=Q8,AK6=AK8),1,0))),IF(Q6&gt;Q9,1,IF(AND(Q6=Q9,AK6&gt;AK9),1,IF(AND(Q6=Q9,AK6=AK9),1,0))))</f>
        <v>3</v>
      </c>
    </row>
    <row r="7" spans="1:44" ht="15.75" customHeight="1" x14ac:dyDescent="0.2">
      <c r="A7" s="51">
        <f t="shared" si="0"/>
        <v>2</v>
      </c>
      <c r="B7" s="172" t="str">
        <f>+'Women''s Master'!E6</f>
        <v>Toronto Connex B</v>
      </c>
      <c r="C7" s="173"/>
      <c r="D7" s="173"/>
      <c r="E7" s="171">
        <f>SUM(IF(AG15=C15,1,0),IF(AG17=E17,1,0),IF(AG19=E19,1,0),IF(AG21=C21,1,0))</f>
        <v>3</v>
      </c>
      <c r="F7" s="162"/>
      <c r="G7" s="162"/>
      <c r="H7" s="162"/>
      <c r="I7" s="153"/>
      <c r="J7" s="169">
        <f>SUM(IF(AG15=C15,0,1),IF(AG17=E17,0,1),IF(AG19=E19,0,1),IF(AG21=C21,0,1))</f>
        <v>1</v>
      </c>
      <c r="K7" s="162"/>
      <c r="L7" s="162"/>
      <c r="M7" s="162"/>
      <c r="N7" s="170"/>
      <c r="O7" s="53">
        <f>SUM(IF(AD7&gt;0,1,0),IF(AE7&gt;0,1,0),IF(AF7&gt;0,1,0),IF(U7&gt;0,1,0),IF(V7&gt;0,1,0),IF(W7&gt;0,1,0),IF(R7&gt;0,1,0),IF(S7&gt;0,1,0),IF(T7&gt;0,1,0),IF(AA7&gt;0,1,0),IF(AB7&gt;0,1,0),IF(AC7&gt;0,1,0))</f>
        <v>5</v>
      </c>
      <c r="P7" s="52">
        <f>SUM(IF(AD7&lt;0,1,0),IF(AE7&lt;0,1,0),IF(AF7&lt;0,1,0),IF(U7&lt;0,1,0),IF(V7&lt;0,1,0),IF(W7&lt;0,1,0),IF(R7&lt;0,1,0),IF(S7&lt;0,1,0),IF(T7&lt;0,1,0),IF(AA7&lt;0,1,0),IF(AB7&lt;0,1,0),IF(AC7&lt;0,1,0))</f>
        <v>3</v>
      </c>
      <c r="Q7" s="54">
        <f>1+SUM(IF(O7&lt;O6,1,0),IF(O7&lt;O5,1,0),IF(O7&lt;O8,1,0),IF(O7&lt;O9,1,0))</f>
        <v>2</v>
      </c>
      <c r="R7" s="69">
        <f t="shared" ref="R7:T7" si="7">-X5</f>
        <v>17</v>
      </c>
      <c r="S7" s="58">
        <f t="shared" si="7"/>
        <v>9</v>
      </c>
      <c r="T7" s="58">
        <f t="shared" si="7"/>
        <v>0</v>
      </c>
      <c r="U7" s="58">
        <f t="shared" ref="U7:W7" si="8">-X6</f>
        <v>-2</v>
      </c>
      <c r="V7" s="58">
        <f t="shared" si="8"/>
        <v>3</v>
      </c>
      <c r="W7" s="58">
        <f t="shared" si="8"/>
        <v>0</v>
      </c>
      <c r="X7" s="71"/>
      <c r="Y7" s="71"/>
      <c r="Z7" s="71"/>
      <c r="AA7" s="58">
        <f>Q15-T15</f>
        <v>8</v>
      </c>
      <c r="AB7" s="58">
        <f>V15-Y15</f>
        <v>13</v>
      </c>
      <c r="AC7" s="58">
        <f>AA15-AD15</f>
        <v>0</v>
      </c>
      <c r="AD7" s="58">
        <f>Q21-T21</f>
        <v>-9</v>
      </c>
      <c r="AE7" s="58">
        <f>V21-Y21</f>
        <v>-6</v>
      </c>
      <c r="AF7" s="58">
        <f>AA21-AD21</f>
        <v>0</v>
      </c>
      <c r="AG7" s="58" t="b">
        <f>IF(Q7=Q8,IF(SUM(AA7:AC7)&gt;0,B7,B8),IF(Q7=Q9,IF(SUM(AD7:AF7)&gt;0,B7,B9)))</f>
        <v>0</v>
      </c>
      <c r="AH7" s="58" t="b">
        <f>IF(Q7=Q8,IF(SUM(AA7:AC7)&lt;0,B7,B8),IF(Q7=Q9,IF(SUM(AD7:AF7)&lt;0,B7,B9)))</f>
        <v>0</v>
      </c>
      <c r="AI7" s="60">
        <f t="shared" si="1"/>
        <v>2</v>
      </c>
      <c r="AJ7" s="61">
        <f t="shared" si="2"/>
        <v>33</v>
      </c>
      <c r="AK7" s="62">
        <f>1+SUM(IF(AJ7&lt;AJ6,1,0),IF(AJ7&lt;AJ5,1,0),IF(AJ7&lt;AJ8,1,0),IF(AJ7&lt;AJ9,1,0))</f>
        <v>2</v>
      </c>
      <c r="AL7" s="63">
        <f t="shared" si="3"/>
        <v>0.75</v>
      </c>
      <c r="AM7" s="62">
        <f>1+SUM(IF(AL7&lt;AL6,1,0),IF(AL7&lt;AL5,1,0),IF(AL7&lt;AL8,1,0),IF(AL7&lt;AL9,1,0))</f>
        <v>2</v>
      </c>
      <c r="AN7" s="64">
        <f t="shared" si="4"/>
        <v>0.625</v>
      </c>
      <c r="AO7" s="65">
        <f>1+SUM(IF(AN7&lt;AN6,1,0),IF(AN7&lt;AN5,1,0),IF(AN7&lt;AN8,1,0),IF(AN7&lt;AN9,1,0))</f>
        <v>2</v>
      </c>
      <c r="AP7" s="106">
        <f t="shared" si="5"/>
        <v>4.125</v>
      </c>
      <c r="AQ7" s="70">
        <f>1+SUM(IF(AP7&lt;AP6,1,0),IF(AP7&lt;AP5,1,0),IF(AP7&lt;AP8,1,0),IF(AP7&lt;AP9,1,0))</f>
        <v>2</v>
      </c>
      <c r="AR7" s="68">
        <f>1+SUM(IF(Q7&gt;Q5,1,IF(AND(Q7=Q5,AK7&gt;AK5),1,IF(AND(Q7=Q5,AK7=AK5),1,0))),IF(Q7&gt;Q6,1,IF(AND(Q7=Q6,AK7&gt;AK6),1,IF(AND(Q7=Q6,AK7=AK6),1,0))),IF(Q7&gt;Q8,1,IF(AND(Q7=Q8,AK7&gt;AK8),1,IF(AND(Q7=Q8,AK7=AK8),1,0))),IF(Q7&gt;Q9,1,IF(AND(Q7=Q9,AK7&gt;AK9),1,IF(AND(Q7=Q9,AK7=AK9),1,0))))</f>
        <v>2</v>
      </c>
    </row>
    <row r="8" spans="1:44" ht="15.75" customHeight="1" x14ac:dyDescent="0.2">
      <c r="A8" s="51">
        <f t="shared" si="0"/>
        <v>5</v>
      </c>
      <c r="B8" s="172" t="str">
        <f>+'Women''s Master'!E7</f>
        <v>NY Strangers Earth</v>
      </c>
      <c r="C8" s="173"/>
      <c r="D8" s="173"/>
      <c r="E8" s="171">
        <f>SUM(IF(AG15=E15,1,0),IF(AG18=C18,1,0),IF(AG20=E20,1,0),IF(AG22=E22,1,0))</f>
        <v>0</v>
      </c>
      <c r="F8" s="162"/>
      <c r="G8" s="162"/>
      <c r="H8" s="162"/>
      <c r="I8" s="153"/>
      <c r="J8" s="169">
        <f>SUM(IF(AG15=E15,0,1),IF(AG18=C18,0,1),IF(AG20=E20,0,1),IF(AG22=E22,0,1))</f>
        <v>4</v>
      </c>
      <c r="K8" s="162"/>
      <c r="L8" s="162"/>
      <c r="M8" s="162"/>
      <c r="N8" s="170"/>
      <c r="O8" s="53">
        <f>SUM(IF(AD8&gt;0,1,0),IF(AE8&gt;0,1,0),IF(AF8&gt;0,1,0),IF(U8&gt;0,1,0),IF(V8&gt;0,1,0),IF(W8&gt;0,1,0),IF(X8&gt;0,1,0),IF(Y8&gt;0,1,0),IF(Z8&gt;0,1,0),IF(R8&gt;0,1,0),IF(S8&gt;0,1,0),IF(T8&gt;0,1,0))</f>
        <v>0</v>
      </c>
      <c r="P8" s="52">
        <f>SUM(IF(AD8&lt;0,1,0),IF(AE8&lt;0,1,0),IF(AF8&lt;0,1,0),IF(U8&lt;0,1,0),IF(V8&lt;0,1,0),IF(W8&lt;0,1,0),IF(R8&lt;0,1,0),IF(S8&lt;0,1,0),IF(T8&lt;0,1,0),IF(X8&lt;0,1,0),IF(Y8&lt;0,1,0),IF(Z8&lt;0,1,0))</f>
        <v>8</v>
      </c>
      <c r="Q8" s="54">
        <f>1+SUM(IF(O8&lt;O6,1,0),IF(O8&lt;O7,1,0),IF(O8&lt;O5,1,0),IF(O8&lt;O9,1,0))</f>
        <v>5</v>
      </c>
      <c r="R8" s="69">
        <f t="shared" ref="R8:T8" si="9">-AA5</f>
        <v>-10</v>
      </c>
      <c r="S8" s="58">
        <f t="shared" si="9"/>
        <v>-4</v>
      </c>
      <c r="T8" s="58">
        <f t="shared" si="9"/>
        <v>0</v>
      </c>
      <c r="U8" s="58">
        <f t="shared" ref="U8:W8" si="10">-AA6</f>
        <v>-11</v>
      </c>
      <c r="V8" s="58">
        <f t="shared" si="10"/>
        <v>-4</v>
      </c>
      <c r="W8" s="58">
        <f t="shared" si="10"/>
        <v>0</v>
      </c>
      <c r="X8" s="58">
        <f t="shared" ref="X8:Z8" si="11">-AA7</f>
        <v>-8</v>
      </c>
      <c r="Y8" s="58">
        <f t="shared" si="11"/>
        <v>-13</v>
      </c>
      <c r="Z8" s="58">
        <f t="shared" si="11"/>
        <v>0</v>
      </c>
      <c r="AA8" s="71"/>
      <c r="AB8" s="71"/>
      <c r="AC8" s="71"/>
      <c r="AD8" s="58">
        <f>Q18-T18</f>
        <v>-16</v>
      </c>
      <c r="AE8" s="58">
        <f>V18-Y18</f>
        <v>-16</v>
      </c>
      <c r="AF8" s="58">
        <f>AA18-AD18</f>
        <v>0</v>
      </c>
      <c r="AG8" s="58" t="b">
        <f>IF(Q8=Q9,IF(SUM(AD8:AF8)&gt;0,B8,B9))</f>
        <v>0</v>
      </c>
      <c r="AH8" s="58" t="b">
        <f>IF(R8=R9,IF(SUM(AE8:AG8)&lt;0,C8,C9))</f>
        <v>0</v>
      </c>
      <c r="AI8" s="60">
        <f t="shared" si="1"/>
        <v>5</v>
      </c>
      <c r="AJ8" s="61">
        <f t="shared" si="2"/>
        <v>-82</v>
      </c>
      <c r="AK8" s="72">
        <f>1+SUM(IF(AJ8&lt;AJ6,1,0),IF(AJ8&lt;AJ7,1,0),IF(AJ8&lt;AJ5,1,0),IF(AJ8&lt;AJ9,1,0))</f>
        <v>5</v>
      </c>
      <c r="AL8" s="63">
        <f t="shared" si="3"/>
        <v>0</v>
      </c>
      <c r="AM8" s="72">
        <f>1+SUM(IF(AL8&lt;AL6,1,0),IF(AL8&lt;AL7,1,0),IF(AL8&lt;AL5,1,0),IF(AL8&lt;AL9,1,0))</f>
        <v>5</v>
      </c>
      <c r="AN8" s="64">
        <f t="shared" si="4"/>
        <v>0</v>
      </c>
      <c r="AO8" s="65">
        <f>1+SUM(IF(AN8&lt;AN6,1,0),IF(AN8&lt;AN7,1,0),IF(AN8&lt;AN5,1,0),IF(AN8&lt;AN9,1,0))</f>
        <v>5</v>
      </c>
      <c r="AP8" s="106">
        <f t="shared" si="5"/>
        <v>-10.25</v>
      </c>
      <c r="AQ8" s="73">
        <f>1+SUM(IF(AP8&lt;AP6,1,0),IF(AP8&lt;AP7,1,0),IF(AP8&lt;AP5,1,0),IF(AP8&lt;AP9,1,0))</f>
        <v>5</v>
      </c>
      <c r="AR8" s="68">
        <f>1+SUM(IF(Q8&gt;Q5,1,IF(AND(Q8=Q5,AK8&gt;AK5),1,IF(AND(Q8=Q5,AK8=AK5),1,0))),IF(Q8&gt;Q6,1,IF(AND(Q8=Q6,AK8&gt;AK6),1,IF(AND(Q8=Q6,AK8=AK6),1,0))),IF(Q8&gt;Q7,1,IF(AND(Q8=Q7,AK8&gt;AK7),1,IF(AND(Q8=Q7,AK8=AK7),1,0))),IF(Q8&gt;Q9,1,IF(AND(Q8=Q9,AK8&gt;AK9),1,IF(AND(Q8=Q9,AK8=AK9),1,0))))</f>
        <v>5</v>
      </c>
    </row>
    <row r="9" spans="1:44" ht="15.75" customHeight="1" x14ac:dyDescent="0.2">
      <c r="A9" s="51">
        <f t="shared" si="0"/>
        <v>1</v>
      </c>
      <c r="B9" s="172" t="str">
        <f>+'Women''s Master'!E8</f>
        <v>NY Freemason A</v>
      </c>
      <c r="C9" s="173"/>
      <c r="D9" s="173"/>
      <c r="E9" s="171">
        <f>SUM(IF(AG16=E16,1,0),IF(AG18=E18,1,0),IF(AG21=E21,1,0),IF(AG23=E23,1,0))</f>
        <v>4</v>
      </c>
      <c r="F9" s="162"/>
      <c r="G9" s="162"/>
      <c r="H9" s="162"/>
      <c r="I9" s="153"/>
      <c r="J9" s="169">
        <f>SUM(IF(AG16=E16,0,1),IF(AG18=E18,0,1),IF(AG21=E21,0,1),IF(AG23=E23,0,1))</f>
        <v>0</v>
      </c>
      <c r="K9" s="162"/>
      <c r="L9" s="162"/>
      <c r="M9" s="162"/>
      <c r="N9" s="170"/>
      <c r="O9" s="53">
        <f>SUM(IF(R9&gt;0,1,0),IF(S9&gt;0,1,0),IF(T9&gt;0,1,0),IF(U9&gt;0,1,0),IF(V9&gt;0,1,0),IF(W9&gt;0,1,0),IF(X9&gt;0,1,0),IF(Y9&gt;0,1,0),IF(Z9&gt;0,1,0),IF(AA9&gt;0,1,0),IF(AB9&gt;0,1,0),IF(AC9&gt;0,1,0))</f>
        <v>8</v>
      </c>
      <c r="P9" s="52">
        <f>SUM(IF(R9&lt;0,1,0),IF(S9&lt;0,1,0),IF(T9&lt;0,1,0),IF(U9&lt;0,1,0),IF(V9&lt;0,1,0),IF(W9&lt;0,1,0),IF(X9&lt;0,1,0),IF(Y9&lt;0,1,0),IF(Z9&lt;0,1,0),IF(AA9&lt;0,1,0),IF(AB9&lt;0,1,0),IF(AC9&lt;0,1,0))</f>
        <v>0</v>
      </c>
      <c r="Q9" s="54">
        <f>1+SUM(IF(O9&lt;O6,1,0),IF(O9&lt;O7,1,0),IF(O9&lt;O8,1,0),IF(O9&lt;O5,1,0))</f>
        <v>1</v>
      </c>
      <c r="R9" s="74">
        <f t="shared" ref="R9:T9" si="12">-AD5</f>
        <v>14</v>
      </c>
      <c r="S9" s="75">
        <f t="shared" si="12"/>
        <v>13</v>
      </c>
      <c r="T9" s="75">
        <f t="shared" si="12"/>
        <v>0</v>
      </c>
      <c r="U9" s="75">
        <f t="shared" ref="U9:W9" si="13">-AD6</f>
        <v>7</v>
      </c>
      <c r="V9" s="75">
        <f t="shared" si="13"/>
        <v>2</v>
      </c>
      <c r="W9" s="75">
        <f t="shared" si="13"/>
        <v>0</v>
      </c>
      <c r="X9" s="75">
        <f t="shared" ref="X9:Z9" si="14">-AD7</f>
        <v>9</v>
      </c>
      <c r="Y9" s="75">
        <f t="shared" si="14"/>
        <v>6</v>
      </c>
      <c r="Z9" s="75">
        <f t="shared" si="14"/>
        <v>0</v>
      </c>
      <c r="AA9" s="75">
        <f t="shared" ref="AA9:AC9" si="15">-AD8</f>
        <v>16</v>
      </c>
      <c r="AB9" s="75">
        <f t="shared" si="15"/>
        <v>16</v>
      </c>
      <c r="AC9" s="75">
        <f t="shared" si="15"/>
        <v>0</v>
      </c>
      <c r="AD9" s="76"/>
      <c r="AE9" s="76"/>
      <c r="AF9" s="76"/>
      <c r="AG9" s="77" t="s">
        <v>168</v>
      </c>
      <c r="AH9" s="77" t="s">
        <v>168</v>
      </c>
      <c r="AI9" s="60">
        <f t="shared" si="1"/>
        <v>1</v>
      </c>
      <c r="AJ9" s="78">
        <f t="shared" si="2"/>
        <v>83</v>
      </c>
      <c r="AK9" s="72">
        <f>1+SUM(IF(AJ9&lt;AJ6,1,0),IF(AJ9&lt;AJ7,1,0),IF(AJ9&lt;AJ8,1,0),IF(AJ9&lt;AJ5,1,0))</f>
        <v>1</v>
      </c>
      <c r="AL9" s="79">
        <f t="shared" si="3"/>
        <v>1</v>
      </c>
      <c r="AM9" s="72">
        <f>1+SUM(IF(AL9&lt;AL6,1,0),IF(AL9&lt;AL7,1,0),IF(AL9&lt;AL8,1,0),IF(AL9&lt;AL5,1,0))</f>
        <v>1</v>
      </c>
      <c r="AN9" s="64">
        <f t="shared" si="4"/>
        <v>1</v>
      </c>
      <c r="AO9" s="65">
        <f>1+SUM(IF(AN9&lt;AN6,1,0),IF(AN9&lt;AN7,1,0),IF(AN9&lt;AN8,1,0),IF(AN9&lt;AN5,1,0))</f>
        <v>1</v>
      </c>
      <c r="AP9" s="106">
        <f t="shared" si="5"/>
        <v>10.375</v>
      </c>
      <c r="AQ9" s="73">
        <f>1+SUM(IF(AP9&lt;AP6,1,0),IF(AP9&lt;AP7,1,0),IF(AP9&lt;AP8,1,0),IF(AP9&lt;AP5,1,0))</f>
        <v>1</v>
      </c>
      <c r="AR9" s="68">
        <f>1+SUM(IF(Q9&gt;Q5,1,IF(AND(Q9=Q5,AK9&gt;AK5),1,IF(AND(Q9=Q5,AK9=AK5),1,0))),IF(Q9&gt;Q6,1,IF(AND(Q9=Q6,AK9&gt;AK6),1,IF(AND(Q9=Q6,AK9=AK6),1,0))),IF(Q9&gt;Q7,1,IF(AND(Q9=Q7,AK9&gt;AK7),1,IF(AND(Q9=Q7,AK9=AK7),1,0))),IF(Q9&gt;Q8,1,IF(AND(Q9=Q8,AK9&gt;AK8),1,IF(AND(Q9=Q8,AK9=AK8),1,0))))</f>
        <v>1</v>
      </c>
    </row>
    <row r="10" spans="1:44" ht="12.75" customHeight="1" x14ac:dyDescent="0.2">
      <c r="A10" s="174"/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80"/>
      <c r="AI10" s="41"/>
      <c r="AJ10" s="41"/>
      <c r="AK10" s="41"/>
      <c r="AL10" s="41"/>
      <c r="AM10" s="41"/>
      <c r="AN10" s="41"/>
      <c r="AO10" s="5"/>
      <c r="AP10" s="5"/>
      <c r="AQ10" s="5"/>
      <c r="AR10" s="5"/>
    </row>
    <row r="11" spans="1:44" ht="12.75" customHeight="1" x14ac:dyDescent="0.2">
      <c r="A11" s="136"/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80"/>
      <c r="AI11" s="41"/>
      <c r="AJ11" s="41"/>
      <c r="AK11" s="41"/>
      <c r="AL11" s="41"/>
      <c r="AM11" s="41"/>
      <c r="AN11" s="41"/>
      <c r="AO11" s="5"/>
      <c r="AP11" s="5"/>
      <c r="AQ11" s="5"/>
      <c r="AR11" s="5"/>
    </row>
    <row r="12" spans="1:44" ht="13.5" customHeight="1" x14ac:dyDescent="0.2">
      <c r="A12" s="136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80"/>
      <c r="AI12" s="41"/>
      <c r="AJ12" s="41"/>
      <c r="AK12" s="41"/>
      <c r="AL12" s="41"/>
      <c r="AM12" s="41"/>
      <c r="AN12" s="41"/>
      <c r="AO12" s="5"/>
      <c r="AP12" s="5"/>
      <c r="AQ12" s="5"/>
      <c r="AR12" s="5"/>
    </row>
    <row r="13" spans="1:44" ht="13.5" customHeight="1" x14ac:dyDescent="0.2">
      <c r="A13" s="167"/>
      <c r="B13" s="136"/>
      <c r="C13" s="81" t="s">
        <v>169</v>
      </c>
      <c r="D13" s="82" t="s">
        <v>170</v>
      </c>
      <c r="E13" s="165" t="s">
        <v>169</v>
      </c>
      <c r="F13" s="156"/>
      <c r="G13" s="156"/>
      <c r="H13" s="156"/>
      <c r="I13" s="156"/>
      <c r="J13" s="156"/>
      <c r="K13" s="156"/>
      <c r="L13" s="156"/>
      <c r="M13" s="166"/>
      <c r="N13" s="176" t="s">
        <v>171</v>
      </c>
      <c r="O13" s="177"/>
      <c r="P13" s="178"/>
      <c r="Q13" s="155" t="s">
        <v>172</v>
      </c>
      <c r="R13" s="156"/>
      <c r="S13" s="156"/>
      <c r="T13" s="156"/>
      <c r="U13" s="166"/>
      <c r="V13" s="175" t="s">
        <v>173</v>
      </c>
      <c r="W13" s="156"/>
      <c r="X13" s="156"/>
      <c r="Y13" s="156"/>
      <c r="Z13" s="166"/>
      <c r="AA13" s="155" t="s">
        <v>174</v>
      </c>
      <c r="AB13" s="156"/>
      <c r="AC13" s="156"/>
      <c r="AD13" s="156"/>
      <c r="AE13" s="157"/>
      <c r="AF13" s="83"/>
      <c r="AG13" s="84" t="s">
        <v>175</v>
      </c>
      <c r="AH13" s="49" t="s">
        <v>176</v>
      </c>
      <c r="AI13" s="158" t="s">
        <v>177</v>
      </c>
      <c r="AJ13" s="159"/>
      <c r="AK13" s="41"/>
      <c r="AL13" s="5"/>
      <c r="AM13" s="5"/>
      <c r="AN13" s="5"/>
      <c r="AO13" s="5"/>
      <c r="AP13" s="5"/>
      <c r="AQ13" s="5"/>
      <c r="AR13" s="5"/>
    </row>
    <row r="14" spans="1:44" ht="15.75" customHeight="1" x14ac:dyDescent="0.2">
      <c r="A14" s="85">
        <v>1</v>
      </c>
      <c r="B14" s="86">
        <v>1</v>
      </c>
      <c r="C14" s="117" t="str">
        <f>+B5</f>
        <v>Boston GHOTANE White</v>
      </c>
      <c r="D14" s="88">
        <v>2</v>
      </c>
      <c r="E14" s="161" t="str">
        <f>+B6</f>
        <v>Philly CIA Fire</v>
      </c>
      <c r="F14" s="162"/>
      <c r="G14" s="162"/>
      <c r="H14" s="162"/>
      <c r="I14" s="162"/>
      <c r="J14" s="162"/>
      <c r="K14" s="162"/>
      <c r="L14" s="162"/>
      <c r="M14" s="153"/>
      <c r="N14" s="89">
        <v>3</v>
      </c>
      <c r="O14" s="160" t="str">
        <f>+B7</f>
        <v>Toronto Connex B</v>
      </c>
      <c r="P14" s="153"/>
      <c r="Q14" s="196">
        <v>23</v>
      </c>
      <c r="R14" s="143"/>
      <c r="S14" s="91">
        <v>0</v>
      </c>
      <c r="T14" s="151">
        <v>25</v>
      </c>
      <c r="U14" s="143"/>
      <c r="V14" s="154">
        <v>18</v>
      </c>
      <c r="W14" s="143"/>
      <c r="X14" s="92">
        <v>0</v>
      </c>
      <c r="Y14" s="154">
        <v>25</v>
      </c>
      <c r="Z14" s="143"/>
      <c r="AA14" s="152"/>
      <c r="AB14" s="153"/>
      <c r="AC14" s="93" t="s">
        <v>178</v>
      </c>
      <c r="AD14" s="152"/>
      <c r="AE14" s="153"/>
      <c r="AF14" s="94"/>
      <c r="AG14" s="104" t="str">
        <f t="shared" ref="AG14:AG23" si="16">IF((Q14)+(V14)+(AA14)-(T14)-(Y14)-(AD14)&gt;0,C14,E14)</f>
        <v>Philly CIA Fire</v>
      </c>
      <c r="AH14" s="96">
        <f t="shared" ref="AH14:AH23" si="17">(Q14)+(V14)+(AA14)-(T14)-(Y14)-(AD14)</f>
        <v>-9</v>
      </c>
      <c r="AI14" s="147">
        <v>0.375</v>
      </c>
      <c r="AJ14" s="148"/>
      <c r="AK14" s="5"/>
      <c r="AL14" s="5"/>
      <c r="AM14" s="5"/>
      <c r="AN14" s="5"/>
      <c r="AO14" s="5"/>
      <c r="AP14" s="5"/>
      <c r="AQ14" s="5"/>
      <c r="AR14" s="5"/>
    </row>
    <row r="15" spans="1:44" ht="15.75" customHeight="1" x14ac:dyDescent="0.2">
      <c r="A15" s="97">
        <v>2</v>
      </c>
      <c r="B15" s="98">
        <v>3</v>
      </c>
      <c r="C15" s="99" t="str">
        <f>+B7</f>
        <v>Toronto Connex B</v>
      </c>
      <c r="D15" s="61">
        <v>4</v>
      </c>
      <c r="E15" s="163" t="str">
        <f t="shared" ref="E15:E16" si="18">+B8</f>
        <v>NY Strangers Earth</v>
      </c>
      <c r="F15" s="164"/>
      <c r="G15" s="164"/>
      <c r="H15" s="164"/>
      <c r="I15" s="164"/>
      <c r="J15" s="164"/>
      <c r="K15" s="164"/>
      <c r="L15" s="164"/>
      <c r="M15" s="143"/>
      <c r="N15" s="100">
        <v>2</v>
      </c>
      <c r="O15" s="168" t="str">
        <f>+B6</f>
        <v>Philly CIA Fire</v>
      </c>
      <c r="P15" s="143"/>
      <c r="Q15" s="195">
        <v>25</v>
      </c>
      <c r="R15" s="141"/>
      <c r="S15" s="101">
        <v>0</v>
      </c>
      <c r="T15" s="144">
        <v>17</v>
      </c>
      <c r="U15" s="141"/>
      <c r="V15" s="140">
        <v>25</v>
      </c>
      <c r="W15" s="141"/>
      <c r="X15" s="102">
        <v>0</v>
      </c>
      <c r="Y15" s="140">
        <v>12</v>
      </c>
      <c r="Z15" s="141"/>
      <c r="AA15" s="142"/>
      <c r="AB15" s="143"/>
      <c r="AC15" s="103" t="s">
        <v>178</v>
      </c>
      <c r="AD15" s="142"/>
      <c r="AE15" s="143"/>
      <c r="AF15" s="94"/>
      <c r="AG15" s="129" t="str">
        <f t="shared" si="16"/>
        <v>Toronto Connex B</v>
      </c>
      <c r="AH15" s="96">
        <f t="shared" si="17"/>
        <v>21</v>
      </c>
      <c r="AI15" s="149">
        <v>0.40972222222222227</v>
      </c>
      <c r="AJ15" s="150"/>
      <c r="AK15" s="5"/>
      <c r="AL15" s="5"/>
      <c r="AM15" s="5"/>
      <c r="AN15" s="5"/>
      <c r="AO15" s="5"/>
      <c r="AP15" s="5"/>
      <c r="AQ15" s="5"/>
      <c r="AR15" s="5"/>
    </row>
    <row r="16" spans="1:44" ht="15.75" customHeight="1" x14ac:dyDescent="0.2">
      <c r="A16" s="97">
        <v>3</v>
      </c>
      <c r="B16" s="98">
        <v>1</v>
      </c>
      <c r="C16" s="99" t="str">
        <f t="shared" ref="C16:C17" si="19">+B5</f>
        <v>Boston GHOTANE White</v>
      </c>
      <c r="D16" s="61">
        <v>5</v>
      </c>
      <c r="E16" s="163" t="str">
        <f t="shared" si="18"/>
        <v>NY Freemason A</v>
      </c>
      <c r="F16" s="164"/>
      <c r="G16" s="164"/>
      <c r="H16" s="164"/>
      <c r="I16" s="164"/>
      <c r="J16" s="164"/>
      <c r="K16" s="164"/>
      <c r="L16" s="164"/>
      <c r="M16" s="143"/>
      <c r="N16" s="100">
        <v>4</v>
      </c>
      <c r="O16" s="168" t="str">
        <f>+B8</f>
        <v>NY Strangers Earth</v>
      </c>
      <c r="P16" s="143"/>
      <c r="Q16" s="195">
        <v>11</v>
      </c>
      <c r="R16" s="141"/>
      <c r="S16" s="101">
        <v>0</v>
      </c>
      <c r="T16" s="144">
        <v>25</v>
      </c>
      <c r="U16" s="141"/>
      <c r="V16" s="140">
        <v>12</v>
      </c>
      <c r="W16" s="141"/>
      <c r="X16" s="102">
        <v>0</v>
      </c>
      <c r="Y16" s="140">
        <v>25</v>
      </c>
      <c r="Z16" s="141"/>
      <c r="AA16" s="142"/>
      <c r="AB16" s="143"/>
      <c r="AC16" s="103" t="s">
        <v>178</v>
      </c>
      <c r="AD16" s="142"/>
      <c r="AE16" s="143"/>
      <c r="AF16" s="94"/>
      <c r="AG16" s="129" t="str">
        <f t="shared" si="16"/>
        <v>NY Freemason A</v>
      </c>
      <c r="AH16" s="96">
        <f t="shared" si="17"/>
        <v>-27</v>
      </c>
      <c r="AI16" s="149">
        <v>0.44444444444444442</v>
      </c>
      <c r="AJ16" s="150"/>
      <c r="AK16" s="5"/>
      <c r="AL16" s="5"/>
      <c r="AM16" s="5"/>
      <c r="AN16" s="5"/>
      <c r="AO16" s="5"/>
      <c r="AP16" s="5"/>
      <c r="AQ16" s="5"/>
      <c r="AR16" s="5"/>
    </row>
    <row r="17" spans="1:44" ht="15.75" customHeight="1" x14ac:dyDescent="0.2">
      <c r="A17" s="97">
        <v>4</v>
      </c>
      <c r="B17" s="98">
        <v>2</v>
      </c>
      <c r="C17" s="99" t="str">
        <f t="shared" si="19"/>
        <v>Philly CIA Fire</v>
      </c>
      <c r="D17" s="61">
        <v>3</v>
      </c>
      <c r="E17" s="163" t="str">
        <f>+B7</f>
        <v>Toronto Connex B</v>
      </c>
      <c r="F17" s="164"/>
      <c r="G17" s="164"/>
      <c r="H17" s="164"/>
      <c r="I17" s="164"/>
      <c r="J17" s="164"/>
      <c r="K17" s="164"/>
      <c r="L17" s="164"/>
      <c r="M17" s="143"/>
      <c r="N17" s="100">
        <v>1</v>
      </c>
      <c r="O17" s="168" t="str">
        <f>+B5</f>
        <v>Boston GHOTANE White</v>
      </c>
      <c r="P17" s="143"/>
      <c r="Q17" s="195">
        <v>25</v>
      </c>
      <c r="R17" s="141"/>
      <c r="S17" s="101">
        <v>0</v>
      </c>
      <c r="T17" s="144">
        <v>23</v>
      </c>
      <c r="U17" s="141"/>
      <c r="V17" s="140">
        <v>22</v>
      </c>
      <c r="W17" s="141"/>
      <c r="X17" s="102">
        <v>0</v>
      </c>
      <c r="Y17" s="140">
        <v>25</v>
      </c>
      <c r="Z17" s="141"/>
      <c r="AA17" s="142"/>
      <c r="AB17" s="143"/>
      <c r="AC17" s="103" t="s">
        <v>178</v>
      </c>
      <c r="AD17" s="142"/>
      <c r="AE17" s="143"/>
      <c r="AF17" s="94"/>
      <c r="AG17" s="129" t="str">
        <f t="shared" si="16"/>
        <v>Toronto Connex B</v>
      </c>
      <c r="AH17" s="96">
        <f t="shared" si="17"/>
        <v>-1</v>
      </c>
      <c r="AI17" s="149">
        <v>0.47916666666666669</v>
      </c>
      <c r="AJ17" s="150"/>
      <c r="AK17" s="5"/>
      <c r="AL17" s="5"/>
      <c r="AM17" s="5"/>
      <c r="AN17" s="5"/>
      <c r="AO17" s="5"/>
      <c r="AP17" s="5"/>
      <c r="AQ17" s="5"/>
      <c r="AR17" s="5"/>
    </row>
    <row r="18" spans="1:44" ht="15.75" customHeight="1" x14ac:dyDescent="0.2">
      <c r="A18" s="97">
        <v>5</v>
      </c>
      <c r="B18" s="98">
        <v>4</v>
      </c>
      <c r="C18" s="99" t="str">
        <f>+B8</f>
        <v>NY Strangers Earth</v>
      </c>
      <c r="D18" s="61">
        <v>5</v>
      </c>
      <c r="E18" s="163" t="str">
        <f>+B9</f>
        <v>NY Freemason A</v>
      </c>
      <c r="F18" s="164"/>
      <c r="G18" s="164"/>
      <c r="H18" s="164"/>
      <c r="I18" s="164"/>
      <c r="J18" s="164"/>
      <c r="K18" s="164"/>
      <c r="L18" s="164"/>
      <c r="M18" s="143"/>
      <c r="N18" s="100">
        <v>3</v>
      </c>
      <c r="O18" s="168" t="str">
        <f>+B7</f>
        <v>Toronto Connex B</v>
      </c>
      <c r="P18" s="143"/>
      <c r="Q18" s="195">
        <v>9</v>
      </c>
      <c r="R18" s="141"/>
      <c r="S18" s="101">
        <v>0</v>
      </c>
      <c r="T18" s="144">
        <v>25</v>
      </c>
      <c r="U18" s="141"/>
      <c r="V18" s="140">
        <v>9</v>
      </c>
      <c r="W18" s="141"/>
      <c r="X18" s="102">
        <v>0</v>
      </c>
      <c r="Y18" s="140">
        <v>25</v>
      </c>
      <c r="Z18" s="141"/>
      <c r="AA18" s="142"/>
      <c r="AB18" s="143"/>
      <c r="AC18" s="103" t="s">
        <v>178</v>
      </c>
      <c r="AD18" s="142"/>
      <c r="AE18" s="143"/>
      <c r="AF18" s="94"/>
      <c r="AG18" s="129" t="str">
        <f t="shared" si="16"/>
        <v>NY Freemason A</v>
      </c>
      <c r="AH18" s="96">
        <f t="shared" si="17"/>
        <v>-32</v>
      </c>
      <c r="AI18" s="149">
        <v>0.53472222222222221</v>
      </c>
      <c r="AJ18" s="150"/>
      <c r="AK18" s="5"/>
      <c r="AL18" s="5"/>
      <c r="AM18" s="5"/>
      <c r="AN18" s="5"/>
      <c r="AO18" s="5"/>
      <c r="AP18" s="5"/>
      <c r="AQ18" s="5"/>
      <c r="AR18" s="5"/>
    </row>
    <row r="19" spans="1:44" ht="15.75" customHeight="1" x14ac:dyDescent="0.2">
      <c r="A19" s="97">
        <v>6</v>
      </c>
      <c r="B19" s="98">
        <v>1</v>
      </c>
      <c r="C19" s="99" t="str">
        <f t="shared" ref="C19:C21" si="20">+B5</f>
        <v>Boston GHOTANE White</v>
      </c>
      <c r="D19" s="61">
        <v>3</v>
      </c>
      <c r="E19" s="163" t="str">
        <f t="shared" ref="E19:E21" si="21">+B7</f>
        <v>Toronto Connex B</v>
      </c>
      <c r="F19" s="164"/>
      <c r="G19" s="164"/>
      <c r="H19" s="164"/>
      <c r="I19" s="164"/>
      <c r="J19" s="164"/>
      <c r="K19" s="164"/>
      <c r="L19" s="164"/>
      <c r="M19" s="143"/>
      <c r="N19" s="100">
        <v>5</v>
      </c>
      <c r="O19" s="168" t="str">
        <f>+B9</f>
        <v>NY Freemason A</v>
      </c>
      <c r="P19" s="143"/>
      <c r="Q19" s="195">
        <v>8</v>
      </c>
      <c r="R19" s="141"/>
      <c r="S19" s="101">
        <v>0</v>
      </c>
      <c r="T19" s="144">
        <v>25</v>
      </c>
      <c r="U19" s="141"/>
      <c r="V19" s="140">
        <v>16</v>
      </c>
      <c r="W19" s="141"/>
      <c r="X19" s="102">
        <v>0</v>
      </c>
      <c r="Y19" s="140">
        <v>25</v>
      </c>
      <c r="Z19" s="141"/>
      <c r="AA19" s="142"/>
      <c r="AB19" s="143"/>
      <c r="AC19" s="103" t="s">
        <v>178</v>
      </c>
      <c r="AD19" s="142"/>
      <c r="AE19" s="143"/>
      <c r="AF19" s="94"/>
      <c r="AG19" s="129" t="str">
        <f t="shared" si="16"/>
        <v>Toronto Connex B</v>
      </c>
      <c r="AH19" s="96">
        <f t="shared" si="17"/>
        <v>-26</v>
      </c>
      <c r="AI19" s="149">
        <v>6.9444444444444434E-2</v>
      </c>
      <c r="AJ19" s="150"/>
      <c r="AK19" s="5"/>
      <c r="AL19" s="5"/>
      <c r="AM19" s="5"/>
      <c r="AN19" s="5"/>
      <c r="AO19" s="5"/>
      <c r="AP19" s="5"/>
      <c r="AQ19" s="5"/>
      <c r="AR19" s="5"/>
    </row>
    <row r="20" spans="1:44" ht="15.75" customHeight="1" x14ac:dyDescent="0.2">
      <c r="A20" s="97">
        <v>7</v>
      </c>
      <c r="B20" s="98">
        <v>2</v>
      </c>
      <c r="C20" s="99" t="str">
        <f t="shared" si="20"/>
        <v>Philly CIA Fire</v>
      </c>
      <c r="D20" s="61">
        <v>4</v>
      </c>
      <c r="E20" s="163" t="str">
        <f t="shared" si="21"/>
        <v>NY Strangers Earth</v>
      </c>
      <c r="F20" s="164"/>
      <c r="G20" s="164"/>
      <c r="H20" s="164"/>
      <c r="I20" s="164"/>
      <c r="J20" s="164"/>
      <c r="K20" s="164"/>
      <c r="L20" s="164"/>
      <c r="M20" s="143"/>
      <c r="N20" s="133">
        <v>1</v>
      </c>
      <c r="O20" s="168" t="str">
        <f>B5</f>
        <v>Boston GHOTANE White</v>
      </c>
      <c r="P20" s="143"/>
      <c r="Q20" s="195">
        <v>25</v>
      </c>
      <c r="R20" s="141"/>
      <c r="S20" s="101">
        <v>0</v>
      </c>
      <c r="T20" s="144">
        <v>14</v>
      </c>
      <c r="U20" s="141"/>
      <c r="V20" s="140">
        <v>25</v>
      </c>
      <c r="W20" s="141"/>
      <c r="X20" s="102">
        <v>0</v>
      </c>
      <c r="Y20" s="140">
        <v>21</v>
      </c>
      <c r="Z20" s="141"/>
      <c r="AA20" s="142"/>
      <c r="AB20" s="143"/>
      <c r="AC20" s="103" t="s">
        <v>178</v>
      </c>
      <c r="AD20" s="142"/>
      <c r="AE20" s="143"/>
      <c r="AF20" s="94"/>
      <c r="AG20" s="129" t="str">
        <f t="shared" si="16"/>
        <v>Philly CIA Fire</v>
      </c>
      <c r="AH20" s="96">
        <f t="shared" si="17"/>
        <v>15</v>
      </c>
      <c r="AI20" s="149">
        <v>0.10416666666666667</v>
      </c>
      <c r="AJ20" s="150"/>
      <c r="AK20" s="5"/>
      <c r="AL20" s="5"/>
      <c r="AM20" s="5"/>
      <c r="AN20" s="5"/>
      <c r="AO20" s="5"/>
      <c r="AP20" s="5"/>
      <c r="AQ20" s="5"/>
      <c r="AR20" s="5"/>
    </row>
    <row r="21" spans="1:44" ht="15.75" customHeight="1" x14ac:dyDescent="0.2">
      <c r="A21" s="97">
        <v>8</v>
      </c>
      <c r="B21" s="98">
        <v>3</v>
      </c>
      <c r="C21" s="99" t="str">
        <f t="shared" si="20"/>
        <v>Toronto Connex B</v>
      </c>
      <c r="D21" s="61">
        <v>5</v>
      </c>
      <c r="E21" s="163" t="str">
        <f t="shared" si="21"/>
        <v>NY Freemason A</v>
      </c>
      <c r="F21" s="164"/>
      <c r="G21" s="164"/>
      <c r="H21" s="164"/>
      <c r="I21" s="164"/>
      <c r="J21" s="164"/>
      <c r="K21" s="164"/>
      <c r="L21" s="164"/>
      <c r="M21" s="143"/>
      <c r="N21" s="100">
        <v>2</v>
      </c>
      <c r="O21" s="168" t="str">
        <f>+B6</f>
        <v>Philly CIA Fire</v>
      </c>
      <c r="P21" s="143"/>
      <c r="Q21" s="195">
        <v>16</v>
      </c>
      <c r="R21" s="141"/>
      <c r="S21" s="107"/>
      <c r="T21" s="144">
        <v>25</v>
      </c>
      <c r="U21" s="141"/>
      <c r="V21" s="140">
        <v>19</v>
      </c>
      <c r="W21" s="141"/>
      <c r="X21" s="108"/>
      <c r="Y21" s="140">
        <v>25</v>
      </c>
      <c r="Z21" s="141"/>
      <c r="AA21" s="142"/>
      <c r="AB21" s="143"/>
      <c r="AC21" s="103" t="s">
        <v>178</v>
      </c>
      <c r="AD21" s="142"/>
      <c r="AE21" s="143"/>
      <c r="AF21" s="94"/>
      <c r="AG21" s="129" t="str">
        <f t="shared" si="16"/>
        <v>NY Freemason A</v>
      </c>
      <c r="AH21" s="96">
        <f t="shared" si="17"/>
        <v>-15</v>
      </c>
      <c r="AI21" s="149">
        <v>0.15972222222222224</v>
      </c>
      <c r="AJ21" s="150"/>
      <c r="AK21" s="5"/>
      <c r="AL21" s="5"/>
      <c r="AM21" s="5"/>
      <c r="AN21" s="5"/>
      <c r="AO21" s="5"/>
      <c r="AP21" s="5"/>
      <c r="AQ21" s="5"/>
      <c r="AR21" s="5"/>
    </row>
    <row r="22" spans="1:44" ht="15.75" customHeight="1" x14ac:dyDescent="0.2">
      <c r="A22" s="97">
        <v>9</v>
      </c>
      <c r="B22" s="98">
        <v>1</v>
      </c>
      <c r="C22" s="99" t="str">
        <f t="shared" ref="C22:C23" si="22">+B5</f>
        <v>Boston GHOTANE White</v>
      </c>
      <c r="D22" s="61">
        <v>4</v>
      </c>
      <c r="E22" s="163" t="str">
        <f t="shared" ref="E22:E23" si="23">+B8</f>
        <v>NY Strangers Earth</v>
      </c>
      <c r="F22" s="164"/>
      <c r="G22" s="164"/>
      <c r="H22" s="164"/>
      <c r="I22" s="164"/>
      <c r="J22" s="164"/>
      <c r="K22" s="164"/>
      <c r="L22" s="164"/>
      <c r="M22" s="143"/>
      <c r="N22" s="100">
        <v>5</v>
      </c>
      <c r="O22" s="168" t="str">
        <f>+B9</f>
        <v>NY Freemason A</v>
      </c>
      <c r="P22" s="143"/>
      <c r="Q22" s="195">
        <v>25</v>
      </c>
      <c r="R22" s="141"/>
      <c r="S22" s="107"/>
      <c r="T22" s="144">
        <v>15</v>
      </c>
      <c r="U22" s="141"/>
      <c r="V22" s="140">
        <v>25</v>
      </c>
      <c r="W22" s="141"/>
      <c r="X22" s="108"/>
      <c r="Y22" s="140">
        <v>21</v>
      </c>
      <c r="Z22" s="141"/>
      <c r="AA22" s="142"/>
      <c r="AB22" s="143"/>
      <c r="AC22" s="103" t="s">
        <v>178</v>
      </c>
      <c r="AD22" s="142"/>
      <c r="AE22" s="143"/>
      <c r="AF22" s="94"/>
      <c r="AG22" s="129" t="str">
        <f t="shared" si="16"/>
        <v>Boston GHOTANE White</v>
      </c>
      <c r="AH22" s="96">
        <f t="shared" si="17"/>
        <v>14</v>
      </c>
      <c r="AI22" s="149">
        <v>0.19444444444444445</v>
      </c>
      <c r="AJ22" s="150"/>
      <c r="AK22" s="5"/>
      <c r="AL22" s="5"/>
      <c r="AM22" s="5"/>
      <c r="AN22" s="5"/>
      <c r="AO22" s="5"/>
      <c r="AP22" s="5"/>
      <c r="AQ22" s="5"/>
      <c r="AR22" s="5"/>
    </row>
    <row r="23" spans="1:44" ht="15.75" customHeight="1" x14ac:dyDescent="0.2">
      <c r="A23" s="109">
        <v>10</v>
      </c>
      <c r="B23" s="110">
        <v>2</v>
      </c>
      <c r="C23" s="111" t="str">
        <f t="shared" si="22"/>
        <v>Philly CIA Fire</v>
      </c>
      <c r="D23" s="78">
        <v>5</v>
      </c>
      <c r="E23" s="188" t="str">
        <f t="shared" si="23"/>
        <v>NY Freemason A</v>
      </c>
      <c r="F23" s="189"/>
      <c r="G23" s="189"/>
      <c r="H23" s="189"/>
      <c r="I23" s="189"/>
      <c r="J23" s="189"/>
      <c r="K23" s="189"/>
      <c r="L23" s="189"/>
      <c r="M23" s="146"/>
      <c r="N23" s="112">
        <v>4</v>
      </c>
      <c r="O23" s="187" t="str">
        <f>+B8</f>
        <v>NY Strangers Earth</v>
      </c>
      <c r="P23" s="146"/>
      <c r="Q23" s="195">
        <v>18</v>
      </c>
      <c r="R23" s="141"/>
      <c r="S23" s="101">
        <v>0</v>
      </c>
      <c r="T23" s="144">
        <v>25</v>
      </c>
      <c r="U23" s="141"/>
      <c r="V23" s="140">
        <v>24</v>
      </c>
      <c r="W23" s="141"/>
      <c r="X23" s="102">
        <v>0</v>
      </c>
      <c r="Y23" s="140">
        <v>26</v>
      </c>
      <c r="Z23" s="141"/>
      <c r="AA23" s="145"/>
      <c r="AB23" s="146"/>
      <c r="AC23" s="113" t="s">
        <v>178</v>
      </c>
      <c r="AD23" s="145"/>
      <c r="AE23" s="146"/>
      <c r="AF23" s="94"/>
      <c r="AG23" s="131" t="str">
        <f t="shared" si="16"/>
        <v>NY Freemason A</v>
      </c>
      <c r="AH23" s="96">
        <f t="shared" si="17"/>
        <v>-9</v>
      </c>
      <c r="AI23" s="184">
        <v>0.22916666666666666</v>
      </c>
      <c r="AJ23" s="185"/>
      <c r="AK23" s="5"/>
      <c r="AL23" s="5"/>
      <c r="AM23" s="5"/>
      <c r="AN23" s="5"/>
      <c r="AO23" s="5"/>
      <c r="AP23" s="5"/>
      <c r="AQ23" s="5"/>
      <c r="AR23" s="5"/>
    </row>
    <row r="24" spans="1:44" ht="12.75" customHeight="1" x14ac:dyDescent="0.2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5"/>
      <c r="AM24" s="5"/>
      <c r="AN24" s="5"/>
      <c r="AO24" s="5"/>
      <c r="AP24" s="5"/>
      <c r="AQ24" s="5"/>
      <c r="AR24" s="5"/>
    </row>
    <row r="25" spans="1:44" ht="12.75" customHeight="1" x14ac:dyDescent="0.2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5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5"/>
      <c r="AM25" s="5"/>
      <c r="AN25" s="5"/>
      <c r="AO25" s="5"/>
      <c r="AP25" s="5"/>
      <c r="AQ25" s="5"/>
      <c r="AR25" s="5"/>
    </row>
    <row r="26" spans="1:44" ht="12.75" customHeight="1" x14ac:dyDescent="0.2">
      <c r="A26" s="41"/>
      <c r="B26" s="57"/>
      <c r="C26" s="57" t="s">
        <v>179</v>
      </c>
      <c r="D26" s="57" t="s">
        <v>157</v>
      </c>
      <c r="E26" s="57" t="s">
        <v>180</v>
      </c>
      <c r="F26" s="57" t="s">
        <v>165</v>
      </c>
      <c r="G26" s="57" t="s">
        <v>166</v>
      </c>
      <c r="H26" s="41"/>
      <c r="I26" s="41"/>
      <c r="J26" s="41"/>
      <c r="K26" s="41"/>
      <c r="L26" s="41"/>
      <c r="M26" s="41"/>
      <c r="N26" s="41"/>
      <c r="O26" s="41"/>
      <c r="P26" s="41"/>
      <c r="Q26" s="5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5"/>
      <c r="AM26" s="5"/>
      <c r="AN26" s="5"/>
      <c r="AO26" s="5"/>
      <c r="AP26" s="5"/>
      <c r="AQ26" s="5"/>
      <c r="AR26" s="5"/>
    </row>
    <row r="27" spans="1:44" ht="12.75" customHeight="1" x14ac:dyDescent="0.2">
      <c r="A27" s="41"/>
      <c r="B27" s="57">
        <v>1</v>
      </c>
      <c r="C27" s="57" t="str">
        <f>VLOOKUP(B27,$A$5:$AR$9,2,FALSE)</f>
        <v>NY Freemason A</v>
      </c>
      <c r="D27" s="57">
        <f t="shared" ref="D27:D31" si="24">VLOOKUP(B27,$A$5:$AR$9,15,FALSE)</f>
        <v>8</v>
      </c>
      <c r="E27" s="57">
        <f t="shared" ref="E27:E31" si="25">VLOOKUP(B27,$A$5:$AR$9,36,FALSE)</f>
        <v>83</v>
      </c>
      <c r="F27" s="114">
        <f t="shared" ref="F27:F31" si="26">VLOOKUP(B27,$A$5:$AR$9,40,FALSE)</f>
        <v>1</v>
      </c>
      <c r="G27" s="114">
        <f t="shared" ref="G27:G31" si="27">VLOOKUP(B27,$A$5:$AR$9,42,FALSE)</f>
        <v>10.375</v>
      </c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5"/>
      <c r="AM27" s="5"/>
      <c r="AN27" s="5"/>
      <c r="AO27" s="5"/>
      <c r="AP27" s="5"/>
      <c r="AQ27" s="5"/>
      <c r="AR27" s="5"/>
    </row>
    <row r="28" spans="1:44" ht="12.75" customHeight="1" x14ac:dyDescent="0.2">
      <c r="A28" s="41"/>
      <c r="B28" s="57">
        <v>2</v>
      </c>
      <c r="C28" s="57" t="str">
        <f>VLOOKUP(B28,$A$5:$AR$9,2,FALSE)</f>
        <v>Toronto Connex B</v>
      </c>
      <c r="D28" s="57">
        <f t="shared" si="24"/>
        <v>5</v>
      </c>
      <c r="E28" s="57">
        <f t="shared" si="25"/>
        <v>33</v>
      </c>
      <c r="F28" s="114">
        <f t="shared" si="26"/>
        <v>0.625</v>
      </c>
      <c r="G28" s="114">
        <f t="shared" si="27"/>
        <v>4.125</v>
      </c>
      <c r="H28" s="41"/>
      <c r="I28" s="41"/>
      <c r="J28" s="41"/>
      <c r="K28" s="41"/>
      <c r="L28" s="41"/>
      <c r="M28" s="41"/>
      <c r="N28" s="41"/>
      <c r="O28" s="41"/>
      <c r="P28" s="5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183"/>
      <c r="AK28" s="136"/>
      <c r="AL28" s="5"/>
      <c r="AM28" s="5"/>
      <c r="AN28" s="5"/>
      <c r="AO28" s="5"/>
      <c r="AP28" s="5"/>
      <c r="AQ28" s="5"/>
      <c r="AR28" s="5"/>
    </row>
    <row r="29" spans="1:44" ht="12.75" customHeight="1" x14ac:dyDescent="0.2">
      <c r="A29" s="5"/>
      <c r="B29" s="14">
        <v>3</v>
      </c>
      <c r="C29" s="57" t="str">
        <f t="shared" ref="C29:C31" si="28">VLOOKUP(B29,$A$5:$AR$9,2,FALSE)</f>
        <v>Philly CIA Fire</v>
      </c>
      <c r="D29" s="57">
        <f t="shared" si="24"/>
        <v>5</v>
      </c>
      <c r="E29" s="57">
        <f t="shared" si="25"/>
        <v>14</v>
      </c>
      <c r="F29" s="114">
        <f t="shared" si="26"/>
        <v>0.625</v>
      </c>
      <c r="G29" s="114">
        <f t="shared" si="27"/>
        <v>1.75</v>
      </c>
      <c r="H29" s="41"/>
      <c r="I29" s="41"/>
      <c r="J29" s="41"/>
      <c r="K29" s="41"/>
      <c r="L29" s="41"/>
      <c r="M29" s="41"/>
      <c r="N29" s="41"/>
      <c r="O29" s="41"/>
      <c r="P29" s="5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115"/>
      <c r="AK29" s="41"/>
      <c r="AL29" s="5"/>
      <c r="AM29" s="5"/>
      <c r="AN29" s="5"/>
      <c r="AO29" s="5"/>
      <c r="AP29" s="5"/>
      <c r="AQ29" s="5"/>
      <c r="AR29" s="5"/>
    </row>
    <row r="30" spans="1:44" ht="12.75" customHeight="1" x14ac:dyDescent="0.2">
      <c r="A30" s="5"/>
      <c r="B30" s="14">
        <v>4</v>
      </c>
      <c r="C30" s="57" t="str">
        <f t="shared" si="28"/>
        <v>Boston GHOTANE White</v>
      </c>
      <c r="D30" s="57">
        <f t="shared" si="24"/>
        <v>2</v>
      </c>
      <c r="E30" s="57">
        <f t="shared" si="25"/>
        <v>-48</v>
      </c>
      <c r="F30" s="114">
        <f t="shared" si="26"/>
        <v>0.25</v>
      </c>
      <c r="G30" s="114">
        <f t="shared" si="27"/>
        <v>-6</v>
      </c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115"/>
      <c r="AK30" s="41"/>
      <c r="AL30" s="5"/>
      <c r="AM30" s="5"/>
      <c r="AN30" s="5"/>
      <c r="AO30" s="5"/>
      <c r="AP30" s="5"/>
      <c r="AQ30" s="5"/>
      <c r="AR30" s="5"/>
    </row>
    <row r="31" spans="1:44" ht="12.75" customHeight="1" x14ac:dyDescent="0.2">
      <c r="A31" s="5"/>
      <c r="B31" s="14">
        <v>5</v>
      </c>
      <c r="C31" s="57" t="str">
        <f t="shared" si="28"/>
        <v>NY Strangers Earth</v>
      </c>
      <c r="D31" s="57">
        <f t="shared" si="24"/>
        <v>0</v>
      </c>
      <c r="E31" s="57">
        <f t="shared" si="25"/>
        <v>-82</v>
      </c>
      <c r="F31" s="114">
        <f t="shared" si="26"/>
        <v>0</v>
      </c>
      <c r="G31" s="114">
        <f t="shared" si="27"/>
        <v>-10.25</v>
      </c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115"/>
      <c r="AK31" s="41"/>
      <c r="AL31" s="5"/>
      <c r="AM31" s="5"/>
      <c r="AN31" s="5"/>
      <c r="AO31" s="5"/>
      <c r="AP31" s="5"/>
      <c r="AQ31" s="5"/>
      <c r="AR31" s="5"/>
    </row>
    <row r="32" spans="1:44" ht="12.75" customHeight="1" x14ac:dyDescent="0.2">
      <c r="A32" s="5"/>
      <c r="B32" s="5"/>
      <c r="C32" s="5"/>
      <c r="D32" s="5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134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115"/>
      <c r="AK32" s="41"/>
      <c r="AL32" s="5"/>
      <c r="AM32" s="5"/>
      <c r="AN32" s="5"/>
      <c r="AO32" s="5"/>
      <c r="AP32" s="5"/>
      <c r="AQ32" s="5"/>
      <c r="AR32" s="5"/>
    </row>
  </sheetData>
  <mergeCells count="124">
    <mergeCell ref="AP4:AQ4"/>
    <mergeCell ref="AJ4:AK4"/>
    <mergeCell ref="AI22:AJ22"/>
    <mergeCell ref="AI18:AJ18"/>
    <mergeCell ref="AD19:AE19"/>
    <mergeCell ref="AD18:AE18"/>
    <mergeCell ref="AD22:AE22"/>
    <mergeCell ref="AD23:AE23"/>
    <mergeCell ref="AA23:AB23"/>
    <mergeCell ref="AA22:AB22"/>
    <mergeCell ref="AI21:AJ21"/>
    <mergeCell ref="AI19:AJ19"/>
    <mergeCell ref="AJ28:AK28"/>
    <mergeCell ref="AI23:AJ23"/>
    <mergeCell ref="AI20:AJ20"/>
    <mergeCell ref="AI15:AJ15"/>
    <mergeCell ref="AI17:AJ17"/>
    <mergeCell ref="AI16:AJ16"/>
    <mergeCell ref="AN4:AO4"/>
    <mergeCell ref="J8:N8"/>
    <mergeCell ref="J4:N4"/>
    <mergeCell ref="E4:I4"/>
    <mergeCell ref="B9:D9"/>
    <mergeCell ref="B8:D8"/>
    <mergeCell ref="E8:I8"/>
    <mergeCell ref="E5:I5"/>
    <mergeCell ref="E6:I6"/>
    <mergeCell ref="B6:D6"/>
    <mergeCell ref="B7:D7"/>
    <mergeCell ref="B5:D5"/>
    <mergeCell ref="B4:D4"/>
    <mergeCell ref="A2:AG2"/>
    <mergeCell ref="A3:AG3"/>
    <mergeCell ref="A1:AG1"/>
    <mergeCell ref="R4:AF4"/>
    <mergeCell ref="E7:I7"/>
    <mergeCell ref="J7:N7"/>
    <mergeCell ref="J6:N6"/>
    <mergeCell ref="J5:N5"/>
    <mergeCell ref="Y22:Z22"/>
    <mergeCell ref="Y23:Z23"/>
    <mergeCell ref="Y20:Z20"/>
    <mergeCell ref="V23:W23"/>
    <mergeCell ref="Q13:U13"/>
    <mergeCell ref="A10:AG12"/>
    <mergeCell ref="A13:B13"/>
    <mergeCell ref="E9:I9"/>
    <mergeCell ref="J9:N9"/>
    <mergeCell ref="E13:M13"/>
    <mergeCell ref="V13:Z13"/>
    <mergeCell ref="N13:P13"/>
    <mergeCell ref="T14:U14"/>
    <mergeCell ref="Q14:R14"/>
    <mergeCell ref="Q15:R15"/>
    <mergeCell ref="O15:P15"/>
    <mergeCell ref="T15:U15"/>
    <mergeCell ref="O14:P14"/>
    <mergeCell ref="Q16:R16"/>
    <mergeCell ref="O16:P16"/>
    <mergeCell ref="Q20:R20"/>
    <mergeCell ref="Q18:R18"/>
    <mergeCell ref="O18:P18"/>
    <mergeCell ref="O17:P17"/>
    <mergeCell ref="E17:M17"/>
    <mergeCell ref="E18:M18"/>
    <mergeCell ref="E14:M14"/>
    <mergeCell ref="E15:M15"/>
    <mergeCell ref="E16:M16"/>
    <mergeCell ref="T16:U16"/>
    <mergeCell ref="T19:U19"/>
    <mergeCell ref="T20:U20"/>
    <mergeCell ref="Y19:Z19"/>
    <mergeCell ref="Q17:R17"/>
    <mergeCell ref="O20:P20"/>
    <mergeCell ref="Y14:Z14"/>
    <mergeCell ref="Y15:Z15"/>
    <mergeCell ref="V16:W16"/>
    <mergeCell ref="V19:W19"/>
    <mergeCell ref="V15:W15"/>
    <mergeCell ref="V17:W17"/>
    <mergeCell ref="V14:W14"/>
    <mergeCell ref="T17:U17"/>
    <mergeCell ref="T18:U18"/>
    <mergeCell ref="V18:W18"/>
    <mergeCell ref="Y18:Z18"/>
    <mergeCell ref="E21:M21"/>
    <mergeCell ref="E20:M20"/>
    <mergeCell ref="E23:M23"/>
    <mergeCell ref="E22:M22"/>
    <mergeCell ref="E19:M19"/>
    <mergeCell ref="V20:W20"/>
    <mergeCell ref="V21:W21"/>
    <mergeCell ref="T23:U23"/>
    <mergeCell ref="T21:U21"/>
    <mergeCell ref="T22:U22"/>
    <mergeCell ref="Q19:R19"/>
    <mergeCell ref="O19:P19"/>
    <mergeCell ref="V22:W22"/>
    <mergeCell ref="O21:P21"/>
    <mergeCell ref="Q21:R21"/>
    <mergeCell ref="O22:P22"/>
    <mergeCell ref="O23:P23"/>
    <mergeCell ref="Q23:R23"/>
    <mergeCell ref="Q22:R22"/>
    <mergeCell ref="AA19:AB19"/>
    <mergeCell ref="AA20:AB20"/>
    <mergeCell ref="AD21:AE21"/>
    <mergeCell ref="AD20:AE20"/>
    <mergeCell ref="AA17:AB17"/>
    <mergeCell ref="AA18:AB18"/>
    <mergeCell ref="AA21:AB21"/>
    <mergeCell ref="Y16:Z16"/>
    <mergeCell ref="Y17:Z17"/>
    <mergeCell ref="Y21:Z21"/>
    <mergeCell ref="AI14:AJ14"/>
    <mergeCell ref="AI13:AJ13"/>
    <mergeCell ref="AD15:AE15"/>
    <mergeCell ref="AD14:AE14"/>
    <mergeCell ref="AA13:AE13"/>
    <mergeCell ref="AD17:AE17"/>
    <mergeCell ref="AD16:AE16"/>
    <mergeCell ref="AA15:AB15"/>
    <mergeCell ref="AA16:AB16"/>
    <mergeCell ref="AA14:AB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outlinePr summaryBelow="0" summaryRight="0"/>
  </sheetPr>
  <dimension ref="A1:L10"/>
  <sheetViews>
    <sheetView showGridLines="0" workbookViewId="0"/>
  </sheetViews>
  <sheetFormatPr baseColWidth="10" defaultColWidth="17.33203125" defaultRowHeight="15" customHeight="1" x14ac:dyDescent="0.2"/>
  <cols>
    <col min="1" max="1" width="5.1640625" customWidth="1"/>
    <col min="2" max="10" width="15.6640625" customWidth="1"/>
    <col min="11" max="11" width="6.5" customWidth="1"/>
    <col min="12" max="12" width="40" hidden="1" customWidth="1"/>
  </cols>
  <sheetData>
    <row r="1" spans="1:12" ht="33.75" customHeight="1" x14ac:dyDescent="0.2">
      <c r="A1" s="138" t="s">
        <v>2</v>
      </c>
      <c r="B1" s="136"/>
      <c r="C1" s="136"/>
      <c r="D1" s="136"/>
      <c r="E1" s="136"/>
      <c r="F1" s="136"/>
      <c r="G1" s="136"/>
      <c r="H1" s="136"/>
      <c r="I1" s="136"/>
      <c r="K1" s="2"/>
      <c r="L1" s="2"/>
    </row>
    <row r="2" spans="1:12" ht="11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39.75" customHeight="1" x14ac:dyDescent="0.2">
      <c r="A3" s="4"/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8"/>
      <c r="L3" s="9" t="s">
        <v>13</v>
      </c>
    </row>
    <row r="4" spans="1:12" ht="39.75" customHeight="1" x14ac:dyDescent="0.2">
      <c r="A4" s="11">
        <v>1</v>
      </c>
      <c r="B4" s="13" t="s">
        <v>15</v>
      </c>
      <c r="C4" s="18" t="s">
        <v>16</v>
      </c>
      <c r="D4" s="18" t="s">
        <v>27</v>
      </c>
      <c r="E4" s="18" t="s">
        <v>28</v>
      </c>
      <c r="F4" s="18" t="s">
        <v>29</v>
      </c>
      <c r="G4" s="18" t="s">
        <v>30</v>
      </c>
      <c r="H4" s="18" t="s">
        <v>31</v>
      </c>
      <c r="I4" s="18" t="s">
        <v>32</v>
      </c>
      <c r="J4" s="18" t="s">
        <v>33</v>
      </c>
      <c r="K4" s="20"/>
      <c r="L4" s="21" t="s">
        <v>34</v>
      </c>
    </row>
    <row r="5" spans="1:12" ht="39.75" customHeight="1" x14ac:dyDescent="0.2">
      <c r="A5" s="11">
        <v>2</v>
      </c>
      <c r="B5" s="18" t="s">
        <v>35</v>
      </c>
      <c r="C5" s="18" t="s">
        <v>36</v>
      </c>
      <c r="D5" s="18" t="s">
        <v>37</v>
      </c>
      <c r="E5" s="18" t="s">
        <v>38</v>
      </c>
      <c r="F5" s="18" t="s">
        <v>39</v>
      </c>
      <c r="G5" s="18" t="s">
        <v>40</v>
      </c>
      <c r="H5" s="18" t="s">
        <v>41</v>
      </c>
      <c r="I5" s="18" t="s">
        <v>42</v>
      </c>
      <c r="J5" s="18" t="s">
        <v>43</v>
      </c>
      <c r="K5" s="20"/>
      <c r="L5" s="21" t="s">
        <v>44</v>
      </c>
    </row>
    <row r="6" spans="1:12" ht="39.75" customHeight="1" x14ac:dyDescent="0.2">
      <c r="A6" s="11">
        <v>3</v>
      </c>
      <c r="B6" s="18" t="s">
        <v>45</v>
      </c>
      <c r="C6" s="18" t="s">
        <v>47</v>
      </c>
      <c r="D6" s="13" t="s">
        <v>49</v>
      </c>
      <c r="E6" s="18" t="s">
        <v>50</v>
      </c>
      <c r="F6" s="18" t="s">
        <v>51</v>
      </c>
      <c r="G6" s="18" t="s">
        <v>53</v>
      </c>
      <c r="H6" s="18" t="s">
        <v>55</v>
      </c>
      <c r="I6" s="18" t="s">
        <v>57</v>
      </c>
      <c r="J6" s="18" t="s">
        <v>59</v>
      </c>
      <c r="K6" s="20"/>
      <c r="L6" s="21" t="s">
        <v>60</v>
      </c>
    </row>
    <row r="7" spans="1:12" ht="39.75" customHeight="1" x14ac:dyDescent="0.2">
      <c r="A7" s="11">
        <v>4</v>
      </c>
      <c r="B7" s="18" t="s">
        <v>62</v>
      </c>
      <c r="C7" s="18" t="s">
        <v>63</v>
      </c>
      <c r="D7" s="18" t="s">
        <v>64</v>
      </c>
      <c r="E7" s="18" t="s">
        <v>66</v>
      </c>
      <c r="F7" s="18" t="s">
        <v>68</v>
      </c>
      <c r="G7" s="18" t="s">
        <v>69</v>
      </c>
      <c r="H7" s="18" t="s">
        <v>72</v>
      </c>
      <c r="I7" s="18" t="s">
        <v>73</v>
      </c>
      <c r="J7" s="18" t="s">
        <v>74</v>
      </c>
      <c r="K7" s="20"/>
      <c r="L7" s="21" t="s">
        <v>79</v>
      </c>
    </row>
    <row r="8" spans="1:12" ht="39.75" customHeight="1" x14ac:dyDescent="0.2">
      <c r="A8" s="11">
        <v>5</v>
      </c>
      <c r="B8" s="18" t="s">
        <v>81</v>
      </c>
      <c r="C8" s="18" t="s">
        <v>85</v>
      </c>
      <c r="D8" s="18" t="s">
        <v>86</v>
      </c>
      <c r="E8" s="18" t="s">
        <v>89</v>
      </c>
      <c r="F8" s="18" t="s">
        <v>91</v>
      </c>
      <c r="G8" s="18" t="s">
        <v>93</v>
      </c>
      <c r="H8" s="18" t="s">
        <v>94</v>
      </c>
      <c r="I8" s="18" t="s">
        <v>113</v>
      </c>
      <c r="J8" s="18" t="s">
        <v>114</v>
      </c>
      <c r="K8" s="20"/>
      <c r="L8" s="21" t="s">
        <v>115</v>
      </c>
    </row>
    <row r="9" spans="1:12" ht="39.75" customHeight="1" x14ac:dyDescent="0.2">
      <c r="A9" s="6">
        <v>6</v>
      </c>
      <c r="B9" s="18" t="s">
        <v>116</v>
      </c>
      <c r="C9" s="6" t="s">
        <v>117</v>
      </c>
      <c r="D9" s="18" t="s">
        <v>46</v>
      </c>
      <c r="E9" s="6" t="s">
        <v>117</v>
      </c>
      <c r="F9" s="6" t="s">
        <v>117</v>
      </c>
      <c r="G9" s="18" t="s">
        <v>110</v>
      </c>
      <c r="H9" s="18" t="s">
        <v>118</v>
      </c>
      <c r="I9" s="6" t="s">
        <v>117</v>
      </c>
      <c r="J9" s="6" t="s">
        <v>117</v>
      </c>
      <c r="K9" s="20"/>
      <c r="L9" s="21" t="s">
        <v>119</v>
      </c>
    </row>
    <row r="10" spans="1:12" ht="39.75" customHeight="1" x14ac:dyDescent="0.2">
      <c r="A10" s="28"/>
      <c r="B10" s="20"/>
      <c r="C10" s="20"/>
      <c r="D10" s="20"/>
      <c r="E10" s="20"/>
      <c r="F10" s="28"/>
      <c r="G10" s="28"/>
      <c r="H10" s="28"/>
      <c r="I10" s="28"/>
      <c r="J10" s="28"/>
      <c r="K10" s="20"/>
      <c r="L10" s="21"/>
    </row>
  </sheetData>
  <mergeCells count="1">
    <mergeCell ref="A1:I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AR32"/>
  <sheetViews>
    <sheetView showGridLines="0" workbookViewId="0"/>
  </sheetViews>
  <sheetFormatPr baseColWidth="10" defaultColWidth="17.33203125" defaultRowHeight="15" customHeight="1" x14ac:dyDescent="0.2"/>
  <cols>
    <col min="1" max="1" width="4.1640625" customWidth="1"/>
    <col min="2" max="2" width="3.5" customWidth="1"/>
    <col min="3" max="3" width="25.6640625" customWidth="1"/>
    <col min="4" max="4" width="4.5" customWidth="1"/>
    <col min="5" max="5" width="3.33203125" customWidth="1"/>
    <col min="6" max="6" width="10.33203125" customWidth="1"/>
    <col min="7" max="7" width="9.6640625" customWidth="1"/>
    <col min="8" max="9" width="3.33203125" hidden="1" customWidth="1"/>
    <col min="10" max="14" width="3.33203125" customWidth="1"/>
    <col min="15" max="15" width="13.33203125" customWidth="1"/>
    <col min="16" max="16" width="13.1640625" customWidth="1"/>
    <col min="17" max="19" width="4" customWidth="1"/>
    <col min="20" max="22" width="3.33203125" customWidth="1"/>
    <col min="23" max="23" width="4" customWidth="1"/>
    <col min="24" max="25" width="3.33203125" customWidth="1"/>
    <col min="26" max="27" width="4" customWidth="1"/>
    <col min="28" max="31" width="3.33203125" customWidth="1"/>
    <col min="32" max="32" width="4.5" customWidth="1"/>
    <col min="33" max="33" width="15.33203125" customWidth="1"/>
    <col min="34" max="34" width="12.1640625" customWidth="1"/>
    <col min="35" max="35" width="13.1640625" customWidth="1"/>
    <col min="36" max="36" width="4.1640625" customWidth="1"/>
    <col min="37" max="37" width="7.1640625" customWidth="1"/>
    <col min="38" max="38" width="2.1640625" customWidth="1"/>
    <col min="39" max="39" width="7.1640625" customWidth="1"/>
    <col min="40" max="40" width="6.5" customWidth="1"/>
    <col min="41" max="44" width="8.83203125" customWidth="1"/>
  </cols>
  <sheetData>
    <row r="1" spans="1:44" ht="30.75" customHeight="1" x14ac:dyDescent="0.35">
      <c r="A1" s="180" t="s">
        <v>181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38"/>
      <c r="AI1" s="39"/>
      <c r="AJ1" s="39"/>
      <c r="AK1" s="39"/>
      <c r="AL1" s="39"/>
      <c r="AM1" s="39"/>
      <c r="AN1" s="39"/>
      <c r="AO1" s="1"/>
      <c r="AP1" s="1"/>
      <c r="AQ1" s="1"/>
      <c r="AR1" s="1"/>
    </row>
    <row r="2" spans="1:44" ht="30.75" customHeight="1" x14ac:dyDescent="0.35">
      <c r="A2" s="180" t="str">
        <f>+'Women''s Master'!F3</f>
        <v>CT11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38"/>
      <c r="AI2" s="39"/>
      <c r="AJ2" s="39"/>
      <c r="AK2" s="39"/>
      <c r="AL2" s="39"/>
      <c r="AM2" s="39"/>
      <c r="AN2" s="39"/>
      <c r="AO2" s="1"/>
      <c r="AP2" s="1"/>
      <c r="AQ2" s="1"/>
      <c r="AR2" s="1"/>
    </row>
    <row r="3" spans="1:44" ht="42.75" customHeight="1" x14ac:dyDescent="0.45">
      <c r="A3" s="180" t="str">
        <f>RIGHT(A2,2)</f>
        <v>11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40"/>
      <c r="AI3" s="41" t="s">
        <v>153</v>
      </c>
      <c r="AJ3" s="41"/>
      <c r="AK3" s="41"/>
      <c r="AL3" s="41"/>
      <c r="AM3" s="41"/>
      <c r="AN3" s="41"/>
      <c r="AO3" s="5"/>
      <c r="AP3" s="5"/>
      <c r="AQ3" s="5"/>
      <c r="AR3" s="5" t="s">
        <v>154</v>
      </c>
    </row>
    <row r="4" spans="1:44" ht="27" customHeight="1" x14ac:dyDescent="0.2">
      <c r="A4" s="42"/>
      <c r="B4" s="179" t="s">
        <v>102</v>
      </c>
      <c r="C4" s="173"/>
      <c r="D4" s="173"/>
      <c r="E4" s="155" t="s">
        <v>155</v>
      </c>
      <c r="F4" s="156"/>
      <c r="G4" s="156"/>
      <c r="H4" s="156"/>
      <c r="I4" s="157"/>
      <c r="J4" s="165" t="s">
        <v>156</v>
      </c>
      <c r="K4" s="156"/>
      <c r="L4" s="156"/>
      <c r="M4" s="156"/>
      <c r="N4" s="166"/>
      <c r="O4" s="43" t="s">
        <v>157</v>
      </c>
      <c r="P4" s="44" t="s">
        <v>158</v>
      </c>
      <c r="Q4" s="45"/>
      <c r="R4" s="194" t="s">
        <v>159</v>
      </c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53"/>
      <c r="AG4" s="46" t="s">
        <v>160</v>
      </c>
      <c r="AH4" s="47" t="s">
        <v>161</v>
      </c>
      <c r="AI4" s="47" t="s">
        <v>162</v>
      </c>
      <c r="AJ4" s="193" t="s">
        <v>163</v>
      </c>
      <c r="AK4" s="153"/>
      <c r="AL4" s="47" t="s">
        <v>164</v>
      </c>
      <c r="AM4" s="48"/>
      <c r="AN4" s="190" t="s">
        <v>165</v>
      </c>
      <c r="AO4" s="191"/>
      <c r="AP4" s="192" t="s">
        <v>166</v>
      </c>
      <c r="AQ4" s="191"/>
      <c r="AR4" s="50" t="s">
        <v>167</v>
      </c>
    </row>
    <row r="5" spans="1:44" ht="15.75" customHeight="1" x14ac:dyDescent="0.2">
      <c r="A5" s="51">
        <f t="shared" ref="A5:A9" si="0">AR5</f>
        <v>5</v>
      </c>
      <c r="B5" s="172" t="str">
        <f>+'Women''s Master'!F4</f>
        <v>NY Freemason B</v>
      </c>
      <c r="C5" s="173"/>
      <c r="D5" s="173"/>
      <c r="E5" s="171">
        <f>SUM(IF(AG14=B5,1,0),IF(AG16=C16,1,0),IF(AG19=C19,1,0),IF(AG22=C22,1,0))</f>
        <v>0</v>
      </c>
      <c r="F5" s="162"/>
      <c r="G5" s="162"/>
      <c r="H5" s="162"/>
      <c r="I5" s="153"/>
      <c r="J5" s="169">
        <f>SUM(IF(AG14=C14,0,1),IF(AG16=C16,0,1),IF(AG19=C19,0,1),IF(AG22=C22,0,1))</f>
        <v>4</v>
      </c>
      <c r="K5" s="162"/>
      <c r="L5" s="162"/>
      <c r="M5" s="162"/>
      <c r="N5" s="170"/>
      <c r="O5" s="53">
        <f>SUM(IF(AD5&gt;0,1,0),IF(AE5&gt;0,1,0),IF(AF5&gt;0,1,0),IF(U5&gt;0,1,0),IF(V5&gt;0,1,0),IF(W5&gt;0,1,0),IF(X5&gt;0,1,0),IF(Y5&gt;0,1,0),IF(Z5&gt;0,1,0),IF(AA5&gt;0,1,0),IF(AB5&gt;0,1,0),IF(AC5&gt;0,1,0))</f>
        <v>1</v>
      </c>
      <c r="P5" s="52">
        <f>SUM(IF(AD5&lt;0,1,0),IF(AE5&lt;0,1,0),IF(AF5&lt;0,1,0),IF(U5&lt;0,1,0),IF(V5&lt;0,1,0),IF(W5&lt;0,1,0),IF(X5&lt;0,1,0),IF(Y5&lt;0,1,0),IF(Z5&lt;0,1,0),IF(AA5&lt;0,1,0),IF(AB5&lt;0,1,0),IF(AC5&lt;0,1,0))</f>
        <v>7</v>
      </c>
      <c r="Q5" s="54">
        <f>1+SUM(IF(O5&lt;O6,1,0),IF(O5&lt;O7,1,0),IF(O5&lt;O8,1,0),IF(O5&lt;O9,1,0))</f>
        <v>5</v>
      </c>
      <c r="R5" s="55"/>
      <c r="S5" s="56"/>
      <c r="T5" s="56"/>
      <c r="U5" s="57">
        <f>Q14-T14</f>
        <v>-14</v>
      </c>
      <c r="V5" s="57">
        <f>V14-Y14</f>
        <v>-13</v>
      </c>
      <c r="W5" s="57">
        <f>AA14-AD14</f>
        <v>0</v>
      </c>
      <c r="X5" s="57">
        <f>Q19-T19</f>
        <v>-4</v>
      </c>
      <c r="Y5" s="57">
        <f>V19-Y19</f>
        <v>-10</v>
      </c>
      <c r="Z5" s="57">
        <f>AA19-AD19</f>
        <v>0</v>
      </c>
      <c r="AA5" s="58">
        <f>Q22-T22</f>
        <v>-3</v>
      </c>
      <c r="AB5" s="58">
        <f>V22-Y22</f>
        <v>-4</v>
      </c>
      <c r="AC5" s="58">
        <f>AA22-AD22</f>
        <v>0</v>
      </c>
      <c r="AD5" s="58">
        <f>Q16-T16</f>
        <v>3</v>
      </c>
      <c r="AE5" s="58">
        <f>V16-Y16</f>
        <v>-6</v>
      </c>
      <c r="AF5" s="58">
        <f>AA16-AD16</f>
        <v>0</v>
      </c>
      <c r="AG5" s="58" t="b">
        <f>IF(Q5=Q6,IF(SUM(U5:W5)&gt;0,B5,B6),  IF(Q5=Q7,IF(SUM(X5:Z5)&gt;0, B5,B7),IF(Q5=Q8,IF(SUM(AA5:AC5)&gt;0, B5,B8),IF(Q5=Q9,IF(SUM(AD5:AF5)&lt;0,B5,B9)))))</f>
        <v>0</v>
      </c>
      <c r="AH5" s="58" t="b">
        <f>IF(Q5=Q6,IF(SUM(U5:W5)&lt;0,B5,B6),  IF(Q5=Q7,IF(SUM(X5:Z5)&lt;0, B5,B7),IF(Q5=Q8,IF(SUM(AA5:AC5)&lt;0, B5,B8),IF(Q5=Q9, IF(SUM(AD5:AF5)&lt;0,B5,B9)))))</f>
        <v>0</v>
      </c>
      <c r="AI5" s="60">
        <f t="shared" ref="AI5:AI9" si="1">Q5+IF(COUNTIF($AG$5:$AG$9,B5)&gt;0,0, IF(COUNTIF($AH$5:$AH$9,B5)&gt;0,1,0))</f>
        <v>5</v>
      </c>
      <c r="AJ5" s="61">
        <f t="shared" ref="AJ5:AJ9" si="2">SUM(R5:AF5)</f>
        <v>-51</v>
      </c>
      <c r="AK5" s="62">
        <f>1+SUM(IF(AJ5&lt;AJ6,1,0),IF(AJ5&lt;AJ7,1,0),IF(AJ5&lt;AJ8,1,0),IF(AJ5&lt;AJ9,1,0))</f>
        <v>5</v>
      </c>
      <c r="AL5" s="63">
        <f t="shared" ref="AL5:AL9" si="3">IF(SUM(E5,J5)=0,0,E5/(E5+J5))</f>
        <v>0</v>
      </c>
      <c r="AM5" s="62">
        <f>1+SUM(IF(AL5&lt;AL6,1,0),IF(AL5&lt;AL7,1,0),IF(AL5&lt;AL8,1,0),IF(AL5&lt;AL9,1,0))</f>
        <v>5</v>
      </c>
      <c r="AN5" s="64">
        <f t="shared" ref="AN5:AN9" si="4">IF(SUM(O5+P5)=0,0,O5/(O5+P5))</f>
        <v>0.125</v>
      </c>
      <c r="AO5" s="65">
        <f>1+SUM(IF(AN5&lt;AN6,1,0),IF(AN5&lt;AN7,1,0),IF(AN5&lt;AN8,1,0),IF(AN5&lt;AN9,1,0))</f>
        <v>5</v>
      </c>
      <c r="AP5" s="106">
        <f t="shared" ref="AP5:AP9" si="5">AJ5/SUM(O5:P5)</f>
        <v>-6.375</v>
      </c>
      <c r="AQ5" s="67">
        <f>1+SUM(IF(AP5&lt;AP6,1,0),IF(AP5&lt;AP7,1,0),IF(AP5&lt;AP8,1,0),IF(AP5&lt;AP9,1,0))</f>
        <v>5</v>
      </c>
      <c r="AR5" s="68">
        <f>1+SUM(IF(Q5&gt;Q6,1,IF(AND(Q5=Q6,AK5&gt;AK6),1,IF(AND(Q5=Q6,AK5=AK6),1,0))),IF(Q5&gt;Q7,1,IF(AND(Q5=Q7,AK5&gt;AK7),1,IF(AND(Q5=Q7,AK5=AK7),1,0))),IF(Q5&gt;Q8,1,IF(AND(Q5=Q8,AK5&gt;AK8),1,IF(AND(Q5=Q8,AK5=AK8),1,0))),IF(Q5&gt;Q9,1,IF(AND(Q5=Q9,AK5&gt;AK9),1,IF(AND(Q5=Q9,AK5=AK9),1,0))))</f>
        <v>5</v>
      </c>
    </row>
    <row r="6" spans="1:44" ht="15.75" customHeight="1" x14ac:dyDescent="0.2">
      <c r="A6" s="51">
        <f t="shared" si="0"/>
        <v>1</v>
      </c>
      <c r="B6" s="172" t="str">
        <f>+'Women''s Master'!F5</f>
        <v>Toronto Connex C</v>
      </c>
      <c r="C6" s="173"/>
      <c r="D6" s="173"/>
      <c r="E6" s="171">
        <f>SUM(IF(AG14=E14,1,0),IF(AG17=C17,1,0),IF(AG20=C20,1,0),IF(AG23=C23,1,0))</f>
        <v>4</v>
      </c>
      <c r="F6" s="162"/>
      <c r="G6" s="162"/>
      <c r="H6" s="162"/>
      <c r="I6" s="153"/>
      <c r="J6" s="169">
        <f>SUM(IF(AG14=E14,0,1),IF(AG17=C17,0,1),IF(AG20=C20,0,1),IF(AG23=C23,0,1))</f>
        <v>0</v>
      </c>
      <c r="K6" s="162"/>
      <c r="L6" s="162"/>
      <c r="M6" s="162"/>
      <c r="N6" s="170"/>
      <c r="O6" s="53">
        <f>SUM(IF(AD6&gt;0,1,0),IF(AE6&gt;0,1,0),IF(AF6&gt;0,1,0),IF(R6&gt;0,1,0),IF(S6&gt;0,1,0),IF(T6&gt;0,1,0),IF(X6&gt;0,1,0),IF(Y6&gt;0,1,0),IF(Z6&gt;0,1,0),IF(AA6&gt;0,1,0),IF(AB6&gt;0,1,0),IF(AC6&gt;0,1,0))</f>
        <v>8</v>
      </c>
      <c r="P6" s="52">
        <f>SUM(IF(AD6&lt;0,1,0),IF(AE6&lt;0,1,0),IF(AF6&lt;0,1,0),IF(R6&lt;0,1,0),IF(S6&lt;0,1,0),IF(T6&lt;0,1,0),IF(X6&lt;0,1,0),IF(Y6&lt;0,1,0),IF(Z6&lt;0,1,0),IF(AA6&lt;0,1,0),IF(AB6&lt;0,1,0),IF(AC6&lt;0,1,0))</f>
        <v>0</v>
      </c>
      <c r="Q6" s="54">
        <f>1+SUM(IF(O6&lt;O5,1,0),IF(O6&lt;O7,1,0),IF(O6&lt;O8,1,0),IF(O6&lt;O9,1,0))</f>
        <v>1</v>
      </c>
      <c r="R6" s="69">
        <f t="shared" ref="R6:T6" si="6">-U5</f>
        <v>14</v>
      </c>
      <c r="S6" s="58">
        <f t="shared" si="6"/>
        <v>13</v>
      </c>
      <c r="T6" s="58">
        <f t="shared" si="6"/>
        <v>0</v>
      </c>
      <c r="U6" s="56"/>
      <c r="V6" s="56"/>
      <c r="W6" s="56"/>
      <c r="X6" s="57">
        <f>Q17-T17</f>
        <v>10</v>
      </c>
      <c r="Y6" s="57">
        <f>V17-Y17</f>
        <v>9</v>
      </c>
      <c r="Z6" s="57">
        <f>AA17-AD17</f>
        <v>0</v>
      </c>
      <c r="AA6" s="58">
        <f>Q20-T20</f>
        <v>9</v>
      </c>
      <c r="AB6" s="58">
        <f>V20-Y20</f>
        <v>4</v>
      </c>
      <c r="AC6" s="58">
        <f>AA20-AD20</f>
        <v>0</v>
      </c>
      <c r="AD6" s="58">
        <f>Q23-T23</f>
        <v>7</v>
      </c>
      <c r="AE6" s="58">
        <f>V23-Y23</f>
        <v>9</v>
      </c>
      <c r="AF6" s="58">
        <f>AA23-AD23</f>
        <v>0</v>
      </c>
      <c r="AG6" s="58" t="b">
        <f>IF(Q6=Q7,IF(SUM(X6:Z6)&gt;0,B6,B7),IF(Q6=Q8,IF(SUM(AA6:AC6)&gt;0,B6,B8),IF(Q6=Q9,IF(SUM(AD6:AF6)&gt;0, B6,B9))))</f>
        <v>0</v>
      </c>
      <c r="AH6" s="58" t="b">
        <f>IF(Q6=Q7,IF(SUM(X6:Z6)&lt;0,B6,B7),IF(Q6=Q8,IF(SUM(AA6:AC6)&lt;0,B6,B8),IF(Q6=Q9,IF(SUM(AD6:AF6)&lt;0, B6,B9))))</f>
        <v>0</v>
      </c>
      <c r="AI6" s="60">
        <f t="shared" si="1"/>
        <v>1</v>
      </c>
      <c r="AJ6" s="61">
        <f t="shared" si="2"/>
        <v>75</v>
      </c>
      <c r="AK6" s="62">
        <f>1+SUM(IF(AJ6&lt;AJ5,1,0),IF(AJ6&lt;AJ7,1,0),IF(AJ6&lt;AJ8,1,0),IF(AJ6&lt;AJ9,1,0))</f>
        <v>1</v>
      </c>
      <c r="AL6" s="63">
        <f t="shared" si="3"/>
        <v>1</v>
      </c>
      <c r="AM6" s="62">
        <f>1+SUM(IF(AL6&lt;AL5,1,0),IF(AL6&lt;AL7,1,0),IF(AL6&lt;AL8,1,0),IF(AL6&lt;AL9,1,0))</f>
        <v>1</v>
      </c>
      <c r="AN6" s="64">
        <f t="shared" si="4"/>
        <v>1</v>
      </c>
      <c r="AO6" s="65">
        <f>1+SUM(IF(AN6&lt;AN5,1,0),IF(AN6&lt;AN7,1,0),IF(AN6&lt;AN8,1,0),IF(AN6&lt;AN9,1,0))</f>
        <v>1</v>
      </c>
      <c r="AP6" s="106">
        <f t="shared" si="5"/>
        <v>9.375</v>
      </c>
      <c r="AQ6" s="70">
        <f>1+SUM(IF(AP6&lt;AP5,1,0),IF(AP6&lt;AP7,1,0),IF(AP6&lt;AP8,1,0),IF(AP6&lt;AP9,1,0))</f>
        <v>1</v>
      </c>
      <c r="AR6" s="68">
        <f>1+SUM(IF(Q6&gt;Q5,1,IF(AND(Q6=Q5,AK6&gt;AK5),1,IF(AND(Q6=Q5,AK6=AK5),1,0))),IF(Q6&gt;Q7,1,IF(AND(Q6=Q7,AK6&gt;AK7),1,IF(AND(Q6=Q7,AK6=AK7),1,0))),IF(Q6&gt;Q8,1,IF(AND(Q6=Q8,AK6&gt;AK8),1,IF(AND(Q6=Q8,AK6=AK8),1,0))),IF(Q6&gt;Q9,1,IF(AND(Q6=Q9,AK6&gt;AK9),1,IF(AND(Q6=Q9,AK6=AK9),1,0))))</f>
        <v>1</v>
      </c>
    </row>
    <row r="7" spans="1:44" ht="15.75" customHeight="1" x14ac:dyDescent="0.2">
      <c r="A7" s="51">
        <f t="shared" si="0"/>
        <v>4</v>
      </c>
      <c r="B7" s="172" t="str">
        <f>+'Women''s Master'!F6</f>
        <v>Philly Lady Suns</v>
      </c>
      <c r="C7" s="173"/>
      <c r="D7" s="173"/>
      <c r="E7" s="171">
        <f>SUM(IF(AG15=C15,1,0),IF(AG17=E17,1,0),IF(AG19=E19,1,0),IF(AG21=C21,1,0))</f>
        <v>1</v>
      </c>
      <c r="F7" s="162"/>
      <c r="G7" s="162"/>
      <c r="H7" s="162"/>
      <c r="I7" s="153"/>
      <c r="J7" s="169">
        <f>SUM(IF(AG15=C15,0,1),IF(AG17=E17,0,1),IF(AG19=E19,0,1),IF(AG21=C21,0,1))</f>
        <v>3</v>
      </c>
      <c r="K7" s="162"/>
      <c r="L7" s="162"/>
      <c r="M7" s="162"/>
      <c r="N7" s="170"/>
      <c r="O7" s="53">
        <f>SUM(IF(AD7&gt;0,1,0),IF(AE7&gt;0,1,0),IF(AF7&gt;0,1,0),IF(U7&gt;0,1,0),IF(V7&gt;0,1,0),IF(W7&gt;0,1,0),IF(R7&gt;0,1,0),IF(S7&gt;0,1,0),IF(T7&gt;0,1,0),IF(AA7&gt;0,1,0),IF(AB7&gt;0,1,0),IF(AC7&gt;0,1,0))</f>
        <v>2</v>
      </c>
      <c r="P7" s="52">
        <f>SUM(IF(AD7&lt;0,1,0),IF(AE7&lt;0,1,0),IF(AF7&lt;0,1,0),IF(U7&lt;0,1,0),IF(V7&lt;0,1,0),IF(W7&lt;0,1,0),IF(R7&lt;0,1,0),IF(S7&lt;0,1,0),IF(T7&lt;0,1,0),IF(AA7&lt;0,1,0),IF(AB7&lt;0,1,0),IF(AC7&lt;0,1,0))</f>
        <v>6</v>
      </c>
      <c r="Q7" s="54">
        <f>1+SUM(IF(O7&lt;O6,1,0),IF(O7&lt;O5,1,0),IF(O7&lt;O8,1,0),IF(O7&lt;O9,1,0))</f>
        <v>4</v>
      </c>
      <c r="R7" s="69">
        <f t="shared" ref="R7:T7" si="7">-X5</f>
        <v>4</v>
      </c>
      <c r="S7" s="58">
        <f t="shared" si="7"/>
        <v>10</v>
      </c>
      <c r="T7" s="58">
        <f t="shared" si="7"/>
        <v>0</v>
      </c>
      <c r="U7" s="58">
        <f t="shared" ref="U7:W7" si="8">-X6</f>
        <v>-10</v>
      </c>
      <c r="V7" s="58">
        <f t="shared" si="8"/>
        <v>-9</v>
      </c>
      <c r="W7" s="58">
        <f t="shared" si="8"/>
        <v>0</v>
      </c>
      <c r="X7" s="71"/>
      <c r="Y7" s="71"/>
      <c r="Z7" s="71"/>
      <c r="AA7" s="58">
        <f>Q15-T15</f>
        <v>-2</v>
      </c>
      <c r="AB7" s="58">
        <f>V15-Y15</f>
        <v>-8</v>
      </c>
      <c r="AC7" s="58">
        <f>AA15-AD15</f>
        <v>0</v>
      </c>
      <c r="AD7" s="58">
        <f>Q21-T21</f>
        <v>-5</v>
      </c>
      <c r="AE7" s="58">
        <f>V21-Y21</f>
        <v>-3</v>
      </c>
      <c r="AF7" s="58">
        <f>AA21-AD21</f>
        <v>0</v>
      </c>
      <c r="AG7" s="58" t="b">
        <f>IF(Q7=Q8,IF(SUM(AA7:AC7)&gt;0,B7,B8),IF(Q7=Q9,IF(SUM(AD7:AF7)&gt;0,B7,B9)))</f>
        <v>0</v>
      </c>
      <c r="AH7" s="58" t="b">
        <f>IF(Q7=Q8,IF(SUM(AA7:AC7)&lt;0,B7,B8),IF(Q7=Q9,IF(SUM(AD7:AF7)&lt;0,B7,B9)))</f>
        <v>0</v>
      </c>
      <c r="AI7" s="60">
        <f t="shared" si="1"/>
        <v>4</v>
      </c>
      <c r="AJ7" s="61">
        <f t="shared" si="2"/>
        <v>-23</v>
      </c>
      <c r="AK7" s="62">
        <f>1+SUM(IF(AJ7&lt;AJ6,1,0),IF(AJ7&lt;AJ5,1,0),IF(AJ7&lt;AJ8,1,0),IF(AJ7&lt;AJ9,1,0))</f>
        <v>4</v>
      </c>
      <c r="AL7" s="63">
        <f t="shared" si="3"/>
        <v>0.25</v>
      </c>
      <c r="AM7" s="62">
        <f>1+SUM(IF(AL7&lt;AL6,1,0),IF(AL7&lt;AL5,1,0),IF(AL7&lt;AL8,1,0),IF(AL7&lt;AL9,1,0))</f>
        <v>4</v>
      </c>
      <c r="AN7" s="64">
        <f t="shared" si="4"/>
        <v>0.25</v>
      </c>
      <c r="AO7" s="65">
        <f>1+SUM(IF(AN7&lt;AN6,1,0),IF(AN7&lt;AN5,1,0),IF(AN7&lt;AN8,1,0),IF(AN7&lt;AN9,1,0))</f>
        <v>4</v>
      </c>
      <c r="AP7" s="106">
        <f t="shared" si="5"/>
        <v>-2.875</v>
      </c>
      <c r="AQ7" s="70">
        <f>1+SUM(IF(AP7&lt;AP6,1,0),IF(AP7&lt;AP5,1,0),IF(AP7&lt;AP8,1,0),IF(AP7&lt;AP9,1,0))</f>
        <v>4</v>
      </c>
      <c r="AR7" s="68">
        <f>1+SUM(IF(Q7&gt;Q5,1,IF(AND(Q7=Q5,AK7&gt;AK5),1,IF(AND(Q7=Q5,AK7=AK5),1,0))),IF(Q7&gt;Q6,1,IF(AND(Q7=Q6,AK7&gt;AK6),1,IF(AND(Q7=Q6,AK7=AK6),1,0))),IF(Q7&gt;Q8,1,IF(AND(Q7=Q8,AK7&gt;AK8),1,IF(AND(Q7=Q8,AK7=AK8),1,0))),IF(Q7&gt;Q9,1,IF(AND(Q7=Q9,AK7&gt;AK9),1,IF(AND(Q7=Q9,AK7=AK9),1,0))))</f>
        <v>4</v>
      </c>
    </row>
    <row r="8" spans="1:44" ht="15.75" customHeight="1" x14ac:dyDescent="0.2">
      <c r="A8" s="51">
        <f t="shared" si="0"/>
        <v>2</v>
      </c>
      <c r="B8" s="172" t="str">
        <f>+'Women''s Master'!F7</f>
        <v>NY Impact Synergy</v>
      </c>
      <c r="C8" s="173"/>
      <c r="D8" s="173"/>
      <c r="E8" s="171">
        <f>SUM(IF(AG15=E15,1,0),IF(AG18=C18,1,0),IF(AG20=E20,1,0),IF(AG22=E22,1,0))</f>
        <v>3</v>
      </c>
      <c r="F8" s="162"/>
      <c r="G8" s="162"/>
      <c r="H8" s="162"/>
      <c r="I8" s="153"/>
      <c r="J8" s="169">
        <f>SUM(IF(AG15=E15,0,1),IF(AG18=C18,0,1),IF(AG20=E20,0,1),IF(AG22=E22,0,1))</f>
        <v>1</v>
      </c>
      <c r="K8" s="162"/>
      <c r="L8" s="162"/>
      <c r="M8" s="162"/>
      <c r="N8" s="170"/>
      <c r="O8" s="53">
        <f>SUM(IF(AD8&gt;0,1,0),IF(AE8&gt;0,1,0),IF(AF8&gt;0,1,0),IF(U8&gt;0,1,0),IF(V8&gt;0,1,0),IF(W8&gt;0,1,0),IF(X8&gt;0,1,0),IF(Y8&gt;0,1,0),IF(Z8&gt;0,1,0),IF(R8&gt;0,1,0),IF(S8&gt;0,1,0),IF(T8&gt;0,1,0))</f>
        <v>6</v>
      </c>
      <c r="P8" s="52">
        <f>SUM(IF(AD8&lt;0,1,0),IF(AE8&lt;0,1,0),IF(AF8&lt;0,1,0),IF(U8&lt;0,1,0),IF(V8&lt;0,1,0),IF(W8&lt;0,1,0),IF(R8&lt;0,1,0),IF(S8&lt;0,1,0),IF(T8&lt;0,1,0),IF(X8&lt;0,1,0),IF(Y8&lt;0,1,0),IF(Z8&lt;0,1,0))</f>
        <v>2</v>
      </c>
      <c r="Q8" s="54">
        <f>1+SUM(IF(O8&lt;O6,1,0),IF(O8&lt;O7,1,0),IF(O8&lt;O5,1,0),IF(O8&lt;O9,1,0))</f>
        <v>2</v>
      </c>
      <c r="R8" s="69">
        <f t="shared" ref="R8:T8" si="9">-AA5</f>
        <v>3</v>
      </c>
      <c r="S8" s="58">
        <f t="shared" si="9"/>
        <v>4</v>
      </c>
      <c r="T8" s="58">
        <f t="shared" si="9"/>
        <v>0</v>
      </c>
      <c r="U8" s="58">
        <f t="shared" ref="U8:W8" si="10">-AA6</f>
        <v>-9</v>
      </c>
      <c r="V8" s="58">
        <f t="shared" si="10"/>
        <v>-4</v>
      </c>
      <c r="W8" s="58">
        <f t="shared" si="10"/>
        <v>0</v>
      </c>
      <c r="X8" s="58">
        <f t="shared" ref="X8:Z8" si="11">-AA7</f>
        <v>2</v>
      </c>
      <c r="Y8" s="58">
        <f t="shared" si="11"/>
        <v>8</v>
      </c>
      <c r="Z8" s="58">
        <f t="shared" si="11"/>
        <v>0</v>
      </c>
      <c r="AA8" s="71"/>
      <c r="AB8" s="71"/>
      <c r="AC8" s="71"/>
      <c r="AD8" s="58">
        <f>Q18-T18</f>
        <v>8</v>
      </c>
      <c r="AE8" s="58">
        <f>V18-Y18</f>
        <v>5</v>
      </c>
      <c r="AF8" s="58">
        <f>AA18-AD18</f>
        <v>0</v>
      </c>
      <c r="AG8" s="58" t="b">
        <f>IF(Q8=Q9,IF(SUM(AD8:AF8)&gt;0,B8,B9))</f>
        <v>0</v>
      </c>
      <c r="AH8" s="58" t="b">
        <f>IF(R8=R9,IF(SUM(AE8:AG8)&lt;0,C8,C9))</f>
        <v>0</v>
      </c>
      <c r="AI8" s="60">
        <f t="shared" si="1"/>
        <v>2</v>
      </c>
      <c r="AJ8" s="61">
        <f t="shared" si="2"/>
        <v>17</v>
      </c>
      <c r="AK8" s="72">
        <f>1+SUM(IF(AJ8&lt;AJ6,1,0),IF(AJ8&lt;AJ7,1,0),IF(AJ8&lt;AJ5,1,0),IF(AJ8&lt;AJ9,1,0))</f>
        <v>2</v>
      </c>
      <c r="AL8" s="63">
        <f t="shared" si="3"/>
        <v>0.75</v>
      </c>
      <c r="AM8" s="72">
        <f>1+SUM(IF(AL8&lt;AL6,1,0),IF(AL8&lt;AL7,1,0),IF(AL8&lt;AL5,1,0),IF(AL8&lt;AL9,1,0))</f>
        <v>2</v>
      </c>
      <c r="AN8" s="64">
        <f t="shared" si="4"/>
        <v>0.75</v>
      </c>
      <c r="AO8" s="65">
        <f>1+SUM(IF(AN8&lt;AN6,1,0),IF(AN8&lt;AN7,1,0),IF(AN8&lt;AN5,1,0),IF(AN8&lt;AN9,1,0))</f>
        <v>2</v>
      </c>
      <c r="AP8" s="106">
        <f t="shared" si="5"/>
        <v>2.125</v>
      </c>
      <c r="AQ8" s="73">
        <f>1+SUM(IF(AP8&lt;AP6,1,0),IF(AP8&lt;AP7,1,0),IF(AP8&lt;AP5,1,0),IF(AP8&lt;AP9,1,0))</f>
        <v>2</v>
      </c>
      <c r="AR8" s="68">
        <f>1+SUM(IF(Q8&gt;Q5,1,IF(AND(Q8=Q5,AK8&gt;AK5),1,IF(AND(Q8=Q5,AK8=AK5),1,0))),IF(Q8&gt;Q6,1,IF(AND(Q8=Q6,AK8&gt;AK6),1,IF(AND(Q8=Q6,AK8=AK6),1,0))),IF(Q8&gt;Q7,1,IF(AND(Q8=Q7,AK8&gt;AK7),1,IF(AND(Q8=Q7,AK8=AK7),1,0))),IF(Q8&gt;Q9,1,IF(AND(Q8=Q9,AK8&gt;AK9),1,IF(AND(Q8=Q9,AK8=AK9),1,0))))</f>
        <v>2</v>
      </c>
    </row>
    <row r="9" spans="1:44" ht="15.75" customHeight="1" x14ac:dyDescent="0.2">
      <c r="A9" s="51">
        <f t="shared" si="0"/>
        <v>3</v>
      </c>
      <c r="B9" s="172" t="str">
        <f>+'Women''s Master'!F8</f>
        <v>Toronto Thunder Grey</v>
      </c>
      <c r="C9" s="173"/>
      <c r="D9" s="173"/>
      <c r="E9" s="171">
        <f>SUM(IF(AG16=E16,1,0),IF(AG18=E18,1,0),IF(AG21=E21,1,0),IF(AG23=E23,1,0))</f>
        <v>2</v>
      </c>
      <c r="F9" s="162"/>
      <c r="G9" s="162"/>
      <c r="H9" s="162"/>
      <c r="I9" s="153"/>
      <c r="J9" s="169">
        <f>SUM(IF(AG16=E16,0,1),IF(AG18=E18,0,1),IF(AG21=E21,0,1),IF(AG23=E23,0,1))</f>
        <v>2</v>
      </c>
      <c r="K9" s="162"/>
      <c r="L9" s="162"/>
      <c r="M9" s="162"/>
      <c r="N9" s="170"/>
      <c r="O9" s="53">
        <f>SUM(IF(R9&gt;0,1,0),IF(S9&gt;0,1,0),IF(T9&gt;0,1,0),IF(U9&gt;0,1,0),IF(V9&gt;0,1,0),IF(W9&gt;0,1,0),IF(X9&gt;0,1,0),IF(Y9&gt;0,1,0),IF(Z9&gt;0,1,0),IF(AA9&gt;0,1,0),IF(AB9&gt;0,1,0),IF(AC9&gt;0,1,0))</f>
        <v>3</v>
      </c>
      <c r="P9" s="52">
        <f>SUM(IF(R9&lt;0,1,0),IF(S9&lt;0,1,0),IF(T9&lt;0,1,0),IF(U9&lt;0,1,0),IF(V9&lt;0,1,0),IF(W9&lt;0,1,0),IF(X9&lt;0,1,0),IF(Y9&lt;0,1,0),IF(Z9&lt;0,1,0),IF(AA9&lt;0,1,0),IF(AB9&lt;0,1,0),IF(AC9&lt;0,1,0))</f>
        <v>5</v>
      </c>
      <c r="Q9" s="54">
        <f>1+SUM(IF(O9&lt;O6,1,0),IF(O9&lt;O7,1,0),IF(O9&lt;O8,1,0),IF(O9&lt;O5,1,0))</f>
        <v>3</v>
      </c>
      <c r="R9" s="74">
        <f t="shared" ref="R9:T9" si="12">-AD5</f>
        <v>-3</v>
      </c>
      <c r="S9" s="75">
        <f t="shared" si="12"/>
        <v>6</v>
      </c>
      <c r="T9" s="75">
        <f t="shared" si="12"/>
        <v>0</v>
      </c>
      <c r="U9" s="75">
        <f t="shared" ref="U9:W9" si="13">-AD6</f>
        <v>-7</v>
      </c>
      <c r="V9" s="75">
        <f t="shared" si="13"/>
        <v>-9</v>
      </c>
      <c r="W9" s="75">
        <f t="shared" si="13"/>
        <v>0</v>
      </c>
      <c r="X9" s="75">
        <f t="shared" ref="X9:Z9" si="14">-AD7</f>
        <v>5</v>
      </c>
      <c r="Y9" s="75">
        <f t="shared" si="14"/>
        <v>3</v>
      </c>
      <c r="Z9" s="75">
        <f t="shared" si="14"/>
        <v>0</v>
      </c>
      <c r="AA9" s="75">
        <f t="shared" ref="AA9:AC9" si="15">-AD8</f>
        <v>-8</v>
      </c>
      <c r="AB9" s="75">
        <f t="shared" si="15"/>
        <v>-5</v>
      </c>
      <c r="AC9" s="75">
        <f t="shared" si="15"/>
        <v>0</v>
      </c>
      <c r="AD9" s="76"/>
      <c r="AE9" s="76"/>
      <c r="AF9" s="76"/>
      <c r="AG9" s="77" t="s">
        <v>168</v>
      </c>
      <c r="AH9" s="77" t="s">
        <v>168</v>
      </c>
      <c r="AI9" s="60">
        <f t="shared" si="1"/>
        <v>3</v>
      </c>
      <c r="AJ9" s="78">
        <f t="shared" si="2"/>
        <v>-18</v>
      </c>
      <c r="AK9" s="72">
        <f>1+SUM(IF(AJ9&lt;AJ6,1,0),IF(AJ9&lt;AJ7,1,0),IF(AJ9&lt;AJ8,1,0),IF(AJ9&lt;AJ5,1,0))</f>
        <v>3</v>
      </c>
      <c r="AL9" s="79">
        <f t="shared" si="3"/>
        <v>0.5</v>
      </c>
      <c r="AM9" s="72">
        <f>1+SUM(IF(AL9&lt;AL6,1,0),IF(AL9&lt;AL7,1,0),IF(AL9&lt;AL8,1,0),IF(AL9&lt;AL5,1,0))</f>
        <v>3</v>
      </c>
      <c r="AN9" s="64">
        <f t="shared" si="4"/>
        <v>0.375</v>
      </c>
      <c r="AO9" s="65">
        <f>1+SUM(IF(AN9&lt;AN6,1,0),IF(AN9&lt;AN7,1,0),IF(AN9&lt;AN8,1,0),IF(AN9&lt;AN5,1,0))</f>
        <v>3</v>
      </c>
      <c r="AP9" s="106">
        <f t="shared" si="5"/>
        <v>-2.25</v>
      </c>
      <c r="AQ9" s="73">
        <f>1+SUM(IF(AP9&lt;AP6,1,0),IF(AP9&lt;AP7,1,0),IF(AP9&lt;AP8,1,0),IF(AP9&lt;AP5,1,0))</f>
        <v>3</v>
      </c>
      <c r="AR9" s="68">
        <f>1+SUM(IF(Q9&gt;Q5,1,IF(AND(Q9=Q5,AK9&gt;AK5),1,IF(AND(Q9=Q5,AK9=AK5),1,0))),IF(Q9&gt;Q6,1,IF(AND(Q9=Q6,AK9&gt;AK6),1,IF(AND(Q9=Q6,AK9=AK6),1,0))),IF(Q9&gt;Q7,1,IF(AND(Q9=Q7,AK9&gt;AK7),1,IF(AND(Q9=Q7,AK9=AK7),1,0))),IF(Q9&gt;Q8,1,IF(AND(Q9=Q8,AK9&gt;AK8),1,IF(AND(Q9=Q8,AK9=AK8),1,0))))</f>
        <v>3</v>
      </c>
    </row>
    <row r="10" spans="1:44" ht="12.75" customHeight="1" x14ac:dyDescent="0.2">
      <c r="A10" s="174"/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80"/>
      <c r="AI10" s="41"/>
      <c r="AJ10" s="41"/>
      <c r="AK10" s="41"/>
      <c r="AL10" s="41"/>
      <c r="AM10" s="41"/>
      <c r="AN10" s="41"/>
      <c r="AO10" s="5"/>
      <c r="AP10" s="5"/>
      <c r="AQ10" s="5"/>
      <c r="AR10" s="5"/>
    </row>
    <row r="11" spans="1:44" ht="12.75" customHeight="1" x14ac:dyDescent="0.2">
      <c r="A11" s="136"/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80"/>
      <c r="AI11" s="41"/>
      <c r="AJ11" s="41"/>
      <c r="AK11" s="41"/>
      <c r="AL11" s="41"/>
      <c r="AM11" s="41"/>
      <c r="AN11" s="41"/>
      <c r="AO11" s="5"/>
      <c r="AP11" s="5"/>
      <c r="AQ11" s="5"/>
      <c r="AR11" s="5"/>
    </row>
    <row r="12" spans="1:44" ht="13.5" customHeight="1" x14ac:dyDescent="0.2">
      <c r="A12" s="136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80"/>
      <c r="AI12" s="41"/>
      <c r="AJ12" s="41"/>
      <c r="AK12" s="41"/>
      <c r="AL12" s="41"/>
      <c r="AM12" s="41"/>
      <c r="AN12" s="41"/>
      <c r="AO12" s="5"/>
      <c r="AP12" s="5"/>
      <c r="AQ12" s="5"/>
      <c r="AR12" s="5"/>
    </row>
    <row r="13" spans="1:44" ht="13.5" customHeight="1" x14ac:dyDescent="0.2">
      <c r="A13" s="167"/>
      <c r="B13" s="136"/>
      <c r="C13" s="81" t="s">
        <v>169</v>
      </c>
      <c r="D13" s="82" t="s">
        <v>170</v>
      </c>
      <c r="E13" s="165" t="s">
        <v>169</v>
      </c>
      <c r="F13" s="156"/>
      <c r="G13" s="156"/>
      <c r="H13" s="156"/>
      <c r="I13" s="156"/>
      <c r="J13" s="156"/>
      <c r="K13" s="156"/>
      <c r="L13" s="156"/>
      <c r="M13" s="166"/>
      <c r="N13" s="176" t="s">
        <v>171</v>
      </c>
      <c r="O13" s="177"/>
      <c r="P13" s="178"/>
      <c r="Q13" s="155" t="s">
        <v>172</v>
      </c>
      <c r="R13" s="156"/>
      <c r="S13" s="156"/>
      <c r="T13" s="156"/>
      <c r="U13" s="166"/>
      <c r="V13" s="175" t="s">
        <v>173</v>
      </c>
      <c r="W13" s="156"/>
      <c r="X13" s="156"/>
      <c r="Y13" s="156"/>
      <c r="Z13" s="166"/>
      <c r="AA13" s="155" t="s">
        <v>174</v>
      </c>
      <c r="AB13" s="156"/>
      <c r="AC13" s="156"/>
      <c r="AD13" s="156"/>
      <c r="AE13" s="157"/>
      <c r="AF13" s="83"/>
      <c r="AG13" s="84" t="s">
        <v>175</v>
      </c>
      <c r="AH13" s="49" t="s">
        <v>176</v>
      </c>
      <c r="AI13" s="158" t="s">
        <v>177</v>
      </c>
      <c r="AJ13" s="159"/>
      <c r="AK13" s="41"/>
      <c r="AL13" s="5"/>
      <c r="AM13" s="5"/>
      <c r="AN13" s="5"/>
      <c r="AO13" s="5"/>
      <c r="AP13" s="5"/>
      <c r="AQ13" s="5"/>
      <c r="AR13" s="5"/>
    </row>
    <row r="14" spans="1:44" ht="15.75" customHeight="1" x14ac:dyDescent="0.2">
      <c r="A14" s="85">
        <v>1</v>
      </c>
      <c r="B14" s="86">
        <v>1</v>
      </c>
      <c r="C14" s="117" t="str">
        <f>+B5</f>
        <v>NY Freemason B</v>
      </c>
      <c r="D14" s="88">
        <v>2</v>
      </c>
      <c r="E14" s="161" t="str">
        <f>+B6</f>
        <v>Toronto Connex C</v>
      </c>
      <c r="F14" s="162"/>
      <c r="G14" s="162"/>
      <c r="H14" s="162"/>
      <c r="I14" s="162"/>
      <c r="J14" s="162"/>
      <c r="K14" s="162"/>
      <c r="L14" s="162"/>
      <c r="M14" s="153"/>
      <c r="N14" s="89">
        <v>3</v>
      </c>
      <c r="O14" s="160" t="str">
        <f>+B7</f>
        <v>Philly Lady Suns</v>
      </c>
      <c r="P14" s="153"/>
      <c r="Q14" s="196">
        <v>11</v>
      </c>
      <c r="R14" s="143"/>
      <c r="S14" s="91">
        <v>0</v>
      </c>
      <c r="T14" s="151">
        <v>25</v>
      </c>
      <c r="U14" s="143"/>
      <c r="V14" s="154">
        <v>12</v>
      </c>
      <c r="W14" s="143"/>
      <c r="X14" s="92">
        <v>0</v>
      </c>
      <c r="Y14" s="154">
        <v>25</v>
      </c>
      <c r="Z14" s="143"/>
      <c r="AA14" s="152"/>
      <c r="AB14" s="153"/>
      <c r="AC14" s="93" t="s">
        <v>178</v>
      </c>
      <c r="AD14" s="152"/>
      <c r="AE14" s="153"/>
      <c r="AF14" s="94"/>
      <c r="AG14" s="104" t="str">
        <f t="shared" ref="AG14:AG23" si="16">IF((Q14)+(V14)+(AA14)-(T14)-(Y14)-(AD14)&gt;0,C14,E14)</f>
        <v>Toronto Connex C</v>
      </c>
      <c r="AH14" s="96">
        <f t="shared" ref="AH14:AH23" si="17">(Q14)+(V14)+(AA14)-(T14)-(Y14)-(AD14)</f>
        <v>-27</v>
      </c>
      <c r="AI14" s="147">
        <v>0.375</v>
      </c>
      <c r="AJ14" s="148"/>
      <c r="AK14" s="5"/>
      <c r="AL14" s="5"/>
      <c r="AM14" s="5"/>
      <c r="AN14" s="5"/>
      <c r="AO14" s="5"/>
      <c r="AP14" s="5"/>
      <c r="AQ14" s="5"/>
      <c r="AR14" s="5"/>
    </row>
    <row r="15" spans="1:44" ht="15.75" customHeight="1" x14ac:dyDescent="0.2">
      <c r="A15" s="97">
        <v>2</v>
      </c>
      <c r="B15" s="98">
        <v>3</v>
      </c>
      <c r="C15" s="99" t="str">
        <f>+B7</f>
        <v>Philly Lady Suns</v>
      </c>
      <c r="D15" s="61">
        <v>4</v>
      </c>
      <c r="E15" s="163" t="str">
        <f t="shared" ref="E15:E16" si="18">+B8</f>
        <v>NY Impact Synergy</v>
      </c>
      <c r="F15" s="164"/>
      <c r="G15" s="164"/>
      <c r="H15" s="164"/>
      <c r="I15" s="164"/>
      <c r="J15" s="164"/>
      <c r="K15" s="164"/>
      <c r="L15" s="164"/>
      <c r="M15" s="143"/>
      <c r="N15" s="100">
        <v>2</v>
      </c>
      <c r="O15" s="168" t="str">
        <f>+B6</f>
        <v>Toronto Connex C</v>
      </c>
      <c r="P15" s="143"/>
      <c r="Q15" s="195">
        <v>23</v>
      </c>
      <c r="R15" s="141"/>
      <c r="S15" s="101">
        <v>0</v>
      </c>
      <c r="T15" s="144">
        <v>25</v>
      </c>
      <c r="U15" s="141"/>
      <c r="V15" s="140">
        <v>17</v>
      </c>
      <c r="W15" s="141"/>
      <c r="X15" s="102">
        <v>0</v>
      </c>
      <c r="Y15" s="140">
        <v>25</v>
      </c>
      <c r="Z15" s="141"/>
      <c r="AA15" s="142"/>
      <c r="AB15" s="143"/>
      <c r="AC15" s="103" t="s">
        <v>178</v>
      </c>
      <c r="AD15" s="142"/>
      <c r="AE15" s="143"/>
      <c r="AF15" s="94"/>
      <c r="AG15" s="129" t="str">
        <f t="shared" si="16"/>
        <v>NY Impact Synergy</v>
      </c>
      <c r="AH15" s="96">
        <f t="shared" si="17"/>
        <v>-10</v>
      </c>
      <c r="AI15" s="149">
        <v>0.40972222222222227</v>
      </c>
      <c r="AJ15" s="150"/>
      <c r="AK15" s="5"/>
      <c r="AL15" s="5"/>
      <c r="AM15" s="5"/>
      <c r="AN15" s="5"/>
      <c r="AO15" s="5"/>
      <c r="AP15" s="5"/>
      <c r="AQ15" s="5"/>
      <c r="AR15" s="5"/>
    </row>
    <row r="16" spans="1:44" ht="15.75" customHeight="1" x14ac:dyDescent="0.2">
      <c r="A16" s="97">
        <v>3</v>
      </c>
      <c r="B16" s="98">
        <v>1</v>
      </c>
      <c r="C16" s="99" t="str">
        <f t="shared" ref="C16:C17" si="19">+B5</f>
        <v>NY Freemason B</v>
      </c>
      <c r="D16" s="61">
        <v>5</v>
      </c>
      <c r="E16" s="163" t="str">
        <f t="shared" si="18"/>
        <v>Toronto Thunder Grey</v>
      </c>
      <c r="F16" s="164"/>
      <c r="G16" s="164"/>
      <c r="H16" s="164"/>
      <c r="I16" s="164"/>
      <c r="J16" s="164"/>
      <c r="K16" s="164"/>
      <c r="L16" s="164"/>
      <c r="M16" s="143"/>
      <c r="N16" s="100">
        <v>4</v>
      </c>
      <c r="O16" s="168" t="str">
        <f>+B8</f>
        <v>NY Impact Synergy</v>
      </c>
      <c r="P16" s="143"/>
      <c r="Q16" s="195">
        <v>25</v>
      </c>
      <c r="R16" s="141"/>
      <c r="S16" s="101">
        <v>0</v>
      </c>
      <c r="T16" s="144">
        <v>22</v>
      </c>
      <c r="U16" s="141"/>
      <c r="V16" s="140">
        <v>19</v>
      </c>
      <c r="W16" s="141"/>
      <c r="X16" s="102">
        <v>0</v>
      </c>
      <c r="Y16" s="140">
        <v>25</v>
      </c>
      <c r="Z16" s="141"/>
      <c r="AA16" s="142"/>
      <c r="AB16" s="143"/>
      <c r="AC16" s="103" t="s">
        <v>178</v>
      </c>
      <c r="AD16" s="142"/>
      <c r="AE16" s="143"/>
      <c r="AF16" s="94"/>
      <c r="AG16" s="129" t="str">
        <f t="shared" si="16"/>
        <v>Toronto Thunder Grey</v>
      </c>
      <c r="AH16" s="96">
        <f t="shared" si="17"/>
        <v>-3</v>
      </c>
      <c r="AI16" s="149">
        <v>0.44444444444444442</v>
      </c>
      <c r="AJ16" s="150"/>
      <c r="AK16" s="5"/>
      <c r="AL16" s="5"/>
      <c r="AM16" s="5"/>
      <c r="AN16" s="5"/>
      <c r="AO16" s="5"/>
      <c r="AP16" s="5"/>
      <c r="AQ16" s="5"/>
      <c r="AR16" s="5"/>
    </row>
    <row r="17" spans="1:44" ht="15.75" customHeight="1" x14ac:dyDescent="0.2">
      <c r="A17" s="97">
        <v>4</v>
      </c>
      <c r="B17" s="98">
        <v>2</v>
      </c>
      <c r="C17" s="99" t="str">
        <f t="shared" si="19"/>
        <v>Toronto Connex C</v>
      </c>
      <c r="D17" s="61">
        <v>3</v>
      </c>
      <c r="E17" s="163" t="str">
        <f>+B7</f>
        <v>Philly Lady Suns</v>
      </c>
      <c r="F17" s="164"/>
      <c r="G17" s="164"/>
      <c r="H17" s="164"/>
      <c r="I17" s="164"/>
      <c r="J17" s="164"/>
      <c r="K17" s="164"/>
      <c r="L17" s="164"/>
      <c r="M17" s="143"/>
      <c r="N17" s="100">
        <v>1</v>
      </c>
      <c r="O17" s="168" t="str">
        <f>+B5</f>
        <v>NY Freemason B</v>
      </c>
      <c r="P17" s="143"/>
      <c r="Q17" s="195">
        <v>25</v>
      </c>
      <c r="R17" s="141"/>
      <c r="S17" s="101">
        <v>0</v>
      </c>
      <c r="T17" s="144">
        <v>15</v>
      </c>
      <c r="U17" s="141"/>
      <c r="V17" s="140">
        <v>25</v>
      </c>
      <c r="W17" s="141"/>
      <c r="X17" s="102">
        <v>0</v>
      </c>
      <c r="Y17" s="140">
        <v>16</v>
      </c>
      <c r="Z17" s="141"/>
      <c r="AA17" s="142"/>
      <c r="AB17" s="143"/>
      <c r="AC17" s="103" t="s">
        <v>178</v>
      </c>
      <c r="AD17" s="142"/>
      <c r="AE17" s="143"/>
      <c r="AF17" s="94"/>
      <c r="AG17" s="129" t="str">
        <f t="shared" si="16"/>
        <v>Toronto Connex C</v>
      </c>
      <c r="AH17" s="96">
        <f t="shared" si="17"/>
        <v>19</v>
      </c>
      <c r="AI17" s="149">
        <v>0.47916666666666669</v>
      </c>
      <c r="AJ17" s="150"/>
      <c r="AK17" s="5"/>
      <c r="AL17" s="5"/>
      <c r="AM17" s="5"/>
      <c r="AN17" s="5"/>
      <c r="AO17" s="5"/>
      <c r="AP17" s="5"/>
      <c r="AQ17" s="5"/>
      <c r="AR17" s="5"/>
    </row>
    <row r="18" spans="1:44" ht="15.75" customHeight="1" x14ac:dyDescent="0.2">
      <c r="A18" s="97">
        <v>5</v>
      </c>
      <c r="B18" s="98">
        <v>4</v>
      </c>
      <c r="C18" s="99" t="str">
        <f>+B8</f>
        <v>NY Impact Synergy</v>
      </c>
      <c r="D18" s="61">
        <v>5</v>
      </c>
      <c r="E18" s="163" t="str">
        <f>+B9</f>
        <v>Toronto Thunder Grey</v>
      </c>
      <c r="F18" s="164"/>
      <c r="G18" s="164"/>
      <c r="H18" s="164"/>
      <c r="I18" s="164"/>
      <c r="J18" s="164"/>
      <c r="K18" s="164"/>
      <c r="L18" s="164"/>
      <c r="M18" s="143"/>
      <c r="N18" s="100">
        <v>3</v>
      </c>
      <c r="O18" s="168" t="str">
        <f>+B7</f>
        <v>Philly Lady Suns</v>
      </c>
      <c r="P18" s="143"/>
      <c r="Q18" s="195">
        <v>25</v>
      </c>
      <c r="R18" s="141"/>
      <c r="S18" s="101">
        <v>0</v>
      </c>
      <c r="T18" s="144">
        <v>17</v>
      </c>
      <c r="U18" s="141"/>
      <c r="V18" s="140">
        <v>25</v>
      </c>
      <c r="W18" s="141"/>
      <c r="X18" s="102">
        <v>0</v>
      </c>
      <c r="Y18" s="140">
        <v>20</v>
      </c>
      <c r="Z18" s="141"/>
      <c r="AA18" s="142"/>
      <c r="AB18" s="143"/>
      <c r="AC18" s="103" t="s">
        <v>178</v>
      </c>
      <c r="AD18" s="142"/>
      <c r="AE18" s="143"/>
      <c r="AF18" s="94"/>
      <c r="AG18" s="129" t="str">
        <f t="shared" si="16"/>
        <v>NY Impact Synergy</v>
      </c>
      <c r="AH18" s="96">
        <f t="shared" si="17"/>
        <v>13</v>
      </c>
      <c r="AI18" s="149">
        <v>0.53472222222222221</v>
      </c>
      <c r="AJ18" s="150"/>
      <c r="AK18" s="5"/>
      <c r="AL18" s="5"/>
      <c r="AM18" s="5"/>
      <c r="AN18" s="5"/>
      <c r="AO18" s="5"/>
      <c r="AP18" s="5"/>
      <c r="AQ18" s="5"/>
      <c r="AR18" s="5"/>
    </row>
    <row r="19" spans="1:44" ht="15.75" customHeight="1" x14ac:dyDescent="0.2">
      <c r="A19" s="97">
        <v>6</v>
      </c>
      <c r="B19" s="98">
        <v>1</v>
      </c>
      <c r="C19" s="99" t="str">
        <f t="shared" ref="C19:C21" si="20">+B5</f>
        <v>NY Freemason B</v>
      </c>
      <c r="D19" s="61">
        <v>3</v>
      </c>
      <c r="E19" s="163" t="str">
        <f t="shared" ref="E19:E21" si="21">+B7</f>
        <v>Philly Lady Suns</v>
      </c>
      <c r="F19" s="164"/>
      <c r="G19" s="164"/>
      <c r="H19" s="164"/>
      <c r="I19" s="164"/>
      <c r="J19" s="164"/>
      <c r="K19" s="164"/>
      <c r="L19" s="164"/>
      <c r="M19" s="143"/>
      <c r="N19" s="100">
        <v>5</v>
      </c>
      <c r="O19" s="168" t="str">
        <f>+B9</f>
        <v>Toronto Thunder Grey</v>
      </c>
      <c r="P19" s="143"/>
      <c r="Q19" s="195">
        <v>21</v>
      </c>
      <c r="R19" s="141"/>
      <c r="S19" s="101">
        <v>0</v>
      </c>
      <c r="T19" s="144">
        <v>25</v>
      </c>
      <c r="U19" s="141"/>
      <c r="V19" s="140">
        <v>15</v>
      </c>
      <c r="W19" s="141"/>
      <c r="X19" s="102">
        <v>0</v>
      </c>
      <c r="Y19" s="140">
        <v>25</v>
      </c>
      <c r="Z19" s="141"/>
      <c r="AA19" s="142"/>
      <c r="AB19" s="143"/>
      <c r="AC19" s="103" t="s">
        <v>178</v>
      </c>
      <c r="AD19" s="142"/>
      <c r="AE19" s="143"/>
      <c r="AF19" s="94"/>
      <c r="AG19" s="129" t="str">
        <f t="shared" si="16"/>
        <v>Philly Lady Suns</v>
      </c>
      <c r="AH19" s="96">
        <f t="shared" si="17"/>
        <v>-14</v>
      </c>
      <c r="AI19" s="149">
        <v>6.9444444444444434E-2</v>
      </c>
      <c r="AJ19" s="150"/>
      <c r="AK19" s="5"/>
      <c r="AL19" s="5"/>
      <c r="AM19" s="5"/>
      <c r="AN19" s="5"/>
      <c r="AO19" s="5"/>
      <c r="AP19" s="5"/>
      <c r="AQ19" s="5"/>
      <c r="AR19" s="5"/>
    </row>
    <row r="20" spans="1:44" ht="15.75" customHeight="1" x14ac:dyDescent="0.2">
      <c r="A20" s="97">
        <v>7</v>
      </c>
      <c r="B20" s="98">
        <v>2</v>
      </c>
      <c r="C20" s="99" t="str">
        <f t="shared" si="20"/>
        <v>Toronto Connex C</v>
      </c>
      <c r="D20" s="61">
        <v>4</v>
      </c>
      <c r="E20" s="163" t="str">
        <f t="shared" si="21"/>
        <v>NY Impact Synergy</v>
      </c>
      <c r="F20" s="164"/>
      <c r="G20" s="164"/>
      <c r="H20" s="164"/>
      <c r="I20" s="164"/>
      <c r="J20" s="164"/>
      <c r="K20" s="164"/>
      <c r="L20" s="164"/>
      <c r="M20" s="143"/>
      <c r="N20" s="100">
        <v>1</v>
      </c>
      <c r="O20" s="168" t="str">
        <f t="shared" ref="O20:O21" si="22">+B5</f>
        <v>NY Freemason B</v>
      </c>
      <c r="P20" s="143"/>
      <c r="Q20" s="205">
        <v>25</v>
      </c>
      <c r="R20" s="141"/>
      <c r="S20" s="127">
        <v>0</v>
      </c>
      <c r="T20" s="204">
        <v>16</v>
      </c>
      <c r="U20" s="141"/>
      <c r="V20" s="140">
        <v>25</v>
      </c>
      <c r="W20" s="141"/>
      <c r="X20" s="102">
        <v>0</v>
      </c>
      <c r="Y20" s="140">
        <v>21</v>
      </c>
      <c r="Z20" s="141"/>
      <c r="AA20" s="142"/>
      <c r="AB20" s="143"/>
      <c r="AC20" s="103" t="s">
        <v>178</v>
      </c>
      <c r="AD20" s="142"/>
      <c r="AE20" s="143"/>
      <c r="AF20" s="94"/>
      <c r="AG20" s="129" t="str">
        <f t="shared" si="16"/>
        <v>Toronto Connex C</v>
      </c>
      <c r="AH20" s="96">
        <f t="shared" si="17"/>
        <v>13</v>
      </c>
      <c r="AI20" s="149">
        <v>0.10416666666666667</v>
      </c>
      <c r="AJ20" s="150"/>
      <c r="AK20" s="5"/>
      <c r="AL20" s="5"/>
      <c r="AM20" s="5"/>
      <c r="AN20" s="5"/>
      <c r="AO20" s="5"/>
      <c r="AP20" s="5"/>
      <c r="AQ20" s="5"/>
      <c r="AR20" s="5"/>
    </row>
    <row r="21" spans="1:44" ht="15.75" customHeight="1" x14ac:dyDescent="0.2">
      <c r="A21" s="97">
        <v>8</v>
      </c>
      <c r="B21" s="98">
        <v>3</v>
      </c>
      <c r="C21" s="99" t="str">
        <f t="shared" si="20"/>
        <v>Philly Lady Suns</v>
      </c>
      <c r="D21" s="61">
        <v>5</v>
      </c>
      <c r="E21" s="163" t="str">
        <f t="shared" si="21"/>
        <v>Toronto Thunder Grey</v>
      </c>
      <c r="F21" s="164"/>
      <c r="G21" s="164"/>
      <c r="H21" s="164"/>
      <c r="I21" s="164"/>
      <c r="J21" s="164"/>
      <c r="K21" s="164"/>
      <c r="L21" s="164"/>
      <c r="M21" s="143"/>
      <c r="N21" s="100">
        <v>2</v>
      </c>
      <c r="O21" s="168" t="str">
        <f t="shared" si="22"/>
        <v>Toronto Connex C</v>
      </c>
      <c r="P21" s="143"/>
      <c r="Q21" s="195">
        <v>20</v>
      </c>
      <c r="R21" s="141"/>
      <c r="S21" s="101">
        <v>0</v>
      </c>
      <c r="T21" s="144">
        <v>25</v>
      </c>
      <c r="U21" s="141"/>
      <c r="V21" s="140">
        <v>22</v>
      </c>
      <c r="W21" s="141"/>
      <c r="X21" s="102">
        <v>0</v>
      </c>
      <c r="Y21" s="140">
        <v>25</v>
      </c>
      <c r="Z21" s="141"/>
      <c r="AA21" s="142"/>
      <c r="AB21" s="143"/>
      <c r="AC21" s="103" t="s">
        <v>178</v>
      </c>
      <c r="AD21" s="142"/>
      <c r="AE21" s="143"/>
      <c r="AF21" s="94"/>
      <c r="AG21" s="129" t="str">
        <f t="shared" si="16"/>
        <v>Toronto Thunder Grey</v>
      </c>
      <c r="AH21" s="96">
        <f t="shared" si="17"/>
        <v>-8</v>
      </c>
      <c r="AI21" s="149">
        <v>0.15972222222222224</v>
      </c>
      <c r="AJ21" s="150"/>
      <c r="AK21" s="5"/>
      <c r="AL21" s="5"/>
      <c r="AM21" s="5"/>
      <c r="AN21" s="5"/>
      <c r="AO21" s="5"/>
      <c r="AP21" s="5"/>
      <c r="AQ21" s="5"/>
      <c r="AR21" s="5"/>
    </row>
    <row r="22" spans="1:44" ht="15.75" customHeight="1" x14ac:dyDescent="0.2">
      <c r="A22" s="97">
        <v>9</v>
      </c>
      <c r="B22" s="98">
        <v>1</v>
      </c>
      <c r="C22" s="99" t="str">
        <f t="shared" ref="C22:C23" si="23">+B5</f>
        <v>NY Freemason B</v>
      </c>
      <c r="D22" s="61">
        <v>4</v>
      </c>
      <c r="E22" s="163" t="str">
        <f t="shared" ref="E22:E23" si="24">+B8</f>
        <v>NY Impact Synergy</v>
      </c>
      <c r="F22" s="164"/>
      <c r="G22" s="164"/>
      <c r="H22" s="164"/>
      <c r="I22" s="164"/>
      <c r="J22" s="164"/>
      <c r="K22" s="164"/>
      <c r="L22" s="164"/>
      <c r="M22" s="143"/>
      <c r="N22" s="100">
        <v>5</v>
      </c>
      <c r="O22" s="168" t="str">
        <f>+B9</f>
        <v>Toronto Thunder Grey</v>
      </c>
      <c r="P22" s="143"/>
      <c r="Q22" s="195">
        <v>22</v>
      </c>
      <c r="R22" s="141"/>
      <c r="S22" s="101">
        <v>0</v>
      </c>
      <c r="T22" s="144">
        <v>25</v>
      </c>
      <c r="U22" s="141"/>
      <c r="V22" s="140">
        <v>21</v>
      </c>
      <c r="W22" s="141"/>
      <c r="X22" s="102">
        <v>0</v>
      </c>
      <c r="Y22" s="140">
        <v>25</v>
      </c>
      <c r="Z22" s="141"/>
      <c r="AA22" s="142"/>
      <c r="AB22" s="143"/>
      <c r="AC22" s="103" t="s">
        <v>178</v>
      </c>
      <c r="AD22" s="142"/>
      <c r="AE22" s="143"/>
      <c r="AF22" s="94"/>
      <c r="AG22" s="129" t="str">
        <f t="shared" si="16"/>
        <v>NY Impact Synergy</v>
      </c>
      <c r="AH22" s="96">
        <f t="shared" si="17"/>
        <v>-7</v>
      </c>
      <c r="AI22" s="149">
        <v>0.19444444444444445</v>
      </c>
      <c r="AJ22" s="150"/>
      <c r="AK22" s="5"/>
      <c r="AL22" s="5"/>
      <c r="AM22" s="5"/>
      <c r="AN22" s="5"/>
      <c r="AO22" s="5"/>
      <c r="AP22" s="5"/>
      <c r="AQ22" s="5"/>
      <c r="AR22" s="5"/>
    </row>
    <row r="23" spans="1:44" ht="15.75" customHeight="1" x14ac:dyDescent="0.2">
      <c r="A23" s="109">
        <v>10</v>
      </c>
      <c r="B23" s="110">
        <v>2</v>
      </c>
      <c r="C23" s="111" t="str">
        <f t="shared" si="23"/>
        <v>Toronto Connex C</v>
      </c>
      <c r="D23" s="78">
        <v>5</v>
      </c>
      <c r="E23" s="188" t="str">
        <f t="shared" si="24"/>
        <v>Toronto Thunder Grey</v>
      </c>
      <c r="F23" s="189"/>
      <c r="G23" s="189"/>
      <c r="H23" s="189"/>
      <c r="I23" s="189"/>
      <c r="J23" s="189"/>
      <c r="K23" s="189"/>
      <c r="L23" s="189"/>
      <c r="M23" s="146"/>
      <c r="N23" s="112">
        <v>4</v>
      </c>
      <c r="O23" s="187" t="str">
        <f>+B8</f>
        <v>NY Impact Synergy</v>
      </c>
      <c r="P23" s="146"/>
      <c r="Q23" s="195">
        <v>25</v>
      </c>
      <c r="R23" s="141"/>
      <c r="S23" s="101">
        <v>0</v>
      </c>
      <c r="T23" s="144">
        <v>18</v>
      </c>
      <c r="U23" s="141"/>
      <c r="V23" s="140">
        <v>25</v>
      </c>
      <c r="W23" s="141"/>
      <c r="X23" s="102">
        <v>0</v>
      </c>
      <c r="Y23" s="140">
        <v>16</v>
      </c>
      <c r="Z23" s="141"/>
      <c r="AA23" s="145"/>
      <c r="AB23" s="146"/>
      <c r="AC23" s="113" t="s">
        <v>178</v>
      </c>
      <c r="AD23" s="145"/>
      <c r="AE23" s="146"/>
      <c r="AF23" s="94"/>
      <c r="AG23" s="131" t="str">
        <f t="shared" si="16"/>
        <v>Toronto Connex C</v>
      </c>
      <c r="AH23" s="96">
        <f t="shared" si="17"/>
        <v>16</v>
      </c>
      <c r="AI23" s="184">
        <v>0.22916666666666666</v>
      </c>
      <c r="AJ23" s="185"/>
      <c r="AK23" s="5"/>
      <c r="AL23" s="5"/>
      <c r="AM23" s="5"/>
      <c r="AN23" s="5"/>
      <c r="AO23" s="5"/>
      <c r="AP23" s="5"/>
      <c r="AQ23" s="5"/>
      <c r="AR23" s="5"/>
    </row>
    <row r="24" spans="1:44" ht="12.75" customHeight="1" x14ac:dyDescent="0.2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5"/>
      <c r="AM24" s="5"/>
      <c r="AN24" s="5"/>
      <c r="AO24" s="5"/>
      <c r="AP24" s="5"/>
      <c r="AQ24" s="5"/>
      <c r="AR24" s="5"/>
    </row>
    <row r="25" spans="1:44" ht="12.75" customHeight="1" x14ac:dyDescent="0.2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5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5"/>
      <c r="AM25" s="5"/>
      <c r="AN25" s="5"/>
      <c r="AO25" s="5"/>
      <c r="AP25" s="5"/>
      <c r="AQ25" s="5"/>
      <c r="AR25" s="5"/>
    </row>
    <row r="26" spans="1:44" ht="12.75" customHeight="1" x14ac:dyDescent="0.2">
      <c r="A26" s="41"/>
      <c r="B26" s="57"/>
      <c r="C26" s="57" t="s">
        <v>179</v>
      </c>
      <c r="D26" s="57" t="s">
        <v>157</v>
      </c>
      <c r="E26" s="57" t="s">
        <v>180</v>
      </c>
      <c r="F26" s="57" t="s">
        <v>165</v>
      </c>
      <c r="G26" s="57" t="s">
        <v>166</v>
      </c>
      <c r="H26" s="41"/>
      <c r="I26" s="41"/>
      <c r="J26" s="41"/>
      <c r="K26" s="41"/>
      <c r="L26" s="41"/>
      <c r="M26" s="41"/>
      <c r="N26" s="41"/>
      <c r="O26" s="41"/>
      <c r="P26" s="41"/>
      <c r="Q26" s="5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5"/>
      <c r="AM26" s="5"/>
      <c r="AN26" s="5"/>
      <c r="AO26" s="5"/>
      <c r="AP26" s="5"/>
      <c r="AQ26" s="5"/>
      <c r="AR26" s="5"/>
    </row>
    <row r="27" spans="1:44" ht="12.75" customHeight="1" x14ac:dyDescent="0.2">
      <c r="A27" s="41"/>
      <c r="B27" s="57">
        <v>1</v>
      </c>
      <c r="C27" s="57" t="str">
        <f t="shared" ref="C27:C31" si="25">VLOOKUP(B27,$A$5:$AR$9,2,FALSE)</f>
        <v>Toronto Connex C</v>
      </c>
      <c r="D27" s="57">
        <f t="shared" ref="D27:D31" si="26">VLOOKUP(B27,$A$5:$AR$9,15,FALSE)</f>
        <v>8</v>
      </c>
      <c r="E27" s="57">
        <f t="shared" ref="E27:E31" si="27">VLOOKUP(B27,$A$5:$AR$9,36,FALSE)</f>
        <v>75</v>
      </c>
      <c r="F27" s="114">
        <f t="shared" ref="F27:F31" si="28">VLOOKUP(B27,$A$5:$AR$9,40,FALSE)</f>
        <v>1</v>
      </c>
      <c r="G27" s="114">
        <f t="shared" ref="G27:G31" si="29">VLOOKUP(B27,$A$5:$AR$9,42,FALSE)</f>
        <v>9.375</v>
      </c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5"/>
      <c r="AM27" s="5"/>
      <c r="AN27" s="5"/>
      <c r="AO27" s="5"/>
      <c r="AP27" s="5"/>
      <c r="AQ27" s="5"/>
      <c r="AR27" s="5"/>
    </row>
    <row r="28" spans="1:44" ht="12.75" customHeight="1" x14ac:dyDescent="0.2">
      <c r="A28" s="41"/>
      <c r="B28" s="57">
        <v>2</v>
      </c>
      <c r="C28" s="57" t="str">
        <f t="shared" si="25"/>
        <v>NY Impact Synergy</v>
      </c>
      <c r="D28" s="57">
        <f t="shared" si="26"/>
        <v>6</v>
      </c>
      <c r="E28" s="57">
        <f t="shared" si="27"/>
        <v>17</v>
      </c>
      <c r="F28" s="114">
        <f t="shared" si="28"/>
        <v>0.75</v>
      </c>
      <c r="G28" s="114">
        <f t="shared" si="29"/>
        <v>2.125</v>
      </c>
      <c r="H28" s="41"/>
      <c r="I28" s="41"/>
      <c r="J28" s="41"/>
      <c r="K28" s="41"/>
      <c r="L28" s="41"/>
      <c r="M28" s="41"/>
      <c r="N28" s="41"/>
      <c r="O28" s="41"/>
      <c r="P28" s="5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183"/>
      <c r="AK28" s="136"/>
      <c r="AL28" s="5"/>
      <c r="AM28" s="5"/>
      <c r="AN28" s="5"/>
      <c r="AO28" s="5"/>
      <c r="AP28" s="5"/>
      <c r="AQ28" s="5"/>
      <c r="AR28" s="5"/>
    </row>
    <row r="29" spans="1:44" ht="12.75" customHeight="1" x14ac:dyDescent="0.2">
      <c r="A29" s="5"/>
      <c r="B29" s="14">
        <v>3</v>
      </c>
      <c r="C29" s="57" t="str">
        <f t="shared" si="25"/>
        <v>Toronto Thunder Grey</v>
      </c>
      <c r="D29" s="57">
        <f t="shared" si="26"/>
        <v>3</v>
      </c>
      <c r="E29" s="57">
        <f t="shared" si="27"/>
        <v>-18</v>
      </c>
      <c r="F29" s="114">
        <f t="shared" si="28"/>
        <v>0.375</v>
      </c>
      <c r="G29" s="114">
        <f t="shared" si="29"/>
        <v>-2.25</v>
      </c>
      <c r="H29" s="41"/>
      <c r="I29" s="41"/>
      <c r="J29" s="41"/>
      <c r="K29" s="41"/>
      <c r="L29" s="41"/>
      <c r="M29" s="41"/>
      <c r="N29" s="41"/>
      <c r="O29" s="41"/>
      <c r="P29" s="5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115"/>
      <c r="AK29" s="41"/>
      <c r="AL29" s="5"/>
      <c r="AM29" s="5"/>
      <c r="AN29" s="5"/>
      <c r="AO29" s="5"/>
      <c r="AP29" s="5"/>
      <c r="AQ29" s="5"/>
      <c r="AR29" s="5"/>
    </row>
    <row r="30" spans="1:44" ht="12.75" customHeight="1" x14ac:dyDescent="0.2">
      <c r="A30" s="5"/>
      <c r="B30" s="14">
        <v>4</v>
      </c>
      <c r="C30" s="57" t="str">
        <f t="shared" si="25"/>
        <v>Philly Lady Suns</v>
      </c>
      <c r="D30" s="57">
        <f t="shared" si="26"/>
        <v>2</v>
      </c>
      <c r="E30" s="57">
        <f t="shared" si="27"/>
        <v>-23</v>
      </c>
      <c r="F30" s="114">
        <f t="shared" si="28"/>
        <v>0.25</v>
      </c>
      <c r="G30" s="114">
        <f t="shared" si="29"/>
        <v>-2.875</v>
      </c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115"/>
      <c r="AK30" s="41"/>
      <c r="AL30" s="5"/>
      <c r="AM30" s="5"/>
      <c r="AN30" s="5"/>
      <c r="AO30" s="5"/>
      <c r="AP30" s="5"/>
      <c r="AQ30" s="5"/>
      <c r="AR30" s="5"/>
    </row>
    <row r="31" spans="1:44" ht="12.75" customHeight="1" x14ac:dyDescent="0.2">
      <c r="A31" s="5"/>
      <c r="B31" s="14">
        <v>5</v>
      </c>
      <c r="C31" s="57" t="str">
        <f t="shared" si="25"/>
        <v>NY Freemason B</v>
      </c>
      <c r="D31" s="57">
        <f t="shared" si="26"/>
        <v>1</v>
      </c>
      <c r="E31" s="57">
        <f t="shared" si="27"/>
        <v>-51</v>
      </c>
      <c r="F31" s="114">
        <f t="shared" si="28"/>
        <v>0.125</v>
      </c>
      <c r="G31" s="114">
        <f t="shared" si="29"/>
        <v>-6.375</v>
      </c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115"/>
      <c r="AK31" s="41"/>
      <c r="AL31" s="5"/>
      <c r="AM31" s="5"/>
      <c r="AN31" s="5"/>
      <c r="AO31" s="5"/>
      <c r="AP31" s="5"/>
      <c r="AQ31" s="5"/>
      <c r="AR31" s="5"/>
    </row>
    <row r="32" spans="1:44" ht="12.75" customHeight="1" x14ac:dyDescent="0.2">
      <c r="A32" s="5"/>
      <c r="B32" s="5"/>
      <c r="C32" s="5"/>
      <c r="D32" s="5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115"/>
      <c r="AK32" s="41"/>
      <c r="AL32" s="5"/>
      <c r="AM32" s="5"/>
      <c r="AN32" s="5"/>
      <c r="AO32" s="5"/>
      <c r="AP32" s="5"/>
      <c r="AQ32" s="5"/>
      <c r="AR32" s="5"/>
    </row>
  </sheetData>
  <mergeCells count="124">
    <mergeCell ref="E5:I5"/>
    <mergeCell ref="E6:I6"/>
    <mergeCell ref="B6:D6"/>
    <mergeCell ref="B5:D5"/>
    <mergeCell ref="J6:N6"/>
    <mergeCell ref="J5:N5"/>
    <mergeCell ref="E4:I4"/>
    <mergeCell ref="T17:U17"/>
    <mergeCell ref="Q17:R17"/>
    <mergeCell ref="E17:M17"/>
    <mergeCell ref="V17:W17"/>
    <mergeCell ref="Y17:Z17"/>
    <mergeCell ref="E16:M16"/>
    <mergeCell ref="Q19:R19"/>
    <mergeCell ref="Q18:R18"/>
    <mergeCell ref="E18:M18"/>
    <mergeCell ref="E19:M19"/>
    <mergeCell ref="V18:W18"/>
    <mergeCell ref="Y18:Z18"/>
    <mergeCell ref="O19:P19"/>
    <mergeCell ref="T18:U18"/>
    <mergeCell ref="T19:U19"/>
    <mergeCell ref="O17:P17"/>
    <mergeCell ref="O18:P18"/>
    <mergeCell ref="AN4:AO4"/>
    <mergeCell ref="AP4:AQ4"/>
    <mergeCell ref="J4:N4"/>
    <mergeCell ref="AJ4:AK4"/>
    <mergeCell ref="A2:AG2"/>
    <mergeCell ref="A3:AG3"/>
    <mergeCell ref="A1:AG1"/>
    <mergeCell ref="B4:D4"/>
    <mergeCell ref="R4:AF4"/>
    <mergeCell ref="E7:I7"/>
    <mergeCell ref="B7:D7"/>
    <mergeCell ref="B8:D8"/>
    <mergeCell ref="B9:D9"/>
    <mergeCell ref="Q15:R15"/>
    <mergeCell ref="E9:I9"/>
    <mergeCell ref="E8:I8"/>
    <mergeCell ref="J7:N7"/>
    <mergeCell ref="J9:N9"/>
    <mergeCell ref="J8:N8"/>
    <mergeCell ref="N13:P13"/>
    <mergeCell ref="O14:P14"/>
    <mergeCell ref="A10:AG12"/>
    <mergeCell ref="AI13:AJ13"/>
    <mergeCell ref="AI14:AJ14"/>
    <mergeCell ref="AD14:AE14"/>
    <mergeCell ref="V14:W14"/>
    <mergeCell ref="O15:P15"/>
    <mergeCell ref="E15:M15"/>
    <mergeCell ref="E14:M14"/>
    <mergeCell ref="E13:M13"/>
    <mergeCell ref="A13:B13"/>
    <mergeCell ref="T15:U15"/>
    <mergeCell ref="T14:U14"/>
    <mergeCell ref="AA14:AB14"/>
    <mergeCell ref="Y14:Z14"/>
    <mergeCell ref="AJ28:AK28"/>
    <mergeCell ref="O20:P20"/>
    <mergeCell ref="O21:P21"/>
    <mergeCell ref="Q20:R20"/>
    <mergeCell ref="Q21:R21"/>
    <mergeCell ref="V21:W21"/>
    <mergeCell ref="T21:U21"/>
    <mergeCell ref="AA13:AE13"/>
    <mergeCell ref="V13:Z13"/>
    <mergeCell ref="Q14:R14"/>
    <mergeCell ref="Q13:U13"/>
    <mergeCell ref="AI16:AJ16"/>
    <mergeCell ref="AI15:AJ15"/>
    <mergeCell ref="V15:W15"/>
    <mergeCell ref="V16:W16"/>
    <mergeCell ref="AA16:AB16"/>
    <mergeCell ref="Y16:Z16"/>
    <mergeCell ref="AA15:AB15"/>
    <mergeCell ref="Y15:Z15"/>
    <mergeCell ref="AD16:AE16"/>
    <mergeCell ref="AD15:AE15"/>
    <mergeCell ref="T16:U16"/>
    <mergeCell ref="O16:P16"/>
    <mergeCell ref="Q16:R16"/>
    <mergeCell ref="AA23:AB23"/>
    <mergeCell ref="AA22:AB22"/>
    <mergeCell ref="AA18:AB18"/>
    <mergeCell ref="AA17:AB17"/>
    <mergeCell ref="V23:W23"/>
    <mergeCell ref="AD23:AE23"/>
    <mergeCell ref="AD22:AE22"/>
    <mergeCell ref="Y23:Z23"/>
    <mergeCell ref="AI22:AJ22"/>
    <mergeCell ref="AI23:AJ23"/>
    <mergeCell ref="V22:W22"/>
    <mergeCell ref="Y22:Z22"/>
    <mergeCell ref="Y21:Z21"/>
    <mergeCell ref="AA19:AB19"/>
    <mergeCell ref="V19:W19"/>
    <mergeCell ref="AA21:AB21"/>
    <mergeCell ref="AD19:AE19"/>
    <mergeCell ref="Y19:Z19"/>
    <mergeCell ref="AI18:AJ18"/>
    <mergeCell ref="AI17:AJ17"/>
    <mergeCell ref="AD18:AE18"/>
    <mergeCell ref="AD17:AE17"/>
    <mergeCell ref="AI19:AJ19"/>
    <mergeCell ref="AA20:AB20"/>
    <mergeCell ref="AD21:AE21"/>
    <mergeCell ref="AD20:AE20"/>
    <mergeCell ref="AI21:AJ21"/>
    <mergeCell ref="AI20:AJ20"/>
    <mergeCell ref="V20:W20"/>
    <mergeCell ref="T20:U20"/>
    <mergeCell ref="Y20:Z20"/>
    <mergeCell ref="E20:M20"/>
    <mergeCell ref="E21:M21"/>
    <mergeCell ref="E22:M22"/>
    <mergeCell ref="E23:M23"/>
    <mergeCell ref="O23:P23"/>
    <mergeCell ref="O22:P22"/>
    <mergeCell ref="Q23:R23"/>
    <mergeCell ref="Q22:R22"/>
    <mergeCell ref="T23:U23"/>
    <mergeCell ref="T22:U2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AR32"/>
  <sheetViews>
    <sheetView showGridLines="0" workbookViewId="0"/>
  </sheetViews>
  <sheetFormatPr baseColWidth="10" defaultColWidth="17.33203125" defaultRowHeight="15" customHeight="1" x14ac:dyDescent="0.2"/>
  <cols>
    <col min="1" max="1" width="4.1640625" customWidth="1"/>
    <col min="2" max="2" width="3.5" customWidth="1"/>
    <col min="3" max="3" width="25.6640625" customWidth="1"/>
    <col min="4" max="4" width="4.5" customWidth="1"/>
    <col min="5" max="5" width="3.33203125" customWidth="1"/>
    <col min="6" max="6" width="10.33203125" customWidth="1"/>
    <col min="7" max="7" width="9.6640625" customWidth="1"/>
    <col min="8" max="9" width="3.33203125" hidden="1" customWidth="1"/>
    <col min="10" max="14" width="3.33203125" customWidth="1"/>
    <col min="15" max="15" width="13.33203125" customWidth="1"/>
    <col min="16" max="16" width="13.1640625" customWidth="1"/>
    <col min="17" max="19" width="4" customWidth="1"/>
    <col min="20" max="22" width="3.33203125" customWidth="1"/>
    <col min="23" max="23" width="4" customWidth="1"/>
    <col min="24" max="25" width="3.33203125" customWidth="1"/>
    <col min="26" max="27" width="4" customWidth="1"/>
    <col min="28" max="31" width="3.33203125" customWidth="1"/>
    <col min="32" max="32" width="4.5" customWidth="1"/>
    <col min="33" max="33" width="15.33203125" customWidth="1"/>
    <col min="34" max="34" width="12.1640625" customWidth="1"/>
    <col min="35" max="35" width="13.1640625" customWidth="1"/>
    <col min="36" max="36" width="4.1640625" customWidth="1"/>
    <col min="37" max="37" width="7.1640625" customWidth="1"/>
    <col min="38" max="38" width="2.1640625" customWidth="1"/>
    <col min="39" max="39" width="7.1640625" customWidth="1"/>
    <col min="40" max="40" width="6.5" customWidth="1"/>
    <col min="41" max="44" width="8.83203125" customWidth="1"/>
  </cols>
  <sheetData>
    <row r="1" spans="1:44" ht="30.75" customHeight="1" x14ac:dyDescent="0.35">
      <c r="A1" s="180" t="s">
        <v>181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38"/>
      <c r="AI1" s="39"/>
      <c r="AJ1" s="39"/>
      <c r="AK1" s="39"/>
      <c r="AL1" s="39"/>
      <c r="AM1" s="39"/>
      <c r="AN1" s="39"/>
      <c r="AO1" s="1"/>
      <c r="AP1" s="1"/>
      <c r="AQ1" s="1"/>
      <c r="AR1" s="1"/>
    </row>
    <row r="2" spans="1:44" ht="30.75" customHeight="1" x14ac:dyDescent="0.35">
      <c r="A2" s="180" t="str">
        <f>+'Women''s Master'!G3</f>
        <v>CT15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38"/>
      <c r="AI2" s="39"/>
      <c r="AJ2" s="39"/>
      <c r="AK2" s="39"/>
      <c r="AL2" s="39"/>
      <c r="AM2" s="39"/>
      <c r="AN2" s="39"/>
      <c r="AO2" s="1"/>
      <c r="AP2" s="1"/>
      <c r="AQ2" s="1"/>
      <c r="AR2" s="1"/>
    </row>
    <row r="3" spans="1:44" ht="42.75" customHeight="1" x14ac:dyDescent="0.45">
      <c r="A3" s="180" t="str">
        <f>RIGHT(A2,2)</f>
        <v>15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40"/>
      <c r="AI3" s="41" t="s">
        <v>153</v>
      </c>
      <c r="AJ3" s="41"/>
      <c r="AK3" s="41"/>
      <c r="AL3" s="41"/>
      <c r="AM3" s="41"/>
      <c r="AN3" s="41"/>
      <c r="AO3" s="5"/>
      <c r="AP3" s="5"/>
      <c r="AQ3" s="5"/>
      <c r="AR3" s="5" t="s">
        <v>154</v>
      </c>
    </row>
    <row r="4" spans="1:44" ht="27" customHeight="1" x14ac:dyDescent="0.2">
      <c r="A4" s="42"/>
      <c r="B4" s="179" t="s">
        <v>102</v>
      </c>
      <c r="C4" s="173"/>
      <c r="D4" s="173"/>
      <c r="E4" s="155" t="s">
        <v>155</v>
      </c>
      <c r="F4" s="156"/>
      <c r="G4" s="156"/>
      <c r="H4" s="156"/>
      <c r="I4" s="157"/>
      <c r="J4" s="165" t="s">
        <v>156</v>
      </c>
      <c r="K4" s="156"/>
      <c r="L4" s="156"/>
      <c r="M4" s="156"/>
      <c r="N4" s="166"/>
      <c r="O4" s="43" t="s">
        <v>157</v>
      </c>
      <c r="P4" s="44" t="s">
        <v>158</v>
      </c>
      <c r="Q4" s="45"/>
      <c r="R4" s="194" t="s">
        <v>159</v>
      </c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53"/>
      <c r="AG4" s="46" t="s">
        <v>160</v>
      </c>
      <c r="AH4" s="47" t="s">
        <v>161</v>
      </c>
      <c r="AI4" s="47" t="s">
        <v>162</v>
      </c>
      <c r="AJ4" s="193" t="s">
        <v>163</v>
      </c>
      <c r="AK4" s="153"/>
      <c r="AL4" s="47" t="s">
        <v>164</v>
      </c>
      <c r="AM4" s="48"/>
      <c r="AN4" s="190" t="s">
        <v>165</v>
      </c>
      <c r="AO4" s="191"/>
      <c r="AP4" s="192" t="s">
        <v>166</v>
      </c>
      <c r="AQ4" s="191"/>
      <c r="AR4" s="50" t="s">
        <v>167</v>
      </c>
    </row>
    <row r="5" spans="1:44" ht="15.75" customHeight="1" x14ac:dyDescent="0.2">
      <c r="A5" s="51">
        <f t="shared" ref="A5:A9" si="0">AR5</f>
        <v>2</v>
      </c>
      <c r="B5" s="172" t="str">
        <f>+'Women''s Master'!G4</f>
        <v>Philly Lady Suns Sunsations</v>
      </c>
      <c r="C5" s="173"/>
      <c r="D5" s="173"/>
      <c r="E5" s="171">
        <f>SUM(IF(AG14=B5,1,0),IF(AG16=C16,1,0),IF(AG19=C19,1,0),IF(AG22=C22,1,0))</f>
        <v>3</v>
      </c>
      <c r="F5" s="162"/>
      <c r="G5" s="162"/>
      <c r="H5" s="162"/>
      <c r="I5" s="153"/>
      <c r="J5" s="169">
        <f>SUM(IF(AG14=C14,0,1),IF(AG16=C16,0,1),IF(AG19=C19,0,1),IF(AG22=C22,0,1))</f>
        <v>1</v>
      </c>
      <c r="K5" s="162"/>
      <c r="L5" s="162"/>
      <c r="M5" s="162"/>
      <c r="N5" s="170"/>
      <c r="O5" s="53">
        <f>SUM(IF(AD5&gt;0,1,0),IF(AE5&gt;0,1,0),IF(AF5&gt;0,1,0),IF(U5&gt;0,1,0),IF(V5&gt;0,1,0),IF(W5&gt;0,1,0),IF(X5&gt;0,1,0),IF(Y5&gt;0,1,0),IF(Z5&gt;0,1,0),IF(AA5&gt;0,1,0),IF(AB5&gt;0,1,0),IF(AC5&gt;0,1,0))</f>
        <v>6</v>
      </c>
      <c r="P5" s="52">
        <f>SUM(IF(AD5&lt;0,1,0),IF(AE5&lt;0,1,0),IF(AF5&lt;0,1,0),IF(U5&lt;0,1,0),IF(V5&lt;0,1,0),IF(W5&lt;0,1,0),IF(X5&lt;0,1,0),IF(Y5&lt;0,1,0),IF(Z5&lt;0,1,0),IF(AA5&lt;0,1,0),IF(AB5&lt;0,1,0),IF(AC5&lt;0,1,0))</f>
        <v>2</v>
      </c>
      <c r="Q5" s="54">
        <f>1+SUM(IF(O5&lt;O6,1,0),IF(O5&lt;O7,1,0),IF(O5&lt;O8,1,0),IF(O5&lt;O9,1,0))</f>
        <v>2</v>
      </c>
      <c r="R5" s="55"/>
      <c r="S5" s="56"/>
      <c r="T5" s="56"/>
      <c r="U5" s="57">
        <f>Q14-T14</f>
        <v>-5</v>
      </c>
      <c r="V5" s="57">
        <f>V14-Y14</f>
        <v>-4</v>
      </c>
      <c r="W5" s="57">
        <f>AA14-AD14</f>
        <v>0</v>
      </c>
      <c r="X5" s="57">
        <f>Q19-T19</f>
        <v>8</v>
      </c>
      <c r="Y5" s="57">
        <f>V19-Y19</f>
        <v>7</v>
      </c>
      <c r="Z5" s="57">
        <f>AA19-AD19</f>
        <v>0</v>
      </c>
      <c r="AA5" s="58">
        <f>Q22-T22</f>
        <v>11</v>
      </c>
      <c r="AB5" s="58">
        <f>V22-Y22</f>
        <v>5</v>
      </c>
      <c r="AC5" s="58">
        <f>AA22-AD22</f>
        <v>0</v>
      </c>
      <c r="AD5" s="58">
        <f>Q16-T16</f>
        <v>13</v>
      </c>
      <c r="AE5" s="58">
        <f>V16-Y16</f>
        <v>11</v>
      </c>
      <c r="AF5" s="58">
        <f>AA16-AD16</f>
        <v>0</v>
      </c>
      <c r="AG5" s="58" t="b">
        <f>IF(Q5=Q6,IF(SUM(U5:W5)&gt;0,B5,B6),  IF(Q5=Q7,IF(SUM(X5:Z5)&gt;0, B5,B7),IF(Q5=Q8,IF(SUM(AA5:AC5)&gt;0, B5,B8),IF(Q5=Q9,IF(SUM(AD5:AF5)&lt;0,B5,B9)))))</f>
        <v>0</v>
      </c>
      <c r="AH5" s="58" t="b">
        <f>IF(Q5=Q6,IF(SUM(U5:W5)&lt;0,B5,B6),  IF(Q5=Q7,IF(SUM(X5:Z5)&lt;0, B5,B7),IF(Q5=Q8,IF(SUM(AA5:AC5)&lt;0, B5,B8),IF(Q5=Q9, IF(SUM(AD5:AF5)&lt;0,B5,B9)))))</f>
        <v>0</v>
      </c>
      <c r="AI5" s="60">
        <f t="shared" ref="AI5:AI9" si="1">Q5+IF(COUNTIF($AG$5:$AG$9,B5)&gt;0,0, IF(COUNTIF($AH$5:$AH$9,B5)&gt;0,1,0))</f>
        <v>2</v>
      </c>
      <c r="AJ5" s="61">
        <f t="shared" ref="AJ5:AJ9" si="2">SUM(R5:AF5)</f>
        <v>46</v>
      </c>
      <c r="AK5" s="62">
        <f>1+SUM(IF(AJ5&lt;AJ6,1,0),IF(AJ5&lt;AJ7,1,0),IF(AJ5&lt;AJ8,1,0),IF(AJ5&lt;AJ9,1,0))</f>
        <v>2</v>
      </c>
      <c r="AL5" s="63">
        <f t="shared" ref="AL5:AL9" si="3">IF(SUM(E5,J5)=0,0,E5/(E5+J5))</f>
        <v>0.75</v>
      </c>
      <c r="AM5" s="62">
        <f>1+SUM(IF(AL5&lt;AL6,1,0),IF(AL5&lt;AL7,1,0),IF(AL5&lt;AL8,1,0),IF(AL5&lt;AL9,1,0))</f>
        <v>2</v>
      </c>
      <c r="AN5" s="64">
        <f t="shared" ref="AN5:AN9" si="4">IF(SUM(O5+P5)=0,0,O5/(O5+P5))</f>
        <v>0.75</v>
      </c>
      <c r="AO5" s="65">
        <f>1+SUM(IF(AN5&lt;AN6,1,0),IF(AN5&lt;AN7,1,0),IF(AN5&lt;AN8,1,0),IF(AN5&lt;AN9,1,0))</f>
        <v>2</v>
      </c>
      <c r="AP5" s="106">
        <f t="shared" ref="AP5:AP9" si="5">AJ5/SUM(O5:P5)</f>
        <v>5.75</v>
      </c>
      <c r="AQ5" s="67">
        <f>1+SUM(IF(AP5&lt;AP6,1,0),IF(AP5&lt;AP7,1,0),IF(AP5&lt;AP8,1,0),IF(AP5&lt;AP9,1,0))</f>
        <v>2</v>
      </c>
      <c r="AR5" s="68">
        <f>1+SUM(IF(Q5&gt;Q6,1,IF(AND(Q5=Q6,AK5&gt;AK6),1,IF(AND(Q5=Q6,AK5=AK6),1,0))),IF(Q5&gt;Q7,1,IF(AND(Q5=Q7,AK5&gt;AK7),1,IF(AND(Q5=Q7,AK5=AK7),1,0))),IF(Q5&gt;Q8,1,IF(AND(Q5=Q8,AK5&gt;AK8),1,IF(AND(Q5=Q8,AK5=AK8),1,0))),IF(Q5&gt;Q9,1,IF(AND(Q5=Q9,AK5&gt;AK9),1,IF(AND(Q5=Q9,AK5=AK9),1,0))))</f>
        <v>2</v>
      </c>
    </row>
    <row r="6" spans="1:44" ht="15.75" customHeight="1" x14ac:dyDescent="0.2">
      <c r="A6" s="51">
        <f t="shared" si="0"/>
        <v>1</v>
      </c>
      <c r="B6" s="172" t="str">
        <f>+'Women''s Master'!G5</f>
        <v>NY Impact Dynamic</v>
      </c>
      <c r="C6" s="173"/>
      <c r="D6" s="173"/>
      <c r="E6" s="171">
        <f>SUM(IF(AG14=E14,1,0),IF(AG17=C17,1,0),IF(AG20=C20,1,0),IF(AG23=C23,1,0))</f>
        <v>4</v>
      </c>
      <c r="F6" s="162"/>
      <c r="G6" s="162"/>
      <c r="H6" s="162"/>
      <c r="I6" s="153"/>
      <c r="J6" s="169">
        <f>SUM(IF(AG14=E14,0,1),IF(AG17=C17,0,1),IF(AG20=C20,0,1),IF(AG23=C23,0,1))</f>
        <v>0</v>
      </c>
      <c r="K6" s="162"/>
      <c r="L6" s="162"/>
      <c r="M6" s="162"/>
      <c r="N6" s="170"/>
      <c r="O6" s="53">
        <f>SUM(IF(AD6&gt;0,1,0),IF(AE6&gt;0,1,0),IF(AF6&gt;0,1,0),IF(R6&gt;0,1,0),IF(S6&gt;0,1,0),IF(T6&gt;0,1,0),IF(X6&gt;0,1,0),IF(Y6&gt;0,1,0),IF(Z6&gt;0,1,0),IF(AA6&gt;0,1,0),IF(AB6&gt;0,1,0),IF(AC6&gt;0,1,0))</f>
        <v>8</v>
      </c>
      <c r="P6" s="52">
        <f>SUM(IF(AD6&lt;0,1,0),IF(AE6&lt;0,1,0),IF(AF6&lt;0,1,0),IF(R6&lt;0,1,0),IF(S6&lt;0,1,0),IF(T6&lt;0,1,0),IF(X6&lt;0,1,0),IF(Y6&lt;0,1,0),IF(Z6&lt;0,1,0),IF(AA6&lt;0,1,0),IF(AB6&lt;0,1,0),IF(AC6&lt;0,1,0))</f>
        <v>0</v>
      </c>
      <c r="Q6" s="54">
        <f>1+SUM(IF(O6&lt;O5,1,0),IF(O6&lt;O7,1,0),IF(O6&lt;O8,1,0),IF(O6&lt;O9,1,0))</f>
        <v>1</v>
      </c>
      <c r="R6" s="69">
        <f t="shared" ref="R6:T6" si="6">-U5</f>
        <v>5</v>
      </c>
      <c r="S6" s="58">
        <f t="shared" si="6"/>
        <v>4</v>
      </c>
      <c r="T6" s="58">
        <f t="shared" si="6"/>
        <v>0</v>
      </c>
      <c r="U6" s="56"/>
      <c r="V6" s="56"/>
      <c r="W6" s="56"/>
      <c r="X6" s="57">
        <f>Q17-T17</f>
        <v>12</v>
      </c>
      <c r="Y6" s="57">
        <f>V17-Y17</f>
        <v>8</v>
      </c>
      <c r="Z6" s="57">
        <f>AA17-AD17</f>
        <v>0</v>
      </c>
      <c r="AA6" s="58">
        <f>Q20-T20</f>
        <v>20</v>
      </c>
      <c r="AB6" s="58">
        <f>V20-Y20</f>
        <v>8</v>
      </c>
      <c r="AC6" s="58">
        <f>AA20-AD20</f>
        <v>0</v>
      </c>
      <c r="AD6" s="58">
        <f>Q23-T23</f>
        <v>9</v>
      </c>
      <c r="AE6" s="58">
        <f>V23-Y23</f>
        <v>11</v>
      </c>
      <c r="AF6" s="58">
        <f>AA23-AD23</f>
        <v>0</v>
      </c>
      <c r="AG6" s="58" t="b">
        <f>IF(Q6=Q7,IF(SUM(X6:Z6)&gt;0,B6,B7),IF(Q6=Q8,IF(SUM(AA6:AC6)&gt;0,B6,B8),IF(Q6=Q9,IF(SUM(AD6:AF6)&gt;0, B6,B9))))</f>
        <v>0</v>
      </c>
      <c r="AH6" s="58" t="b">
        <f>IF(Q6=Q7,IF(SUM(X6:Z6)&lt;0,B6,B7),IF(Q6=Q8,IF(SUM(AA6:AC6)&lt;0,B6,B8),IF(Q6=Q9,IF(SUM(AD6:AF6)&lt;0, B6,B9))))</f>
        <v>0</v>
      </c>
      <c r="AI6" s="60">
        <f t="shared" si="1"/>
        <v>1</v>
      </c>
      <c r="AJ6" s="61">
        <f t="shared" si="2"/>
        <v>77</v>
      </c>
      <c r="AK6" s="62">
        <f>1+SUM(IF(AJ6&lt;AJ5,1,0),IF(AJ6&lt;AJ7,1,0),IF(AJ6&lt;AJ8,1,0),IF(AJ6&lt;AJ9,1,0))</f>
        <v>1</v>
      </c>
      <c r="AL6" s="63">
        <f t="shared" si="3"/>
        <v>1</v>
      </c>
      <c r="AM6" s="62">
        <f>1+SUM(IF(AL6&lt;AL5,1,0),IF(AL6&lt;AL7,1,0),IF(AL6&lt;AL8,1,0),IF(AL6&lt;AL9,1,0))</f>
        <v>1</v>
      </c>
      <c r="AN6" s="64">
        <f t="shared" si="4"/>
        <v>1</v>
      </c>
      <c r="AO6" s="65">
        <f>1+SUM(IF(AN6&lt;AN5,1,0),IF(AN6&lt;AN7,1,0),IF(AN6&lt;AN8,1,0),IF(AN6&lt;AN9,1,0))</f>
        <v>1</v>
      </c>
      <c r="AP6" s="106">
        <f t="shared" si="5"/>
        <v>9.625</v>
      </c>
      <c r="AQ6" s="70">
        <f>1+SUM(IF(AP6&lt;AP5,1,0),IF(AP6&lt;AP7,1,0),IF(AP6&lt;AP8,1,0),IF(AP6&lt;AP9,1,0))</f>
        <v>1</v>
      </c>
      <c r="AR6" s="68">
        <f>1+SUM(IF(Q6&gt;Q5,1,IF(AND(Q6=Q5,AK6&gt;AK5),1,IF(AND(Q6=Q5,AK6=AK5),1,0))),IF(Q6&gt;Q7,1,IF(AND(Q6=Q7,AK6&gt;AK7),1,IF(AND(Q6=Q7,AK6=AK7),1,0))),IF(Q6&gt;Q8,1,IF(AND(Q6=Q8,AK6&gt;AK8),1,IF(AND(Q6=Q8,AK6=AK8),1,0))),IF(Q6&gt;Q9,1,IF(AND(Q6=Q9,AK6&gt;AK9),1,IF(AND(Q6=Q9,AK6=AK9),1,0))))</f>
        <v>1</v>
      </c>
    </row>
    <row r="7" spans="1:44" ht="15.75" customHeight="1" x14ac:dyDescent="0.2">
      <c r="A7" s="51">
        <f t="shared" si="0"/>
        <v>4</v>
      </c>
      <c r="B7" s="172" t="str">
        <f>+'Women''s Master'!G6</f>
        <v>DC CYC Black</v>
      </c>
      <c r="C7" s="173"/>
      <c r="D7" s="173"/>
      <c r="E7" s="171">
        <f>SUM(IF(AG15=C15,1,0),IF(AG17=E17,1,0),IF(AG19=E19,1,0),IF(AG21=C21,1,0))</f>
        <v>0</v>
      </c>
      <c r="F7" s="162"/>
      <c r="G7" s="162"/>
      <c r="H7" s="162"/>
      <c r="I7" s="153"/>
      <c r="J7" s="169">
        <f>SUM(IF(AG15=C15,0,1),IF(AG17=E17,0,1),IF(AG19=E19,0,1),IF(AG21=C21,0,1))</f>
        <v>4</v>
      </c>
      <c r="K7" s="162"/>
      <c r="L7" s="162"/>
      <c r="M7" s="162"/>
      <c r="N7" s="170"/>
      <c r="O7" s="53">
        <f>SUM(IF(AD7&gt;0,1,0),IF(AE7&gt;0,1,0),IF(AF7&gt;0,1,0),IF(U7&gt;0,1,0),IF(V7&gt;0,1,0),IF(W7&gt;0,1,0),IF(R7&gt;0,1,0),IF(S7&gt;0,1,0),IF(T7&gt;0,1,0),IF(AA7&gt;0,1,0),IF(AB7&gt;0,1,0),IF(AC7&gt;0,1,0))</f>
        <v>2</v>
      </c>
      <c r="P7" s="52">
        <f>SUM(IF(AD7&lt;0,1,0),IF(AE7&lt;0,1,0),IF(AF7&lt;0,1,0),IF(U7&lt;0,1,0),IF(V7&lt;0,1,0),IF(W7&lt;0,1,0),IF(R7&lt;0,1,0),IF(S7&lt;0,1,0),IF(T7&lt;0,1,0),IF(AA7&lt;0,1,0),IF(AB7&lt;0,1,0),IF(AC7&lt;0,1,0))</f>
        <v>6</v>
      </c>
      <c r="Q7" s="54">
        <f>1+SUM(IF(O7&lt;O6,1,0),IF(O7&lt;O5,1,0),IF(O7&lt;O8,1,0),IF(O7&lt;O9,1,0))</f>
        <v>4</v>
      </c>
      <c r="R7" s="69">
        <f t="shared" ref="R7:T7" si="7">-X5</f>
        <v>-8</v>
      </c>
      <c r="S7" s="58">
        <f t="shared" si="7"/>
        <v>-7</v>
      </c>
      <c r="T7" s="58">
        <f t="shared" si="7"/>
        <v>0</v>
      </c>
      <c r="U7" s="58">
        <f t="shared" ref="U7:W7" si="8">-X6</f>
        <v>-12</v>
      </c>
      <c r="V7" s="58">
        <f t="shared" si="8"/>
        <v>-8</v>
      </c>
      <c r="W7" s="58">
        <f t="shared" si="8"/>
        <v>0</v>
      </c>
      <c r="X7" s="71"/>
      <c r="Y7" s="71"/>
      <c r="Z7" s="71"/>
      <c r="AA7" s="58">
        <f>Q15-T15</f>
        <v>-9</v>
      </c>
      <c r="AB7" s="58">
        <f>V15-Y15</f>
        <v>3</v>
      </c>
      <c r="AC7" s="58">
        <f>AA15-AD15</f>
        <v>0</v>
      </c>
      <c r="AD7" s="58">
        <f>Q21-T21</f>
        <v>2</v>
      </c>
      <c r="AE7" s="58">
        <f>V21-Y21</f>
        <v>-2</v>
      </c>
      <c r="AF7" s="58">
        <f>AA21-AD21</f>
        <v>0</v>
      </c>
      <c r="AG7" s="58" t="b">
        <f>IF(Q7=Q8,IF(SUM(AA7:AC7)&gt;0,B7,B8),IF(Q7=Q9,IF(SUM(AD7:AF7)&gt;0,B7,B9)))</f>
        <v>0</v>
      </c>
      <c r="AH7" s="58" t="b">
        <f>IF(Q7=Q8,IF(SUM(AA7:AC7)&lt;0,B7,B8),IF(Q7=Q9,IF(SUM(AD7:AF7)&lt;0,B7,B9)))</f>
        <v>0</v>
      </c>
      <c r="AI7" s="60">
        <f t="shared" si="1"/>
        <v>4</v>
      </c>
      <c r="AJ7" s="61">
        <f t="shared" si="2"/>
        <v>-41</v>
      </c>
      <c r="AK7" s="62">
        <f>1+SUM(IF(AJ7&lt;AJ6,1,0),IF(AJ7&lt;AJ5,1,0),IF(AJ7&lt;AJ8,1,0),IF(AJ7&lt;AJ9,1,0))</f>
        <v>4</v>
      </c>
      <c r="AL7" s="63">
        <f t="shared" si="3"/>
        <v>0</v>
      </c>
      <c r="AM7" s="62">
        <f>1+SUM(IF(AL7&lt;AL6,1,0),IF(AL7&lt;AL5,1,0),IF(AL7&lt;AL8,1,0),IF(AL7&lt;AL9,1,0))</f>
        <v>5</v>
      </c>
      <c r="AN7" s="64">
        <f t="shared" si="4"/>
        <v>0.25</v>
      </c>
      <c r="AO7" s="65">
        <f>1+SUM(IF(AN7&lt;AN6,1,0),IF(AN7&lt;AN5,1,0),IF(AN7&lt;AN8,1,0),IF(AN7&lt;AN9,1,0))</f>
        <v>4</v>
      </c>
      <c r="AP7" s="106">
        <f t="shared" si="5"/>
        <v>-5.125</v>
      </c>
      <c r="AQ7" s="70">
        <f>1+SUM(IF(AP7&lt;AP6,1,0),IF(AP7&lt;AP5,1,0),IF(AP7&lt;AP8,1,0),IF(AP7&lt;AP9,1,0))</f>
        <v>4</v>
      </c>
      <c r="AR7" s="68">
        <f>1+SUM(IF(Q7&gt;Q5,1,IF(AND(Q7=Q5,AK7&gt;AK5),1,IF(AND(Q7=Q5,AK7=AK5),1,0))),IF(Q7&gt;Q6,1,IF(AND(Q7=Q6,AK7&gt;AK6),1,IF(AND(Q7=Q6,AK7=AK6),1,0))),IF(Q7&gt;Q8,1,IF(AND(Q7=Q8,AK7&gt;AK8),1,IF(AND(Q7=Q8,AK7=AK8),1,0))),IF(Q7&gt;Q9,1,IF(AND(Q7=Q9,AK7&gt;AK9),1,IF(AND(Q7=Q9,AK7=AK9),1,0))))</f>
        <v>4</v>
      </c>
    </row>
    <row r="8" spans="1:44" ht="15.75" customHeight="1" x14ac:dyDescent="0.2">
      <c r="A8" s="51">
        <f t="shared" si="0"/>
        <v>3</v>
      </c>
      <c r="B8" s="90" t="str">
        <f>+'Women''s Master'!G7</f>
        <v>Toronto Phoenix Blaze</v>
      </c>
      <c r="C8" s="132"/>
      <c r="D8" s="132"/>
      <c r="E8" s="171">
        <f>SUM(IF(AG15=E15,1,0),IF(AG18=C18,1,0),IF(AG20=E20,1,0),IF(AG22=E22,1,0))</f>
        <v>2</v>
      </c>
      <c r="F8" s="162"/>
      <c r="G8" s="162"/>
      <c r="H8" s="162"/>
      <c r="I8" s="153"/>
      <c r="J8" s="169">
        <f>SUM(IF(AG15=E15,0,1),IF(AG18=C18,0,1),IF(AG20=E20,0,1),IF(AG22=E22,0,1))</f>
        <v>2</v>
      </c>
      <c r="K8" s="162"/>
      <c r="L8" s="162"/>
      <c r="M8" s="162"/>
      <c r="N8" s="170"/>
      <c r="O8" s="53">
        <f>SUM(IF(AD8&gt;0,1,0),IF(AE8&gt;0,1,0),IF(AF8&gt;0,1,0),IF(U8&gt;0,1,0),IF(V8&gt;0,1,0),IF(W8&gt;0,1,0),IF(X8&gt;0,1,0),IF(Y8&gt;0,1,0),IF(Z8&gt;0,1,0),IF(R8&gt;0,1,0),IF(S8&gt;0,1,0),IF(T8&gt;0,1,0))</f>
        <v>3</v>
      </c>
      <c r="P8" s="52">
        <f>SUM(IF(AD8&lt;0,1,0),IF(AE8&lt;0,1,0),IF(AF8&lt;0,1,0),IF(U8&lt;0,1,0),IF(V8&lt;0,1,0),IF(W8&lt;0,1,0),IF(R8&lt;0,1,0),IF(S8&lt;0,1,0),IF(T8&lt;0,1,0),IF(X8&lt;0,1,0),IF(Y8&lt;0,1,0),IF(Z8&lt;0,1,0))</f>
        <v>5</v>
      </c>
      <c r="Q8" s="54">
        <f>1+SUM(IF(O8&lt;O6,1,0),IF(O8&lt;O7,1,0),IF(O8&lt;O5,1,0),IF(O8&lt;O9,1,0))</f>
        <v>3</v>
      </c>
      <c r="R8" s="69">
        <f t="shared" ref="R8:T8" si="9">-AA5</f>
        <v>-11</v>
      </c>
      <c r="S8" s="58">
        <f t="shared" si="9"/>
        <v>-5</v>
      </c>
      <c r="T8" s="58">
        <f t="shared" si="9"/>
        <v>0</v>
      </c>
      <c r="U8" s="58">
        <f t="shared" ref="U8:W8" si="10">-AA6</f>
        <v>-20</v>
      </c>
      <c r="V8" s="58">
        <f t="shared" si="10"/>
        <v>-8</v>
      </c>
      <c r="W8" s="58">
        <f t="shared" si="10"/>
        <v>0</v>
      </c>
      <c r="X8" s="58">
        <f t="shared" ref="X8:Z8" si="11">-AA7</f>
        <v>9</v>
      </c>
      <c r="Y8" s="58">
        <f t="shared" si="11"/>
        <v>-3</v>
      </c>
      <c r="Z8" s="58">
        <f t="shared" si="11"/>
        <v>0</v>
      </c>
      <c r="AA8" s="71"/>
      <c r="AB8" s="71"/>
      <c r="AC8" s="71"/>
      <c r="AD8" s="58">
        <f>Q18-T18</f>
        <v>2</v>
      </c>
      <c r="AE8" s="58">
        <f>V18-Y18</f>
        <v>5</v>
      </c>
      <c r="AF8" s="58">
        <f>AA18-AD18</f>
        <v>0</v>
      </c>
      <c r="AG8" s="58" t="b">
        <f>IF(Q8=Q9,IF(SUM(AD8:AF8)&gt;0,B8,B9))</f>
        <v>0</v>
      </c>
      <c r="AH8" s="58" t="b">
        <f>IF(R8=R9,IF(SUM(AE8:AG8)&lt;0,C8,C9))</f>
        <v>0</v>
      </c>
      <c r="AI8" s="60">
        <f t="shared" si="1"/>
        <v>3</v>
      </c>
      <c r="AJ8" s="61">
        <f t="shared" si="2"/>
        <v>-31</v>
      </c>
      <c r="AK8" s="72">
        <f>1+SUM(IF(AJ8&lt;AJ6,1,0),IF(AJ8&lt;AJ7,1,0),IF(AJ8&lt;AJ5,1,0),IF(AJ8&lt;AJ9,1,0))</f>
        <v>3</v>
      </c>
      <c r="AL8" s="63">
        <f t="shared" si="3"/>
        <v>0.5</v>
      </c>
      <c r="AM8" s="72">
        <f>1+SUM(IF(AL8&lt;AL6,1,0),IF(AL8&lt;AL7,1,0),IF(AL8&lt;AL5,1,0),IF(AL8&lt;AL9,1,0))</f>
        <v>3</v>
      </c>
      <c r="AN8" s="64">
        <f t="shared" si="4"/>
        <v>0.375</v>
      </c>
      <c r="AO8" s="65">
        <f>1+SUM(IF(AN8&lt;AN6,1,0),IF(AN8&lt;AN7,1,0),IF(AN8&lt;AN5,1,0),IF(AN8&lt;AN9,1,0))</f>
        <v>3</v>
      </c>
      <c r="AP8" s="106">
        <f t="shared" si="5"/>
        <v>-3.875</v>
      </c>
      <c r="AQ8" s="73">
        <f>1+SUM(IF(AP8&lt;AP6,1,0),IF(AP8&lt;AP7,1,0),IF(AP8&lt;AP5,1,0),IF(AP8&lt;AP9,1,0))</f>
        <v>3</v>
      </c>
      <c r="AR8" s="68">
        <f>1+SUM(IF(Q8&gt;Q5,1,IF(AND(Q8=Q5,AK8&gt;AK5),1,IF(AND(Q8=Q5,AK8=AK5),1,0))),IF(Q8&gt;Q6,1,IF(AND(Q8=Q6,AK8&gt;AK6),1,IF(AND(Q8=Q6,AK8=AK6),1,0))),IF(Q8&gt;Q7,1,IF(AND(Q8=Q7,AK8&gt;AK7),1,IF(AND(Q8=Q7,AK8=AK7),1,0))),IF(Q8&gt;Q9,1,IF(AND(Q8=Q9,AK8&gt;AK9),1,IF(AND(Q8=Q9,AK8=AK9),1,0))))</f>
        <v>3</v>
      </c>
    </row>
    <row r="9" spans="1:44" ht="15.75" customHeight="1" x14ac:dyDescent="0.2">
      <c r="A9" s="51">
        <f t="shared" si="0"/>
        <v>5</v>
      </c>
      <c r="B9" s="90" t="str">
        <f>+'Women''s Master'!G8</f>
        <v>NY Vikings Storm</v>
      </c>
      <c r="C9" s="132"/>
      <c r="D9" s="132"/>
      <c r="E9" s="171">
        <f>SUM(IF(AG16=E16,1,0),IF(AG18=E18,1,0),IF(AG21=E21,1,0),IF(AG23=E23,1,0))</f>
        <v>1</v>
      </c>
      <c r="F9" s="162"/>
      <c r="G9" s="162"/>
      <c r="H9" s="162"/>
      <c r="I9" s="153"/>
      <c r="J9" s="169">
        <f>SUM(IF(AG16=E16,0,1),IF(AG18=E18,0,1),IF(AG21=E21,0,1),IF(AG23=E23,0,1))</f>
        <v>3</v>
      </c>
      <c r="K9" s="162"/>
      <c r="L9" s="162"/>
      <c r="M9" s="162"/>
      <c r="N9" s="170"/>
      <c r="O9" s="53">
        <f>SUM(IF(R9&gt;0,1,0),IF(S9&gt;0,1,0),IF(T9&gt;0,1,0),IF(U9&gt;0,1,0),IF(V9&gt;0,1,0),IF(W9&gt;0,1,0),IF(X9&gt;0,1,0),IF(Y9&gt;0,1,0),IF(Z9&gt;0,1,0),IF(AA9&gt;0,1,0),IF(AB9&gt;0,1,0),IF(AC9&gt;0,1,0))</f>
        <v>1</v>
      </c>
      <c r="P9" s="52">
        <f>SUM(IF(R9&lt;0,1,0),IF(S9&lt;0,1,0),IF(T9&lt;0,1,0),IF(U9&lt;0,1,0),IF(V9&lt;0,1,0),IF(W9&lt;0,1,0),IF(X9&lt;0,1,0),IF(Y9&lt;0,1,0),IF(Z9&lt;0,1,0),IF(AA9&lt;0,1,0),IF(AB9&lt;0,1,0),IF(AC9&lt;0,1,0))</f>
        <v>7</v>
      </c>
      <c r="Q9" s="54">
        <f>1+SUM(IF(O9&lt;O6,1,0),IF(O9&lt;O7,1,0),IF(O9&lt;O8,1,0),IF(O9&lt;O5,1,0))</f>
        <v>5</v>
      </c>
      <c r="R9" s="74">
        <f t="shared" ref="R9:T9" si="12">-AD5</f>
        <v>-13</v>
      </c>
      <c r="S9" s="75">
        <f t="shared" si="12"/>
        <v>-11</v>
      </c>
      <c r="T9" s="75">
        <f t="shared" si="12"/>
        <v>0</v>
      </c>
      <c r="U9" s="75">
        <f t="shared" ref="U9:W9" si="13">-AD6</f>
        <v>-9</v>
      </c>
      <c r="V9" s="75">
        <f t="shared" si="13"/>
        <v>-11</v>
      </c>
      <c r="W9" s="75">
        <f t="shared" si="13"/>
        <v>0</v>
      </c>
      <c r="X9" s="75">
        <f t="shared" ref="X9:Z9" si="14">-AD7</f>
        <v>-2</v>
      </c>
      <c r="Y9" s="75">
        <f t="shared" si="14"/>
        <v>2</v>
      </c>
      <c r="Z9" s="75">
        <f t="shared" si="14"/>
        <v>0</v>
      </c>
      <c r="AA9" s="75">
        <f t="shared" ref="AA9:AC9" si="15">-AD8</f>
        <v>-2</v>
      </c>
      <c r="AB9" s="75">
        <f t="shared" si="15"/>
        <v>-5</v>
      </c>
      <c r="AC9" s="75">
        <f t="shared" si="15"/>
        <v>0</v>
      </c>
      <c r="AD9" s="76"/>
      <c r="AE9" s="76"/>
      <c r="AF9" s="76"/>
      <c r="AG9" s="77" t="s">
        <v>168</v>
      </c>
      <c r="AH9" s="77" t="s">
        <v>168</v>
      </c>
      <c r="AI9" s="60">
        <f t="shared" si="1"/>
        <v>5</v>
      </c>
      <c r="AJ9" s="78">
        <f t="shared" si="2"/>
        <v>-51</v>
      </c>
      <c r="AK9" s="72">
        <f>1+SUM(IF(AJ9&lt;AJ6,1,0),IF(AJ9&lt;AJ7,1,0),IF(AJ9&lt;AJ8,1,0),IF(AJ9&lt;AJ5,1,0))</f>
        <v>5</v>
      </c>
      <c r="AL9" s="79">
        <f t="shared" si="3"/>
        <v>0.25</v>
      </c>
      <c r="AM9" s="72">
        <f>1+SUM(IF(AL9&lt;AL6,1,0),IF(AL9&lt;AL7,1,0),IF(AL9&lt;AL8,1,0),IF(AL9&lt;AL5,1,0))</f>
        <v>4</v>
      </c>
      <c r="AN9" s="64">
        <f t="shared" si="4"/>
        <v>0.125</v>
      </c>
      <c r="AO9" s="65">
        <f>1+SUM(IF(AN9&lt;AN6,1,0),IF(AN9&lt;AN7,1,0),IF(AN9&lt;AN8,1,0),IF(AN9&lt;AN5,1,0))</f>
        <v>5</v>
      </c>
      <c r="AP9" s="106">
        <f t="shared" si="5"/>
        <v>-6.375</v>
      </c>
      <c r="AQ9" s="73">
        <f>1+SUM(IF(AP9&lt;AP6,1,0),IF(AP9&lt;AP7,1,0),IF(AP9&lt;AP8,1,0),IF(AP9&lt;AP5,1,0))</f>
        <v>5</v>
      </c>
      <c r="AR9" s="68">
        <f>1+SUM(IF(Q9&gt;Q5,1,IF(AND(Q9=Q5,AK9&gt;AK5),1,IF(AND(Q9=Q5,AK9=AK5),1,0))),IF(Q9&gt;Q6,1,IF(AND(Q9=Q6,AK9&gt;AK6),1,IF(AND(Q9=Q6,AK9=AK6),1,0))),IF(Q9&gt;Q7,1,IF(AND(Q9=Q7,AK9&gt;AK7),1,IF(AND(Q9=Q7,AK9=AK7),1,0))),IF(Q9&gt;Q8,1,IF(AND(Q9=Q8,AK9&gt;AK8),1,IF(AND(Q9=Q8,AK9=AK8),1,0))))</f>
        <v>5</v>
      </c>
    </row>
    <row r="10" spans="1:44" ht="12.75" customHeight="1" x14ac:dyDescent="0.2">
      <c r="A10" s="174"/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80"/>
      <c r="AI10" s="41"/>
      <c r="AJ10" s="41"/>
      <c r="AK10" s="41"/>
      <c r="AL10" s="41"/>
      <c r="AM10" s="41"/>
      <c r="AN10" s="41"/>
      <c r="AO10" s="5"/>
      <c r="AP10" s="5"/>
      <c r="AQ10" s="5"/>
      <c r="AR10" s="5"/>
    </row>
    <row r="11" spans="1:44" ht="12.75" customHeight="1" x14ac:dyDescent="0.2">
      <c r="A11" s="136"/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80"/>
      <c r="AI11" s="41"/>
      <c r="AJ11" s="41"/>
      <c r="AK11" s="41"/>
      <c r="AL11" s="41"/>
      <c r="AM11" s="41"/>
      <c r="AN11" s="41"/>
      <c r="AO11" s="5"/>
      <c r="AP11" s="5"/>
      <c r="AQ11" s="5"/>
      <c r="AR11" s="5"/>
    </row>
    <row r="12" spans="1:44" ht="13.5" customHeight="1" x14ac:dyDescent="0.2">
      <c r="A12" s="136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80"/>
      <c r="AI12" s="41"/>
      <c r="AJ12" s="41"/>
      <c r="AK12" s="41"/>
      <c r="AL12" s="41"/>
      <c r="AM12" s="41"/>
      <c r="AN12" s="41"/>
      <c r="AO12" s="5"/>
      <c r="AP12" s="5"/>
      <c r="AQ12" s="5"/>
      <c r="AR12" s="5"/>
    </row>
    <row r="13" spans="1:44" ht="13.5" customHeight="1" x14ac:dyDescent="0.2">
      <c r="A13" s="167"/>
      <c r="B13" s="136"/>
      <c r="C13" s="81" t="s">
        <v>169</v>
      </c>
      <c r="D13" s="82" t="s">
        <v>170</v>
      </c>
      <c r="E13" s="165" t="s">
        <v>169</v>
      </c>
      <c r="F13" s="156"/>
      <c r="G13" s="156"/>
      <c r="H13" s="156"/>
      <c r="I13" s="156"/>
      <c r="J13" s="156"/>
      <c r="K13" s="156"/>
      <c r="L13" s="156"/>
      <c r="M13" s="166"/>
      <c r="N13" s="176" t="s">
        <v>171</v>
      </c>
      <c r="O13" s="177"/>
      <c r="P13" s="178"/>
      <c r="Q13" s="155" t="s">
        <v>172</v>
      </c>
      <c r="R13" s="156"/>
      <c r="S13" s="156"/>
      <c r="T13" s="156"/>
      <c r="U13" s="166"/>
      <c r="V13" s="175" t="s">
        <v>173</v>
      </c>
      <c r="W13" s="156"/>
      <c r="X13" s="156"/>
      <c r="Y13" s="156"/>
      <c r="Z13" s="166"/>
      <c r="AA13" s="155" t="s">
        <v>174</v>
      </c>
      <c r="AB13" s="156"/>
      <c r="AC13" s="156"/>
      <c r="AD13" s="156"/>
      <c r="AE13" s="157"/>
      <c r="AF13" s="83"/>
      <c r="AG13" s="84" t="s">
        <v>175</v>
      </c>
      <c r="AH13" s="49" t="s">
        <v>176</v>
      </c>
      <c r="AI13" s="158" t="s">
        <v>177</v>
      </c>
      <c r="AJ13" s="159"/>
      <c r="AK13" s="41"/>
      <c r="AL13" s="5"/>
      <c r="AM13" s="5"/>
      <c r="AN13" s="5"/>
      <c r="AO13" s="5"/>
      <c r="AP13" s="5"/>
      <c r="AQ13" s="5"/>
      <c r="AR13" s="5"/>
    </row>
    <row r="14" spans="1:44" ht="15.75" customHeight="1" x14ac:dyDescent="0.2">
      <c r="A14" s="85">
        <v>1</v>
      </c>
      <c r="B14" s="86">
        <v>1</v>
      </c>
      <c r="C14" s="117" t="str">
        <f>+B5</f>
        <v>Philly Lady Suns Sunsations</v>
      </c>
      <c r="D14" s="88">
        <v>2</v>
      </c>
      <c r="E14" s="161" t="str">
        <f>+B6</f>
        <v>NY Impact Dynamic</v>
      </c>
      <c r="F14" s="162"/>
      <c r="G14" s="162"/>
      <c r="H14" s="162"/>
      <c r="I14" s="162"/>
      <c r="J14" s="162"/>
      <c r="K14" s="162"/>
      <c r="L14" s="162"/>
      <c r="M14" s="153"/>
      <c r="N14" s="89">
        <v>3</v>
      </c>
      <c r="O14" s="160" t="str">
        <f>+B7</f>
        <v>DC CYC Black</v>
      </c>
      <c r="P14" s="153"/>
      <c r="Q14" s="196">
        <v>20</v>
      </c>
      <c r="R14" s="143"/>
      <c r="S14" s="91">
        <v>0</v>
      </c>
      <c r="T14" s="151">
        <v>25</v>
      </c>
      <c r="U14" s="143"/>
      <c r="V14" s="154">
        <v>21</v>
      </c>
      <c r="W14" s="143"/>
      <c r="X14" s="92">
        <v>0</v>
      </c>
      <c r="Y14" s="154">
        <v>25</v>
      </c>
      <c r="Z14" s="143"/>
      <c r="AA14" s="152"/>
      <c r="AB14" s="153"/>
      <c r="AC14" s="93" t="s">
        <v>178</v>
      </c>
      <c r="AD14" s="152"/>
      <c r="AE14" s="153"/>
      <c r="AF14" s="94"/>
      <c r="AG14" s="104" t="str">
        <f t="shared" ref="AG14:AG23" si="16">IF((Q14)+(V14)+(AA14)-(T14)-(Y14)-(AD14)&gt;0,C14,E14)</f>
        <v>NY Impact Dynamic</v>
      </c>
      <c r="AH14" s="96">
        <f t="shared" ref="AH14:AH23" si="17">(Q14)+(V14)+(AA14)-(T14)-(Y14)-(AD14)</f>
        <v>-9</v>
      </c>
      <c r="AI14" s="147">
        <v>0.375</v>
      </c>
      <c r="AJ14" s="148"/>
      <c r="AK14" s="5"/>
      <c r="AL14" s="5"/>
      <c r="AM14" s="5"/>
      <c r="AN14" s="5"/>
      <c r="AO14" s="5"/>
      <c r="AP14" s="5"/>
      <c r="AQ14" s="5"/>
      <c r="AR14" s="5"/>
    </row>
    <row r="15" spans="1:44" ht="15.75" customHeight="1" x14ac:dyDescent="0.2">
      <c r="A15" s="97">
        <v>2</v>
      </c>
      <c r="B15" s="98">
        <v>3</v>
      </c>
      <c r="C15" s="99" t="str">
        <f>+B7</f>
        <v>DC CYC Black</v>
      </c>
      <c r="D15" s="61">
        <v>4</v>
      </c>
      <c r="E15" s="163" t="str">
        <f t="shared" ref="E15:E16" si="18">+B8</f>
        <v>Toronto Phoenix Blaze</v>
      </c>
      <c r="F15" s="164"/>
      <c r="G15" s="164"/>
      <c r="H15" s="164"/>
      <c r="I15" s="164"/>
      <c r="J15" s="164"/>
      <c r="K15" s="164"/>
      <c r="L15" s="164"/>
      <c r="M15" s="143"/>
      <c r="N15" s="100">
        <v>2</v>
      </c>
      <c r="O15" s="168" t="str">
        <f>+B6</f>
        <v>NY Impact Dynamic</v>
      </c>
      <c r="P15" s="143"/>
      <c r="Q15" s="195">
        <v>16</v>
      </c>
      <c r="R15" s="141"/>
      <c r="S15" s="101"/>
      <c r="T15" s="144">
        <v>25</v>
      </c>
      <c r="U15" s="141"/>
      <c r="V15" s="140">
        <v>25</v>
      </c>
      <c r="W15" s="141"/>
      <c r="X15" s="102"/>
      <c r="Y15" s="140">
        <v>22</v>
      </c>
      <c r="Z15" s="141"/>
      <c r="AA15" s="142"/>
      <c r="AB15" s="143"/>
      <c r="AC15" s="103" t="s">
        <v>178</v>
      </c>
      <c r="AD15" s="142"/>
      <c r="AE15" s="143"/>
      <c r="AF15" s="94"/>
      <c r="AG15" s="129" t="str">
        <f t="shared" si="16"/>
        <v>Toronto Phoenix Blaze</v>
      </c>
      <c r="AH15" s="96">
        <f t="shared" si="17"/>
        <v>-6</v>
      </c>
      <c r="AI15" s="149">
        <v>0.40972222222222227</v>
      </c>
      <c r="AJ15" s="150"/>
      <c r="AK15" s="5"/>
      <c r="AL15" s="5"/>
      <c r="AM15" s="5"/>
      <c r="AN15" s="5"/>
      <c r="AO15" s="5"/>
      <c r="AP15" s="5"/>
      <c r="AQ15" s="5"/>
      <c r="AR15" s="5"/>
    </row>
    <row r="16" spans="1:44" ht="15.75" customHeight="1" x14ac:dyDescent="0.2">
      <c r="A16" s="97">
        <v>3</v>
      </c>
      <c r="B16" s="98">
        <v>1</v>
      </c>
      <c r="C16" s="99" t="str">
        <f t="shared" ref="C16:C17" si="19">+B5</f>
        <v>Philly Lady Suns Sunsations</v>
      </c>
      <c r="D16" s="61">
        <v>5</v>
      </c>
      <c r="E16" s="163" t="str">
        <f t="shared" si="18"/>
        <v>NY Vikings Storm</v>
      </c>
      <c r="F16" s="164"/>
      <c r="G16" s="164"/>
      <c r="H16" s="164"/>
      <c r="I16" s="164"/>
      <c r="J16" s="164"/>
      <c r="K16" s="164"/>
      <c r="L16" s="164"/>
      <c r="M16" s="143"/>
      <c r="N16" s="100">
        <v>4</v>
      </c>
      <c r="O16" s="168" t="str">
        <f>+B8</f>
        <v>Toronto Phoenix Blaze</v>
      </c>
      <c r="P16" s="143"/>
      <c r="Q16" s="195">
        <v>25</v>
      </c>
      <c r="R16" s="141"/>
      <c r="S16" s="101">
        <v>0</v>
      </c>
      <c r="T16" s="144">
        <v>12</v>
      </c>
      <c r="U16" s="141"/>
      <c r="V16" s="140">
        <v>25</v>
      </c>
      <c r="W16" s="141"/>
      <c r="X16" s="102">
        <v>0</v>
      </c>
      <c r="Y16" s="140">
        <v>14</v>
      </c>
      <c r="Z16" s="141"/>
      <c r="AA16" s="142"/>
      <c r="AB16" s="143"/>
      <c r="AC16" s="103" t="s">
        <v>178</v>
      </c>
      <c r="AD16" s="142"/>
      <c r="AE16" s="143"/>
      <c r="AF16" s="94"/>
      <c r="AG16" s="129" t="str">
        <f t="shared" si="16"/>
        <v>Philly Lady Suns Sunsations</v>
      </c>
      <c r="AH16" s="96">
        <f t="shared" si="17"/>
        <v>24</v>
      </c>
      <c r="AI16" s="149">
        <v>0.44444444444444442</v>
      </c>
      <c r="AJ16" s="150"/>
      <c r="AK16" s="5"/>
      <c r="AL16" s="5"/>
      <c r="AM16" s="5"/>
      <c r="AN16" s="5"/>
      <c r="AO16" s="5"/>
      <c r="AP16" s="5"/>
      <c r="AQ16" s="5"/>
      <c r="AR16" s="5"/>
    </row>
    <row r="17" spans="1:44" ht="15.75" customHeight="1" x14ac:dyDescent="0.2">
      <c r="A17" s="97">
        <v>4</v>
      </c>
      <c r="B17" s="98">
        <v>2</v>
      </c>
      <c r="C17" s="99" t="str">
        <f t="shared" si="19"/>
        <v>NY Impact Dynamic</v>
      </c>
      <c r="D17" s="61">
        <v>3</v>
      </c>
      <c r="E17" s="163" t="str">
        <f>+B7</f>
        <v>DC CYC Black</v>
      </c>
      <c r="F17" s="164"/>
      <c r="G17" s="164"/>
      <c r="H17" s="164"/>
      <c r="I17" s="164"/>
      <c r="J17" s="164"/>
      <c r="K17" s="164"/>
      <c r="L17" s="164"/>
      <c r="M17" s="143"/>
      <c r="N17" s="100">
        <v>1</v>
      </c>
      <c r="O17" s="168" t="str">
        <f>+B5</f>
        <v>Philly Lady Suns Sunsations</v>
      </c>
      <c r="P17" s="143"/>
      <c r="Q17" s="195">
        <v>25</v>
      </c>
      <c r="R17" s="141"/>
      <c r="S17" s="101">
        <v>0</v>
      </c>
      <c r="T17" s="144">
        <v>13</v>
      </c>
      <c r="U17" s="141"/>
      <c r="V17" s="140">
        <v>25</v>
      </c>
      <c r="W17" s="141"/>
      <c r="X17" s="102">
        <v>0</v>
      </c>
      <c r="Y17" s="140">
        <v>17</v>
      </c>
      <c r="Z17" s="141"/>
      <c r="AA17" s="142"/>
      <c r="AB17" s="143"/>
      <c r="AC17" s="103" t="s">
        <v>178</v>
      </c>
      <c r="AD17" s="142"/>
      <c r="AE17" s="143"/>
      <c r="AF17" s="94"/>
      <c r="AG17" s="129" t="str">
        <f t="shared" si="16"/>
        <v>NY Impact Dynamic</v>
      </c>
      <c r="AH17" s="96">
        <f t="shared" si="17"/>
        <v>20</v>
      </c>
      <c r="AI17" s="149">
        <v>0.47916666666666669</v>
      </c>
      <c r="AJ17" s="150"/>
      <c r="AK17" s="5"/>
      <c r="AL17" s="5"/>
      <c r="AM17" s="5"/>
      <c r="AN17" s="5"/>
      <c r="AO17" s="5"/>
      <c r="AP17" s="5"/>
      <c r="AQ17" s="5"/>
      <c r="AR17" s="5"/>
    </row>
    <row r="18" spans="1:44" ht="15.75" customHeight="1" x14ac:dyDescent="0.2">
      <c r="A18" s="97">
        <v>5</v>
      </c>
      <c r="B18" s="98">
        <v>4</v>
      </c>
      <c r="C18" s="99" t="str">
        <f>+B8</f>
        <v>Toronto Phoenix Blaze</v>
      </c>
      <c r="D18" s="61">
        <v>5</v>
      </c>
      <c r="E18" s="163" t="str">
        <f>+B9</f>
        <v>NY Vikings Storm</v>
      </c>
      <c r="F18" s="164"/>
      <c r="G18" s="164"/>
      <c r="H18" s="164"/>
      <c r="I18" s="164"/>
      <c r="J18" s="164"/>
      <c r="K18" s="164"/>
      <c r="L18" s="164"/>
      <c r="M18" s="143"/>
      <c r="N18" s="100">
        <v>3</v>
      </c>
      <c r="O18" s="168" t="str">
        <f>+B7</f>
        <v>DC CYC Black</v>
      </c>
      <c r="P18" s="143"/>
      <c r="Q18" s="195">
        <v>27</v>
      </c>
      <c r="R18" s="141"/>
      <c r="S18" s="101">
        <v>0</v>
      </c>
      <c r="T18" s="144">
        <v>25</v>
      </c>
      <c r="U18" s="141"/>
      <c r="V18" s="140">
        <v>25</v>
      </c>
      <c r="W18" s="141"/>
      <c r="X18" s="102">
        <v>0</v>
      </c>
      <c r="Y18" s="140">
        <v>20</v>
      </c>
      <c r="Z18" s="141"/>
      <c r="AA18" s="142"/>
      <c r="AB18" s="143"/>
      <c r="AC18" s="103" t="s">
        <v>178</v>
      </c>
      <c r="AD18" s="142"/>
      <c r="AE18" s="143"/>
      <c r="AF18" s="94"/>
      <c r="AG18" s="129" t="str">
        <f t="shared" si="16"/>
        <v>Toronto Phoenix Blaze</v>
      </c>
      <c r="AH18" s="96">
        <f t="shared" si="17"/>
        <v>7</v>
      </c>
      <c r="AI18" s="149">
        <v>0.53472222222222221</v>
      </c>
      <c r="AJ18" s="150"/>
      <c r="AK18" s="5"/>
      <c r="AL18" s="5"/>
      <c r="AM18" s="5"/>
      <c r="AN18" s="5"/>
      <c r="AO18" s="5"/>
      <c r="AP18" s="5"/>
      <c r="AQ18" s="5"/>
      <c r="AR18" s="5"/>
    </row>
    <row r="19" spans="1:44" ht="15.75" customHeight="1" x14ac:dyDescent="0.2">
      <c r="A19" s="97">
        <v>6</v>
      </c>
      <c r="B19" s="98">
        <v>1</v>
      </c>
      <c r="C19" s="99" t="str">
        <f t="shared" ref="C19:C21" si="20">+B5</f>
        <v>Philly Lady Suns Sunsations</v>
      </c>
      <c r="D19" s="61">
        <v>3</v>
      </c>
      <c r="E19" s="163" t="str">
        <f t="shared" ref="E19:E21" si="21">+B7</f>
        <v>DC CYC Black</v>
      </c>
      <c r="F19" s="164"/>
      <c r="G19" s="164"/>
      <c r="H19" s="164"/>
      <c r="I19" s="164"/>
      <c r="J19" s="164"/>
      <c r="K19" s="164"/>
      <c r="L19" s="164"/>
      <c r="M19" s="143"/>
      <c r="N19" s="100">
        <v>5</v>
      </c>
      <c r="O19" s="168" t="str">
        <f>+B9</f>
        <v>NY Vikings Storm</v>
      </c>
      <c r="P19" s="143"/>
      <c r="Q19" s="195">
        <v>25</v>
      </c>
      <c r="R19" s="141"/>
      <c r="S19" s="101">
        <v>0</v>
      </c>
      <c r="T19" s="144">
        <v>17</v>
      </c>
      <c r="U19" s="141"/>
      <c r="V19" s="140">
        <v>25</v>
      </c>
      <c r="W19" s="141"/>
      <c r="X19" s="102">
        <v>0</v>
      </c>
      <c r="Y19" s="140">
        <v>18</v>
      </c>
      <c r="Z19" s="141"/>
      <c r="AA19" s="142"/>
      <c r="AB19" s="143"/>
      <c r="AC19" s="103" t="s">
        <v>178</v>
      </c>
      <c r="AD19" s="142"/>
      <c r="AE19" s="143"/>
      <c r="AF19" s="94"/>
      <c r="AG19" s="129" t="str">
        <f t="shared" si="16"/>
        <v>Philly Lady Suns Sunsations</v>
      </c>
      <c r="AH19" s="96">
        <f t="shared" si="17"/>
        <v>15</v>
      </c>
      <c r="AI19" s="149">
        <v>6.9444444444444434E-2</v>
      </c>
      <c r="AJ19" s="150"/>
      <c r="AK19" s="5"/>
      <c r="AL19" s="5"/>
      <c r="AM19" s="5"/>
      <c r="AN19" s="5"/>
      <c r="AO19" s="5"/>
      <c r="AP19" s="5"/>
      <c r="AQ19" s="5"/>
      <c r="AR19" s="5"/>
    </row>
    <row r="20" spans="1:44" ht="15.75" customHeight="1" x14ac:dyDescent="0.2">
      <c r="A20" s="97">
        <v>7</v>
      </c>
      <c r="B20" s="98">
        <v>2</v>
      </c>
      <c r="C20" s="99" t="str">
        <f t="shared" si="20"/>
        <v>NY Impact Dynamic</v>
      </c>
      <c r="D20" s="61">
        <v>4</v>
      </c>
      <c r="E20" s="163" t="str">
        <f t="shared" si="21"/>
        <v>Toronto Phoenix Blaze</v>
      </c>
      <c r="F20" s="164"/>
      <c r="G20" s="164"/>
      <c r="H20" s="164"/>
      <c r="I20" s="164"/>
      <c r="J20" s="164"/>
      <c r="K20" s="164"/>
      <c r="L20" s="164"/>
      <c r="M20" s="143"/>
      <c r="N20" s="100">
        <v>1</v>
      </c>
      <c r="O20" s="168" t="str">
        <f t="shared" ref="O20:O21" si="22">+B5</f>
        <v>Philly Lady Suns Sunsations</v>
      </c>
      <c r="P20" s="143"/>
      <c r="Q20" s="195">
        <v>25</v>
      </c>
      <c r="R20" s="141"/>
      <c r="S20" s="101">
        <v>0</v>
      </c>
      <c r="T20" s="144">
        <v>5</v>
      </c>
      <c r="U20" s="141"/>
      <c r="V20" s="140">
        <v>25</v>
      </c>
      <c r="W20" s="141"/>
      <c r="X20" s="102">
        <v>0</v>
      </c>
      <c r="Y20" s="140">
        <v>17</v>
      </c>
      <c r="Z20" s="141"/>
      <c r="AA20" s="142"/>
      <c r="AB20" s="143"/>
      <c r="AC20" s="103" t="s">
        <v>178</v>
      </c>
      <c r="AD20" s="142"/>
      <c r="AE20" s="143"/>
      <c r="AF20" s="94"/>
      <c r="AG20" s="129" t="str">
        <f t="shared" si="16"/>
        <v>NY Impact Dynamic</v>
      </c>
      <c r="AH20" s="96">
        <f t="shared" si="17"/>
        <v>28</v>
      </c>
      <c r="AI20" s="149">
        <v>0.10416666666666667</v>
      </c>
      <c r="AJ20" s="150"/>
      <c r="AK20" s="5"/>
      <c r="AL20" s="5"/>
      <c r="AM20" s="5"/>
      <c r="AN20" s="5"/>
      <c r="AO20" s="5"/>
      <c r="AP20" s="5"/>
      <c r="AQ20" s="5"/>
      <c r="AR20" s="5"/>
    </row>
    <row r="21" spans="1:44" ht="15.75" customHeight="1" x14ac:dyDescent="0.2">
      <c r="A21" s="97">
        <v>8</v>
      </c>
      <c r="B21" s="98">
        <v>3</v>
      </c>
      <c r="C21" s="99" t="str">
        <f t="shared" si="20"/>
        <v>DC CYC Black</v>
      </c>
      <c r="D21" s="61">
        <v>5</v>
      </c>
      <c r="E21" s="163" t="str">
        <f t="shared" si="21"/>
        <v>NY Vikings Storm</v>
      </c>
      <c r="F21" s="164"/>
      <c r="G21" s="164"/>
      <c r="H21" s="164"/>
      <c r="I21" s="164"/>
      <c r="J21" s="164"/>
      <c r="K21" s="164"/>
      <c r="L21" s="164"/>
      <c r="M21" s="143"/>
      <c r="N21" s="100">
        <v>2</v>
      </c>
      <c r="O21" s="168" t="str">
        <f t="shared" si="22"/>
        <v>NY Impact Dynamic</v>
      </c>
      <c r="P21" s="143"/>
      <c r="Q21" s="195">
        <v>25</v>
      </c>
      <c r="R21" s="141"/>
      <c r="S21" s="101">
        <v>0</v>
      </c>
      <c r="T21" s="144">
        <v>23</v>
      </c>
      <c r="U21" s="141"/>
      <c r="V21" s="140">
        <v>24</v>
      </c>
      <c r="W21" s="141"/>
      <c r="X21" s="102">
        <v>0</v>
      </c>
      <c r="Y21" s="140">
        <v>26</v>
      </c>
      <c r="Z21" s="141"/>
      <c r="AA21" s="142"/>
      <c r="AB21" s="143"/>
      <c r="AC21" s="103" t="s">
        <v>178</v>
      </c>
      <c r="AD21" s="142"/>
      <c r="AE21" s="143"/>
      <c r="AF21" s="94"/>
      <c r="AG21" s="129" t="str">
        <f t="shared" si="16"/>
        <v>NY Vikings Storm</v>
      </c>
      <c r="AH21" s="96">
        <f t="shared" si="17"/>
        <v>0</v>
      </c>
      <c r="AI21" s="149">
        <v>0.15972222222222224</v>
      </c>
      <c r="AJ21" s="150"/>
      <c r="AK21" s="5"/>
      <c r="AL21" s="5"/>
      <c r="AM21" s="5"/>
      <c r="AN21" s="5"/>
      <c r="AO21" s="5"/>
      <c r="AP21" s="5"/>
      <c r="AQ21" s="5"/>
      <c r="AR21" s="5"/>
    </row>
    <row r="22" spans="1:44" ht="15.75" customHeight="1" x14ac:dyDescent="0.2">
      <c r="A22" s="97">
        <v>9</v>
      </c>
      <c r="B22" s="98">
        <v>1</v>
      </c>
      <c r="C22" s="99" t="str">
        <f t="shared" ref="C22:C23" si="23">+B5</f>
        <v>Philly Lady Suns Sunsations</v>
      </c>
      <c r="D22" s="61">
        <v>4</v>
      </c>
      <c r="E22" s="163" t="str">
        <f t="shared" ref="E22:E23" si="24">+B8</f>
        <v>Toronto Phoenix Blaze</v>
      </c>
      <c r="F22" s="164"/>
      <c r="G22" s="164"/>
      <c r="H22" s="164"/>
      <c r="I22" s="164"/>
      <c r="J22" s="164"/>
      <c r="K22" s="164"/>
      <c r="L22" s="164"/>
      <c r="M22" s="143"/>
      <c r="N22" s="100">
        <v>5</v>
      </c>
      <c r="O22" s="168" t="str">
        <f>+B9</f>
        <v>NY Vikings Storm</v>
      </c>
      <c r="P22" s="143"/>
      <c r="Q22" s="195">
        <v>25</v>
      </c>
      <c r="R22" s="141"/>
      <c r="S22" s="101">
        <v>0</v>
      </c>
      <c r="T22" s="144">
        <v>14</v>
      </c>
      <c r="U22" s="141"/>
      <c r="V22" s="140">
        <v>25</v>
      </c>
      <c r="W22" s="141"/>
      <c r="X22" s="102">
        <v>0</v>
      </c>
      <c r="Y22" s="140">
        <v>20</v>
      </c>
      <c r="Z22" s="141"/>
      <c r="AA22" s="142"/>
      <c r="AB22" s="143"/>
      <c r="AC22" s="103" t="s">
        <v>178</v>
      </c>
      <c r="AD22" s="142"/>
      <c r="AE22" s="143"/>
      <c r="AF22" s="94"/>
      <c r="AG22" s="129" t="str">
        <f t="shared" si="16"/>
        <v>Philly Lady Suns Sunsations</v>
      </c>
      <c r="AH22" s="96">
        <f t="shared" si="17"/>
        <v>16</v>
      </c>
      <c r="AI22" s="149">
        <v>0.19444444444444445</v>
      </c>
      <c r="AJ22" s="150"/>
      <c r="AK22" s="5"/>
      <c r="AL22" s="5"/>
      <c r="AM22" s="5"/>
      <c r="AN22" s="5"/>
      <c r="AO22" s="5"/>
      <c r="AP22" s="5"/>
      <c r="AQ22" s="5"/>
      <c r="AR22" s="5"/>
    </row>
    <row r="23" spans="1:44" ht="15.75" customHeight="1" x14ac:dyDescent="0.2">
      <c r="A23" s="109">
        <v>10</v>
      </c>
      <c r="B23" s="110">
        <v>2</v>
      </c>
      <c r="C23" s="111" t="str">
        <f t="shared" si="23"/>
        <v>NY Impact Dynamic</v>
      </c>
      <c r="D23" s="78">
        <v>5</v>
      </c>
      <c r="E23" s="188" t="str">
        <f t="shared" si="24"/>
        <v>NY Vikings Storm</v>
      </c>
      <c r="F23" s="189"/>
      <c r="G23" s="189"/>
      <c r="H23" s="189"/>
      <c r="I23" s="189"/>
      <c r="J23" s="189"/>
      <c r="K23" s="189"/>
      <c r="L23" s="189"/>
      <c r="M23" s="146"/>
      <c r="N23" s="112">
        <v>4</v>
      </c>
      <c r="O23" s="187" t="str">
        <f>+B8</f>
        <v>Toronto Phoenix Blaze</v>
      </c>
      <c r="P23" s="146"/>
      <c r="Q23" s="195">
        <v>25</v>
      </c>
      <c r="R23" s="141"/>
      <c r="S23" s="101">
        <v>0</v>
      </c>
      <c r="T23" s="144">
        <v>16</v>
      </c>
      <c r="U23" s="141"/>
      <c r="V23" s="140">
        <v>25</v>
      </c>
      <c r="W23" s="141"/>
      <c r="X23" s="102">
        <v>0</v>
      </c>
      <c r="Y23" s="140">
        <v>14</v>
      </c>
      <c r="Z23" s="141"/>
      <c r="AA23" s="145"/>
      <c r="AB23" s="146"/>
      <c r="AC23" s="113" t="s">
        <v>178</v>
      </c>
      <c r="AD23" s="145"/>
      <c r="AE23" s="146"/>
      <c r="AF23" s="94"/>
      <c r="AG23" s="131" t="str">
        <f t="shared" si="16"/>
        <v>NY Impact Dynamic</v>
      </c>
      <c r="AH23" s="96">
        <f t="shared" si="17"/>
        <v>20</v>
      </c>
      <c r="AI23" s="184">
        <v>0.22916666666666666</v>
      </c>
      <c r="AJ23" s="185"/>
      <c r="AK23" s="5"/>
      <c r="AL23" s="5"/>
      <c r="AM23" s="5"/>
      <c r="AN23" s="5"/>
      <c r="AO23" s="5"/>
      <c r="AP23" s="5"/>
      <c r="AQ23" s="5"/>
      <c r="AR23" s="5"/>
    </row>
    <row r="24" spans="1:44" ht="12.75" customHeight="1" x14ac:dyDescent="0.2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5"/>
      <c r="AM24" s="5"/>
      <c r="AN24" s="5"/>
      <c r="AO24" s="5"/>
      <c r="AP24" s="5"/>
      <c r="AQ24" s="5"/>
      <c r="AR24" s="5"/>
    </row>
    <row r="25" spans="1:44" ht="12.75" customHeight="1" x14ac:dyDescent="0.2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5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5"/>
      <c r="AM25" s="5"/>
      <c r="AN25" s="5"/>
      <c r="AO25" s="5"/>
      <c r="AP25" s="5"/>
      <c r="AQ25" s="5"/>
      <c r="AR25" s="5"/>
    </row>
    <row r="26" spans="1:44" ht="12.75" customHeight="1" x14ac:dyDescent="0.2">
      <c r="A26" s="41"/>
      <c r="B26" s="57"/>
      <c r="C26" s="57" t="s">
        <v>179</v>
      </c>
      <c r="D26" s="57" t="s">
        <v>157</v>
      </c>
      <c r="E26" s="57" t="s">
        <v>180</v>
      </c>
      <c r="F26" s="57" t="s">
        <v>165</v>
      </c>
      <c r="G26" s="57" t="s">
        <v>166</v>
      </c>
      <c r="H26" s="41"/>
      <c r="I26" s="41"/>
      <c r="J26" s="41"/>
      <c r="K26" s="41"/>
      <c r="L26" s="41"/>
      <c r="M26" s="41"/>
      <c r="N26" s="41"/>
      <c r="O26" s="41"/>
      <c r="P26" s="41"/>
      <c r="Q26" s="5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5"/>
      <c r="AM26" s="5"/>
      <c r="AN26" s="5"/>
      <c r="AO26" s="5"/>
      <c r="AP26" s="5"/>
      <c r="AQ26" s="5"/>
      <c r="AR26" s="5"/>
    </row>
    <row r="27" spans="1:44" ht="12.75" customHeight="1" x14ac:dyDescent="0.2">
      <c r="A27" s="41"/>
      <c r="B27" s="57">
        <v>1</v>
      </c>
      <c r="C27" s="57" t="str">
        <f t="shared" ref="C27:C31" si="25">VLOOKUP(B27,$A$5:$AR$9,2,FALSE)</f>
        <v>NY Impact Dynamic</v>
      </c>
      <c r="D27" s="57">
        <f t="shared" ref="D27:D31" si="26">VLOOKUP(B27,$A$5:$AR$9,15,FALSE)</f>
        <v>8</v>
      </c>
      <c r="E27" s="57">
        <f t="shared" ref="E27:E31" si="27">VLOOKUP(B27,$A$5:$AR$9,36,FALSE)</f>
        <v>77</v>
      </c>
      <c r="F27" s="114">
        <f t="shared" ref="F27:F31" si="28">VLOOKUP(B27,$A$5:$AR$9,40,FALSE)</f>
        <v>1</v>
      </c>
      <c r="G27" s="114">
        <f t="shared" ref="G27:G31" si="29">VLOOKUP(B27,$A$5:$AR$9,42,FALSE)</f>
        <v>9.625</v>
      </c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5"/>
      <c r="AM27" s="5"/>
      <c r="AN27" s="5"/>
      <c r="AO27" s="5"/>
      <c r="AP27" s="5"/>
      <c r="AQ27" s="5"/>
      <c r="AR27" s="5"/>
    </row>
    <row r="28" spans="1:44" ht="12.75" customHeight="1" x14ac:dyDescent="0.2">
      <c r="A28" s="41"/>
      <c r="B28" s="57">
        <v>2</v>
      </c>
      <c r="C28" s="57" t="str">
        <f t="shared" si="25"/>
        <v>Philly Lady Suns Sunsations</v>
      </c>
      <c r="D28" s="57">
        <f t="shared" si="26"/>
        <v>6</v>
      </c>
      <c r="E28" s="57">
        <f t="shared" si="27"/>
        <v>46</v>
      </c>
      <c r="F28" s="114">
        <f t="shared" si="28"/>
        <v>0.75</v>
      </c>
      <c r="G28" s="114">
        <f t="shared" si="29"/>
        <v>5.75</v>
      </c>
      <c r="H28" s="41"/>
      <c r="I28" s="41"/>
      <c r="J28" s="41"/>
      <c r="K28" s="41"/>
      <c r="L28" s="41"/>
      <c r="M28" s="41"/>
      <c r="N28" s="41"/>
      <c r="O28" s="41"/>
      <c r="P28" s="5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183"/>
      <c r="AK28" s="136"/>
      <c r="AL28" s="5"/>
      <c r="AM28" s="5"/>
      <c r="AN28" s="5"/>
      <c r="AO28" s="5"/>
      <c r="AP28" s="5"/>
      <c r="AQ28" s="5"/>
      <c r="AR28" s="5"/>
    </row>
    <row r="29" spans="1:44" ht="12.75" customHeight="1" x14ac:dyDescent="0.2">
      <c r="A29" s="5"/>
      <c r="B29" s="14">
        <v>3</v>
      </c>
      <c r="C29" s="57" t="str">
        <f t="shared" si="25"/>
        <v>Toronto Phoenix Blaze</v>
      </c>
      <c r="D29" s="57">
        <f t="shared" si="26"/>
        <v>3</v>
      </c>
      <c r="E29" s="57">
        <f t="shared" si="27"/>
        <v>-31</v>
      </c>
      <c r="F29" s="114">
        <f t="shared" si="28"/>
        <v>0.375</v>
      </c>
      <c r="G29" s="114">
        <f t="shared" si="29"/>
        <v>-3.875</v>
      </c>
      <c r="H29" s="41"/>
      <c r="I29" s="41"/>
      <c r="J29" s="41"/>
      <c r="K29" s="41"/>
      <c r="L29" s="41"/>
      <c r="M29" s="41"/>
      <c r="N29" s="41"/>
      <c r="O29" s="41"/>
      <c r="P29" s="5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115"/>
      <c r="AK29" s="41"/>
      <c r="AL29" s="5"/>
      <c r="AM29" s="5"/>
      <c r="AN29" s="5"/>
      <c r="AO29" s="5"/>
      <c r="AP29" s="5"/>
      <c r="AQ29" s="5"/>
      <c r="AR29" s="5"/>
    </row>
    <row r="30" spans="1:44" ht="12.75" customHeight="1" x14ac:dyDescent="0.2">
      <c r="A30" s="5"/>
      <c r="B30" s="14">
        <v>4</v>
      </c>
      <c r="C30" s="57" t="str">
        <f t="shared" si="25"/>
        <v>DC CYC Black</v>
      </c>
      <c r="D30" s="57">
        <f t="shared" si="26"/>
        <v>2</v>
      </c>
      <c r="E30" s="57">
        <f t="shared" si="27"/>
        <v>-41</v>
      </c>
      <c r="F30" s="114">
        <f t="shared" si="28"/>
        <v>0.25</v>
      </c>
      <c r="G30" s="114">
        <f t="shared" si="29"/>
        <v>-5.125</v>
      </c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115"/>
      <c r="AK30" s="41"/>
      <c r="AL30" s="5"/>
      <c r="AM30" s="5"/>
      <c r="AN30" s="5"/>
      <c r="AO30" s="5"/>
      <c r="AP30" s="5"/>
      <c r="AQ30" s="5"/>
      <c r="AR30" s="5"/>
    </row>
    <row r="31" spans="1:44" ht="12.75" customHeight="1" x14ac:dyDescent="0.2">
      <c r="A31" s="5"/>
      <c r="B31" s="14">
        <v>5</v>
      </c>
      <c r="C31" s="57" t="str">
        <f t="shared" si="25"/>
        <v>NY Vikings Storm</v>
      </c>
      <c r="D31" s="57">
        <f t="shared" si="26"/>
        <v>1</v>
      </c>
      <c r="E31" s="57">
        <f t="shared" si="27"/>
        <v>-51</v>
      </c>
      <c r="F31" s="114">
        <f t="shared" si="28"/>
        <v>0.125</v>
      </c>
      <c r="G31" s="114">
        <f t="shared" si="29"/>
        <v>-6.375</v>
      </c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115"/>
      <c r="AK31" s="41"/>
      <c r="AL31" s="5"/>
      <c r="AM31" s="5"/>
      <c r="AN31" s="5"/>
      <c r="AO31" s="5"/>
      <c r="AP31" s="5"/>
      <c r="AQ31" s="5"/>
      <c r="AR31" s="5"/>
    </row>
    <row r="32" spans="1:44" ht="12.75" customHeight="1" x14ac:dyDescent="0.2">
      <c r="A32" s="5"/>
      <c r="B32" s="5"/>
      <c r="C32" s="5"/>
      <c r="D32" s="5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115"/>
      <c r="AK32" s="41"/>
      <c r="AL32" s="5"/>
      <c r="AM32" s="5"/>
      <c r="AN32" s="5"/>
      <c r="AO32" s="5"/>
      <c r="AP32" s="5"/>
      <c r="AQ32" s="5"/>
      <c r="AR32" s="5"/>
    </row>
  </sheetData>
  <mergeCells count="122">
    <mergeCell ref="O19:P19"/>
    <mergeCell ref="E19:M19"/>
    <mergeCell ref="E20:M20"/>
    <mergeCell ref="E17:M17"/>
    <mergeCell ref="E18:M18"/>
    <mergeCell ref="O18:P18"/>
    <mergeCell ref="E15:M15"/>
    <mergeCell ref="E14:M14"/>
    <mergeCell ref="T17:U17"/>
    <mergeCell ref="Q15:R15"/>
    <mergeCell ref="T16:U16"/>
    <mergeCell ref="T14:U14"/>
    <mergeCell ref="O17:P17"/>
    <mergeCell ref="Q17:R17"/>
    <mergeCell ref="Q16:R16"/>
    <mergeCell ref="E16:M16"/>
    <mergeCell ref="A2:AG2"/>
    <mergeCell ref="A3:AG3"/>
    <mergeCell ref="A1:AG1"/>
    <mergeCell ref="O16:P16"/>
    <mergeCell ref="O15:P15"/>
    <mergeCell ref="O14:P14"/>
    <mergeCell ref="N13:P13"/>
    <mergeCell ref="A13:B13"/>
    <mergeCell ref="A10:AG12"/>
    <mergeCell ref="J4:N4"/>
    <mergeCell ref="J8:N8"/>
    <mergeCell ref="E13:M13"/>
    <mergeCell ref="J5:N5"/>
    <mergeCell ref="E6:I6"/>
    <mergeCell ref="J9:N9"/>
    <mergeCell ref="E9:I9"/>
    <mergeCell ref="E4:I4"/>
    <mergeCell ref="E5:I5"/>
    <mergeCell ref="E8:I8"/>
    <mergeCell ref="E7:I7"/>
    <mergeCell ref="J7:N7"/>
    <mergeCell ref="J6:N6"/>
    <mergeCell ref="Y16:Z16"/>
    <mergeCell ref="AA16:AB16"/>
    <mergeCell ref="V16:W16"/>
    <mergeCell ref="Y17:Z17"/>
    <mergeCell ref="AA17:AB17"/>
    <mergeCell ref="B4:D4"/>
    <mergeCell ref="B7:D7"/>
    <mergeCell ref="B6:D6"/>
    <mergeCell ref="B5:D5"/>
    <mergeCell ref="AI20:AJ20"/>
    <mergeCell ref="AI19:AJ19"/>
    <mergeCell ref="AI17:AJ17"/>
    <mergeCell ref="AI16:AJ16"/>
    <mergeCell ref="AI18:AJ18"/>
    <mergeCell ref="AI21:AJ21"/>
    <mergeCell ref="AD23:AE23"/>
    <mergeCell ref="AD16:AE16"/>
    <mergeCell ref="AD18:AE18"/>
    <mergeCell ref="AD17:AE17"/>
    <mergeCell ref="O20:P20"/>
    <mergeCell ref="AD22:AE22"/>
    <mergeCell ref="AD21:AE21"/>
    <mergeCell ref="E22:M22"/>
    <mergeCell ref="E21:M21"/>
    <mergeCell ref="O21:P21"/>
    <mergeCell ref="O22:P22"/>
    <mergeCell ref="E23:M23"/>
    <mergeCell ref="O23:P23"/>
    <mergeCell ref="V21:W21"/>
    <mergeCell ref="Q21:R21"/>
    <mergeCell ref="Q20:R20"/>
    <mergeCell ref="Q19:R19"/>
    <mergeCell ref="AD19:AE19"/>
    <mergeCell ref="AD20:AE20"/>
    <mergeCell ref="Y19:Z19"/>
    <mergeCell ref="Y20:Z20"/>
    <mergeCell ref="T20:U20"/>
    <mergeCell ref="T19:U19"/>
    <mergeCell ref="AI23:AJ23"/>
    <mergeCell ref="AJ28:AK28"/>
    <mergeCell ref="AA22:AB22"/>
    <mergeCell ref="AA23:AB23"/>
    <mergeCell ref="Y23:Z23"/>
    <mergeCell ref="Q23:R23"/>
    <mergeCell ref="V23:W23"/>
    <mergeCell ref="T23:U23"/>
    <mergeCell ref="Q22:R22"/>
    <mergeCell ref="Y22:Z22"/>
    <mergeCell ref="T22:U22"/>
    <mergeCell ref="V22:W22"/>
    <mergeCell ref="AN4:AO4"/>
    <mergeCell ref="AJ4:AK4"/>
    <mergeCell ref="R4:AF4"/>
    <mergeCell ref="AP4:AQ4"/>
    <mergeCell ref="AI13:AJ13"/>
    <mergeCell ref="AA13:AE13"/>
    <mergeCell ref="Q13:U13"/>
    <mergeCell ref="V13:Z13"/>
    <mergeCell ref="AI22:AJ22"/>
    <mergeCell ref="AA19:AB19"/>
    <mergeCell ref="AA20:AB20"/>
    <mergeCell ref="Y18:Z18"/>
    <mergeCell ref="AA18:AB18"/>
    <mergeCell ref="Y14:Z14"/>
    <mergeCell ref="AA14:AB14"/>
    <mergeCell ref="AA21:AB21"/>
    <mergeCell ref="V19:W19"/>
    <mergeCell ref="V17:W17"/>
    <mergeCell ref="T18:U18"/>
    <mergeCell ref="Q18:R18"/>
    <mergeCell ref="V18:W18"/>
    <mergeCell ref="T21:U21"/>
    <mergeCell ref="Y21:Z21"/>
    <mergeCell ref="V20:W20"/>
    <mergeCell ref="T15:U15"/>
    <mergeCell ref="V15:W15"/>
    <mergeCell ref="Y15:Z15"/>
    <mergeCell ref="AA15:AB15"/>
    <mergeCell ref="AD15:AE15"/>
    <mergeCell ref="AD14:AE14"/>
    <mergeCell ref="AI14:AJ14"/>
    <mergeCell ref="AI15:AJ15"/>
    <mergeCell ref="Q14:R14"/>
    <mergeCell ref="V14:W1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AR32"/>
  <sheetViews>
    <sheetView showGridLines="0" workbookViewId="0"/>
  </sheetViews>
  <sheetFormatPr baseColWidth="10" defaultColWidth="17.33203125" defaultRowHeight="15" customHeight="1" x14ac:dyDescent="0.2"/>
  <cols>
    <col min="1" max="1" width="4.1640625" customWidth="1"/>
    <col min="2" max="2" width="3.5" customWidth="1"/>
    <col min="3" max="3" width="25.6640625" customWidth="1"/>
    <col min="4" max="4" width="4.5" customWidth="1"/>
    <col min="5" max="5" width="3.33203125" customWidth="1"/>
    <col min="6" max="6" width="10.33203125" customWidth="1"/>
    <col min="7" max="7" width="9.6640625" customWidth="1"/>
    <col min="8" max="9" width="3.33203125" hidden="1" customWidth="1"/>
    <col min="10" max="14" width="3.33203125" customWidth="1"/>
    <col min="15" max="15" width="13.33203125" customWidth="1"/>
    <col min="16" max="16" width="13.1640625" customWidth="1"/>
    <col min="17" max="19" width="4" customWidth="1"/>
    <col min="20" max="22" width="3.33203125" customWidth="1"/>
    <col min="23" max="23" width="4" customWidth="1"/>
    <col min="24" max="25" width="3.33203125" customWidth="1"/>
    <col min="26" max="27" width="4" customWidth="1"/>
    <col min="28" max="31" width="3.33203125" customWidth="1"/>
    <col min="32" max="32" width="4.5" customWidth="1"/>
    <col min="33" max="33" width="15.33203125" customWidth="1"/>
    <col min="34" max="34" width="12.1640625" customWidth="1"/>
    <col min="35" max="35" width="13.1640625" customWidth="1"/>
    <col min="36" max="36" width="4.1640625" customWidth="1"/>
    <col min="37" max="37" width="7.1640625" customWidth="1"/>
    <col min="38" max="38" width="2.1640625" customWidth="1"/>
    <col min="39" max="39" width="7.1640625" customWidth="1"/>
    <col min="40" max="40" width="6.5" customWidth="1"/>
    <col min="41" max="44" width="8.83203125" customWidth="1"/>
  </cols>
  <sheetData>
    <row r="1" spans="1:44" ht="30.75" customHeight="1" x14ac:dyDescent="0.35">
      <c r="A1" s="180" t="s">
        <v>181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38"/>
      <c r="AI1" s="39"/>
      <c r="AJ1" s="39"/>
      <c r="AK1" s="39"/>
      <c r="AL1" s="39"/>
      <c r="AM1" s="39"/>
      <c r="AN1" s="39"/>
      <c r="AO1" s="1"/>
      <c r="AP1" s="1"/>
      <c r="AQ1" s="1"/>
      <c r="AR1" s="1"/>
    </row>
    <row r="2" spans="1:44" ht="30.75" customHeight="1" x14ac:dyDescent="0.35">
      <c r="A2" s="180" t="str">
        <f>+'Women''s Master'!H3</f>
        <v>CT16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38"/>
      <c r="AI2" s="39"/>
      <c r="AJ2" s="39"/>
      <c r="AK2" s="39"/>
      <c r="AL2" s="39"/>
      <c r="AM2" s="39"/>
      <c r="AN2" s="39"/>
      <c r="AO2" s="1"/>
      <c r="AP2" s="1"/>
      <c r="AQ2" s="1"/>
      <c r="AR2" s="1"/>
    </row>
    <row r="3" spans="1:44" ht="42.75" customHeight="1" x14ac:dyDescent="0.45">
      <c r="A3" s="180" t="str">
        <f>RIGHT(A2,2)</f>
        <v>16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40"/>
      <c r="AI3" s="41" t="s">
        <v>153</v>
      </c>
      <c r="AJ3" s="41"/>
      <c r="AK3" s="41"/>
      <c r="AL3" s="41"/>
      <c r="AM3" s="41"/>
      <c r="AN3" s="41"/>
      <c r="AO3" s="5"/>
      <c r="AP3" s="5"/>
      <c r="AQ3" s="5"/>
      <c r="AR3" s="5" t="s">
        <v>154</v>
      </c>
    </row>
    <row r="4" spans="1:44" ht="27" customHeight="1" x14ac:dyDescent="0.2">
      <c r="A4" s="42"/>
      <c r="B4" s="179" t="s">
        <v>102</v>
      </c>
      <c r="C4" s="173"/>
      <c r="D4" s="173"/>
      <c r="E4" s="155" t="s">
        <v>155</v>
      </c>
      <c r="F4" s="156"/>
      <c r="G4" s="156"/>
      <c r="H4" s="156"/>
      <c r="I4" s="157"/>
      <c r="J4" s="165" t="s">
        <v>156</v>
      </c>
      <c r="K4" s="156"/>
      <c r="L4" s="156"/>
      <c r="M4" s="156"/>
      <c r="N4" s="166"/>
      <c r="O4" s="43" t="s">
        <v>157</v>
      </c>
      <c r="P4" s="44" t="s">
        <v>158</v>
      </c>
      <c r="Q4" s="45"/>
      <c r="R4" s="194" t="s">
        <v>159</v>
      </c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53"/>
      <c r="AG4" s="46" t="s">
        <v>160</v>
      </c>
      <c r="AH4" s="47" t="s">
        <v>161</v>
      </c>
      <c r="AI4" s="47" t="s">
        <v>162</v>
      </c>
      <c r="AJ4" s="193" t="s">
        <v>163</v>
      </c>
      <c r="AK4" s="153"/>
      <c r="AL4" s="47" t="s">
        <v>164</v>
      </c>
      <c r="AM4" s="48"/>
      <c r="AN4" s="190" t="s">
        <v>165</v>
      </c>
      <c r="AO4" s="191"/>
      <c r="AP4" s="192" t="s">
        <v>166</v>
      </c>
      <c r="AQ4" s="191"/>
      <c r="AR4" s="50" t="s">
        <v>167</v>
      </c>
    </row>
    <row r="5" spans="1:44" ht="15.75" customHeight="1" x14ac:dyDescent="0.2">
      <c r="A5" s="51">
        <f t="shared" ref="A5:A9" si="0">AR5</f>
        <v>1</v>
      </c>
      <c r="B5" s="172" t="str">
        <f>+'Women''s Master'!H4</f>
        <v>Toronto Bats</v>
      </c>
      <c r="C5" s="173"/>
      <c r="D5" s="173"/>
      <c r="E5" s="171">
        <f>SUM(IF(AG14=B5,1,0),IF(AG16=C16,1,0),IF(AG19=C19,1,0),IF(AG22=C22,1,0))</f>
        <v>3</v>
      </c>
      <c r="F5" s="162"/>
      <c r="G5" s="162"/>
      <c r="H5" s="162"/>
      <c r="I5" s="153"/>
      <c r="J5" s="169">
        <f>SUM(IF(AG14=C14,0,1),IF(AG16=C16,0,1),IF(AG19=C19,0,1),IF(AG22=C22,0,1))</f>
        <v>1</v>
      </c>
      <c r="K5" s="162"/>
      <c r="L5" s="162"/>
      <c r="M5" s="162"/>
      <c r="N5" s="170"/>
      <c r="O5" s="53">
        <f>SUM(IF(AD5&gt;0,1,0),IF(AE5&gt;0,1,0),IF(AF5&gt;0,1,0),IF(U5&gt;0,1,0),IF(V5&gt;0,1,0),IF(W5&gt;0,1,0),IF(X5&gt;0,1,0),IF(Y5&gt;0,1,0),IF(Z5&gt;0,1,0),IF(AA5&gt;0,1,0),IF(AB5&gt;0,1,0),IF(AC5&gt;0,1,0))</f>
        <v>6</v>
      </c>
      <c r="P5" s="52">
        <f>SUM(IF(AD5&lt;0,1,0),IF(AE5&lt;0,1,0),IF(AF5&lt;0,1,0),IF(U5&lt;0,1,0),IF(V5&lt;0,1,0),IF(W5&lt;0,1,0),IF(X5&lt;0,1,0),IF(Y5&lt;0,1,0),IF(Z5&lt;0,1,0),IF(AA5&lt;0,1,0),IF(AB5&lt;0,1,0),IF(AC5&lt;0,1,0))</f>
        <v>2</v>
      </c>
      <c r="Q5" s="54">
        <f>1+SUM(IF(O5&lt;O6,1,0),IF(O5&lt;O7,1,0),IF(O5&lt;O8,1,0),IF(O5&lt;O9,1,0))</f>
        <v>1</v>
      </c>
      <c r="R5" s="55"/>
      <c r="S5" s="56"/>
      <c r="T5" s="56"/>
      <c r="U5" s="57">
        <f>Q14-T14</f>
        <v>14</v>
      </c>
      <c r="V5" s="57">
        <f>V14-Y14</f>
        <v>9</v>
      </c>
      <c r="W5" s="57">
        <f>AA14-AD14</f>
        <v>0</v>
      </c>
      <c r="X5" s="57">
        <f>Q19-T19</f>
        <v>13</v>
      </c>
      <c r="Y5" s="57">
        <f>V19-Y19</f>
        <v>9</v>
      </c>
      <c r="Z5" s="57">
        <f>AA19-AD19</f>
        <v>0</v>
      </c>
      <c r="AA5" s="58">
        <f>Q22-T22</f>
        <v>-3</v>
      </c>
      <c r="AB5" s="58">
        <f>V22-Y22</f>
        <v>8</v>
      </c>
      <c r="AC5" s="58">
        <f>AA22-AD22</f>
        <v>0</v>
      </c>
      <c r="AD5" s="58">
        <f>Q16-T16</f>
        <v>-2</v>
      </c>
      <c r="AE5" s="58">
        <f>V16-Y16</f>
        <v>2</v>
      </c>
      <c r="AF5" s="58">
        <f>AA16-AD16</f>
        <v>0</v>
      </c>
      <c r="AG5" s="58" t="b">
        <f>IF(Q5=Q6,IF(SUM(U5:W5)&gt;0,B5,B6),  IF(Q5=Q7,IF(SUM(X5:Z5)&gt;0, B5,B7),IF(Q5=Q8,IF(SUM(AA5:AC5)&gt;0, B5,B8),IF(Q5=Q9,IF(SUM(AD5:AF5)&lt;0,B5,B9)))))</f>
        <v>0</v>
      </c>
      <c r="AH5" s="58" t="b">
        <f>IF(Q5=Q6,IF(SUM(U5:W5)&lt;0,B5,B6),  IF(Q5=Q7,IF(SUM(X5:Z5)&lt;0, B5,B7),IF(Q5=Q8,IF(SUM(AA5:AC5)&lt;0, B5,B8),IF(Q5=Q9, IF(SUM(AD5:AF5)&lt;0,B5,B9)))))</f>
        <v>0</v>
      </c>
      <c r="AI5" s="60">
        <f t="shared" ref="AI5:AI9" si="1">Q5+IF(COUNTIF($AG$5:$AG$9,B5)&gt;0,0, IF(COUNTIF($AH$5:$AH$9,B5)&gt;0,1,0))</f>
        <v>1</v>
      </c>
      <c r="AJ5" s="61">
        <f t="shared" ref="AJ5:AJ9" si="2">SUM(R5:AF5)</f>
        <v>50</v>
      </c>
      <c r="AK5" s="62">
        <f>1+SUM(IF(AJ5&lt;AJ6,1,0),IF(AJ5&lt;AJ7,1,0),IF(AJ5&lt;AJ8,1,0),IF(AJ5&lt;AJ9,1,0))</f>
        <v>1</v>
      </c>
      <c r="AL5" s="63">
        <f t="shared" ref="AL5:AL9" si="3">IF(SUM(E5,J5)=0,0,E5/(E5+J5))</f>
        <v>0.75</v>
      </c>
      <c r="AM5" s="62">
        <f>1+SUM(IF(AL5&lt;AL6,1,0),IF(AL5&lt;AL7,1,0),IF(AL5&lt;AL8,1,0),IF(AL5&lt;AL9,1,0))</f>
        <v>1</v>
      </c>
      <c r="AN5" s="64">
        <f t="shared" ref="AN5:AN9" si="4">IF(SUM(O5+P5)=0,0,O5/(O5+P5))</f>
        <v>0.75</v>
      </c>
      <c r="AO5" s="65">
        <f>1+SUM(IF(AN5&lt;AN6,1,0),IF(AN5&lt;AN7,1,0),IF(AN5&lt;AN8,1,0),IF(AN5&lt;AN9,1,0))</f>
        <v>1</v>
      </c>
      <c r="AP5" s="106">
        <f t="shared" ref="AP5:AP9" si="5">AJ5/SUM(O5:P5)</f>
        <v>6.25</v>
      </c>
      <c r="AQ5" s="67">
        <f>1+SUM(IF(AP5&lt;AP6,1,0),IF(AP5&lt;AP7,1,0),IF(AP5&lt;AP8,1,0),IF(AP5&lt;AP9,1,0))</f>
        <v>1</v>
      </c>
      <c r="AR5" s="68">
        <f>1+SUM(IF(Q5&gt;Q6,1,IF(AND(Q5=Q6,AK5&gt;AK6),1,IF(AND(Q5=Q6,AK5=AK6),1,0))),IF(Q5&gt;Q7,1,IF(AND(Q5=Q7,AK5&gt;AK7),1,IF(AND(Q5=Q7,AK5=AK7),1,0))),IF(Q5&gt;Q8,1,IF(AND(Q5=Q8,AK5&gt;AK8),1,IF(AND(Q5=Q8,AK5=AK8),1,0))),IF(Q5&gt;Q9,1,IF(AND(Q5=Q9,AK5&gt;AK9),1,IF(AND(Q5=Q9,AK5=AK9),1,0))))</f>
        <v>1</v>
      </c>
    </row>
    <row r="6" spans="1:44" ht="15.75" customHeight="1" x14ac:dyDescent="0.2">
      <c r="A6" s="51">
        <f t="shared" si="0"/>
        <v>3</v>
      </c>
      <c r="B6" s="172" t="str">
        <f>+'Women''s Master'!H5</f>
        <v>DC MVP Bolts</v>
      </c>
      <c r="C6" s="173"/>
      <c r="D6" s="173"/>
      <c r="E6" s="171">
        <f>SUM(IF(AG14=E14,1,0),IF(AG17=C17,1,0),IF(AG20=C20,1,0),IF(AG23=C23,1,0))</f>
        <v>2</v>
      </c>
      <c r="F6" s="162"/>
      <c r="G6" s="162"/>
      <c r="H6" s="162"/>
      <c r="I6" s="153"/>
      <c r="J6" s="169">
        <f>SUM(IF(AG14=E14,0,1),IF(AG17=C17,0,1),IF(AG20=C20,0,1),IF(AG23=C23,0,1))</f>
        <v>2</v>
      </c>
      <c r="K6" s="162"/>
      <c r="L6" s="162"/>
      <c r="M6" s="162"/>
      <c r="N6" s="170"/>
      <c r="O6" s="53">
        <f>SUM(IF(AD6&gt;0,1,0),IF(AE6&gt;0,1,0),IF(AF6&gt;0,1,0),IF(R6&gt;0,1,0),IF(S6&gt;0,1,0),IF(T6&gt;0,1,0),IF(X6&gt;0,1,0),IF(Y6&gt;0,1,0),IF(Z6&gt;0,1,0),IF(AA6&gt;0,1,0),IF(AB6&gt;0,1,0),IF(AC6&gt;0,1,0))</f>
        <v>5</v>
      </c>
      <c r="P6" s="52">
        <f>SUM(IF(AD6&lt;0,1,0),IF(AE6&lt;0,1,0),IF(AF6&lt;0,1,0),IF(R6&lt;0,1,0),IF(S6&lt;0,1,0),IF(T6&lt;0,1,0),IF(X6&lt;0,1,0),IF(Y6&lt;0,1,0),IF(Z6&lt;0,1,0),IF(AA6&lt;0,1,0),IF(AB6&lt;0,1,0),IF(AC6&lt;0,1,0))</f>
        <v>3</v>
      </c>
      <c r="Q6" s="54">
        <f>1+SUM(IF(O6&lt;O5,1,0),IF(O6&lt;O7,1,0),IF(O6&lt;O8,1,0),IF(O6&lt;O9,1,0))</f>
        <v>2</v>
      </c>
      <c r="R6" s="69">
        <f t="shared" ref="R6:T6" si="6">-U5</f>
        <v>-14</v>
      </c>
      <c r="S6" s="58">
        <f t="shared" si="6"/>
        <v>-9</v>
      </c>
      <c r="T6" s="58">
        <f t="shared" si="6"/>
        <v>0</v>
      </c>
      <c r="U6" s="56"/>
      <c r="V6" s="56"/>
      <c r="W6" s="56"/>
      <c r="X6" s="57">
        <f>Q17-T17</f>
        <v>6</v>
      </c>
      <c r="Y6" s="57">
        <f>V17-Y17</f>
        <v>-6</v>
      </c>
      <c r="Z6" s="57">
        <f>AA17-AD17</f>
        <v>0</v>
      </c>
      <c r="AA6" s="58">
        <f>Q20-T20</f>
        <v>9</v>
      </c>
      <c r="AB6" s="58">
        <f>V20-Y20</f>
        <v>6</v>
      </c>
      <c r="AC6" s="58">
        <f>AA20-AD20</f>
        <v>0</v>
      </c>
      <c r="AD6" s="58">
        <f>Q23-T23</f>
        <v>12</v>
      </c>
      <c r="AE6" s="58">
        <f>V23-Y23</f>
        <v>2</v>
      </c>
      <c r="AF6" s="58">
        <f>AA23-AD23</f>
        <v>0</v>
      </c>
      <c r="AG6" s="58" t="str">
        <f>IF(Q6=Q7,IF(SUM(X6:Z6)&gt;0,B6,B7),IF(Q6=Q8,IF(SUM(AA6:AC6)&gt;0,B6,B8),IF(Q6=Q9,IF(SUM(AD6:AF6)&gt;0, B6,B9))))</f>
        <v>DC MVP Bolts</v>
      </c>
      <c r="AH6" s="58" t="str">
        <f>IF(Q6=Q7,IF(SUM(X6:Z6)&lt;0,B6,B7),IF(Q6=Q8,IF(SUM(AA6:AC6)&lt;0,B6,B8),IF(Q6=Q9,IF(SUM(AD6:AF6)&lt;0, B6,B9))))</f>
        <v>Boston Hurricanes Black</v>
      </c>
      <c r="AI6" s="60">
        <f t="shared" si="1"/>
        <v>2</v>
      </c>
      <c r="AJ6" s="61">
        <f t="shared" si="2"/>
        <v>6</v>
      </c>
      <c r="AK6" s="62">
        <f>1+SUM(IF(AJ6&lt;AJ5,1,0),IF(AJ6&lt;AJ7,1,0),IF(AJ6&lt;AJ8,1,0),IF(AJ6&lt;AJ9,1,0))</f>
        <v>3</v>
      </c>
      <c r="AL6" s="63">
        <f t="shared" si="3"/>
        <v>0.5</v>
      </c>
      <c r="AM6" s="62">
        <f>1+SUM(IF(AL6&lt;AL5,1,0),IF(AL6&lt;AL7,1,0),IF(AL6&lt;AL8,1,0),IF(AL6&lt;AL9,1,0))</f>
        <v>3</v>
      </c>
      <c r="AN6" s="64">
        <f t="shared" si="4"/>
        <v>0.625</v>
      </c>
      <c r="AO6" s="65">
        <f>1+SUM(IF(AN6&lt;AN5,1,0),IF(AN6&lt;AN7,1,0),IF(AN6&lt;AN8,1,0),IF(AN6&lt;AN9,1,0))</f>
        <v>2</v>
      </c>
      <c r="AP6" s="106">
        <f t="shared" si="5"/>
        <v>0.75</v>
      </c>
      <c r="AQ6" s="70">
        <f>1+SUM(IF(AP6&lt;AP5,1,0),IF(AP6&lt;AP7,1,0),IF(AP6&lt;AP8,1,0),IF(AP6&lt;AP9,1,0))</f>
        <v>3</v>
      </c>
      <c r="AR6" s="68">
        <f>1+SUM(IF(Q6&gt;Q5,1,IF(AND(Q6=Q5,AK6&gt;AK5),1,IF(AND(Q6=Q5,AK6=AK5),1,0))),IF(Q6&gt;Q7,1,IF(AND(Q6=Q7,AK6&gt;AK7),1,IF(AND(Q6=Q7,AK6=AK7),1,0))),IF(Q6&gt;Q8,1,IF(AND(Q6=Q8,AK6&gt;AK8),1,IF(AND(Q6=Q8,AK6=AK8),1,0))),IF(Q6&gt;Q9,1,IF(AND(Q6=Q9,AK6&gt;AK9),1,IF(AND(Q6=Q9,AK6=AK9),1,0))))</f>
        <v>3</v>
      </c>
    </row>
    <row r="7" spans="1:44" ht="15.75" customHeight="1" x14ac:dyDescent="0.2">
      <c r="A7" s="51">
        <f t="shared" si="0"/>
        <v>4</v>
      </c>
      <c r="B7" s="172" t="str">
        <f>+'Women''s Master'!H6</f>
        <v>NY CASCSA</v>
      </c>
      <c r="C7" s="173"/>
      <c r="D7" s="173"/>
      <c r="E7" s="171">
        <f>SUM(IF(AG15=C15,1,0),IF(AG17=E17,1,0),IF(AG19=E19,1,0),IF(AG21=C21,1,0))</f>
        <v>2</v>
      </c>
      <c r="F7" s="162"/>
      <c r="G7" s="162"/>
      <c r="H7" s="162"/>
      <c r="I7" s="153"/>
      <c r="J7" s="169">
        <f>SUM(IF(AG15=C15,0,1),IF(AG17=E17,0,1),IF(AG19=E19,0,1),IF(AG21=C21,0,1))</f>
        <v>2</v>
      </c>
      <c r="K7" s="162"/>
      <c r="L7" s="162"/>
      <c r="M7" s="162"/>
      <c r="N7" s="170"/>
      <c r="O7" s="53">
        <f>SUM(IF(AD7&gt;0,1,0),IF(AE7&gt;0,1,0),IF(AF7&gt;0,1,0),IF(U7&gt;0,1,0),IF(V7&gt;0,1,0),IF(W7&gt;0,1,0),IF(R7&gt;0,1,0),IF(S7&gt;0,1,0),IF(T7&gt;0,1,0),IF(AA7&gt;0,1,0),IF(AB7&gt;0,1,0),IF(AC7&gt;0,1,0))</f>
        <v>3</v>
      </c>
      <c r="P7" s="52">
        <f>SUM(IF(AD7&lt;0,1,0),IF(AE7&lt;0,1,0),IF(AF7&lt;0,1,0),IF(U7&lt;0,1,0),IF(V7&lt;0,1,0),IF(W7&lt;0,1,0),IF(R7&lt;0,1,0),IF(S7&lt;0,1,0),IF(T7&lt;0,1,0),IF(AA7&lt;0,1,0),IF(AB7&lt;0,1,0),IF(AC7&lt;0,1,0))</f>
        <v>5</v>
      </c>
      <c r="Q7" s="54">
        <f>1+SUM(IF(O7&lt;O6,1,0),IF(O7&lt;O5,1,0),IF(O7&lt;O8,1,0),IF(O7&lt;O9,1,0))</f>
        <v>4</v>
      </c>
      <c r="R7" s="69">
        <f t="shared" ref="R7:T7" si="7">-X5</f>
        <v>-13</v>
      </c>
      <c r="S7" s="58">
        <f t="shared" si="7"/>
        <v>-9</v>
      </c>
      <c r="T7" s="58">
        <f t="shared" si="7"/>
        <v>0</v>
      </c>
      <c r="U7" s="58">
        <f t="shared" ref="U7:W7" si="8">-X6</f>
        <v>-6</v>
      </c>
      <c r="V7" s="58">
        <f t="shared" si="8"/>
        <v>6</v>
      </c>
      <c r="W7" s="58">
        <f t="shared" si="8"/>
        <v>0</v>
      </c>
      <c r="X7" s="71"/>
      <c r="Y7" s="71"/>
      <c r="Z7" s="71"/>
      <c r="AA7" s="58">
        <f>Q15-T15</f>
        <v>2</v>
      </c>
      <c r="AB7" s="58">
        <f>V15-Y15</f>
        <v>8</v>
      </c>
      <c r="AC7" s="58">
        <f>AA15-AD15</f>
        <v>0</v>
      </c>
      <c r="AD7" s="58">
        <f>Q21-T21</f>
        <v>-6</v>
      </c>
      <c r="AE7" s="58">
        <f>V21-Y21</f>
        <v>-6</v>
      </c>
      <c r="AF7" s="58">
        <f>AA21-AD21</f>
        <v>0</v>
      </c>
      <c r="AG7" s="58" t="b">
        <f>IF(Q7=Q8,IF(SUM(AA7:AC7)&gt;0,B7,B8),IF(Q7=Q9,IF(SUM(AD7:AF7)&gt;0,B7,B9)))</f>
        <v>0</v>
      </c>
      <c r="AH7" s="58" t="b">
        <f>IF(Q7=Q8,IF(SUM(AA7:AC7)&lt;0,B7,B8),IF(Q7=Q9,IF(SUM(AD7:AF7)&lt;0,B7,B9)))</f>
        <v>0</v>
      </c>
      <c r="AI7" s="60">
        <f t="shared" si="1"/>
        <v>4</v>
      </c>
      <c r="AJ7" s="61">
        <f t="shared" si="2"/>
        <v>-24</v>
      </c>
      <c r="AK7" s="62">
        <f>1+SUM(IF(AJ7&lt;AJ6,1,0),IF(AJ7&lt;AJ5,1,0),IF(AJ7&lt;AJ8,1,0),IF(AJ7&lt;AJ9,1,0))</f>
        <v>4</v>
      </c>
      <c r="AL7" s="63">
        <f t="shared" si="3"/>
        <v>0.5</v>
      </c>
      <c r="AM7" s="62">
        <f>1+SUM(IF(AL7&lt;AL6,1,0),IF(AL7&lt;AL5,1,0),IF(AL7&lt;AL8,1,0),IF(AL7&lt;AL9,1,0))</f>
        <v>3</v>
      </c>
      <c r="AN7" s="64">
        <f t="shared" si="4"/>
        <v>0.375</v>
      </c>
      <c r="AO7" s="65">
        <f>1+SUM(IF(AN7&lt;AN6,1,0),IF(AN7&lt;AN5,1,0),IF(AN7&lt;AN8,1,0),IF(AN7&lt;AN9,1,0))</f>
        <v>4</v>
      </c>
      <c r="AP7" s="106">
        <f t="shared" si="5"/>
        <v>-3</v>
      </c>
      <c r="AQ7" s="70">
        <f>1+SUM(IF(AP7&lt;AP6,1,0),IF(AP7&lt;AP5,1,0),IF(AP7&lt;AP8,1,0),IF(AP7&lt;AP9,1,0))</f>
        <v>4</v>
      </c>
      <c r="AR7" s="68">
        <f>1+SUM(IF(Q7&gt;Q5,1,IF(AND(Q7=Q5,AK7&gt;AK5),1,IF(AND(Q7=Q5,AK7=AK5),1,0))),IF(Q7&gt;Q6,1,IF(AND(Q7=Q6,AK7&gt;AK6),1,IF(AND(Q7=Q6,AK7=AK6),1,0))),IF(Q7&gt;Q8,1,IF(AND(Q7=Q8,AK7&gt;AK8),1,IF(AND(Q7=Q8,AK7=AK8),1,0))),IF(Q7&gt;Q9,1,IF(AND(Q7=Q9,AK7&gt;AK9),1,IF(AND(Q7=Q9,AK7=AK9),1,0))))</f>
        <v>4</v>
      </c>
    </row>
    <row r="8" spans="1:44" ht="15.75" customHeight="1" x14ac:dyDescent="0.2">
      <c r="A8" s="51">
        <f t="shared" si="0"/>
        <v>5</v>
      </c>
      <c r="B8" s="172" t="str">
        <f>+'Women''s Master'!H7</f>
        <v>Montreal Freemason</v>
      </c>
      <c r="C8" s="173"/>
      <c r="D8" s="173"/>
      <c r="E8" s="171">
        <f>SUM(IF(AG15=E15,1,0),IF(AG18=C18,1,0),IF(AG20=E20,1,0),IF(AG22=E22,1,0))</f>
        <v>0</v>
      </c>
      <c r="F8" s="162"/>
      <c r="G8" s="162"/>
      <c r="H8" s="162"/>
      <c r="I8" s="153"/>
      <c r="J8" s="169">
        <f>SUM(IF(AG15=E15,0,1),IF(AG18=C18,0,1),IF(AG20=E20,0,1),IF(AG22=E22,0,1))</f>
        <v>4</v>
      </c>
      <c r="K8" s="162"/>
      <c r="L8" s="162"/>
      <c r="M8" s="162"/>
      <c r="N8" s="170"/>
      <c r="O8" s="53">
        <f>SUM(IF(AD8&gt;0,1,0),IF(AE8&gt;0,1,0),IF(AF8&gt;0,1,0),IF(U8&gt;0,1,0),IF(V8&gt;0,1,0),IF(W8&gt;0,1,0),IF(X8&gt;0,1,0),IF(Y8&gt;0,1,0),IF(Z8&gt;0,1,0),IF(R8&gt;0,1,0),IF(S8&gt;0,1,0),IF(T8&gt;0,1,0))</f>
        <v>1</v>
      </c>
      <c r="P8" s="52">
        <f>SUM(IF(AD8&lt;0,1,0),IF(AE8&lt;0,1,0),IF(AF8&lt;0,1,0),IF(U8&lt;0,1,0),IF(V8&lt;0,1,0),IF(W8&lt;0,1,0),IF(R8&lt;0,1,0),IF(S8&lt;0,1,0),IF(T8&lt;0,1,0),IF(X8&lt;0,1,0),IF(Y8&lt;0,1,0),IF(Z8&lt;0,1,0))</f>
        <v>7</v>
      </c>
      <c r="Q8" s="54">
        <f>1+SUM(IF(O8&lt;O6,1,0),IF(O8&lt;O7,1,0),IF(O8&lt;O5,1,0),IF(O8&lt;O9,1,0))</f>
        <v>5</v>
      </c>
      <c r="R8" s="69">
        <f t="shared" ref="R8:T8" si="9">-AA5</f>
        <v>3</v>
      </c>
      <c r="S8" s="58">
        <f t="shared" si="9"/>
        <v>-8</v>
      </c>
      <c r="T8" s="58">
        <f t="shared" si="9"/>
        <v>0</v>
      </c>
      <c r="U8" s="58">
        <f t="shared" ref="U8:W8" si="10">-AA6</f>
        <v>-9</v>
      </c>
      <c r="V8" s="58">
        <f t="shared" si="10"/>
        <v>-6</v>
      </c>
      <c r="W8" s="58">
        <f t="shared" si="10"/>
        <v>0</v>
      </c>
      <c r="X8" s="58">
        <f t="shared" ref="X8:Z8" si="11">-AA7</f>
        <v>-2</v>
      </c>
      <c r="Y8" s="58">
        <f t="shared" si="11"/>
        <v>-8</v>
      </c>
      <c r="Z8" s="58">
        <f t="shared" si="11"/>
        <v>0</v>
      </c>
      <c r="AA8" s="71"/>
      <c r="AB8" s="71"/>
      <c r="AC8" s="71"/>
      <c r="AD8" s="58">
        <f>Q18-T18</f>
        <v>-5</v>
      </c>
      <c r="AE8" s="58">
        <f>V18-Y18</f>
        <v>-9</v>
      </c>
      <c r="AF8" s="58">
        <f>AA18-AD18</f>
        <v>0</v>
      </c>
      <c r="AG8" s="58" t="b">
        <f>IF(Q8=Q9,IF(SUM(AD8:AF8)&gt;0,B8,B9))</f>
        <v>0</v>
      </c>
      <c r="AH8" s="58" t="b">
        <f>IF(R8=R9,IF(SUM(AE8:AG8)&lt;0,C8,C9))</f>
        <v>0</v>
      </c>
      <c r="AI8" s="60">
        <f t="shared" si="1"/>
        <v>5</v>
      </c>
      <c r="AJ8" s="61">
        <f t="shared" si="2"/>
        <v>-44</v>
      </c>
      <c r="AK8" s="72">
        <f>1+SUM(IF(AJ8&lt;AJ6,1,0),IF(AJ8&lt;AJ7,1,0),IF(AJ8&lt;AJ5,1,0),IF(AJ8&lt;AJ9,1,0))</f>
        <v>5</v>
      </c>
      <c r="AL8" s="63">
        <f t="shared" si="3"/>
        <v>0</v>
      </c>
      <c r="AM8" s="72">
        <f>1+SUM(IF(AL8&lt;AL6,1,0),IF(AL8&lt;AL7,1,0),IF(AL8&lt;AL5,1,0),IF(AL8&lt;AL9,1,0))</f>
        <v>5</v>
      </c>
      <c r="AN8" s="64">
        <f t="shared" si="4"/>
        <v>0.125</v>
      </c>
      <c r="AO8" s="65">
        <f>1+SUM(IF(AN8&lt;AN6,1,0),IF(AN8&lt;AN7,1,0),IF(AN8&lt;AN5,1,0),IF(AN8&lt;AN9,1,0))</f>
        <v>5</v>
      </c>
      <c r="AP8" s="106">
        <f t="shared" si="5"/>
        <v>-5.5</v>
      </c>
      <c r="AQ8" s="73">
        <f>1+SUM(IF(AP8&lt;AP6,1,0),IF(AP8&lt;AP7,1,0),IF(AP8&lt;AP5,1,0),IF(AP8&lt;AP9,1,0))</f>
        <v>5</v>
      </c>
      <c r="AR8" s="68">
        <f>1+SUM(IF(Q8&gt;Q5,1,IF(AND(Q8=Q5,AK8&gt;AK5),1,IF(AND(Q8=Q5,AK8=AK5),1,0))),IF(Q8&gt;Q6,1,IF(AND(Q8=Q6,AK8&gt;AK6),1,IF(AND(Q8=Q6,AK8=AK6),1,0))),IF(Q8&gt;Q7,1,IF(AND(Q8=Q7,AK8&gt;AK7),1,IF(AND(Q8=Q7,AK8=AK7),1,0))),IF(Q8&gt;Q9,1,IF(AND(Q8=Q9,AK8&gt;AK9),1,IF(AND(Q8=Q9,AK8=AK9),1,0))))</f>
        <v>5</v>
      </c>
    </row>
    <row r="9" spans="1:44" ht="15.75" customHeight="1" x14ac:dyDescent="0.2">
      <c r="A9" s="51">
        <f t="shared" si="0"/>
        <v>2</v>
      </c>
      <c r="B9" s="172" t="str">
        <f>+'Women''s Master'!H8</f>
        <v>Boston Hurricanes Black</v>
      </c>
      <c r="C9" s="173"/>
      <c r="D9" s="173"/>
      <c r="E9" s="171">
        <f>SUM(IF(AG16=E16,1,0),IF(AG18=E18,1,0),IF(AG21=E21,1,0),IF(AG23=E23,1,0))</f>
        <v>3</v>
      </c>
      <c r="F9" s="162"/>
      <c r="G9" s="162"/>
      <c r="H9" s="162"/>
      <c r="I9" s="153"/>
      <c r="J9" s="169">
        <f>SUM(IF(AG16=E16,0,1),IF(AG18=E18,0,1),IF(AG21=E21,0,1),IF(AG23=E23,0,1))</f>
        <v>1</v>
      </c>
      <c r="K9" s="162"/>
      <c r="L9" s="162"/>
      <c r="M9" s="162"/>
      <c r="N9" s="170"/>
      <c r="O9" s="53">
        <f>SUM(IF(R9&gt;0,1,0),IF(S9&gt;0,1,0),IF(T9&gt;0,1,0),IF(U9&gt;0,1,0),IF(V9&gt;0,1,0),IF(W9&gt;0,1,0),IF(X9&gt;0,1,0),IF(Y9&gt;0,1,0),IF(Z9&gt;0,1,0),IF(AA9&gt;0,1,0),IF(AB9&gt;0,1,0),IF(AC9&gt;0,1,0))</f>
        <v>5</v>
      </c>
      <c r="P9" s="52">
        <f>SUM(IF(R9&lt;0,1,0),IF(S9&lt;0,1,0),IF(T9&lt;0,1,0),IF(U9&lt;0,1,0),IF(V9&lt;0,1,0),IF(W9&lt;0,1,0),IF(X9&lt;0,1,0),IF(Y9&lt;0,1,0),IF(Z9&lt;0,1,0),IF(AA9&lt;0,1,0),IF(AB9&lt;0,1,0),IF(AC9&lt;0,1,0))</f>
        <v>3</v>
      </c>
      <c r="Q9" s="54">
        <f>1+SUM(IF(O9&lt;O6,1,0),IF(O9&lt;O7,1,0),IF(O9&lt;O8,1,0),IF(O9&lt;O5,1,0))</f>
        <v>2</v>
      </c>
      <c r="R9" s="74">
        <f t="shared" ref="R9:T9" si="12">-AD5</f>
        <v>2</v>
      </c>
      <c r="S9" s="75">
        <f t="shared" si="12"/>
        <v>-2</v>
      </c>
      <c r="T9" s="75">
        <f t="shared" si="12"/>
        <v>0</v>
      </c>
      <c r="U9" s="75">
        <f t="shared" ref="U9:W9" si="13">-AD6</f>
        <v>-12</v>
      </c>
      <c r="V9" s="75">
        <f t="shared" si="13"/>
        <v>-2</v>
      </c>
      <c r="W9" s="75">
        <f t="shared" si="13"/>
        <v>0</v>
      </c>
      <c r="X9" s="75">
        <f t="shared" ref="X9:Z9" si="14">-AD7</f>
        <v>6</v>
      </c>
      <c r="Y9" s="75">
        <f t="shared" si="14"/>
        <v>6</v>
      </c>
      <c r="Z9" s="75">
        <f t="shared" si="14"/>
        <v>0</v>
      </c>
      <c r="AA9" s="75">
        <f t="shared" ref="AA9:AC9" si="15">-AD8</f>
        <v>5</v>
      </c>
      <c r="AB9" s="75">
        <f t="shared" si="15"/>
        <v>9</v>
      </c>
      <c r="AC9" s="75">
        <f t="shared" si="15"/>
        <v>0</v>
      </c>
      <c r="AD9" s="76"/>
      <c r="AE9" s="76"/>
      <c r="AF9" s="76"/>
      <c r="AG9" s="77" t="s">
        <v>168</v>
      </c>
      <c r="AH9" s="77" t="s">
        <v>168</v>
      </c>
      <c r="AI9" s="60">
        <f t="shared" si="1"/>
        <v>3</v>
      </c>
      <c r="AJ9" s="78">
        <f t="shared" si="2"/>
        <v>12</v>
      </c>
      <c r="AK9" s="72">
        <f>1+SUM(IF(AJ9&lt;AJ6,1,0),IF(AJ9&lt;AJ7,1,0),IF(AJ9&lt;AJ8,1,0),IF(AJ9&lt;AJ5,1,0))</f>
        <v>2</v>
      </c>
      <c r="AL9" s="79">
        <f t="shared" si="3"/>
        <v>0.75</v>
      </c>
      <c r="AM9" s="72">
        <f>1+SUM(IF(AL9&lt;AL6,1,0),IF(AL9&lt;AL7,1,0),IF(AL9&lt;AL8,1,0),IF(AL9&lt;AL5,1,0))</f>
        <v>1</v>
      </c>
      <c r="AN9" s="64">
        <f t="shared" si="4"/>
        <v>0.625</v>
      </c>
      <c r="AO9" s="65">
        <f>1+SUM(IF(AN9&lt;AN6,1,0),IF(AN9&lt;AN7,1,0),IF(AN9&lt;AN8,1,0),IF(AN9&lt;AN5,1,0))</f>
        <v>2</v>
      </c>
      <c r="AP9" s="106">
        <f t="shared" si="5"/>
        <v>1.5</v>
      </c>
      <c r="AQ9" s="73">
        <f>1+SUM(IF(AP9&lt;AP6,1,0),IF(AP9&lt;AP7,1,0),IF(AP9&lt;AP8,1,0),IF(AP9&lt;AP5,1,0))</f>
        <v>2</v>
      </c>
      <c r="AR9" s="68">
        <f>1+SUM(IF(Q9&gt;Q5,1,IF(AND(Q9=Q5,AK9&gt;AK5),1,IF(AND(Q9=Q5,AK9=AK5),1,0))),IF(Q9&gt;Q6,1,IF(AND(Q9=Q6,AK9&gt;AK6),1,IF(AND(Q9=Q6,AK9=AK6),1,0))),IF(Q9&gt;Q7,1,IF(AND(Q9=Q7,AK9&gt;AK7),1,IF(AND(Q9=Q7,AK9=AK7),1,0))),IF(Q9&gt;Q8,1,IF(AND(Q9=Q8,AK9&gt;AK8),1,IF(AND(Q9=Q8,AK9=AK8),1,0))))</f>
        <v>2</v>
      </c>
    </row>
    <row r="10" spans="1:44" ht="12.75" customHeight="1" x14ac:dyDescent="0.2">
      <c r="A10" s="174"/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80"/>
      <c r="AI10" s="41"/>
      <c r="AJ10" s="41"/>
      <c r="AK10" s="41"/>
      <c r="AL10" s="41"/>
      <c r="AM10" s="41"/>
      <c r="AN10" s="41"/>
      <c r="AO10" s="5"/>
      <c r="AP10" s="5"/>
      <c r="AQ10" s="5"/>
      <c r="AR10" s="5"/>
    </row>
    <row r="11" spans="1:44" ht="12.75" customHeight="1" x14ac:dyDescent="0.2">
      <c r="A11" s="136"/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80"/>
      <c r="AI11" s="41"/>
      <c r="AJ11" s="41"/>
      <c r="AK11" s="41"/>
      <c r="AL11" s="41"/>
      <c r="AM11" s="41"/>
      <c r="AN11" s="41"/>
      <c r="AO11" s="5"/>
      <c r="AP11" s="5"/>
      <c r="AQ11" s="5"/>
      <c r="AR11" s="5"/>
    </row>
    <row r="12" spans="1:44" ht="13.5" customHeight="1" x14ac:dyDescent="0.2">
      <c r="A12" s="136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80"/>
      <c r="AI12" s="41"/>
      <c r="AJ12" s="41"/>
      <c r="AK12" s="41"/>
      <c r="AL12" s="41"/>
      <c r="AM12" s="41"/>
      <c r="AN12" s="41"/>
      <c r="AO12" s="5"/>
      <c r="AP12" s="5"/>
      <c r="AQ12" s="5"/>
      <c r="AR12" s="5"/>
    </row>
    <row r="13" spans="1:44" ht="13.5" customHeight="1" x14ac:dyDescent="0.2">
      <c r="A13" s="167"/>
      <c r="B13" s="136"/>
      <c r="C13" s="81" t="s">
        <v>169</v>
      </c>
      <c r="D13" s="82" t="s">
        <v>170</v>
      </c>
      <c r="E13" s="165" t="s">
        <v>169</v>
      </c>
      <c r="F13" s="156"/>
      <c r="G13" s="156"/>
      <c r="H13" s="156"/>
      <c r="I13" s="156"/>
      <c r="J13" s="156"/>
      <c r="K13" s="156"/>
      <c r="L13" s="156"/>
      <c r="M13" s="166"/>
      <c r="N13" s="176" t="s">
        <v>171</v>
      </c>
      <c r="O13" s="177"/>
      <c r="P13" s="178"/>
      <c r="Q13" s="155" t="s">
        <v>172</v>
      </c>
      <c r="R13" s="156"/>
      <c r="S13" s="156"/>
      <c r="T13" s="156"/>
      <c r="U13" s="166"/>
      <c r="V13" s="175" t="s">
        <v>173</v>
      </c>
      <c r="W13" s="156"/>
      <c r="X13" s="156"/>
      <c r="Y13" s="156"/>
      <c r="Z13" s="166"/>
      <c r="AA13" s="155" t="s">
        <v>174</v>
      </c>
      <c r="AB13" s="156"/>
      <c r="AC13" s="156"/>
      <c r="AD13" s="156"/>
      <c r="AE13" s="157"/>
      <c r="AF13" s="83"/>
      <c r="AG13" s="84" t="s">
        <v>175</v>
      </c>
      <c r="AH13" s="49" t="s">
        <v>176</v>
      </c>
      <c r="AI13" s="158" t="s">
        <v>177</v>
      </c>
      <c r="AJ13" s="159"/>
      <c r="AK13" s="41"/>
      <c r="AL13" s="5"/>
      <c r="AM13" s="5"/>
      <c r="AN13" s="5"/>
      <c r="AO13" s="5"/>
      <c r="AP13" s="5"/>
      <c r="AQ13" s="5"/>
      <c r="AR13" s="5"/>
    </row>
    <row r="14" spans="1:44" ht="15.75" customHeight="1" x14ac:dyDescent="0.2">
      <c r="A14" s="85">
        <v>1</v>
      </c>
      <c r="B14" s="86">
        <v>1</v>
      </c>
      <c r="C14" s="117" t="str">
        <f>+B5</f>
        <v>Toronto Bats</v>
      </c>
      <c r="D14" s="88">
        <v>2</v>
      </c>
      <c r="E14" s="161" t="str">
        <f>+B6</f>
        <v>DC MVP Bolts</v>
      </c>
      <c r="F14" s="162"/>
      <c r="G14" s="162"/>
      <c r="H14" s="162"/>
      <c r="I14" s="162"/>
      <c r="J14" s="162"/>
      <c r="K14" s="162"/>
      <c r="L14" s="162"/>
      <c r="M14" s="153"/>
      <c r="N14" s="89">
        <v>3</v>
      </c>
      <c r="O14" s="160" t="str">
        <f>+B7</f>
        <v>NY CASCSA</v>
      </c>
      <c r="P14" s="153"/>
      <c r="Q14" s="196">
        <v>25</v>
      </c>
      <c r="R14" s="143"/>
      <c r="S14" s="91">
        <v>0</v>
      </c>
      <c r="T14" s="151">
        <v>11</v>
      </c>
      <c r="U14" s="143"/>
      <c r="V14" s="154">
        <v>25</v>
      </c>
      <c r="W14" s="143"/>
      <c r="X14" s="92">
        <v>0</v>
      </c>
      <c r="Y14" s="154">
        <v>16</v>
      </c>
      <c r="Z14" s="143"/>
      <c r="AA14" s="152"/>
      <c r="AB14" s="153"/>
      <c r="AC14" s="93" t="s">
        <v>178</v>
      </c>
      <c r="AD14" s="152"/>
      <c r="AE14" s="153"/>
      <c r="AF14" s="94"/>
      <c r="AG14" s="104" t="str">
        <f t="shared" ref="AG14:AG23" si="16">IF((Q14)+(V14)+(AA14)-(T14)-(Y14)-(AD14)&gt;0,C14,E14)</f>
        <v>Toronto Bats</v>
      </c>
      <c r="AH14" s="96">
        <f t="shared" ref="AH14:AH23" si="17">(Q14)+(V14)+(AA14)-(T14)-(Y14)-(AD14)</f>
        <v>23</v>
      </c>
      <c r="AI14" s="147">
        <v>0.375</v>
      </c>
      <c r="AJ14" s="148"/>
      <c r="AK14" s="5"/>
      <c r="AL14" s="5"/>
      <c r="AM14" s="5"/>
      <c r="AN14" s="5"/>
      <c r="AO14" s="5"/>
      <c r="AP14" s="5"/>
      <c r="AQ14" s="5"/>
      <c r="AR14" s="5"/>
    </row>
    <row r="15" spans="1:44" ht="15.75" customHeight="1" x14ac:dyDescent="0.2">
      <c r="A15" s="97">
        <v>2</v>
      </c>
      <c r="B15" s="98">
        <v>3</v>
      </c>
      <c r="C15" s="99" t="str">
        <f>+B7</f>
        <v>NY CASCSA</v>
      </c>
      <c r="D15" s="61">
        <v>4</v>
      </c>
      <c r="E15" s="163" t="str">
        <f t="shared" ref="E15:E16" si="18">+B8</f>
        <v>Montreal Freemason</v>
      </c>
      <c r="F15" s="164"/>
      <c r="G15" s="164"/>
      <c r="H15" s="164"/>
      <c r="I15" s="164"/>
      <c r="J15" s="164"/>
      <c r="K15" s="164"/>
      <c r="L15" s="164"/>
      <c r="M15" s="143"/>
      <c r="N15" s="100">
        <v>2</v>
      </c>
      <c r="O15" s="168" t="str">
        <f>+B6</f>
        <v>DC MVP Bolts</v>
      </c>
      <c r="P15" s="143"/>
      <c r="Q15" s="195">
        <v>25</v>
      </c>
      <c r="R15" s="141"/>
      <c r="S15" s="101">
        <v>0</v>
      </c>
      <c r="T15" s="144">
        <v>23</v>
      </c>
      <c r="U15" s="141"/>
      <c r="V15" s="140">
        <v>25</v>
      </c>
      <c r="W15" s="141"/>
      <c r="X15" s="102">
        <v>0</v>
      </c>
      <c r="Y15" s="140">
        <v>17</v>
      </c>
      <c r="Z15" s="141"/>
      <c r="AA15" s="142"/>
      <c r="AB15" s="143"/>
      <c r="AC15" s="103" t="s">
        <v>178</v>
      </c>
      <c r="AD15" s="142"/>
      <c r="AE15" s="143"/>
      <c r="AF15" s="94"/>
      <c r="AG15" s="129" t="str">
        <f t="shared" si="16"/>
        <v>NY CASCSA</v>
      </c>
      <c r="AH15" s="96">
        <f t="shared" si="17"/>
        <v>10</v>
      </c>
      <c r="AI15" s="149">
        <v>0.40972222222222227</v>
      </c>
      <c r="AJ15" s="150"/>
      <c r="AK15" s="5"/>
      <c r="AL15" s="5"/>
      <c r="AM15" s="5"/>
      <c r="AN15" s="5"/>
      <c r="AO15" s="5"/>
      <c r="AP15" s="5"/>
      <c r="AQ15" s="5"/>
      <c r="AR15" s="5"/>
    </row>
    <row r="16" spans="1:44" ht="15.75" customHeight="1" x14ac:dyDescent="0.2">
      <c r="A16" s="97">
        <v>3</v>
      </c>
      <c r="B16" s="98">
        <v>1</v>
      </c>
      <c r="C16" s="99" t="str">
        <f t="shared" ref="C16:C17" si="19">+B5</f>
        <v>Toronto Bats</v>
      </c>
      <c r="D16" s="61">
        <v>5</v>
      </c>
      <c r="E16" s="163" t="str">
        <f t="shared" si="18"/>
        <v>Boston Hurricanes Black</v>
      </c>
      <c r="F16" s="164"/>
      <c r="G16" s="164"/>
      <c r="H16" s="164"/>
      <c r="I16" s="164"/>
      <c r="J16" s="164"/>
      <c r="K16" s="164"/>
      <c r="L16" s="164"/>
      <c r="M16" s="143"/>
      <c r="N16" s="100">
        <v>4</v>
      </c>
      <c r="O16" s="168" t="str">
        <f>+B8</f>
        <v>Montreal Freemason</v>
      </c>
      <c r="P16" s="143"/>
      <c r="Q16" s="195">
        <v>23</v>
      </c>
      <c r="R16" s="141"/>
      <c r="S16" s="101">
        <v>0</v>
      </c>
      <c r="T16" s="144">
        <v>25</v>
      </c>
      <c r="U16" s="141"/>
      <c r="V16" s="140">
        <v>25</v>
      </c>
      <c r="W16" s="141"/>
      <c r="X16" s="102">
        <v>0</v>
      </c>
      <c r="Y16" s="140">
        <v>23</v>
      </c>
      <c r="Z16" s="141"/>
      <c r="AA16" s="142"/>
      <c r="AB16" s="143"/>
      <c r="AC16" s="103" t="s">
        <v>178</v>
      </c>
      <c r="AD16" s="142"/>
      <c r="AE16" s="143"/>
      <c r="AF16" s="94"/>
      <c r="AG16" s="129" t="str">
        <f t="shared" si="16"/>
        <v>Boston Hurricanes Black</v>
      </c>
      <c r="AH16" s="96">
        <f t="shared" si="17"/>
        <v>0</v>
      </c>
      <c r="AI16" s="149">
        <v>0.44444444444444442</v>
      </c>
      <c r="AJ16" s="150"/>
      <c r="AK16" s="5"/>
      <c r="AL16" s="5"/>
      <c r="AM16" s="5"/>
      <c r="AN16" s="5"/>
      <c r="AO16" s="5"/>
      <c r="AP16" s="5"/>
      <c r="AQ16" s="5"/>
      <c r="AR16" s="5"/>
    </row>
    <row r="17" spans="1:44" ht="15.75" customHeight="1" x14ac:dyDescent="0.2">
      <c r="A17" s="97">
        <v>4</v>
      </c>
      <c r="B17" s="98">
        <v>2</v>
      </c>
      <c r="C17" s="99" t="str">
        <f t="shared" si="19"/>
        <v>DC MVP Bolts</v>
      </c>
      <c r="D17" s="61">
        <v>3</v>
      </c>
      <c r="E17" s="163" t="str">
        <f>+B7</f>
        <v>NY CASCSA</v>
      </c>
      <c r="F17" s="164"/>
      <c r="G17" s="164"/>
      <c r="H17" s="164"/>
      <c r="I17" s="164"/>
      <c r="J17" s="164"/>
      <c r="K17" s="164"/>
      <c r="L17" s="164"/>
      <c r="M17" s="143"/>
      <c r="N17" s="100">
        <v>1</v>
      </c>
      <c r="O17" s="168" t="str">
        <f>+B5</f>
        <v>Toronto Bats</v>
      </c>
      <c r="P17" s="143"/>
      <c r="Q17" s="195">
        <v>25</v>
      </c>
      <c r="R17" s="141"/>
      <c r="S17" s="101">
        <v>0</v>
      </c>
      <c r="T17" s="144">
        <v>19</v>
      </c>
      <c r="U17" s="141"/>
      <c r="V17" s="140">
        <v>19</v>
      </c>
      <c r="W17" s="141"/>
      <c r="X17" s="102">
        <v>0</v>
      </c>
      <c r="Y17" s="140">
        <v>25</v>
      </c>
      <c r="Z17" s="141"/>
      <c r="AA17" s="142"/>
      <c r="AB17" s="143"/>
      <c r="AC17" s="103" t="s">
        <v>178</v>
      </c>
      <c r="AD17" s="142"/>
      <c r="AE17" s="143"/>
      <c r="AF17" s="94"/>
      <c r="AG17" s="129" t="str">
        <f t="shared" si="16"/>
        <v>NY CASCSA</v>
      </c>
      <c r="AH17" s="96">
        <f t="shared" si="17"/>
        <v>0</v>
      </c>
      <c r="AI17" s="149">
        <v>0.47916666666666669</v>
      </c>
      <c r="AJ17" s="150"/>
      <c r="AK17" s="5"/>
      <c r="AL17" s="5"/>
      <c r="AM17" s="5"/>
      <c r="AN17" s="5"/>
      <c r="AO17" s="5"/>
      <c r="AP17" s="5"/>
      <c r="AQ17" s="5"/>
      <c r="AR17" s="5"/>
    </row>
    <row r="18" spans="1:44" ht="15.75" customHeight="1" x14ac:dyDescent="0.2">
      <c r="A18" s="97">
        <v>5</v>
      </c>
      <c r="B18" s="98">
        <v>4</v>
      </c>
      <c r="C18" s="99" t="str">
        <f>+B8</f>
        <v>Montreal Freemason</v>
      </c>
      <c r="D18" s="61">
        <v>5</v>
      </c>
      <c r="E18" s="163" t="str">
        <f>B9</f>
        <v>Boston Hurricanes Black</v>
      </c>
      <c r="F18" s="164"/>
      <c r="G18" s="164"/>
      <c r="H18" s="164"/>
      <c r="I18" s="164"/>
      <c r="J18" s="164"/>
      <c r="K18" s="164"/>
      <c r="L18" s="164"/>
      <c r="M18" s="143"/>
      <c r="N18" s="100">
        <v>3</v>
      </c>
      <c r="O18" s="168" t="str">
        <f>+B7</f>
        <v>NY CASCSA</v>
      </c>
      <c r="P18" s="143"/>
      <c r="Q18" s="195">
        <v>20</v>
      </c>
      <c r="R18" s="141"/>
      <c r="S18" s="101">
        <v>0</v>
      </c>
      <c r="T18" s="144">
        <v>25</v>
      </c>
      <c r="U18" s="141"/>
      <c r="V18" s="140">
        <v>16</v>
      </c>
      <c r="W18" s="141"/>
      <c r="X18" s="102">
        <v>0</v>
      </c>
      <c r="Y18" s="140">
        <v>25</v>
      </c>
      <c r="Z18" s="141"/>
      <c r="AA18" s="142"/>
      <c r="AB18" s="143"/>
      <c r="AC18" s="103" t="s">
        <v>178</v>
      </c>
      <c r="AD18" s="142"/>
      <c r="AE18" s="143"/>
      <c r="AF18" s="94"/>
      <c r="AG18" s="129" t="str">
        <f t="shared" si="16"/>
        <v>Boston Hurricanes Black</v>
      </c>
      <c r="AH18" s="96">
        <f t="shared" si="17"/>
        <v>-14</v>
      </c>
      <c r="AI18" s="149">
        <v>0.53472222222222221</v>
      </c>
      <c r="AJ18" s="150"/>
      <c r="AK18" s="5"/>
      <c r="AL18" s="5"/>
      <c r="AM18" s="5"/>
      <c r="AN18" s="5"/>
      <c r="AO18" s="5"/>
      <c r="AP18" s="5"/>
      <c r="AQ18" s="5"/>
      <c r="AR18" s="5"/>
    </row>
    <row r="19" spans="1:44" ht="15.75" customHeight="1" x14ac:dyDescent="0.2">
      <c r="A19" s="97">
        <v>6</v>
      </c>
      <c r="B19" s="98">
        <v>1</v>
      </c>
      <c r="C19" s="99" t="str">
        <f t="shared" ref="C19:C21" si="20">+B5</f>
        <v>Toronto Bats</v>
      </c>
      <c r="D19" s="61">
        <v>3</v>
      </c>
      <c r="E19" s="163" t="str">
        <f t="shared" ref="E19:E21" si="21">+B7</f>
        <v>NY CASCSA</v>
      </c>
      <c r="F19" s="164"/>
      <c r="G19" s="164"/>
      <c r="H19" s="164"/>
      <c r="I19" s="164"/>
      <c r="J19" s="164"/>
      <c r="K19" s="164"/>
      <c r="L19" s="164"/>
      <c r="M19" s="143"/>
      <c r="N19" s="100">
        <v>5</v>
      </c>
      <c r="O19" s="168" t="str">
        <f>+B9</f>
        <v>Boston Hurricanes Black</v>
      </c>
      <c r="P19" s="143"/>
      <c r="Q19" s="195">
        <v>25</v>
      </c>
      <c r="R19" s="141"/>
      <c r="S19" s="101">
        <v>0</v>
      </c>
      <c r="T19" s="144">
        <v>12</v>
      </c>
      <c r="U19" s="141"/>
      <c r="V19" s="140">
        <v>25</v>
      </c>
      <c r="W19" s="141"/>
      <c r="X19" s="102">
        <v>0</v>
      </c>
      <c r="Y19" s="140">
        <v>16</v>
      </c>
      <c r="Z19" s="141"/>
      <c r="AA19" s="142"/>
      <c r="AB19" s="143"/>
      <c r="AC19" s="103" t="s">
        <v>178</v>
      </c>
      <c r="AD19" s="142"/>
      <c r="AE19" s="143"/>
      <c r="AF19" s="94"/>
      <c r="AG19" s="129" t="str">
        <f t="shared" si="16"/>
        <v>Toronto Bats</v>
      </c>
      <c r="AH19" s="96">
        <f t="shared" si="17"/>
        <v>22</v>
      </c>
      <c r="AI19" s="149">
        <v>6.9444444444444434E-2</v>
      </c>
      <c r="AJ19" s="150"/>
      <c r="AK19" s="5"/>
      <c r="AL19" s="5"/>
      <c r="AM19" s="5"/>
      <c r="AN19" s="5"/>
      <c r="AO19" s="5"/>
      <c r="AP19" s="5"/>
      <c r="AQ19" s="5"/>
      <c r="AR19" s="5"/>
    </row>
    <row r="20" spans="1:44" ht="15.75" customHeight="1" x14ac:dyDescent="0.2">
      <c r="A20" s="97">
        <v>7</v>
      </c>
      <c r="B20" s="98">
        <v>2</v>
      </c>
      <c r="C20" s="99" t="str">
        <f t="shared" si="20"/>
        <v>DC MVP Bolts</v>
      </c>
      <c r="D20" s="61">
        <v>4</v>
      </c>
      <c r="E20" s="163" t="str">
        <f t="shared" si="21"/>
        <v>Montreal Freemason</v>
      </c>
      <c r="F20" s="164"/>
      <c r="G20" s="164"/>
      <c r="H20" s="164"/>
      <c r="I20" s="164"/>
      <c r="J20" s="164"/>
      <c r="K20" s="164"/>
      <c r="L20" s="164"/>
      <c r="M20" s="143"/>
      <c r="N20" s="133">
        <v>1</v>
      </c>
      <c r="O20" s="168" t="str">
        <f t="shared" ref="O20:O21" si="22">+B5</f>
        <v>Toronto Bats</v>
      </c>
      <c r="P20" s="143"/>
      <c r="Q20" s="205">
        <v>25</v>
      </c>
      <c r="R20" s="141"/>
      <c r="S20" s="127">
        <v>0</v>
      </c>
      <c r="T20" s="204">
        <v>16</v>
      </c>
      <c r="U20" s="141"/>
      <c r="V20" s="204">
        <v>25</v>
      </c>
      <c r="W20" s="141"/>
      <c r="X20" s="127">
        <v>0</v>
      </c>
      <c r="Y20" s="204">
        <v>19</v>
      </c>
      <c r="Z20" s="141"/>
      <c r="AA20" s="142"/>
      <c r="AB20" s="143"/>
      <c r="AC20" s="103" t="s">
        <v>178</v>
      </c>
      <c r="AD20" s="142"/>
      <c r="AE20" s="143"/>
      <c r="AF20" s="94"/>
      <c r="AG20" s="129" t="str">
        <f t="shared" si="16"/>
        <v>DC MVP Bolts</v>
      </c>
      <c r="AH20" s="96">
        <f t="shared" si="17"/>
        <v>15</v>
      </c>
      <c r="AI20" s="149">
        <v>0.10416666666666667</v>
      </c>
      <c r="AJ20" s="150"/>
      <c r="AK20" s="5"/>
      <c r="AL20" s="5"/>
      <c r="AM20" s="5"/>
      <c r="AN20" s="5"/>
      <c r="AO20" s="5"/>
      <c r="AP20" s="5"/>
      <c r="AQ20" s="5"/>
      <c r="AR20" s="5"/>
    </row>
    <row r="21" spans="1:44" ht="15.75" customHeight="1" x14ac:dyDescent="0.2">
      <c r="A21" s="97">
        <v>8</v>
      </c>
      <c r="B21" s="98">
        <v>3</v>
      </c>
      <c r="C21" s="99" t="str">
        <f t="shared" si="20"/>
        <v>NY CASCSA</v>
      </c>
      <c r="D21" s="61">
        <v>5</v>
      </c>
      <c r="E21" s="163" t="str">
        <f t="shared" si="21"/>
        <v>Boston Hurricanes Black</v>
      </c>
      <c r="F21" s="164"/>
      <c r="G21" s="164"/>
      <c r="H21" s="164"/>
      <c r="I21" s="164"/>
      <c r="J21" s="164"/>
      <c r="K21" s="164"/>
      <c r="L21" s="164"/>
      <c r="M21" s="143"/>
      <c r="N21" s="100">
        <v>2</v>
      </c>
      <c r="O21" s="168" t="str">
        <f t="shared" si="22"/>
        <v>DC MVP Bolts</v>
      </c>
      <c r="P21" s="143"/>
      <c r="Q21" s="195">
        <v>19</v>
      </c>
      <c r="R21" s="141"/>
      <c r="S21" s="101">
        <v>0</v>
      </c>
      <c r="T21" s="144">
        <v>25</v>
      </c>
      <c r="U21" s="141"/>
      <c r="V21" s="140">
        <v>19</v>
      </c>
      <c r="W21" s="141"/>
      <c r="X21" s="102">
        <v>0</v>
      </c>
      <c r="Y21" s="140">
        <v>25</v>
      </c>
      <c r="Z21" s="141"/>
      <c r="AA21" s="142"/>
      <c r="AB21" s="143"/>
      <c r="AC21" s="103" t="s">
        <v>178</v>
      </c>
      <c r="AD21" s="142"/>
      <c r="AE21" s="143"/>
      <c r="AF21" s="94"/>
      <c r="AG21" s="129" t="str">
        <f t="shared" si="16"/>
        <v>Boston Hurricanes Black</v>
      </c>
      <c r="AH21" s="96">
        <f t="shared" si="17"/>
        <v>-12</v>
      </c>
      <c r="AI21" s="149">
        <v>0.15972222222222224</v>
      </c>
      <c r="AJ21" s="150"/>
      <c r="AK21" s="5"/>
      <c r="AL21" s="5"/>
      <c r="AM21" s="5"/>
      <c r="AN21" s="5"/>
      <c r="AO21" s="5"/>
      <c r="AP21" s="5"/>
      <c r="AQ21" s="5"/>
      <c r="AR21" s="5"/>
    </row>
    <row r="22" spans="1:44" ht="15.75" customHeight="1" x14ac:dyDescent="0.2">
      <c r="A22" s="97">
        <v>9</v>
      </c>
      <c r="B22" s="98">
        <v>1</v>
      </c>
      <c r="C22" s="99" t="str">
        <f t="shared" ref="C22:C23" si="23">+B5</f>
        <v>Toronto Bats</v>
      </c>
      <c r="D22" s="61">
        <v>4</v>
      </c>
      <c r="E22" s="163" t="str">
        <f t="shared" ref="E22:E23" si="24">+B8</f>
        <v>Montreal Freemason</v>
      </c>
      <c r="F22" s="164"/>
      <c r="G22" s="164"/>
      <c r="H22" s="164"/>
      <c r="I22" s="164"/>
      <c r="J22" s="164"/>
      <c r="K22" s="164"/>
      <c r="L22" s="164"/>
      <c r="M22" s="143"/>
      <c r="N22" s="100">
        <v>5</v>
      </c>
      <c r="O22" s="168" t="str">
        <f>+B9</f>
        <v>Boston Hurricanes Black</v>
      </c>
      <c r="P22" s="143"/>
      <c r="Q22" s="195">
        <v>22</v>
      </c>
      <c r="R22" s="141"/>
      <c r="S22" s="101">
        <v>0</v>
      </c>
      <c r="T22" s="144">
        <v>25</v>
      </c>
      <c r="U22" s="141"/>
      <c r="V22" s="140">
        <v>25</v>
      </c>
      <c r="W22" s="141"/>
      <c r="X22" s="102">
        <v>0</v>
      </c>
      <c r="Y22" s="140">
        <v>17</v>
      </c>
      <c r="Z22" s="141"/>
      <c r="AA22" s="142"/>
      <c r="AB22" s="143"/>
      <c r="AC22" s="103" t="s">
        <v>178</v>
      </c>
      <c r="AD22" s="142"/>
      <c r="AE22" s="143"/>
      <c r="AF22" s="94"/>
      <c r="AG22" s="129" t="str">
        <f t="shared" si="16"/>
        <v>Toronto Bats</v>
      </c>
      <c r="AH22" s="96">
        <f t="shared" si="17"/>
        <v>5</v>
      </c>
      <c r="AI22" s="149">
        <v>0.19444444444444445</v>
      </c>
      <c r="AJ22" s="150"/>
      <c r="AK22" s="5"/>
      <c r="AL22" s="5"/>
      <c r="AM22" s="5"/>
      <c r="AN22" s="5"/>
      <c r="AO22" s="5"/>
      <c r="AP22" s="5"/>
      <c r="AQ22" s="5"/>
      <c r="AR22" s="5"/>
    </row>
    <row r="23" spans="1:44" ht="15.75" customHeight="1" x14ac:dyDescent="0.2">
      <c r="A23" s="109">
        <v>10</v>
      </c>
      <c r="B23" s="110">
        <v>2</v>
      </c>
      <c r="C23" s="111" t="str">
        <f t="shared" si="23"/>
        <v>DC MVP Bolts</v>
      </c>
      <c r="D23" s="78">
        <v>5</v>
      </c>
      <c r="E23" s="188" t="str">
        <f t="shared" si="24"/>
        <v>Boston Hurricanes Black</v>
      </c>
      <c r="F23" s="189"/>
      <c r="G23" s="189"/>
      <c r="H23" s="189"/>
      <c r="I23" s="189"/>
      <c r="J23" s="189"/>
      <c r="K23" s="189"/>
      <c r="L23" s="189"/>
      <c r="M23" s="146"/>
      <c r="N23" s="112">
        <v>4</v>
      </c>
      <c r="O23" s="187" t="str">
        <f>+B8</f>
        <v>Montreal Freemason</v>
      </c>
      <c r="P23" s="146"/>
      <c r="Q23" s="195">
        <v>25</v>
      </c>
      <c r="R23" s="141"/>
      <c r="S23" s="101">
        <v>0</v>
      </c>
      <c r="T23" s="144">
        <v>13</v>
      </c>
      <c r="U23" s="141"/>
      <c r="V23" s="140">
        <v>26</v>
      </c>
      <c r="W23" s="141"/>
      <c r="X23" s="102">
        <v>0</v>
      </c>
      <c r="Y23" s="140">
        <v>24</v>
      </c>
      <c r="Z23" s="141"/>
      <c r="AA23" s="145"/>
      <c r="AB23" s="146"/>
      <c r="AC23" s="113" t="s">
        <v>178</v>
      </c>
      <c r="AD23" s="145"/>
      <c r="AE23" s="146"/>
      <c r="AF23" s="94"/>
      <c r="AG23" s="131" t="str">
        <f t="shared" si="16"/>
        <v>DC MVP Bolts</v>
      </c>
      <c r="AH23" s="96">
        <f t="shared" si="17"/>
        <v>14</v>
      </c>
      <c r="AI23" s="184">
        <v>0.22916666666666666</v>
      </c>
      <c r="AJ23" s="185"/>
      <c r="AK23" s="5"/>
      <c r="AL23" s="5"/>
      <c r="AM23" s="5"/>
      <c r="AN23" s="5"/>
      <c r="AO23" s="5"/>
      <c r="AP23" s="5"/>
      <c r="AQ23" s="5"/>
      <c r="AR23" s="5"/>
    </row>
    <row r="24" spans="1:44" ht="12.75" customHeight="1" x14ac:dyDescent="0.2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5"/>
      <c r="AM24" s="5"/>
      <c r="AN24" s="5"/>
      <c r="AO24" s="5"/>
      <c r="AP24" s="5"/>
      <c r="AQ24" s="5"/>
      <c r="AR24" s="5"/>
    </row>
    <row r="25" spans="1:44" ht="12.75" customHeight="1" x14ac:dyDescent="0.2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5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5"/>
      <c r="AM25" s="5"/>
      <c r="AN25" s="5"/>
      <c r="AO25" s="5"/>
      <c r="AP25" s="5"/>
      <c r="AQ25" s="5"/>
      <c r="AR25" s="5"/>
    </row>
    <row r="26" spans="1:44" ht="12.75" customHeight="1" x14ac:dyDescent="0.2">
      <c r="A26" s="41"/>
      <c r="B26" s="57"/>
      <c r="C26" s="57" t="s">
        <v>179</v>
      </c>
      <c r="D26" s="57" t="s">
        <v>157</v>
      </c>
      <c r="E26" s="57" t="s">
        <v>180</v>
      </c>
      <c r="F26" s="57" t="s">
        <v>165</v>
      </c>
      <c r="G26" s="57" t="s">
        <v>166</v>
      </c>
      <c r="H26" s="41"/>
      <c r="I26" s="41"/>
      <c r="J26" s="41"/>
      <c r="K26" s="41"/>
      <c r="L26" s="41"/>
      <c r="M26" s="41"/>
      <c r="N26" s="41"/>
      <c r="O26" s="41"/>
      <c r="P26" s="41"/>
      <c r="Q26" s="5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5"/>
      <c r="AM26" s="5"/>
      <c r="AN26" s="5"/>
      <c r="AO26" s="5"/>
      <c r="AP26" s="5"/>
      <c r="AQ26" s="5"/>
      <c r="AR26" s="5"/>
    </row>
    <row r="27" spans="1:44" ht="12.75" customHeight="1" x14ac:dyDescent="0.2">
      <c r="A27" s="41"/>
      <c r="B27" s="57">
        <v>1</v>
      </c>
      <c r="C27" s="57" t="str">
        <f t="shared" ref="C27:C31" si="25">VLOOKUP(B27,$A$5:$AR$9,2,FALSE)</f>
        <v>Toronto Bats</v>
      </c>
      <c r="D27" s="57">
        <f t="shared" ref="D27:D31" si="26">VLOOKUP(B27,$A$5:$AR$9,15,FALSE)</f>
        <v>6</v>
      </c>
      <c r="E27" s="57">
        <f t="shared" ref="E27:E31" si="27">VLOOKUP(B27,$A$5:$AR$9,36,FALSE)</f>
        <v>50</v>
      </c>
      <c r="F27" s="114">
        <f t="shared" ref="F27:F31" si="28">VLOOKUP(B27,$A$5:$AR$9,40,FALSE)</f>
        <v>0.75</v>
      </c>
      <c r="G27" s="114">
        <f t="shared" ref="G27:G31" si="29">VLOOKUP(B27,$A$5:$AR$9,42,FALSE)</f>
        <v>6.25</v>
      </c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5"/>
      <c r="AM27" s="5"/>
      <c r="AN27" s="5"/>
      <c r="AO27" s="5"/>
      <c r="AP27" s="5"/>
      <c r="AQ27" s="5"/>
      <c r="AR27" s="5"/>
    </row>
    <row r="28" spans="1:44" ht="12.75" customHeight="1" x14ac:dyDescent="0.2">
      <c r="A28" s="41"/>
      <c r="B28" s="57">
        <v>2</v>
      </c>
      <c r="C28" s="57" t="str">
        <f t="shared" si="25"/>
        <v>Boston Hurricanes Black</v>
      </c>
      <c r="D28" s="57">
        <f t="shared" si="26"/>
        <v>5</v>
      </c>
      <c r="E28" s="57">
        <f t="shared" si="27"/>
        <v>12</v>
      </c>
      <c r="F28" s="114">
        <f t="shared" si="28"/>
        <v>0.625</v>
      </c>
      <c r="G28" s="114">
        <f t="shared" si="29"/>
        <v>1.5</v>
      </c>
      <c r="H28" s="41"/>
      <c r="I28" s="41"/>
      <c r="J28" s="41"/>
      <c r="K28" s="41"/>
      <c r="L28" s="41"/>
      <c r="M28" s="41"/>
      <c r="N28" s="41"/>
      <c r="O28" s="41"/>
      <c r="P28" s="5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183"/>
      <c r="AK28" s="136"/>
      <c r="AL28" s="5"/>
      <c r="AM28" s="5"/>
      <c r="AN28" s="5"/>
      <c r="AO28" s="5"/>
      <c r="AP28" s="5"/>
      <c r="AQ28" s="5"/>
      <c r="AR28" s="5"/>
    </row>
    <row r="29" spans="1:44" ht="12.75" customHeight="1" x14ac:dyDescent="0.2">
      <c r="A29" s="5"/>
      <c r="B29" s="14">
        <v>3</v>
      </c>
      <c r="C29" s="57" t="str">
        <f t="shared" si="25"/>
        <v>DC MVP Bolts</v>
      </c>
      <c r="D29" s="57">
        <f t="shared" si="26"/>
        <v>5</v>
      </c>
      <c r="E29" s="57">
        <f t="shared" si="27"/>
        <v>6</v>
      </c>
      <c r="F29" s="114">
        <f t="shared" si="28"/>
        <v>0.625</v>
      </c>
      <c r="G29" s="114">
        <f t="shared" si="29"/>
        <v>0.75</v>
      </c>
      <c r="H29" s="41"/>
      <c r="I29" s="41"/>
      <c r="J29" s="41"/>
      <c r="K29" s="41"/>
      <c r="L29" s="41"/>
      <c r="M29" s="41"/>
      <c r="N29" s="41"/>
      <c r="O29" s="41"/>
      <c r="P29" s="5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115"/>
      <c r="AK29" s="41"/>
      <c r="AL29" s="5"/>
      <c r="AM29" s="5"/>
      <c r="AN29" s="5"/>
      <c r="AO29" s="5"/>
      <c r="AP29" s="5"/>
      <c r="AQ29" s="5"/>
      <c r="AR29" s="5"/>
    </row>
    <row r="30" spans="1:44" ht="12.75" customHeight="1" x14ac:dyDescent="0.2">
      <c r="A30" s="5"/>
      <c r="B30" s="14">
        <v>4</v>
      </c>
      <c r="C30" s="57" t="str">
        <f t="shared" si="25"/>
        <v>NY CASCSA</v>
      </c>
      <c r="D30" s="57">
        <f t="shared" si="26"/>
        <v>3</v>
      </c>
      <c r="E30" s="57">
        <f t="shared" si="27"/>
        <v>-24</v>
      </c>
      <c r="F30" s="114">
        <f t="shared" si="28"/>
        <v>0.375</v>
      </c>
      <c r="G30" s="114">
        <f t="shared" si="29"/>
        <v>-3</v>
      </c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115"/>
      <c r="AK30" s="41"/>
      <c r="AL30" s="5"/>
      <c r="AM30" s="5"/>
      <c r="AN30" s="5"/>
      <c r="AO30" s="5"/>
      <c r="AP30" s="5"/>
      <c r="AQ30" s="5"/>
      <c r="AR30" s="5"/>
    </row>
    <row r="31" spans="1:44" ht="12.75" customHeight="1" x14ac:dyDescent="0.2">
      <c r="A31" s="5"/>
      <c r="B31" s="14">
        <v>5</v>
      </c>
      <c r="C31" s="57" t="str">
        <f t="shared" si="25"/>
        <v>Montreal Freemason</v>
      </c>
      <c r="D31" s="57">
        <f t="shared" si="26"/>
        <v>1</v>
      </c>
      <c r="E31" s="57">
        <f t="shared" si="27"/>
        <v>-44</v>
      </c>
      <c r="F31" s="114">
        <f t="shared" si="28"/>
        <v>0.125</v>
      </c>
      <c r="G31" s="114">
        <f t="shared" si="29"/>
        <v>-5.5</v>
      </c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115"/>
      <c r="AK31" s="41"/>
      <c r="AL31" s="5"/>
      <c r="AM31" s="5"/>
      <c r="AN31" s="5"/>
      <c r="AO31" s="5"/>
      <c r="AP31" s="5"/>
      <c r="AQ31" s="5"/>
      <c r="AR31" s="5"/>
    </row>
    <row r="32" spans="1:44" ht="12.75" customHeight="1" x14ac:dyDescent="0.2">
      <c r="A32" s="5"/>
      <c r="B32" s="5"/>
      <c r="C32" s="5"/>
      <c r="D32" s="5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115"/>
      <c r="AK32" s="41"/>
      <c r="AL32" s="5"/>
      <c r="AM32" s="5"/>
      <c r="AN32" s="5"/>
      <c r="AO32" s="5"/>
      <c r="AP32" s="5"/>
      <c r="AQ32" s="5"/>
      <c r="AR32" s="5"/>
    </row>
  </sheetData>
  <mergeCells count="124">
    <mergeCell ref="E4:I4"/>
    <mergeCell ref="B4:D4"/>
    <mergeCell ref="AN4:AO4"/>
    <mergeCell ref="AJ4:AK4"/>
    <mergeCell ref="R4:AF4"/>
    <mergeCell ref="J4:N4"/>
    <mergeCell ref="A2:AG2"/>
    <mergeCell ref="A1:AG1"/>
    <mergeCell ref="A3:AG3"/>
    <mergeCell ref="Y23:Z23"/>
    <mergeCell ref="E21:M21"/>
    <mergeCell ref="AA20:AB20"/>
    <mergeCell ref="AA21:AB21"/>
    <mergeCell ref="AA14:AB14"/>
    <mergeCell ref="AD22:AE22"/>
    <mergeCell ref="AD23:AE23"/>
    <mergeCell ref="O23:P23"/>
    <mergeCell ref="O22:P22"/>
    <mergeCell ref="O21:P21"/>
    <mergeCell ref="O19:P19"/>
    <mergeCell ref="O20:P20"/>
    <mergeCell ref="O18:P18"/>
    <mergeCell ref="O17:P17"/>
    <mergeCell ref="J9:N9"/>
    <mergeCell ref="B9:D9"/>
    <mergeCell ref="E9:I9"/>
    <mergeCell ref="T22:U22"/>
    <mergeCell ref="V22:W22"/>
    <mergeCell ref="E22:M22"/>
    <mergeCell ref="V23:W23"/>
    <mergeCell ref="T23:U23"/>
    <mergeCell ref="E23:M23"/>
    <mergeCell ref="E13:M13"/>
    <mergeCell ref="A10:AG12"/>
    <mergeCell ref="A13:B13"/>
    <mergeCell ref="J7:N7"/>
    <mergeCell ref="J8:N8"/>
    <mergeCell ref="J5:N5"/>
    <mergeCell ref="J6:N6"/>
    <mergeCell ref="B6:D6"/>
    <mergeCell ref="E6:I6"/>
    <mergeCell ref="B7:D7"/>
    <mergeCell ref="B8:D8"/>
    <mergeCell ref="E8:I8"/>
    <mergeCell ref="E7:I7"/>
    <mergeCell ref="B5:D5"/>
    <mergeCell ref="E5:I5"/>
    <mergeCell ref="Q13:U13"/>
    <mergeCell ref="N13:P13"/>
    <mergeCell ref="Y14:Z14"/>
    <mergeCell ref="V13:Z13"/>
    <mergeCell ref="Y15:Z15"/>
    <mergeCell ref="V14:W14"/>
    <mergeCell ref="T14:U14"/>
    <mergeCell ref="V15:W15"/>
    <mergeCell ref="T15:U15"/>
    <mergeCell ref="E18:M18"/>
    <mergeCell ref="E19:M19"/>
    <mergeCell ref="E20:M20"/>
    <mergeCell ref="O16:P16"/>
    <mergeCell ref="O15:P15"/>
    <mergeCell ref="Q14:R14"/>
    <mergeCell ref="E14:M14"/>
    <mergeCell ref="E16:M16"/>
    <mergeCell ref="E15:M15"/>
    <mergeCell ref="E17:M17"/>
    <mergeCell ref="O14:P14"/>
    <mergeCell ref="Q16:R16"/>
    <mergeCell ref="Q15:R15"/>
    <mergeCell ref="Q22:R22"/>
    <mergeCell ref="Q23:R23"/>
    <mergeCell ref="Q21:R21"/>
    <mergeCell ref="Q20:R20"/>
    <mergeCell ref="Q19:R19"/>
    <mergeCell ref="Q18:R18"/>
    <mergeCell ref="Q17:R17"/>
    <mergeCell ref="Y17:Z17"/>
    <mergeCell ref="V17:W17"/>
    <mergeCell ref="Y22:Z22"/>
    <mergeCell ref="Y21:Z21"/>
    <mergeCell ref="Y19:Z19"/>
    <mergeCell ref="Y18:Z18"/>
    <mergeCell ref="Y20:Z20"/>
    <mergeCell ref="V19:W19"/>
    <mergeCell ref="Y16:Z16"/>
    <mergeCell ref="V21:W21"/>
    <mergeCell ref="V20:W20"/>
    <mergeCell ref="V18:W18"/>
    <mergeCell ref="T16:U16"/>
    <mergeCell ref="T17:U17"/>
    <mergeCell ref="T18:U18"/>
    <mergeCell ref="T20:U20"/>
    <mergeCell ref="T19:U19"/>
    <mergeCell ref="T21:U21"/>
    <mergeCell ref="V16:W16"/>
    <mergeCell ref="AP4:AQ4"/>
    <mergeCell ref="AA16:AB16"/>
    <mergeCell ref="AD19:AE19"/>
    <mergeCell ref="AA19:AB19"/>
    <mergeCell ref="AI23:AJ23"/>
    <mergeCell ref="AJ28:AK28"/>
    <mergeCell ref="AI20:AJ20"/>
    <mergeCell ref="AI19:AJ19"/>
    <mergeCell ref="AI14:AJ14"/>
    <mergeCell ref="AI13:AJ13"/>
    <mergeCell ref="AI16:AJ16"/>
    <mergeCell ref="AI17:AJ17"/>
    <mergeCell ref="AI18:AJ18"/>
    <mergeCell ref="AI22:AJ22"/>
    <mergeCell ref="AI21:AJ21"/>
    <mergeCell ref="AA18:AB18"/>
    <mergeCell ref="AA17:AB17"/>
    <mergeCell ref="AI15:AJ15"/>
    <mergeCell ref="AA15:AB15"/>
    <mergeCell ref="AD15:AE15"/>
    <mergeCell ref="AA13:AE13"/>
    <mergeCell ref="AD14:AE14"/>
    <mergeCell ref="AD17:AE17"/>
    <mergeCell ref="AD16:AE16"/>
    <mergeCell ref="AA22:AB22"/>
    <mergeCell ref="AA23:AB23"/>
    <mergeCell ref="AD20:AE20"/>
    <mergeCell ref="AD21:AE21"/>
    <mergeCell ref="AD18:AE1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AR32"/>
  <sheetViews>
    <sheetView showGridLines="0" workbookViewId="0"/>
  </sheetViews>
  <sheetFormatPr baseColWidth="10" defaultColWidth="17.33203125" defaultRowHeight="15" customHeight="1" x14ac:dyDescent="0.2"/>
  <cols>
    <col min="1" max="1" width="4.1640625" customWidth="1"/>
    <col min="2" max="2" width="3.5" customWidth="1"/>
    <col min="3" max="3" width="25.6640625" customWidth="1"/>
    <col min="4" max="4" width="4.5" customWidth="1"/>
    <col min="5" max="5" width="3.33203125" customWidth="1"/>
    <col min="6" max="6" width="10.33203125" customWidth="1"/>
    <col min="7" max="7" width="9.6640625" customWidth="1"/>
    <col min="8" max="9" width="3.33203125" hidden="1" customWidth="1"/>
    <col min="10" max="14" width="3.33203125" customWidth="1"/>
    <col min="15" max="15" width="13.33203125" customWidth="1"/>
    <col min="16" max="16" width="13.1640625" customWidth="1"/>
    <col min="17" max="19" width="4" customWidth="1"/>
    <col min="20" max="22" width="3.33203125" customWidth="1"/>
    <col min="23" max="23" width="4" customWidth="1"/>
    <col min="24" max="25" width="3.33203125" customWidth="1"/>
    <col min="26" max="27" width="4" customWidth="1"/>
    <col min="28" max="31" width="3.33203125" customWidth="1"/>
    <col min="32" max="32" width="4.5" customWidth="1"/>
    <col min="33" max="33" width="15.33203125" customWidth="1"/>
    <col min="34" max="34" width="12.1640625" customWidth="1"/>
    <col min="35" max="35" width="13.1640625" customWidth="1"/>
    <col min="36" max="36" width="4.1640625" customWidth="1"/>
    <col min="37" max="37" width="7.1640625" customWidth="1"/>
    <col min="38" max="38" width="2.1640625" customWidth="1"/>
    <col min="39" max="39" width="7.1640625" customWidth="1"/>
    <col min="40" max="40" width="6.5" customWidth="1"/>
    <col min="41" max="44" width="8.83203125" customWidth="1"/>
  </cols>
  <sheetData>
    <row r="1" spans="1:44" ht="30.75" customHeight="1" x14ac:dyDescent="0.35">
      <c r="A1" s="180" t="s">
        <v>181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38"/>
      <c r="AI1" s="39"/>
      <c r="AJ1" s="39"/>
      <c r="AK1" s="39"/>
      <c r="AL1" s="39"/>
      <c r="AM1" s="39"/>
      <c r="AN1" s="39"/>
      <c r="AO1" s="1"/>
      <c r="AP1" s="1"/>
      <c r="AQ1" s="1"/>
      <c r="AR1" s="1"/>
    </row>
    <row r="2" spans="1:44" ht="30.75" customHeight="1" x14ac:dyDescent="0.35">
      <c r="A2" s="180" t="str">
        <f>+'Women''s Master'!I3</f>
        <v>CT17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38"/>
      <c r="AI2" s="39"/>
      <c r="AJ2" s="39"/>
      <c r="AK2" s="39"/>
      <c r="AL2" s="39"/>
      <c r="AM2" s="39"/>
      <c r="AN2" s="39"/>
      <c r="AO2" s="1"/>
      <c r="AP2" s="1"/>
      <c r="AQ2" s="1"/>
      <c r="AR2" s="1"/>
    </row>
    <row r="3" spans="1:44" ht="42.75" customHeight="1" x14ac:dyDescent="0.45">
      <c r="A3" s="180" t="str">
        <f>RIGHT(A2,2)</f>
        <v>17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40"/>
      <c r="AI3" s="41" t="s">
        <v>153</v>
      </c>
      <c r="AJ3" s="41"/>
      <c r="AK3" s="41"/>
      <c r="AL3" s="41"/>
      <c r="AM3" s="41"/>
      <c r="AN3" s="41"/>
      <c r="AO3" s="5"/>
      <c r="AP3" s="5"/>
      <c r="AQ3" s="5"/>
      <c r="AR3" s="5" t="s">
        <v>154</v>
      </c>
    </row>
    <row r="4" spans="1:44" ht="27" customHeight="1" x14ac:dyDescent="0.2">
      <c r="A4" s="42"/>
      <c r="B4" s="179" t="s">
        <v>102</v>
      </c>
      <c r="C4" s="173"/>
      <c r="D4" s="173"/>
      <c r="E4" s="155" t="s">
        <v>155</v>
      </c>
      <c r="F4" s="156"/>
      <c r="G4" s="156"/>
      <c r="H4" s="156"/>
      <c r="I4" s="157"/>
      <c r="J4" s="165" t="s">
        <v>156</v>
      </c>
      <c r="K4" s="156"/>
      <c r="L4" s="156"/>
      <c r="M4" s="156"/>
      <c r="N4" s="166"/>
      <c r="O4" s="43" t="s">
        <v>157</v>
      </c>
      <c r="P4" s="44" t="s">
        <v>158</v>
      </c>
      <c r="Q4" s="45"/>
      <c r="R4" s="194" t="s">
        <v>159</v>
      </c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53"/>
      <c r="AG4" s="46" t="s">
        <v>160</v>
      </c>
      <c r="AH4" s="47" t="s">
        <v>161</v>
      </c>
      <c r="AI4" s="47" t="s">
        <v>162</v>
      </c>
      <c r="AJ4" s="193" t="s">
        <v>163</v>
      </c>
      <c r="AK4" s="153"/>
      <c r="AL4" s="47" t="s">
        <v>164</v>
      </c>
      <c r="AM4" s="48"/>
      <c r="AN4" s="190" t="s">
        <v>165</v>
      </c>
      <c r="AO4" s="191"/>
      <c r="AP4" s="192" t="s">
        <v>166</v>
      </c>
      <c r="AQ4" s="191"/>
      <c r="AR4" s="50" t="s">
        <v>167</v>
      </c>
    </row>
    <row r="5" spans="1:44" ht="15.75" customHeight="1" x14ac:dyDescent="0.2">
      <c r="A5" s="51">
        <f t="shared" ref="A5:A9" si="0">AR5</f>
        <v>2</v>
      </c>
      <c r="B5" s="172" t="str">
        <f>+'Women''s Master'!I4</f>
        <v>Toronto Thunder Blue</v>
      </c>
      <c r="C5" s="173"/>
      <c r="D5" s="173"/>
      <c r="E5" s="171">
        <f>SUM(IF(AG14=B5,1,0),IF(AG16=C16,1,0),IF(AG19=C19,1,0),IF(AG22=C22,1,0))</f>
        <v>3</v>
      </c>
      <c r="F5" s="162"/>
      <c r="G5" s="162"/>
      <c r="H5" s="162"/>
      <c r="I5" s="153"/>
      <c r="J5" s="169">
        <f>SUM(IF(AG14=C14,0,1),IF(AG16=C16,0,1),IF(AG19=C19,0,1),IF(AG22=C22,0,1))</f>
        <v>1</v>
      </c>
      <c r="K5" s="162"/>
      <c r="L5" s="162"/>
      <c r="M5" s="162"/>
      <c r="N5" s="170"/>
      <c r="O5" s="53">
        <f>SUM(IF(AD5&gt;0,1,0),IF(AE5&gt;0,1,0),IF(AF5&gt;0,1,0),IF(U5&gt;0,1,0),IF(V5&gt;0,1,0),IF(W5&gt;0,1,0),IF(X5&gt;0,1,0),IF(Y5&gt;0,1,0),IF(Z5&gt;0,1,0),IF(AA5&gt;0,1,0),IF(AB5&gt;0,1,0),IF(AC5&gt;0,1,0))</f>
        <v>6</v>
      </c>
      <c r="P5" s="52">
        <f>SUM(IF(AD5&lt;0,1,0),IF(AE5&lt;0,1,0),IF(AF5&lt;0,1,0),IF(U5&lt;0,1,0),IF(V5&lt;0,1,0),IF(W5&lt;0,1,0),IF(X5&lt;0,1,0),IF(Y5&lt;0,1,0),IF(Z5&lt;0,1,0),IF(AA5&lt;0,1,0),IF(AB5&lt;0,1,0),IF(AC5&lt;0,1,0))</f>
        <v>2</v>
      </c>
      <c r="Q5" s="54">
        <f>1+SUM(IF(O5&lt;O6,1,0),IF(O5&lt;O7,1,0),IF(O5&lt;O8,1,0),IF(O5&lt;O9,1,0))</f>
        <v>2</v>
      </c>
      <c r="R5" s="55"/>
      <c r="S5" s="56"/>
      <c r="T5" s="56"/>
      <c r="U5" s="57">
        <f>Q14-T14</f>
        <v>-2</v>
      </c>
      <c r="V5" s="57">
        <f>V14-Y14</f>
        <v>-4</v>
      </c>
      <c r="W5" s="57">
        <f>AA14-AD14</f>
        <v>0</v>
      </c>
      <c r="X5" s="57">
        <f>Q19-T19</f>
        <v>12</v>
      </c>
      <c r="Y5" s="57">
        <f>V19-Y19</f>
        <v>9</v>
      </c>
      <c r="Z5" s="57">
        <f>AA19-AD19</f>
        <v>0</v>
      </c>
      <c r="AA5" s="58">
        <f>Q22-T22</f>
        <v>13</v>
      </c>
      <c r="AB5" s="58">
        <f>V22-Y22</f>
        <v>15</v>
      </c>
      <c r="AC5" s="58">
        <f>AA22-AD22</f>
        <v>0</v>
      </c>
      <c r="AD5" s="58">
        <f>Q16-T16</f>
        <v>11</v>
      </c>
      <c r="AE5" s="58">
        <f>V16-Y16</f>
        <v>21</v>
      </c>
      <c r="AF5" s="58">
        <f>AA16-AD16</f>
        <v>0</v>
      </c>
      <c r="AG5" s="58" t="b">
        <f>IF(Q5=Q6,IF(SUM(U5:W5)&gt;0,B5,B6),  IF(Q5=Q7,IF(SUM(X5:Z5)&gt;0, B5,B7),IF(Q5=Q8,IF(SUM(AA5:AC5)&gt;0, B5,B8),IF(Q5=Q9,IF(SUM(AD5:AF5)&lt;0,B5,B9)))))</f>
        <v>0</v>
      </c>
      <c r="AH5" s="58" t="b">
        <f>IF(Q5=Q6,IF(SUM(U5:W5)&lt;0,B5,B6),  IF(Q5=Q7,IF(SUM(X5:Z5)&lt;0, B5,B7),IF(Q5=Q8,IF(SUM(AA5:AC5)&lt;0, B5,B8),IF(Q5=Q9, IF(SUM(AD5:AF5)&lt;0,B5,B9)))))</f>
        <v>0</v>
      </c>
      <c r="AI5" s="60">
        <f t="shared" ref="AI5:AI9" si="1">Q5+IF(COUNTIF($AG$5:$AG$9,B5)&gt;0,0, IF(COUNTIF($AH$5:$AH$9,B5)&gt;0,1,0))</f>
        <v>2</v>
      </c>
      <c r="AJ5" s="61">
        <f t="shared" ref="AJ5:AJ9" si="2">SUM(R5:AF5)</f>
        <v>75</v>
      </c>
      <c r="AK5" s="62">
        <f>1+SUM(IF(AJ5&lt;AJ6,1,0),IF(AJ5&lt;AJ7,1,0),IF(AJ5&lt;AJ8,1,0),IF(AJ5&lt;AJ9,1,0))</f>
        <v>2</v>
      </c>
      <c r="AL5" s="63">
        <f t="shared" ref="AL5:AL9" si="3">IF(SUM(E5,J5)=0,0,E5/(E5+J5))</f>
        <v>0.75</v>
      </c>
      <c r="AM5" s="62">
        <f>1+SUM(IF(AL5&lt;AL6,1,0),IF(AL5&lt;AL7,1,0),IF(AL5&lt;AL8,1,0),IF(AL5&lt;AL9,1,0))</f>
        <v>2</v>
      </c>
      <c r="AN5" s="64">
        <f t="shared" ref="AN5:AN9" si="4">IF(SUM(O5+P5)=0,0,O5/(O5+P5))</f>
        <v>0.75</v>
      </c>
      <c r="AO5" s="65">
        <f>1+SUM(IF(AN5&lt;AN6,1,0),IF(AN5&lt;AN7,1,0),IF(AN5&lt;AN8,1,0),IF(AN5&lt;AN9,1,0))</f>
        <v>2</v>
      </c>
      <c r="AP5" s="106">
        <f t="shared" ref="AP5:AP9" si="5">AJ5/SUM(O5:P5)</f>
        <v>9.375</v>
      </c>
      <c r="AQ5" s="67">
        <f>1+SUM(IF(AP5&lt;AP6,1,0),IF(AP5&lt;AP7,1,0),IF(AP5&lt;AP8,1,0),IF(AP5&lt;AP9,1,0))</f>
        <v>2</v>
      </c>
      <c r="AR5" s="68">
        <f>1+SUM(IF(Q5&gt;Q6,1,IF(AND(Q5=Q6,AK5&gt;AK6),1,IF(AND(Q5=Q6,AK5=AK6),1,0))),IF(Q5&gt;Q7,1,IF(AND(Q5=Q7,AK5&gt;AK7),1,IF(AND(Q5=Q7,AK5=AK7),1,0))),IF(Q5&gt;Q8,1,IF(AND(Q5=Q8,AK5&gt;AK8),1,IF(AND(Q5=Q8,AK5=AK8),1,0))),IF(Q5&gt;Q9,1,IF(AND(Q5=Q9,AK5&gt;AK9),1,IF(AND(Q5=Q9,AK5=AK9),1,0))))</f>
        <v>2</v>
      </c>
    </row>
    <row r="6" spans="1:44" ht="15.75" customHeight="1" x14ac:dyDescent="0.2">
      <c r="A6" s="51">
        <f t="shared" si="0"/>
        <v>1</v>
      </c>
      <c r="B6" s="172" t="str">
        <f>+'Women''s Master'!I5</f>
        <v>NY Cranky Pandas</v>
      </c>
      <c r="C6" s="173"/>
      <c r="D6" s="173"/>
      <c r="E6" s="171">
        <f>SUM(IF(AG14=E14,1,0),IF(AG17=C17,1,0),IF(AG20=C20,1,0),IF(AG23=C23,1,0))</f>
        <v>4</v>
      </c>
      <c r="F6" s="162"/>
      <c r="G6" s="162"/>
      <c r="H6" s="162"/>
      <c r="I6" s="153"/>
      <c r="J6" s="169">
        <f>SUM(IF(AG14=E14,0,1),IF(AG17=C17,0,1),IF(AG20=C20,0,1),IF(AG23=C23,0,1))</f>
        <v>0</v>
      </c>
      <c r="K6" s="162"/>
      <c r="L6" s="162"/>
      <c r="M6" s="162"/>
      <c r="N6" s="170"/>
      <c r="O6" s="53">
        <f>SUM(IF(AD6&gt;0,1,0),IF(AE6&gt;0,1,0),IF(AF6&gt;0,1,0),IF(R6&gt;0,1,0),IF(S6&gt;0,1,0),IF(T6&gt;0,1,0),IF(X6&gt;0,1,0),IF(Y6&gt;0,1,0),IF(Z6&gt;0,1,0),IF(AA6&gt;0,1,0),IF(AB6&gt;0,1,0),IF(AC6&gt;0,1,0))</f>
        <v>8</v>
      </c>
      <c r="P6" s="52">
        <f>SUM(IF(AD6&lt;0,1,0),IF(AE6&lt;0,1,0),IF(AF6&lt;0,1,0),IF(R6&lt;0,1,0),IF(S6&lt;0,1,0),IF(T6&lt;0,1,0),IF(X6&lt;0,1,0),IF(Y6&lt;0,1,0),IF(Z6&lt;0,1,0),IF(AA6&lt;0,1,0),IF(AB6&lt;0,1,0),IF(AC6&lt;0,1,0))</f>
        <v>0</v>
      </c>
      <c r="Q6" s="54">
        <f>1+SUM(IF(O6&lt;O5,1,0),IF(O6&lt;O7,1,0),IF(O6&lt;O8,1,0),IF(O6&lt;O9,1,0))</f>
        <v>1</v>
      </c>
      <c r="R6" s="69">
        <f t="shared" ref="R6:T6" si="6">-U5</f>
        <v>2</v>
      </c>
      <c r="S6" s="58">
        <f t="shared" si="6"/>
        <v>4</v>
      </c>
      <c r="T6" s="58">
        <f t="shared" si="6"/>
        <v>0</v>
      </c>
      <c r="U6" s="56"/>
      <c r="V6" s="56"/>
      <c r="W6" s="56"/>
      <c r="X6" s="57">
        <f>Q17-T17</f>
        <v>11</v>
      </c>
      <c r="Y6" s="57">
        <f>V17-Y17</f>
        <v>7</v>
      </c>
      <c r="Z6" s="57">
        <f>AA17-AD17</f>
        <v>0</v>
      </c>
      <c r="AA6" s="58">
        <f>Q20-T20</f>
        <v>14</v>
      </c>
      <c r="AB6" s="58">
        <f>V20-Y20</f>
        <v>17</v>
      </c>
      <c r="AC6" s="58">
        <f>AA20-AD20</f>
        <v>0</v>
      </c>
      <c r="AD6" s="58">
        <f>Q23-T23</f>
        <v>15</v>
      </c>
      <c r="AE6" s="58">
        <f>V23-Y23</f>
        <v>7</v>
      </c>
      <c r="AF6" s="58">
        <f>AA23-AD23</f>
        <v>0</v>
      </c>
      <c r="AG6" s="58" t="b">
        <f>IF(Q6=Q7,IF(SUM(X6:Z6)&gt;0,B6,B7),IF(Q6=Q8,IF(SUM(AA6:AC6)&gt;0,B6,B8),IF(Q6=Q9,IF(SUM(AD6:AF6)&gt;0, B6,B9))))</f>
        <v>0</v>
      </c>
      <c r="AH6" s="58" t="b">
        <f>IF(Q6=Q7,IF(SUM(X6:Z6)&lt;0,B6,B7),IF(Q6=Q8,IF(SUM(AA6:AC6)&lt;0,B6,B8),IF(Q6=Q9,IF(SUM(AD6:AF6)&lt;0, B6,B9))))</f>
        <v>0</v>
      </c>
      <c r="AI6" s="60">
        <f t="shared" si="1"/>
        <v>1</v>
      </c>
      <c r="AJ6" s="61">
        <f t="shared" si="2"/>
        <v>77</v>
      </c>
      <c r="AK6" s="62">
        <f>1+SUM(IF(AJ6&lt;AJ5,1,0),IF(AJ6&lt;AJ7,1,0),IF(AJ6&lt;AJ8,1,0),IF(AJ6&lt;AJ9,1,0))</f>
        <v>1</v>
      </c>
      <c r="AL6" s="63">
        <f t="shared" si="3"/>
        <v>1</v>
      </c>
      <c r="AM6" s="62">
        <f>1+SUM(IF(AL6&lt;AL5,1,0),IF(AL6&lt;AL7,1,0),IF(AL6&lt;AL8,1,0),IF(AL6&lt;AL9,1,0))</f>
        <v>1</v>
      </c>
      <c r="AN6" s="64">
        <f t="shared" si="4"/>
        <v>1</v>
      </c>
      <c r="AO6" s="65">
        <f>1+SUM(IF(AN6&lt;AN5,1,0),IF(AN6&lt;AN7,1,0),IF(AN6&lt;AN8,1,0),IF(AN6&lt;AN9,1,0))</f>
        <v>1</v>
      </c>
      <c r="AP6" s="106">
        <f t="shared" si="5"/>
        <v>9.625</v>
      </c>
      <c r="AQ6" s="70">
        <f>1+SUM(IF(AP6&lt;AP5,1,0),IF(AP6&lt;AP7,1,0),IF(AP6&lt;AP8,1,0),IF(AP6&lt;AP9,1,0))</f>
        <v>1</v>
      </c>
      <c r="AR6" s="68">
        <f>1+SUM(IF(Q6&gt;Q5,1,IF(AND(Q6=Q5,AK6&gt;AK5),1,IF(AND(Q6=Q5,AK6=AK5),1,0))),IF(Q6&gt;Q7,1,IF(AND(Q6=Q7,AK6&gt;AK7),1,IF(AND(Q6=Q7,AK6=AK7),1,0))),IF(Q6&gt;Q8,1,IF(AND(Q6=Q8,AK6&gt;AK8),1,IF(AND(Q6=Q8,AK6=AK8),1,0))),IF(Q6&gt;Q9,1,IF(AND(Q6=Q9,AK6&gt;AK9),1,IF(AND(Q6=Q9,AK6=AK9),1,0))))</f>
        <v>1</v>
      </c>
    </row>
    <row r="7" spans="1:44" ht="15.75" customHeight="1" x14ac:dyDescent="0.2">
      <c r="A7" s="51">
        <f t="shared" si="0"/>
        <v>3</v>
      </c>
      <c r="B7" s="172" t="str">
        <f>+'Women''s Master'!I6</f>
        <v>Boston GHOTANE Black</v>
      </c>
      <c r="C7" s="173"/>
      <c r="D7" s="173"/>
      <c r="E7" s="171">
        <f>SUM(IF(AG15=C15,1,0),IF(AG17=E17,1,0),IF(AG19=E19,1,0),IF(AG21=C21,1,0))</f>
        <v>1</v>
      </c>
      <c r="F7" s="162"/>
      <c r="G7" s="162"/>
      <c r="H7" s="162"/>
      <c r="I7" s="153"/>
      <c r="J7" s="169">
        <f>SUM(IF(AG15=C15,0,1),IF(AG17=E17,0,1),IF(AG19=E19,0,1),IF(AG21=C21,0,1))</f>
        <v>3</v>
      </c>
      <c r="K7" s="162"/>
      <c r="L7" s="162"/>
      <c r="M7" s="162"/>
      <c r="N7" s="170"/>
      <c r="O7" s="53">
        <f>SUM(IF(AD7&gt;0,1,0),IF(AE7&gt;0,1,0),IF(AF7&gt;0,1,0),IF(U7&gt;0,1,0),IF(V7&gt;0,1,0),IF(W7&gt;0,1,0),IF(R7&gt;0,1,0),IF(S7&gt;0,1,0),IF(T7&gt;0,1,0),IF(AA7&gt;0,1,0),IF(AB7&gt;0,1,0),IF(AC7&gt;0,1,0))</f>
        <v>3</v>
      </c>
      <c r="P7" s="52">
        <f>SUM(IF(AD7&lt;0,1,0),IF(AE7&lt;0,1,0),IF(AF7&lt;0,1,0),IF(U7&lt;0,1,0),IF(V7&lt;0,1,0),IF(W7&lt;0,1,0),IF(R7&lt;0,1,0),IF(S7&lt;0,1,0),IF(T7&lt;0,1,0),IF(AA7&lt;0,1,0),IF(AB7&lt;0,1,0),IF(AC7&lt;0,1,0))</f>
        <v>5</v>
      </c>
      <c r="Q7" s="54">
        <f>1+SUM(IF(O7&lt;O6,1,0),IF(O7&lt;O5,1,0),IF(O7&lt;O8,1,0),IF(O7&lt;O9,1,0))</f>
        <v>3</v>
      </c>
      <c r="R7" s="69">
        <f t="shared" ref="R7:T7" si="7">-X5</f>
        <v>-12</v>
      </c>
      <c r="S7" s="58">
        <f t="shared" si="7"/>
        <v>-9</v>
      </c>
      <c r="T7" s="58">
        <f t="shared" si="7"/>
        <v>0</v>
      </c>
      <c r="U7" s="58">
        <f t="shared" ref="U7:W7" si="8">-X6</f>
        <v>-11</v>
      </c>
      <c r="V7" s="58">
        <f t="shared" si="8"/>
        <v>-7</v>
      </c>
      <c r="W7" s="58">
        <f t="shared" si="8"/>
        <v>0</v>
      </c>
      <c r="X7" s="71"/>
      <c r="Y7" s="71"/>
      <c r="Z7" s="71"/>
      <c r="AA7" s="58">
        <f>Q15-T15</f>
        <v>7</v>
      </c>
      <c r="AB7" s="58">
        <f>V15-Y15</f>
        <v>14</v>
      </c>
      <c r="AC7" s="58">
        <f>AA15-AD15</f>
        <v>0</v>
      </c>
      <c r="AD7" s="58">
        <f>Q21-T21</f>
        <v>3</v>
      </c>
      <c r="AE7" s="58">
        <f>V21-Y21</f>
        <v>-4</v>
      </c>
      <c r="AF7" s="58">
        <f>AA21-AD21</f>
        <v>0</v>
      </c>
      <c r="AG7" s="58" t="b">
        <f>IF(Q7=Q8,IF(SUM(AA7:AC7)&gt;0,B7,B8),IF(Q7=Q9,IF(SUM(AD7:AF7)&gt;0,B7,B9)))</f>
        <v>0</v>
      </c>
      <c r="AH7" s="58" t="b">
        <f>IF(Q7=Q8,IF(SUM(AA7:AC7)&lt;0,B7,B8),IF(Q7=Q9,IF(SUM(AD7:AF7)&lt;0,B7,B9)))</f>
        <v>0</v>
      </c>
      <c r="AI7" s="60">
        <f t="shared" si="1"/>
        <v>3</v>
      </c>
      <c r="AJ7" s="61">
        <f t="shared" si="2"/>
        <v>-19</v>
      </c>
      <c r="AK7" s="62">
        <f>1+SUM(IF(AJ7&lt;AJ6,1,0),IF(AJ7&lt;AJ5,1,0),IF(AJ7&lt;AJ8,1,0),IF(AJ7&lt;AJ9,1,0))</f>
        <v>3</v>
      </c>
      <c r="AL7" s="63">
        <f t="shared" si="3"/>
        <v>0.25</v>
      </c>
      <c r="AM7" s="62">
        <f>1+SUM(IF(AL7&lt;AL6,1,0),IF(AL7&lt;AL5,1,0),IF(AL7&lt;AL8,1,0),IF(AL7&lt;AL9,1,0))</f>
        <v>4</v>
      </c>
      <c r="AN7" s="64">
        <f t="shared" si="4"/>
        <v>0.375</v>
      </c>
      <c r="AO7" s="65">
        <f>1+SUM(IF(AN7&lt;AN6,1,0),IF(AN7&lt;AN5,1,0),IF(AN7&lt;AN8,1,0),IF(AN7&lt;AN9,1,0))</f>
        <v>3</v>
      </c>
      <c r="AP7" s="106">
        <f t="shared" si="5"/>
        <v>-2.375</v>
      </c>
      <c r="AQ7" s="70">
        <f>1+SUM(IF(AP7&lt;AP6,1,0),IF(AP7&lt;AP5,1,0),IF(AP7&lt;AP8,1,0),IF(AP7&lt;AP9,1,0))</f>
        <v>3</v>
      </c>
      <c r="AR7" s="68">
        <f>1+SUM(IF(Q7&gt;Q5,1,IF(AND(Q7=Q5,AK7&gt;AK5),1,IF(AND(Q7=Q5,AK7=AK5),1,0))),IF(Q7&gt;Q6,1,IF(AND(Q7=Q6,AK7&gt;AK6),1,IF(AND(Q7=Q6,AK7=AK6),1,0))),IF(Q7&gt;Q8,1,IF(AND(Q7=Q8,AK7&gt;AK8),1,IF(AND(Q7=Q8,AK7=AK8),1,0))),IF(Q7&gt;Q9,1,IF(AND(Q7=Q9,AK7&gt;AK9),1,IF(AND(Q7=Q9,AK7=AK9),1,0))))</f>
        <v>3</v>
      </c>
    </row>
    <row r="8" spans="1:44" ht="15.75" customHeight="1" x14ac:dyDescent="0.2">
      <c r="A8" s="51">
        <f t="shared" si="0"/>
        <v>5</v>
      </c>
      <c r="B8" s="172" t="str">
        <f>+'Women''s Master'!I7</f>
        <v>NJ FUNimania</v>
      </c>
      <c r="C8" s="173"/>
      <c r="D8" s="173"/>
      <c r="E8" s="171">
        <f>SUM(IF(AG15=E15,1,0),IF(AG18=C18,1,0),IF(AG20=E20,1,0),IF(AG22=E22,1,0))</f>
        <v>0</v>
      </c>
      <c r="F8" s="162"/>
      <c r="G8" s="162"/>
      <c r="H8" s="162"/>
      <c r="I8" s="153"/>
      <c r="J8" s="169">
        <f>SUM(IF(AG15=E15,0,1),IF(AG18=C18,0,1),IF(AG20=E20,0,1),IF(AG22=E22,0,1))</f>
        <v>4</v>
      </c>
      <c r="K8" s="162"/>
      <c r="L8" s="162"/>
      <c r="M8" s="162"/>
      <c r="N8" s="170"/>
      <c r="O8" s="53">
        <f>SUM(IF(AD8&gt;0,1,0),IF(AE8&gt;0,1,0),IF(AF8&gt;0,1,0),IF(U8&gt;0,1,0),IF(V8&gt;0,1,0),IF(W8&gt;0,1,0),IF(X8&gt;0,1,0),IF(Y8&gt;0,1,0),IF(Z8&gt;0,1,0),IF(R8&gt;0,1,0),IF(S8&gt;0,1,0),IF(T8&gt;0,1,0))</f>
        <v>1</v>
      </c>
      <c r="P8" s="52">
        <f>SUM(IF(AD8&lt;0,1,0),IF(AE8&lt;0,1,0),IF(AF8&lt;0,1,0),IF(U8&lt;0,1,0),IF(V8&lt;0,1,0),IF(W8&lt;0,1,0),IF(R8&lt;0,1,0),IF(S8&lt;0,1,0),IF(T8&lt;0,1,0),IF(X8&lt;0,1,0),IF(Y8&lt;0,1,0),IF(Z8&lt;0,1,0))</f>
        <v>7</v>
      </c>
      <c r="Q8" s="54">
        <f>1+SUM(IF(O8&lt;O6,1,0),IF(O8&lt;O7,1,0),IF(O8&lt;O5,1,0),IF(O8&lt;O9,1,0))</f>
        <v>5</v>
      </c>
      <c r="R8" s="69">
        <f t="shared" ref="R8:T8" si="9">-AA5</f>
        <v>-13</v>
      </c>
      <c r="S8" s="58">
        <f t="shared" si="9"/>
        <v>-15</v>
      </c>
      <c r="T8" s="58">
        <f t="shared" si="9"/>
        <v>0</v>
      </c>
      <c r="U8" s="58">
        <f t="shared" ref="U8:W8" si="10">-AA6</f>
        <v>-14</v>
      </c>
      <c r="V8" s="58">
        <f t="shared" si="10"/>
        <v>-17</v>
      </c>
      <c r="W8" s="58">
        <f t="shared" si="10"/>
        <v>0</v>
      </c>
      <c r="X8" s="58">
        <f t="shared" ref="X8:Z8" si="11">-AA7</f>
        <v>-7</v>
      </c>
      <c r="Y8" s="58">
        <f t="shared" si="11"/>
        <v>-14</v>
      </c>
      <c r="Z8" s="58">
        <f t="shared" si="11"/>
        <v>0</v>
      </c>
      <c r="AA8" s="71"/>
      <c r="AB8" s="71"/>
      <c r="AC8" s="71"/>
      <c r="AD8" s="58">
        <f>Q18-T18</f>
        <v>-11</v>
      </c>
      <c r="AE8" s="58">
        <f>V18-Y18</f>
        <v>2</v>
      </c>
      <c r="AF8" s="58">
        <f>AA18-AD18</f>
        <v>0</v>
      </c>
      <c r="AG8" s="58" t="b">
        <f>IF(Q8=Q9,IF(SUM(AD8:AF8)&gt;0,B8,B9))</f>
        <v>0</v>
      </c>
      <c r="AH8" s="58" t="b">
        <f>IF(R8=R9,IF(SUM(AE8:AG8)&lt;0,C8,C9))</f>
        <v>0</v>
      </c>
      <c r="AI8" s="60">
        <f t="shared" si="1"/>
        <v>5</v>
      </c>
      <c r="AJ8" s="61">
        <f t="shared" si="2"/>
        <v>-89</v>
      </c>
      <c r="AK8" s="72">
        <f>1+SUM(IF(AJ8&lt;AJ6,1,0),IF(AJ8&lt;AJ7,1,0),IF(AJ8&lt;AJ5,1,0),IF(AJ8&lt;AJ9,1,0))</f>
        <v>5</v>
      </c>
      <c r="AL8" s="63">
        <f t="shared" si="3"/>
        <v>0</v>
      </c>
      <c r="AM8" s="72">
        <f>1+SUM(IF(AL8&lt;AL6,1,0),IF(AL8&lt;AL7,1,0),IF(AL8&lt;AL5,1,0),IF(AL8&lt;AL9,1,0))</f>
        <v>5</v>
      </c>
      <c r="AN8" s="64">
        <f t="shared" si="4"/>
        <v>0.125</v>
      </c>
      <c r="AO8" s="65">
        <f>1+SUM(IF(AN8&lt;AN6,1,0),IF(AN8&lt;AN7,1,0),IF(AN8&lt;AN5,1,0),IF(AN8&lt;AN9,1,0))</f>
        <v>5</v>
      </c>
      <c r="AP8" s="106">
        <f t="shared" si="5"/>
        <v>-11.125</v>
      </c>
      <c r="AQ8" s="73">
        <f>1+SUM(IF(AP8&lt;AP6,1,0),IF(AP8&lt;AP7,1,0),IF(AP8&lt;AP5,1,0),IF(AP8&lt;AP9,1,0))</f>
        <v>5</v>
      </c>
      <c r="AR8" s="68">
        <f>1+SUM(IF(Q8&gt;Q5,1,IF(AND(Q8=Q5,AK8&gt;AK5),1,IF(AND(Q8=Q5,AK8=AK5),1,0))),IF(Q8&gt;Q6,1,IF(AND(Q8=Q6,AK8&gt;AK6),1,IF(AND(Q8=Q6,AK8=AK6),1,0))),IF(Q8&gt;Q7,1,IF(AND(Q8=Q7,AK8&gt;AK7),1,IF(AND(Q8=Q7,AK8=AK7),1,0))),IF(Q8&gt;Q9,1,IF(AND(Q8=Q9,AK8&gt;AK9),1,IF(AND(Q8=Q9,AK8=AK9),1,0))))</f>
        <v>5</v>
      </c>
    </row>
    <row r="9" spans="1:44" ht="15.75" customHeight="1" x14ac:dyDescent="0.2">
      <c r="A9" s="51">
        <f t="shared" si="0"/>
        <v>4</v>
      </c>
      <c r="B9" s="172" t="str">
        <f>+'Women''s Master'!I8</f>
        <v>DC CYC A</v>
      </c>
      <c r="C9" s="173"/>
      <c r="D9" s="173"/>
      <c r="E9" s="171">
        <f>SUM(IF(AG16=E16,1,0),IF(AG18=E18,1,0),IF(AG21=E21,1,0),IF(AG23=E23,1,0))</f>
        <v>2</v>
      </c>
      <c r="F9" s="162"/>
      <c r="G9" s="162"/>
      <c r="H9" s="162"/>
      <c r="I9" s="153"/>
      <c r="J9" s="169">
        <f>SUM(IF(AG16=E16,0,1),IF(AG18=E18,0,1),IF(AG21=E21,0,1),IF(AG23=E23,0,1))</f>
        <v>2</v>
      </c>
      <c r="K9" s="162"/>
      <c r="L9" s="162"/>
      <c r="M9" s="162"/>
      <c r="N9" s="170"/>
      <c r="O9" s="53">
        <f>SUM(IF(R9&gt;0,1,0),IF(S9&gt;0,1,0),IF(T9&gt;0,1,0),IF(U9&gt;0,1,0),IF(V9&gt;0,1,0),IF(W9&gt;0,1,0),IF(X9&gt;0,1,0),IF(Y9&gt;0,1,0),IF(Z9&gt;0,1,0),IF(AA9&gt;0,1,0),IF(AB9&gt;0,1,0),IF(AC9&gt;0,1,0))</f>
        <v>2</v>
      </c>
      <c r="P9" s="52">
        <f>SUM(IF(R9&lt;0,1,0),IF(S9&lt;0,1,0),IF(T9&lt;0,1,0),IF(U9&lt;0,1,0),IF(V9&lt;0,1,0),IF(W9&lt;0,1,0),IF(X9&lt;0,1,0),IF(Y9&lt;0,1,0),IF(Z9&lt;0,1,0),IF(AA9&lt;0,1,0),IF(AB9&lt;0,1,0),IF(AC9&lt;0,1,0))</f>
        <v>6</v>
      </c>
      <c r="Q9" s="54">
        <f>1+SUM(IF(O9&lt;O6,1,0),IF(O9&lt;O7,1,0),IF(O9&lt;O8,1,0),IF(O9&lt;O5,1,0))</f>
        <v>4</v>
      </c>
      <c r="R9" s="74">
        <f t="shared" ref="R9:T9" si="12">-AD5</f>
        <v>-11</v>
      </c>
      <c r="S9" s="75">
        <f t="shared" si="12"/>
        <v>-21</v>
      </c>
      <c r="T9" s="75">
        <f t="shared" si="12"/>
        <v>0</v>
      </c>
      <c r="U9" s="75">
        <f t="shared" ref="U9:W9" si="13">-AD6</f>
        <v>-15</v>
      </c>
      <c r="V9" s="75">
        <f t="shared" si="13"/>
        <v>-7</v>
      </c>
      <c r="W9" s="75">
        <f t="shared" si="13"/>
        <v>0</v>
      </c>
      <c r="X9" s="75">
        <f t="shared" ref="X9:Z9" si="14">-AD7</f>
        <v>-3</v>
      </c>
      <c r="Y9" s="75">
        <f t="shared" si="14"/>
        <v>4</v>
      </c>
      <c r="Z9" s="75">
        <f t="shared" si="14"/>
        <v>0</v>
      </c>
      <c r="AA9" s="75">
        <f t="shared" ref="AA9:AC9" si="15">-AD8</f>
        <v>11</v>
      </c>
      <c r="AB9" s="75">
        <f t="shared" si="15"/>
        <v>-2</v>
      </c>
      <c r="AC9" s="75">
        <f t="shared" si="15"/>
        <v>0</v>
      </c>
      <c r="AD9" s="76"/>
      <c r="AE9" s="76"/>
      <c r="AF9" s="76"/>
      <c r="AG9" s="77" t="s">
        <v>168</v>
      </c>
      <c r="AH9" s="77" t="s">
        <v>168</v>
      </c>
      <c r="AI9" s="60">
        <f t="shared" si="1"/>
        <v>4</v>
      </c>
      <c r="AJ9" s="78">
        <f t="shared" si="2"/>
        <v>-44</v>
      </c>
      <c r="AK9" s="72">
        <f>1+SUM(IF(AJ9&lt;AJ6,1,0),IF(AJ9&lt;AJ7,1,0),IF(AJ9&lt;AJ8,1,0),IF(AJ9&lt;AJ5,1,0))</f>
        <v>4</v>
      </c>
      <c r="AL9" s="79">
        <f t="shared" si="3"/>
        <v>0.5</v>
      </c>
      <c r="AM9" s="72">
        <f>1+SUM(IF(AL9&lt;AL6,1,0),IF(AL9&lt;AL7,1,0),IF(AL9&lt;AL8,1,0),IF(AL9&lt;AL5,1,0))</f>
        <v>3</v>
      </c>
      <c r="AN9" s="64">
        <f t="shared" si="4"/>
        <v>0.25</v>
      </c>
      <c r="AO9" s="65">
        <f>1+SUM(IF(AN9&lt;AN6,1,0),IF(AN9&lt;AN7,1,0),IF(AN9&lt;AN8,1,0),IF(AN9&lt;AN5,1,0))</f>
        <v>4</v>
      </c>
      <c r="AP9" s="106">
        <f t="shared" si="5"/>
        <v>-5.5</v>
      </c>
      <c r="AQ9" s="73">
        <f>1+SUM(IF(AP9&lt;AP6,1,0),IF(AP9&lt;AP7,1,0),IF(AP9&lt;AP8,1,0),IF(AP9&lt;AP5,1,0))</f>
        <v>4</v>
      </c>
      <c r="AR9" s="68">
        <f>1+SUM(IF(Q9&gt;Q5,1,IF(AND(Q9=Q5,AK9&gt;AK5),1,IF(AND(Q9=Q5,AK9=AK5),1,0))),IF(Q9&gt;Q6,1,IF(AND(Q9=Q6,AK9&gt;AK6),1,IF(AND(Q9=Q6,AK9=AK6),1,0))),IF(Q9&gt;Q7,1,IF(AND(Q9=Q7,AK9&gt;AK7),1,IF(AND(Q9=Q7,AK9=AK7),1,0))),IF(Q9&gt;Q8,1,IF(AND(Q9=Q8,AK9&gt;AK8),1,IF(AND(Q9=Q8,AK9=AK8),1,0))))</f>
        <v>4</v>
      </c>
    </row>
    <row r="10" spans="1:44" ht="12.75" customHeight="1" x14ac:dyDescent="0.2">
      <c r="A10" s="174"/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80"/>
      <c r="AI10" s="41"/>
      <c r="AJ10" s="41"/>
      <c r="AK10" s="41"/>
      <c r="AL10" s="41"/>
      <c r="AM10" s="41"/>
      <c r="AN10" s="41"/>
      <c r="AO10" s="5"/>
      <c r="AP10" s="5"/>
      <c r="AQ10" s="5"/>
      <c r="AR10" s="5"/>
    </row>
    <row r="11" spans="1:44" ht="12.75" customHeight="1" x14ac:dyDescent="0.2">
      <c r="A11" s="136"/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80"/>
      <c r="AI11" s="41"/>
      <c r="AJ11" s="41"/>
      <c r="AK11" s="41"/>
      <c r="AL11" s="41"/>
      <c r="AM11" s="41"/>
      <c r="AN11" s="41"/>
      <c r="AO11" s="5"/>
      <c r="AP11" s="5"/>
      <c r="AQ11" s="5"/>
      <c r="AR11" s="5"/>
    </row>
    <row r="12" spans="1:44" ht="13.5" customHeight="1" x14ac:dyDescent="0.2">
      <c r="A12" s="136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80"/>
      <c r="AI12" s="41"/>
      <c r="AJ12" s="41"/>
      <c r="AK12" s="41"/>
      <c r="AL12" s="41"/>
      <c r="AM12" s="41"/>
      <c r="AN12" s="41"/>
      <c r="AO12" s="5"/>
      <c r="AP12" s="5"/>
      <c r="AQ12" s="5"/>
      <c r="AR12" s="5"/>
    </row>
    <row r="13" spans="1:44" ht="13.5" customHeight="1" x14ac:dyDescent="0.2">
      <c r="A13" s="167"/>
      <c r="B13" s="136"/>
      <c r="C13" s="81" t="s">
        <v>169</v>
      </c>
      <c r="D13" s="82" t="s">
        <v>170</v>
      </c>
      <c r="E13" s="165" t="s">
        <v>169</v>
      </c>
      <c r="F13" s="156"/>
      <c r="G13" s="156"/>
      <c r="H13" s="156"/>
      <c r="I13" s="156"/>
      <c r="J13" s="156"/>
      <c r="K13" s="156"/>
      <c r="L13" s="156"/>
      <c r="M13" s="166"/>
      <c r="N13" s="176" t="s">
        <v>171</v>
      </c>
      <c r="O13" s="177"/>
      <c r="P13" s="178"/>
      <c r="Q13" s="155" t="s">
        <v>172</v>
      </c>
      <c r="R13" s="156"/>
      <c r="S13" s="156"/>
      <c r="T13" s="156"/>
      <c r="U13" s="166"/>
      <c r="V13" s="175" t="s">
        <v>173</v>
      </c>
      <c r="W13" s="156"/>
      <c r="X13" s="156"/>
      <c r="Y13" s="156"/>
      <c r="Z13" s="166"/>
      <c r="AA13" s="155" t="s">
        <v>174</v>
      </c>
      <c r="AB13" s="156"/>
      <c r="AC13" s="156"/>
      <c r="AD13" s="156"/>
      <c r="AE13" s="157"/>
      <c r="AF13" s="83"/>
      <c r="AG13" s="84" t="s">
        <v>175</v>
      </c>
      <c r="AH13" s="49" t="s">
        <v>176</v>
      </c>
      <c r="AI13" s="158" t="s">
        <v>177</v>
      </c>
      <c r="AJ13" s="159"/>
      <c r="AK13" s="41"/>
      <c r="AL13" s="5"/>
      <c r="AM13" s="5"/>
      <c r="AN13" s="5"/>
      <c r="AO13" s="5"/>
      <c r="AP13" s="5"/>
      <c r="AQ13" s="5"/>
      <c r="AR13" s="5"/>
    </row>
    <row r="14" spans="1:44" ht="15.75" customHeight="1" x14ac:dyDescent="0.2">
      <c r="A14" s="85">
        <v>1</v>
      </c>
      <c r="B14" s="86">
        <v>1</v>
      </c>
      <c r="C14" s="117" t="str">
        <f>+B5</f>
        <v>Toronto Thunder Blue</v>
      </c>
      <c r="D14" s="88">
        <v>2</v>
      </c>
      <c r="E14" s="161" t="str">
        <f>+B6</f>
        <v>NY Cranky Pandas</v>
      </c>
      <c r="F14" s="162"/>
      <c r="G14" s="162"/>
      <c r="H14" s="162"/>
      <c r="I14" s="162"/>
      <c r="J14" s="162"/>
      <c r="K14" s="162"/>
      <c r="L14" s="162"/>
      <c r="M14" s="153"/>
      <c r="N14" s="89">
        <v>3</v>
      </c>
      <c r="O14" s="160" t="str">
        <f>+B7</f>
        <v>Boston GHOTANE Black</v>
      </c>
      <c r="P14" s="153"/>
      <c r="Q14" s="196">
        <v>25</v>
      </c>
      <c r="R14" s="143"/>
      <c r="S14" s="91">
        <v>0</v>
      </c>
      <c r="T14" s="151">
        <v>27</v>
      </c>
      <c r="U14" s="143"/>
      <c r="V14" s="154">
        <v>21</v>
      </c>
      <c r="W14" s="143"/>
      <c r="X14" s="92">
        <v>0</v>
      </c>
      <c r="Y14" s="154">
        <v>25</v>
      </c>
      <c r="Z14" s="143"/>
      <c r="AA14" s="152"/>
      <c r="AB14" s="153"/>
      <c r="AC14" s="93" t="s">
        <v>178</v>
      </c>
      <c r="AD14" s="152"/>
      <c r="AE14" s="153"/>
      <c r="AF14" s="94"/>
      <c r="AG14" s="104" t="str">
        <f t="shared" ref="AG14:AG23" si="16">IF((Q14)+(V14)+(AA14)-(T14)-(Y14)-(AD14)&gt;0,C14,E14)</f>
        <v>NY Cranky Pandas</v>
      </c>
      <c r="AH14" s="96">
        <f t="shared" ref="AH14:AH23" si="17">(Q14)+(V14)+(AA14)-(T14)-(Y14)-(AD14)</f>
        <v>-6</v>
      </c>
      <c r="AI14" s="147">
        <v>0.375</v>
      </c>
      <c r="AJ14" s="148"/>
      <c r="AK14" s="5"/>
      <c r="AL14" s="5"/>
      <c r="AM14" s="5"/>
      <c r="AN14" s="5"/>
      <c r="AO14" s="5"/>
      <c r="AP14" s="5"/>
      <c r="AQ14" s="5"/>
      <c r="AR14" s="5"/>
    </row>
    <row r="15" spans="1:44" ht="15.75" customHeight="1" x14ac:dyDescent="0.2">
      <c r="A15" s="97">
        <v>2</v>
      </c>
      <c r="B15" s="98">
        <v>3</v>
      </c>
      <c r="C15" s="99" t="str">
        <f>+B7</f>
        <v>Boston GHOTANE Black</v>
      </c>
      <c r="D15" s="61">
        <v>4</v>
      </c>
      <c r="E15" s="163" t="str">
        <f t="shared" ref="E15:E16" si="18">+B8</f>
        <v>NJ FUNimania</v>
      </c>
      <c r="F15" s="164"/>
      <c r="G15" s="164"/>
      <c r="H15" s="164"/>
      <c r="I15" s="164"/>
      <c r="J15" s="164"/>
      <c r="K15" s="164"/>
      <c r="L15" s="164"/>
      <c r="M15" s="143"/>
      <c r="N15" s="100">
        <v>2</v>
      </c>
      <c r="O15" s="168" t="str">
        <f>+B6</f>
        <v>NY Cranky Pandas</v>
      </c>
      <c r="P15" s="143"/>
      <c r="Q15" s="195">
        <v>25</v>
      </c>
      <c r="R15" s="141"/>
      <c r="S15" s="101">
        <v>0</v>
      </c>
      <c r="T15" s="144">
        <v>18</v>
      </c>
      <c r="U15" s="141"/>
      <c r="V15" s="140">
        <v>25</v>
      </c>
      <c r="W15" s="141"/>
      <c r="X15" s="102">
        <v>0</v>
      </c>
      <c r="Y15" s="140">
        <v>11</v>
      </c>
      <c r="Z15" s="141"/>
      <c r="AA15" s="142"/>
      <c r="AB15" s="143"/>
      <c r="AC15" s="103" t="s">
        <v>178</v>
      </c>
      <c r="AD15" s="142"/>
      <c r="AE15" s="143"/>
      <c r="AF15" s="94"/>
      <c r="AG15" s="129" t="str">
        <f t="shared" si="16"/>
        <v>Boston GHOTANE Black</v>
      </c>
      <c r="AH15" s="96">
        <f t="shared" si="17"/>
        <v>21</v>
      </c>
      <c r="AI15" s="149">
        <v>0.40972222222222227</v>
      </c>
      <c r="AJ15" s="150"/>
      <c r="AK15" s="5"/>
      <c r="AL15" s="5"/>
      <c r="AM15" s="5"/>
      <c r="AN15" s="5"/>
      <c r="AO15" s="5"/>
      <c r="AP15" s="5"/>
      <c r="AQ15" s="5"/>
      <c r="AR15" s="5"/>
    </row>
    <row r="16" spans="1:44" ht="15.75" customHeight="1" x14ac:dyDescent="0.2">
      <c r="A16" s="97">
        <v>3</v>
      </c>
      <c r="B16" s="98">
        <v>1</v>
      </c>
      <c r="C16" s="99" t="str">
        <f t="shared" ref="C16:C17" si="19">+B5</f>
        <v>Toronto Thunder Blue</v>
      </c>
      <c r="D16" s="61">
        <v>5</v>
      </c>
      <c r="E16" s="163" t="str">
        <f t="shared" si="18"/>
        <v>DC CYC A</v>
      </c>
      <c r="F16" s="164"/>
      <c r="G16" s="164"/>
      <c r="H16" s="164"/>
      <c r="I16" s="164"/>
      <c r="J16" s="164"/>
      <c r="K16" s="164"/>
      <c r="L16" s="164"/>
      <c r="M16" s="143"/>
      <c r="N16" s="100">
        <v>4</v>
      </c>
      <c r="O16" s="168" t="str">
        <f>+B8</f>
        <v>NJ FUNimania</v>
      </c>
      <c r="P16" s="143"/>
      <c r="Q16" s="195">
        <v>25</v>
      </c>
      <c r="R16" s="141"/>
      <c r="S16" s="101">
        <v>0</v>
      </c>
      <c r="T16" s="144">
        <v>14</v>
      </c>
      <c r="U16" s="141"/>
      <c r="V16" s="140">
        <v>25</v>
      </c>
      <c r="W16" s="141"/>
      <c r="X16" s="102">
        <v>0</v>
      </c>
      <c r="Y16" s="140">
        <v>4</v>
      </c>
      <c r="Z16" s="141"/>
      <c r="AA16" s="142"/>
      <c r="AB16" s="143"/>
      <c r="AC16" s="103" t="s">
        <v>178</v>
      </c>
      <c r="AD16" s="142"/>
      <c r="AE16" s="143"/>
      <c r="AF16" s="94"/>
      <c r="AG16" s="129" t="str">
        <f t="shared" si="16"/>
        <v>Toronto Thunder Blue</v>
      </c>
      <c r="AH16" s="96">
        <f t="shared" si="17"/>
        <v>32</v>
      </c>
      <c r="AI16" s="149">
        <v>0.44444444444444442</v>
      </c>
      <c r="AJ16" s="150"/>
      <c r="AK16" s="5"/>
      <c r="AL16" s="5"/>
      <c r="AM16" s="5"/>
      <c r="AN16" s="5"/>
      <c r="AO16" s="5"/>
      <c r="AP16" s="5"/>
      <c r="AQ16" s="5"/>
      <c r="AR16" s="5"/>
    </row>
    <row r="17" spans="1:44" ht="15.75" customHeight="1" x14ac:dyDescent="0.2">
      <c r="A17" s="97">
        <v>4</v>
      </c>
      <c r="B17" s="98">
        <v>2</v>
      </c>
      <c r="C17" s="99" t="str">
        <f t="shared" si="19"/>
        <v>NY Cranky Pandas</v>
      </c>
      <c r="D17" s="61">
        <v>3</v>
      </c>
      <c r="E17" s="163" t="str">
        <f>+B7</f>
        <v>Boston GHOTANE Black</v>
      </c>
      <c r="F17" s="164"/>
      <c r="G17" s="164"/>
      <c r="H17" s="164"/>
      <c r="I17" s="164"/>
      <c r="J17" s="164"/>
      <c r="K17" s="164"/>
      <c r="L17" s="164"/>
      <c r="M17" s="143"/>
      <c r="N17" s="100">
        <v>1</v>
      </c>
      <c r="O17" s="168" t="str">
        <f>+B5</f>
        <v>Toronto Thunder Blue</v>
      </c>
      <c r="P17" s="143"/>
      <c r="Q17" s="195">
        <v>25</v>
      </c>
      <c r="R17" s="141"/>
      <c r="S17" s="101">
        <v>0</v>
      </c>
      <c r="T17" s="144">
        <v>14</v>
      </c>
      <c r="U17" s="141"/>
      <c r="V17" s="140">
        <v>25</v>
      </c>
      <c r="W17" s="141"/>
      <c r="X17" s="102">
        <v>0</v>
      </c>
      <c r="Y17" s="140">
        <v>18</v>
      </c>
      <c r="Z17" s="141"/>
      <c r="AA17" s="142"/>
      <c r="AB17" s="143"/>
      <c r="AC17" s="103" t="s">
        <v>178</v>
      </c>
      <c r="AD17" s="142"/>
      <c r="AE17" s="143"/>
      <c r="AF17" s="94"/>
      <c r="AG17" s="129" t="str">
        <f t="shared" si="16"/>
        <v>NY Cranky Pandas</v>
      </c>
      <c r="AH17" s="96">
        <f t="shared" si="17"/>
        <v>18</v>
      </c>
      <c r="AI17" s="149">
        <v>0.47916666666666669</v>
      </c>
      <c r="AJ17" s="150"/>
      <c r="AK17" s="5"/>
      <c r="AL17" s="5"/>
      <c r="AM17" s="5"/>
      <c r="AN17" s="5"/>
      <c r="AO17" s="5"/>
      <c r="AP17" s="5"/>
      <c r="AQ17" s="5"/>
      <c r="AR17" s="5"/>
    </row>
    <row r="18" spans="1:44" ht="15.75" customHeight="1" x14ac:dyDescent="0.2">
      <c r="A18" s="97">
        <v>5</v>
      </c>
      <c r="B18" s="98">
        <v>4</v>
      </c>
      <c r="C18" s="99" t="str">
        <f>+B8</f>
        <v>NJ FUNimania</v>
      </c>
      <c r="D18" s="61">
        <v>5</v>
      </c>
      <c r="E18" s="163" t="str">
        <f>+B9</f>
        <v>DC CYC A</v>
      </c>
      <c r="F18" s="164"/>
      <c r="G18" s="164"/>
      <c r="H18" s="164"/>
      <c r="I18" s="164"/>
      <c r="J18" s="164"/>
      <c r="K18" s="164"/>
      <c r="L18" s="164"/>
      <c r="M18" s="143"/>
      <c r="N18" s="100">
        <v>3</v>
      </c>
      <c r="O18" s="168" t="str">
        <f>+B7</f>
        <v>Boston GHOTANE Black</v>
      </c>
      <c r="P18" s="143"/>
      <c r="Q18" s="195">
        <v>14</v>
      </c>
      <c r="R18" s="141"/>
      <c r="S18" s="101">
        <v>0</v>
      </c>
      <c r="T18" s="144">
        <v>25</v>
      </c>
      <c r="U18" s="141"/>
      <c r="V18" s="140">
        <v>25</v>
      </c>
      <c r="W18" s="141"/>
      <c r="X18" s="102">
        <v>0</v>
      </c>
      <c r="Y18" s="140">
        <v>23</v>
      </c>
      <c r="Z18" s="141"/>
      <c r="AA18" s="142"/>
      <c r="AB18" s="143"/>
      <c r="AC18" s="103" t="s">
        <v>178</v>
      </c>
      <c r="AD18" s="142"/>
      <c r="AE18" s="143"/>
      <c r="AF18" s="94"/>
      <c r="AG18" s="129" t="str">
        <f t="shared" si="16"/>
        <v>DC CYC A</v>
      </c>
      <c r="AH18" s="96">
        <f t="shared" si="17"/>
        <v>-9</v>
      </c>
      <c r="AI18" s="149">
        <v>0.53472222222222221</v>
      </c>
      <c r="AJ18" s="150"/>
      <c r="AK18" s="5"/>
      <c r="AL18" s="5"/>
      <c r="AM18" s="5"/>
      <c r="AN18" s="5"/>
      <c r="AO18" s="5"/>
      <c r="AP18" s="5"/>
      <c r="AQ18" s="5"/>
      <c r="AR18" s="5"/>
    </row>
    <row r="19" spans="1:44" ht="15.75" customHeight="1" x14ac:dyDescent="0.2">
      <c r="A19" s="97">
        <v>6</v>
      </c>
      <c r="B19" s="98">
        <v>1</v>
      </c>
      <c r="C19" s="99" t="str">
        <f t="shared" ref="C19:C21" si="20">+B5</f>
        <v>Toronto Thunder Blue</v>
      </c>
      <c r="D19" s="61">
        <v>3</v>
      </c>
      <c r="E19" s="163" t="str">
        <f t="shared" ref="E19:E21" si="21">+B7</f>
        <v>Boston GHOTANE Black</v>
      </c>
      <c r="F19" s="164"/>
      <c r="G19" s="164"/>
      <c r="H19" s="164"/>
      <c r="I19" s="164"/>
      <c r="J19" s="164"/>
      <c r="K19" s="164"/>
      <c r="L19" s="164"/>
      <c r="M19" s="143"/>
      <c r="N19" s="100">
        <v>5</v>
      </c>
      <c r="O19" s="168" t="str">
        <f>+B9</f>
        <v>DC CYC A</v>
      </c>
      <c r="P19" s="143"/>
      <c r="Q19" s="195">
        <v>25</v>
      </c>
      <c r="R19" s="141"/>
      <c r="S19" s="101">
        <v>0</v>
      </c>
      <c r="T19" s="144">
        <v>13</v>
      </c>
      <c r="U19" s="141"/>
      <c r="V19" s="140">
        <v>25</v>
      </c>
      <c r="W19" s="141"/>
      <c r="X19" s="102">
        <v>0</v>
      </c>
      <c r="Y19" s="140">
        <v>16</v>
      </c>
      <c r="Z19" s="141"/>
      <c r="AA19" s="142"/>
      <c r="AB19" s="143"/>
      <c r="AC19" s="103" t="s">
        <v>178</v>
      </c>
      <c r="AD19" s="142"/>
      <c r="AE19" s="143"/>
      <c r="AF19" s="94"/>
      <c r="AG19" s="129" t="str">
        <f t="shared" si="16"/>
        <v>Toronto Thunder Blue</v>
      </c>
      <c r="AH19" s="96">
        <f t="shared" si="17"/>
        <v>21</v>
      </c>
      <c r="AI19" s="149">
        <v>6.9444444444444434E-2</v>
      </c>
      <c r="AJ19" s="150"/>
      <c r="AK19" s="5"/>
      <c r="AL19" s="5"/>
      <c r="AM19" s="5"/>
      <c r="AN19" s="5"/>
      <c r="AO19" s="5"/>
      <c r="AP19" s="5"/>
      <c r="AQ19" s="5"/>
      <c r="AR19" s="5"/>
    </row>
    <row r="20" spans="1:44" ht="15.75" customHeight="1" x14ac:dyDescent="0.2">
      <c r="A20" s="97">
        <v>7</v>
      </c>
      <c r="B20" s="98">
        <v>2</v>
      </c>
      <c r="C20" s="99" t="str">
        <f t="shared" si="20"/>
        <v>NY Cranky Pandas</v>
      </c>
      <c r="D20" s="61">
        <v>4</v>
      </c>
      <c r="E20" s="163" t="str">
        <f t="shared" si="21"/>
        <v>NJ FUNimania</v>
      </c>
      <c r="F20" s="164"/>
      <c r="G20" s="164"/>
      <c r="H20" s="164"/>
      <c r="I20" s="164"/>
      <c r="J20" s="164"/>
      <c r="K20" s="164"/>
      <c r="L20" s="164"/>
      <c r="M20" s="143"/>
      <c r="N20" s="100">
        <v>1</v>
      </c>
      <c r="O20" s="168" t="str">
        <f t="shared" ref="O20:O21" si="22">+B5</f>
        <v>Toronto Thunder Blue</v>
      </c>
      <c r="P20" s="143"/>
      <c r="Q20" s="195">
        <v>25</v>
      </c>
      <c r="R20" s="141"/>
      <c r="S20" s="101">
        <v>0</v>
      </c>
      <c r="T20" s="144">
        <v>11</v>
      </c>
      <c r="U20" s="141"/>
      <c r="V20" s="140">
        <v>25</v>
      </c>
      <c r="W20" s="141"/>
      <c r="X20" s="102">
        <v>0</v>
      </c>
      <c r="Y20" s="140">
        <v>8</v>
      </c>
      <c r="Z20" s="141"/>
      <c r="AA20" s="142"/>
      <c r="AB20" s="143"/>
      <c r="AC20" s="103" t="s">
        <v>178</v>
      </c>
      <c r="AD20" s="142"/>
      <c r="AE20" s="143"/>
      <c r="AF20" s="94"/>
      <c r="AG20" s="129" t="str">
        <f t="shared" si="16"/>
        <v>NY Cranky Pandas</v>
      </c>
      <c r="AH20" s="96">
        <f t="shared" si="17"/>
        <v>31</v>
      </c>
      <c r="AI20" s="149">
        <v>0.10416666666666667</v>
      </c>
      <c r="AJ20" s="150"/>
      <c r="AK20" s="5"/>
      <c r="AL20" s="5"/>
      <c r="AM20" s="5"/>
      <c r="AN20" s="5"/>
      <c r="AO20" s="5"/>
      <c r="AP20" s="5"/>
      <c r="AQ20" s="5"/>
      <c r="AR20" s="5"/>
    </row>
    <row r="21" spans="1:44" ht="15.75" customHeight="1" x14ac:dyDescent="0.2">
      <c r="A21" s="97">
        <v>8</v>
      </c>
      <c r="B21" s="98">
        <v>3</v>
      </c>
      <c r="C21" s="99" t="str">
        <f t="shared" si="20"/>
        <v>Boston GHOTANE Black</v>
      </c>
      <c r="D21" s="61">
        <v>5</v>
      </c>
      <c r="E21" s="163" t="str">
        <f t="shared" si="21"/>
        <v>DC CYC A</v>
      </c>
      <c r="F21" s="164"/>
      <c r="G21" s="164"/>
      <c r="H21" s="164"/>
      <c r="I21" s="164"/>
      <c r="J21" s="164"/>
      <c r="K21" s="164"/>
      <c r="L21" s="164"/>
      <c r="M21" s="143"/>
      <c r="N21" s="100">
        <v>2</v>
      </c>
      <c r="O21" s="168" t="str">
        <f t="shared" si="22"/>
        <v>NY Cranky Pandas</v>
      </c>
      <c r="P21" s="143"/>
      <c r="Q21" s="195">
        <v>25</v>
      </c>
      <c r="R21" s="141"/>
      <c r="S21" s="101">
        <v>0</v>
      </c>
      <c r="T21" s="144">
        <v>22</v>
      </c>
      <c r="U21" s="141"/>
      <c r="V21" s="140">
        <v>21</v>
      </c>
      <c r="W21" s="141"/>
      <c r="X21" s="102">
        <v>0</v>
      </c>
      <c r="Y21" s="140">
        <v>25</v>
      </c>
      <c r="Z21" s="141"/>
      <c r="AA21" s="142"/>
      <c r="AB21" s="143"/>
      <c r="AC21" s="103" t="s">
        <v>178</v>
      </c>
      <c r="AD21" s="142"/>
      <c r="AE21" s="143"/>
      <c r="AF21" s="94"/>
      <c r="AG21" s="129" t="str">
        <f t="shared" si="16"/>
        <v>DC CYC A</v>
      </c>
      <c r="AH21" s="96">
        <f t="shared" si="17"/>
        <v>-1</v>
      </c>
      <c r="AI21" s="149">
        <v>0.15972222222222224</v>
      </c>
      <c r="AJ21" s="150"/>
      <c r="AK21" s="5"/>
      <c r="AL21" s="5"/>
      <c r="AM21" s="5"/>
      <c r="AN21" s="5"/>
      <c r="AO21" s="5"/>
      <c r="AP21" s="5"/>
      <c r="AQ21" s="5"/>
      <c r="AR21" s="5"/>
    </row>
    <row r="22" spans="1:44" ht="15.75" customHeight="1" x14ac:dyDescent="0.2">
      <c r="A22" s="97">
        <v>9</v>
      </c>
      <c r="B22" s="98">
        <v>1</v>
      </c>
      <c r="C22" s="99" t="str">
        <f t="shared" ref="C22:C23" si="23">+B5</f>
        <v>Toronto Thunder Blue</v>
      </c>
      <c r="D22" s="61">
        <v>4</v>
      </c>
      <c r="E22" s="163" t="str">
        <f t="shared" ref="E22:E23" si="24">+B8</f>
        <v>NJ FUNimania</v>
      </c>
      <c r="F22" s="164"/>
      <c r="G22" s="164"/>
      <c r="H22" s="164"/>
      <c r="I22" s="164"/>
      <c r="J22" s="164"/>
      <c r="K22" s="164"/>
      <c r="L22" s="164"/>
      <c r="M22" s="143"/>
      <c r="N22" s="100">
        <v>5</v>
      </c>
      <c r="O22" s="168" t="str">
        <f>+B9</f>
        <v>DC CYC A</v>
      </c>
      <c r="P22" s="143"/>
      <c r="Q22" s="195">
        <v>25</v>
      </c>
      <c r="R22" s="141"/>
      <c r="S22" s="101">
        <v>0</v>
      </c>
      <c r="T22" s="144">
        <v>12</v>
      </c>
      <c r="U22" s="141"/>
      <c r="V22" s="140">
        <v>25</v>
      </c>
      <c r="W22" s="141"/>
      <c r="X22" s="102">
        <v>0</v>
      </c>
      <c r="Y22" s="140">
        <v>10</v>
      </c>
      <c r="Z22" s="141"/>
      <c r="AA22" s="142"/>
      <c r="AB22" s="143"/>
      <c r="AC22" s="103" t="s">
        <v>178</v>
      </c>
      <c r="AD22" s="142"/>
      <c r="AE22" s="143"/>
      <c r="AF22" s="94"/>
      <c r="AG22" s="129" t="str">
        <f t="shared" si="16"/>
        <v>Toronto Thunder Blue</v>
      </c>
      <c r="AH22" s="96">
        <f t="shared" si="17"/>
        <v>28</v>
      </c>
      <c r="AI22" s="149">
        <v>0.19444444444444445</v>
      </c>
      <c r="AJ22" s="150"/>
      <c r="AK22" s="5"/>
      <c r="AL22" s="5"/>
      <c r="AM22" s="5"/>
      <c r="AN22" s="5"/>
      <c r="AO22" s="5"/>
      <c r="AP22" s="5"/>
      <c r="AQ22" s="5"/>
      <c r="AR22" s="5"/>
    </row>
    <row r="23" spans="1:44" ht="15.75" customHeight="1" x14ac:dyDescent="0.2">
      <c r="A23" s="109">
        <v>10</v>
      </c>
      <c r="B23" s="110">
        <v>2</v>
      </c>
      <c r="C23" s="111" t="str">
        <f t="shared" si="23"/>
        <v>NY Cranky Pandas</v>
      </c>
      <c r="D23" s="78">
        <v>5</v>
      </c>
      <c r="E23" s="188" t="str">
        <f t="shared" si="24"/>
        <v>DC CYC A</v>
      </c>
      <c r="F23" s="189"/>
      <c r="G23" s="189"/>
      <c r="H23" s="189"/>
      <c r="I23" s="189"/>
      <c r="J23" s="189"/>
      <c r="K23" s="189"/>
      <c r="L23" s="189"/>
      <c r="M23" s="146"/>
      <c r="N23" s="112">
        <v>4</v>
      </c>
      <c r="O23" s="187" t="str">
        <f>+B8</f>
        <v>NJ FUNimania</v>
      </c>
      <c r="P23" s="146"/>
      <c r="Q23" s="195">
        <v>25</v>
      </c>
      <c r="R23" s="141"/>
      <c r="S23" s="101">
        <v>0</v>
      </c>
      <c r="T23" s="144">
        <v>10</v>
      </c>
      <c r="U23" s="141"/>
      <c r="V23" s="140">
        <v>25</v>
      </c>
      <c r="W23" s="141"/>
      <c r="X23" s="102">
        <v>0</v>
      </c>
      <c r="Y23" s="140">
        <v>18</v>
      </c>
      <c r="Z23" s="141"/>
      <c r="AA23" s="145"/>
      <c r="AB23" s="146"/>
      <c r="AC23" s="113" t="s">
        <v>178</v>
      </c>
      <c r="AD23" s="145"/>
      <c r="AE23" s="146"/>
      <c r="AF23" s="94"/>
      <c r="AG23" s="131" t="str">
        <f t="shared" si="16"/>
        <v>NY Cranky Pandas</v>
      </c>
      <c r="AH23" s="96">
        <f t="shared" si="17"/>
        <v>22</v>
      </c>
      <c r="AI23" s="184">
        <v>0.22916666666666666</v>
      </c>
      <c r="AJ23" s="185"/>
      <c r="AK23" s="5"/>
      <c r="AL23" s="5"/>
      <c r="AM23" s="5"/>
      <c r="AN23" s="5"/>
      <c r="AO23" s="5"/>
      <c r="AP23" s="5"/>
      <c r="AQ23" s="5"/>
      <c r="AR23" s="5"/>
    </row>
    <row r="24" spans="1:44" ht="12.75" customHeight="1" x14ac:dyDescent="0.2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5"/>
      <c r="AM24" s="5"/>
      <c r="AN24" s="5"/>
      <c r="AO24" s="5"/>
      <c r="AP24" s="5"/>
      <c r="AQ24" s="5"/>
      <c r="AR24" s="5"/>
    </row>
    <row r="25" spans="1:44" ht="12.75" customHeight="1" x14ac:dyDescent="0.2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5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5"/>
      <c r="AM25" s="5"/>
      <c r="AN25" s="5"/>
      <c r="AO25" s="5"/>
      <c r="AP25" s="5"/>
      <c r="AQ25" s="5"/>
      <c r="AR25" s="5"/>
    </row>
    <row r="26" spans="1:44" ht="12.75" customHeight="1" x14ac:dyDescent="0.2">
      <c r="A26" s="41"/>
      <c r="B26" s="57"/>
      <c r="C26" s="57" t="s">
        <v>179</v>
      </c>
      <c r="D26" s="57" t="s">
        <v>157</v>
      </c>
      <c r="E26" s="57" t="s">
        <v>180</v>
      </c>
      <c r="F26" s="57" t="s">
        <v>165</v>
      </c>
      <c r="G26" s="57" t="s">
        <v>166</v>
      </c>
      <c r="H26" s="41"/>
      <c r="I26" s="41"/>
      <c r="J26" s="41"/>
      <c r="K26" s="41"/>
      <c r="L26" s="41"/>
      <c r="M26" s="41"/>
      <c r="N26" s="41"/>
      <c r="O26" s="41"/>
      <c r="P26" s="41"/>
      <c r="Q26" s="5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5"/>
      <c r="AM26" s="5"/>
      <c r="AN26" s="5"/>
      <c r="AO26" s="5"/>
      <c r="AP26" s="5"/>
      <c r="AQ26" s="5"/>
      <c r="AR26" s="5"/>
    </row>
    <row r="27" spans="1:44" ht="12.75" customHeight="1" x14ac:dyDescent="0.2">
      <c r="A27" s="41"/>
      <c r="B27" s="57">
        <v>1</v>
      </c>
      <c r="C27" s="57" t="str">
        <f t="shared" ref="C27:C31" si="25">VLOOKUP(B27,$A$5:$AR$9,2,FALSE)</f>
        <v>NY Cranky Pandas</v>
      </c>
      <c r="D27" s="57">
        <f t="shared" ref="D27:D31" si="26">VLOOKUP(B27,$A$5:$AR$9,15,FALSE)</f>
        <v>8</v>
      </c>
      <c r="E27" s="57">
        <f t="shared" ref="E27:E31" si="27">VLOOKUP(B27,$A$5:$AR$9,36,FALSE)</f>
        <v>77</v>
      </c>
      <c r="F27" s="114">
        <f t="shared" ref="F27:F31" si="28">VLOOKUP(B27,$A$5:$AR$9,40,FALSE)</f>
        <v>1</v>
      </c>
      <c r="G27" s="114">
        <f t="shared" ref="G27:G31" si="29">VLOOKUP(B27,$A$5:$AR$9,42,FALSE)</f>
        <v>9.625</v>
      </c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5"/>
      <c r="AM27" s="5"/>
      <c r="AN27" s="5"/>
      <c r="AO27" s="5"/>
      <c r="AP27" s="5"/>
      <c r="AQ27" s="5"/>
      <c r="AR27" s="5"/>
    </row>
    <row r="28" spans="1:44" ht="12.75" customHeight="1" x14ac:dyDescent="0.2">
      <c r="A28" s="41"/>
      <c r="B28" s="57">
        <v>2</v>
      </c>
      <c r="C28" s="57" t="str">
        <f t="shared" si="25"/>
        <v>Toronto Thunder Blue</v>
      </c>
      <c r="D28" s="57">
        <f t="shared" si="26"/>
        <v>6</v>
      </c>
      <c r="E28" s="57">
        <f t="shared" si="27"/>
        <v>75</v>
      </c>
      <c r="F28" s="114">
        <f t="shared" si="28"/>
        <v>0.75</v>
      </c>
      <c r="G28" s="114">
        <f t="shared" si="29"/>
        <v>9.375</v>
      </c>
      <c r="H28" s="41"/>
      <c r="I28" s="41"/>
      <c r="J28" s="41"/>
      <c r="K28" s="41"/>
      <c r="L28" s="41"/>
      <c r="M28" s="41"/>
      <c r="N28" s="41"/>
      <c r="O28" s="41"/>
      <c r="P28" s="5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183"/>
      <c r="AK28" s="136"/>
      <c r="AL28" s="5"/>
      <c r="AM28" s="5"/>
      <c r="AN28" s="5"/>
      <c r="AO28" s="5"/>
      <c r="AP28" s="5"/>
      <c r="AQ28" s="5"/>
      <c r="AR28" s="5"/>
    </row>
    <row r="29" spans="1:44" ht="12.75" customHeight="1" x14ac:dyDescent="0.2">
      <c r="A29" s="5"/>
      <c r="B29" s="14">
        <v>3</v>
      </c>
      <c r="C29" s="57" t="str">
        <f t="shared" si="25"/>
        <v>Boston GHOTANE Black</v>
      </c>
      <c r="D29" s="57">
        <f t="shared" si="26"/>
        <v>3</v>
      </c>
      <c r="E29" s="57">
        <f t="shared" si="27"/>
        <v>-19</v>
      </c>
      <c r="F29" s="114">
        <f t="shared" si="28"/>
        <v>0.375</v>
      </c>
      <c r="G29" s="114">
        <f t="shared" si="29"/>
        <v>-2.375</v>
      </c>
      <c r="H29" s="41"/>
      <c r="I29" s="41"/>
      <c r="J29" s="41"/>
      <c r="K29" s="41"/>
      <c r="L29" s="41"/>
      <c r="M29" s="41"/>
      <c r="N29" s="41"/>
      <c r="O29" s="41"/>
      <c r="P29" s="5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115"/>
      <c r="AK29" s="41"/>
      <c r="AL29" s="5"/>
      <c r="AM29" s="5"/>
      <c r="AN29" s="5"/>
      <c r="AO29" s="5"/>
      <c r="AP29" s="5"/>
      <c r="AQ29" s="5"/>
      <c r="AR29" s="5"/>
    </row>
    <row r="30" spans="1:44" ht="12.75" customHeight="1" x14ac:dyDescent="0.2">
      <c r="A30" s="5"/>
      <c r="B30" s="14">
        <v>4</v>
      </c>
      <c r="C30" s="57" t="str">
        <f t="shared" si="25"/>
        <v>DC CYC A</v>
      </c>
      <c r="D30" s="57">
        <f t="shared" si="26"/>
        <v>2</v>
      </c>
      <c r="E30" s="57">
        <f t="shared" si="27"/>
        <v>-44</v>
      </c>
      <c r="F30" s="114">
        <f t="shared" si="28"/>
        <v>0.25</v>
      </c>
      <c r="G30" s="114">
        <f t="shared" si="29"/>
        <v>-5.5</v>
      </c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115"/>
      <c r="AK30" s="41"/>
      <c r="AL30" s="5"/>
      <c r="AM30" s="5"/>
      <c r="AN30" s="5"/>
      <c r="AO30" s="5"/>
      <c r="AP30" s="5"/>
      <c r="AQ30" s="5"/>
      <c r="AR30" s="5"/>
    </row>
    <row r="31" spans="1:44" ht="12.75" customHeight="1" x14ac:dyDescent="0.2">
      <c r="A31" s="5"/>
      <c r="B31" s="14">
        <v>5</v>
      </c>
      <c r="C31" s="57" t="str">
        <f t="shared" si="25"/>
        <v>NJ FUNimania</v>
      </c>
      <c r="D31" s="57">
        <f t="shared" si="26"/>
        <v>1</v>
      </c>
      <c r="E31" s="57">
        <f t="shared" si="27"/>
        <v>-89</v>
      </c>
      <c r="F31" s="114">
        <f t="shared" si="28"/>
        <v>0.125</v>
      </c>
      <c r="G31" s="114">
        <f t="shared" si="29"/>
        <v>-11.125</v>
      </c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115"/>
      <c r="AK31" s="41"/>
      <c r="AL31" s="5"/>
      <c r="AM31" s="5"/>
      <c r="AN31" s="5"/>
      <c r="AO31" s="5"/>
      <c r="AP31" s="5"/>
      <c r="AQ31" s="5"/>
      <c r="AR31" s="5"/>
    </row>
    <row r="32" spans="1:44" ht="12.75" customHeight="1" x14ac:dyDescent="0.2">
      <c r="A32" s="5"/>
      <c r="B32" s="5"/>
      <c r="C32" s="5"/>
      <c r="D32" s="5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115"/>
      <c r="AK32" s="41"/>
      <c r="AL32" s="5"/>
      <c r="AM32" s="5"/>
      <c r="AN32" s="5"/>
      <c r="AO32" s="5"/>
      <c r="AP32" s="5"/>
      <c r="AQ32" s="5"/>
      <c r="AR32" s="5"/>
    </row>
  </sheetData>
  <mergeCells count="124">
    <mergeCell ref="AJ4:AK4"/>
    <mergeCell ref="AN4:AO4"/>
    <mergeCell ref="AP4:AQ4"/>
    <mergeCell ref="E4:I4"/>
    <mergeCell ref="E5:I5"/>
    <mergeCell ref="J9:N9"/>
    <mergeCell ref="E9:I9"/>
    <mergeCell ref="E17:M17"/>
    <mergeCell ref="Q17:R17"/>
    <mergeCell ref="Q14:R14"/>
    <mergeCell ref="Q13:U13"/>
    <mergeCell ref="E7:I7"/>
    <mergeCell ref="E8:I8"/>
    <mergeCell ref="J4:N4"/>
    <mergeCell ref="J5:N5"/>
    <mergeCell ref="E6:I6"/>
    <mergeCell ref="J6:N6"/>
    <mergeCell ref="O14:P14"/>
    <mergeCell ref="A10:AG12"/>
    <mergeCell ref="A3:AG3"/>
    <mergeCell ref="A1:AG1"/>
    <mergeCell ref="A2:AG2"/>
    <mergeCell ref="B5:D5"/>
    <mergeCell ref="B4:D4"/>
    <mergeCell ref="A13:B13"/>
    <mergeCell ref="B6:D6"/>
    <mergeCell ref="R4:AF4"/>
    <mergeCell ref="E14:M14"/>
    <mergeCell ref="O16:P16"/>
    <mergeCell ref="O21:P21"/>
    <mergeCell ref="E21:M21"/>
    <mergeCell ref="N13:P13"/>
    <mergeCell ref="E15:M15"/>
    <mergeCell ref="E16:M16"/>
    <mergeCell ref="B7:D7"/>
    <mergeCell ref="B8:D8"/>
    <mergeCell ref="E13:M13"/>
    <mergeCell ref="J7:N7"/>
    <mergeCell ref="B9:D9"/>
    <mergeCell ref="J8:N8"/>
    <mergeCell ref="V13:Z13"/>
    <mergeCell ref="AA13:AE13"/>
    <mergeCell ref="AD16:AE16"/>
    <mergeCell ref="AD17:AE17"/>
    <mergeCell ref="AI15:AJ15"/>
    <mergeCell ref="AI17:AJ17"/>
    <mergeCell ref="AI16:AJ16"/>
    <mergeCell ref="AI14:AJ14"/>
    <mergeCell ref="AI13:AJ13"/>
    <mergeCell ref="AI20:AJ20"/>
    <mergeCell ref="AI18:AJ18"/>
    <mergeCell ref="AI19:AJ19"/>
    <mergeCell ref="AJ28:AK28"/>
    <mergeCell ref="V23:W23"/>
    <mergeCell ref="V20:W20"/>
    <mergeCell ref="V22:W22"/>
    <mergeCell ref="V21:W21"/>
    <mergeCell ref="AD22:AE22"/>
    <mergeCell ref="AD21:AE21"/>
    <mergeCell ref="AA19:AB19"/>
    <mergeCell ref="AA21:AB21"/>
    <mergeCell ref="AA20:AB20"/>
    <mergeCell ref="AI23:AJ23"/>
    <mergeCell ref="AD23:AE23"/>
    <mergeCell ref="AA23:AB23"/>
    <mergeCell ref="AA18:AB18"/>
    <mergeCell ref="AD19:AE19"/>
    <mergeCell ref="AD18:AE18"/>
    <mergeCell ref="AI21:AJ21"/>
    <mergeCell ref="AI22:AJ22"/>
    <mergeCell ref="AD20:AE20"/>
    <mergeCell ref="AA22:AB22"/>
    <mergeCell ref="AA17:AB17"/>
    <mergeCell ref="AA16:AB16"/>
    <mergeCell ref="AA14:AB14"/>
    <mergeCell ref="V15:W15"/>
    <mergeCell ref="Y14:Z14"/>
    <mergeCell ref="V14:W14"/>
    <mergeCell ref="AD14:AE14"/>
    <mergeCell ref="V18:W18"/>
    <mergeCell ref="AD15:AE15"/>
    <mergeCell ref="AA15:AB15"/>
    <mergeCell ref="Y19:Z19"/>
    <mergeCell ref="Y18:Z18"/>
    <mergeCell ref="Y15:Z15"/>
    <mergeCell ref="Y16:Z16"/>
    <mergeCell ref="Y17:Z17"/>
    <mergeCell ref="V16:W16"/>
    <mergeCell ref="V17:W17"/>
    <mergeCell ref="V19:W19"/>
    <mergeCell ref="E19:M19"/>
    <mergeCell ref="O19:P19"/>
    <mergeCell ref="O17:P17"/>
    <mergeCell ref="Q16:R16"/>
    <mergeCell ref="O15:P15"/>
    <mergeCell ref="Q15:R15"/>
    <mergeCell ref="Q19:R19"/>
    <mergeCell ref="E18:M18"/>
    <mergeCell ref="Q18:R18"/>
    <mergeCell ref="O18:P18"/>
    <mergeCell ref="Y21:Z21"/>
    <mergeCell ref="Y20:Z20"/>
    <mergeCell ref="E23:M23"/>
    <mergeCell ref="E22:M22"/>
    <mergeCell ref="O20:P20"/>
    <mergeCell ref="O22:P22"/>
    <mergeCell ref="E20:M20"/>
    <mergeCell ref="T20:U20"/>
    <mergeCell ref="Y23:Z23"/>
    <mergeCell ref="Y22:Z22"/>
    <mergeCell ref="Q20:R20"/>
    <mergeCell ref="Q21:R21"/>
    <mergeCell ref="Q22:R22"/>
    <mergeCell ref="T22:U22"/>
    <mergeCell ref="Q23:R23"/>
    <mergeCell ref="O23:P23"/>
    <mergeCell ref="T21:U21"/>
    <mergeCell ref="T23:U23"/>
    <mergeCell ref="T14:U14"/>
    <mergeCell ref="T19:U19"/>
    <mergeCell ref="T18:U18"/>
    <mergeCell ref="T15:U15"/>
    <mergeCell ref="T17:U17"/>
    <mergeCell ref="T16:U1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AR32"/>
  <sheetViews>
    <sheetView showGridLines="0" workbookViewId="0"/>
  </sheetViews>
  <sheetFormatPr baseColWidth="10" defaultColWidth="17.33203125" defaultRowHeight="15" customHeight="1" x14ac:dyDescent="0.2"/>
  <cols>
    <col min="1" max="1" width="4.1640625" customWidth="1"/>
    <col min="2" max="2" width="3.5" customWidth="1"/>
    <col min="3" max="3" width="25.6640625" customWidth="1"/>
    <col min="4" max="4" width="4.5" customWidth="1"/>
    <col min="5" max="5" width="3.33203125" customWidth="1"/>
    <col min="6" max="6" width="10.33203125" customWidth="1"/>
    <col min="7" max="7" width="9.6640625" customWidth="1"/>
    <col min="8" max="9" width="3.33203125" hidden="1" customWidth="1"/>
    <col min="10" max="14" width="3.33203125" customWidth="1"/>
    <col min="15" max="15" width="13.33203125" customWidth="1"/>
    <col min="16" max="16" width="13.1640625" customWidth="1"/>
    <col min="17" max="19" width="4" customWidth="1"/>
    <col min="20" max="22" width="3.33203125" customWidth="1"/>
    <col min="23" max="23" width="4" customWidth="1"/>
    <col min="24" max="25" width="3.33203125" customWidth="1"/>
    <col min="26" max="27" width="4" customWidth="1"/>
    <col min="28" max="31" width="3.33203125" customWidth="1"/>
    <col min="32" max="32" width="4.5" customWidth="1"/>
    <col min="33" max="33" width="15.33203125" customWidth="1"/>
    <col min="34" max="34" width="12.1640625" customWidth="1"/>
    <col min="35" max="35" width="13.1640625" customWidth="1"/>
    <col min="36" max="36" width="4.1640625" customWidth="1"/>
    <col min="37" max="37" width="7.1640625" customWidth="1"/>
    <col min="38" max="38" width="2.1640625" customWidth="1"/>
    <col min="39" max="39" width="7.1640625" customWidth="1"/>
    <col min="40" max="40" width="6.5" customWidth="1"/>
    <col min="41" max="44" width="8.83203125" customWidth="1"/>
  </cols>
  <sheetData>
    <row r="1" spans="1:44" ht="30.75" customHeight="1" x14ac:dyDescent="0.35">
      <c r="A1" s="180" t="s">
        <v>181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38"/>
      <c r="AI1" s="39"/>
      <c r="AJ1" s="39"/>
      <c r="AK1" s="39"/>
      <c r="AL1" s="39"/>
      <c r="AM1" s="39"/>
      <c r="AN1" s="39"/>
      <c r="AO1" s="1"/>
      <c r="AP1" s="1"/>
      <c r="AQ1" s="1"/>
      <c r="AR1" s="1"/>
    </row>
    <row r="2" spans="1:44" ht="30.75" customHeight="1" x14ac:dyDescent="0.35">
      <c r="A2" s="180" t="str">
        <f>+'Women''s Master'!J3</f>
        <v>CT18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38"/>
      <c r="AI2" s="39"/>
      <c r="AJ2" s="39"/>
      <c r="AK2" s="39"/>
      <c r="AL2" s="39"/>
      <c r="AM2" s="39"/>
      <c r="AN2" s="39"/>
      <c r="AO2" s="1"/>
      <c r="AP2" s="1"/>
      <c r="AQ2" s="1"/>
      <c r="AR2" s="1"/>
    </row>
    <row r="3" spans="1:44" ht="42.75" customHeight="1" x14ac:dyDescent="0.45">
      <c r="A3" s="180" t="str">
        <f>RIGHT(A2,2)</f>
        <v>18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40"/>
      <c r="AI3" s="41" t="s">
        <v>153</v>
      </c>
      <c r="AJ3" s="41"/>
      <c r="AK3" s="41"/>
      <c r="AL3" s="41"/>
      <c r="AM3" s="41"/>
      <c r="AN3" s="41"/>
      <c r="AO3" s="5"/>
      <c r="AP3" s="5"/>
      <c r="AQ3" s="5"/>
      <c r="AR3" s="5" t="s">
        <v>154</v>
      </c>
    </row>
    <row r="4" spans="1:44" ht="27" customHeight="1" x14ac:dyDescent="0.2">
      <c r="A4" s="42"/>
      <c r="B4" s="179" t="s">
        <v>102</v>
      </c>
      <c r="C4" s="173"/>
      <c r="D4" s="173"/>
      <c r="E4" s="155" t="s">
        <v>155</v>
      </c>
      <c r="F4" s="156"/>
      <c r="G4" s="156"/>
      <c r="H4" s="156"/>
      <c r="I4" s="157"/>
      <c r="J4" s="165" t="s">
        <v>156</v>
      </c>
      <c r="K4" s="156"/>
      <c r="L4" s="156"/>
      <c r="M4" s="156"/>
      <c r="N4" s="166"/>
      <c r="O4" s="43" t="s">
        <v>157</v>
      </c>
      <c r="P4" s="44" t="s">
        <v>158</v>
      </c>
      <c r="Q4" s="45"/>
      <c r="R4" s="194" t="s">
        <v>159</v>
      </c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53"/>
      <c r="AG4" s="46" t="s">
        <v>160</v>
      </c>
      <c r="AH4" s="47" t="s">
        <v>161</v>
      </c>
      <c r="AI4" s="47" t="s">
        <v>162</v>
      </c>
      <c r="AJ4" s="193" t="s">
        <v>163</v>
      </c>
      <c r="AK4" s="153"/>
      <c r="AL4" s="47" t="s">
        <v>164</v>
      </c>
      <c r="AM4" s="48"/>
      <c r="AN4" s="190" t="s">
        <v>165</v>
      </c>
      <c r="AO4" s="191"/>
      <c r="AP4" s="192" t="s">
        <v>166</v>
      </c>
      <c r="AQ4" s="191"/>
      <c r="AR4" s="50" t="s">
        <v>167</v>
      </c>
    </row>
    <row r="5" spans="1:44" ht="15.75" customHeight="1" x14ac:dyDescent="0.2">
      <c r="A5" s="51">
        <f t="shared" ref="A5:A9" si="0">AR5</f>
        <v>2</v>
      </c>
      <c r="B5" s="172" t="str">
        <f>+'Women''s Master'!J4</f>
        <v>NY Fresh</v>
      </c>
      <c r="C5" s="173"/>
      <c r="D5" s="173"/>
      <c r="E5" s="171">
        <f>SUM(IF(AG14=B5,1,0),IF(AG16=C16,1,0),IF(AG19=C19,1,0),IF(AG22=C22,1,0))</f>
        <v>3</v>
      </c>
      <c r="F5" s="162"/>
      <c r="G5" s="162"/>
      <c r="H5" s="162"/>
      <c r="I5" s="153"/>
      <c r="J5" s="169">
        <f>SUM(IF(AG14=C14,0,1),IF(AG16=C16,0,1),IF(AG19=C19,0,1),IF(AG22=C22,0,1))</f>
        <v>1</v>
      </c>
      <c r="K5" s="162"/>
      <c r="L5" s="162"/>
      <c r="M5" s="162"/>
      <c r="N5" s="170"/>
      <c r="O5" s="53">
        <f>SUM(IF(AD5&gt;0,1,0),IF(AE5&gt;0,1,0),IF(AF5&gt;0,1,0),IF(U5&gt;0,1,0),IF(V5&gt;0,1,0),IF(W5&gt;0,1,0),IF(X5&gt;0,1,0),IF(Y5&gt;0,1,0),IF(Z5&gt;0,1,0),IF(AA5&gt;0,1,0),IF(AB5&gt;0,1,0),IF(AC5&gt;0,1,0))</f>
        <v>7</v>
      </c>
      <c r="P5" s="52">
        <f>SUM(IF(AD5&lt;0,1,0),IF(AE5&lt;0,1,0),IF(AF5&lt;0,1,0),IF(U5&lt;0,1,0),IF(V5&lt;0,1,0),IF(W5&lt;0,1,0),IF(X5&lt;0,1,0),IF(Y5&lt;0,1,0),IF(Z5&lt;0,1,0),IF(AA5&lt;0,1,0),IF(AB5&lt;0,1,0),IF(AC5&lt;0,1,0))</f>
        <v>1</v>
      </c>
      <c r="Q5" s="54">
        <f>1+SUM(IF(O5&lt;O6,1,0),IF(O5&lt;O7,1,0),IF(O5&lt;O8,1,0),IF(O5&lt;O9,1,0))</f>
        <v>1</v>
      </c>
      <c r="R5" s="55"/>
      <c r="S5" s="56"/>
      <c r="T5" s="56"/>
      <c r="U5" s="57">
        <f>Q14-T14</f>
        <v>2</v>
      </c>
      <c r="V5" s="57">
        <f>V14-Y14</f>
        <v>5</v>
      </c>
      <c r="W5" s="57">
        <f>AA14-AD14</f>
        <v>0</v>
      </c>
      <c r="X5" s="57">
        <f>Q19-T19</f>
        <v>12</v>
      </c>
      <c r="Y5" s="57">
        <f>V19-Y19</f>
        <v>2</v>
      </c>
      <c r="Z5" s="57">
        <f>AA19-AD19</f>
        <v>0</v>
      </c>
      <c r="AA5" s="58">
        <f>Q22-T22</f>
        <v>11</v>
      </c>
      <c r="AB5" s="58">
        <f>V22-Y22</f>
        <v>10</v>
      </c>
      <c r="AC5" s="58">
        <f>AA22-AD22</f>
        <v>0</v>
      </c>
      <c r="AD5" s="58">
        <f>Q16-T16</f>
        <v>2</v>
      </c>
      <c r="AE5" s="58">
        <f>V16-Y16</f>
        <v>-6</v>
      </c>
      <c r="AF5" s="58">
        <f>AA16-AD16</f>
        <v>0</v>
      </c>
      <c r="AG5" s="58" t="str">
        <f>IF(Q5=Q6,IF(SUM(U5:W5)&gt;0,B5,B6),  IF(Q5=Q7,IF(SUM(X5:Z5)&gt;0, B5,B7),IF(Q5=Q8,IF(SUM(AA5:AC5)&gt;0, B5,B8),IF(Q5=Q9,IF(SUM(AD5:AF5)&lt;0,B5,B9)))))</f>
        <v>NY Fresh</v>
      </c>
      <c r="AH5" s="58" t="str">
        <f>IF(Q5=Q6,IF(SUM(U5:W5)&lt;0,B5,B6),  IF(Q5=Q7,IF(SUM(X5:Z5)&lt;0, B5,B7),IF(Q5=Q8,IF(SUM(AA5:AC5)&lt;0, B5,B8),IF(Q5=Q9, IF(SUM(AD5:AF5)&lt;0,B5,B9)))))</f>
        <v>NY Fresh</v>
      </c>
      <c r="AI5" s="60">
        <f t="shared" ref="AI5:AI9" si="1">Q5+IF(COUNTIF($AG$5:$AG$9,B5)&gt;0,0, IF(COUNTIF($AH$5:$AH$9,B5)&gt;0,1,0))</f>
        <v>1</v>
      </c>
      <c r="AJ5" s="61">
        <f t="shared" ref="AJ5:AJ9" si="2">SUM(R5:AF5)</f>
        <v>38</v>
      </c>
      <c r="AK5" s="62">
        <f>1+SUM(IF(AJ5&lt;AJ6,1,0),IF(AJ5&lt;AJ7,1,0),IF(AJ5&lt;AJ8,1,0),IF(AJ5&lt;AJ9,1,0))</f>
        <v>2</v>
      </c>
      <c r="AL5" s="63">
        <f t="shared" ref="AL5:AL9" si="3">IF(SUM(E5,J5)=0,0,E5/(E5+J5))</f>
        <v>0.75</v>
      </c>
      <c r="AM5" s="62">
        <f>1+SUM(IF(AL5&lt;AL6,1,0),IF(AL5&lt;AL7,1,0),IF(AL5&lt;AL8,1,0),IF(AL5&lt;AL9,1,0))</f>
        <v>2</v>
      </c>
      <c r="AN5" s="64">
        <f t="shared" ref="AN5:AN9" si="4">IF(SUM(O5+P5)=0,0,O5/(O5+P5))</f>
        <v>0.875</v>
      </c>
      <c r="AO5" s="65">
        <f>1+SUM(IF(AN5&lt;AN6,1,0),IF(AN5&lt;AN7,1,0),IF(AN5&lt;AN8,1,0),IF(AN5&lt;AN9,1,0))</f>
        <v>1</v>
      </c>
      <c r="AP5" s="106">
        <f t="shared" ref="AP5:AP9" si="5">AJ5/SUM(O5:P5)</f>
        <v>4.75</v>
      </c>
      <c r="AQ5" s="67">
        <f>1+SUM(IF(AP5&lt;AP6,1,0),IF(AP5&lt;AP7,1,0),IF(AP5&lt;AP8,1,0),IF(AP5&lt;AP9,1,0))</f>
        <v>2</v>
      </c>
      <c r="AR5" s="68">
        <f>1+SUM(IF(Q5&gt;Q6,1,IF(AND(Q5=Q6,AK5&gt;AK6),1,IF(AND(Q5=Q6,AK5=AK6),1,0))),IF(Q5&gt;Q7,1,IF(AND(Q5=Q7,AK5&gt;AK7),1,IF(AND(Q5=Q7,AK5=AK7),1,0))),IF(Q5&gt;Q8,1,IF(AND(Q5=Q8,AK5&gt;AK8),1,IF(AND(Q5=Q8,AK5=AK8),1,0))),IF(Q5&gt;Q9,1,IF(AND(Q5=Q9,AK5&gt;AK9),1,IF(AND(Q5=Q9,AK5=AK9),1,0))))</f>
        <v>2</v>
      </c>
    </row>
    <row r="6" spans="1:44" ht="15.75" customHeight="1" x14ac:dyDescent="0.2">
      <c r="A6" s="51">
        <f t="shared" si="0"/>
        <v>3</v>
      </c>
      <c r="B6" s="172" t="str">
        <f>+'Women''s Master'!J5</f>
        <v>Philly CIA Agents</v>
      </c>
      <c r="C6" s="173"/>
      <c r="D6" s="173"/>
      <c r="E6" s="171">
        <f>SUM(IF(AG14=E14,1,0),IF(AG17=C17,1,0),IF(AG20=C20,1,0),IF(AG23=C23,1,0))</f>
        <v>2</v>
      </c>
      <c r="F6" s="162"/>
      <c r="G6" s="162"/>
      <c r="H6" s="162"/>
      <c r="I6" s="153"/>
      <c r="J6" s="169">
        <f>SUM(IF(AG14=E14,0,1),IF(AG17=C17,0,1),IF(AG20=C20,0,1),IF(AG23=C23,0,1))</f>
        <v>2</v>
      </c>
      <c r="K6" s="162"/>
      <c r="L6" s="162"/>
      <c r="M6" s="162"/>
      <c r="N6" s="170"/>
      <c r="O6" s="53">
        <f>SUM(IF(AD6&gt;0,1,0),IF(AE6&gt;0,1,0),IF(AF6&gt;0,1,0),IF(R6&gt;0,1,0),IF(S6&gt;0,1,0),IF(T6&gt;0,1,0),IF(X6&gt;0,1,0),IF(Y6&gt;0,1,0),IF(Z6&gt;0,1,0),IF(AA6&gt;0,1,0),IF(AB6&gt;0,1,0),IF(AC6&gt;0,1,0))</f>
        <v>4</v>
      </c>
      <c r="P6" s="52">
        <f>SUM(IF(AD6&lt;0,1,0),IF(AE6&lt;0,1,0),IF(AF6&lt;0,1,0),IF(R6&lt;0,1,0),IF(S6&lt;0,1,0),IF(T6&lt;0,1,0),IF(X6&lt;0,1,0),IF(Y6&lt;0,1,0),IF(Z6&lt;0,1,0),IF(AA6&lt;0,1,0),IF(AB6&lt;0,1,0),IF(AC6&lt;0,1,0))</f>
        <v>4</v>
      </c>
      <c r="Q6" s="54">
        <f>1+SUM(IF(O6&lt;O5,1,0),IF(O6&lt;O7,1,0),IF(O6&lt;O8,1,0),IF(O6&lt;O9,1,0))</f>
        <v>3</v>
      </c>
      <c r="R6" s="69">
        <f t="shared" ref="R6:T6" si="6">-U5</f>
        <v>-2</v>
      </c>
      <c r="S6" s="58">
        <f t="shared" si="6"/>
        <v>-5</v>
      </c>
      <c r="T6" s="58">
        <f t="shared" si="6"/>
        <v>0</v>
      </c>
      <c r="U6" s="56"/>
      <c r="V6" s="56"/>
      <c r="W6" s="56"/>
      <c r="X6" s="57">
        <f>Q17-T17</f>
        <v>11</v>
      </c>
      <c r="Y6" s="57">
        <f>V17-Y17</f>
        <v>10</v>
      </c>
      <c r="Z6" s="57">
        <f>AA17-AD17</f>
        <v>0</v>
      </c>
      <c r="AA6" s="58">
        <f>Q20-T20</f>
        <v>13</v>
      </c>
      <c r="AB6" s="58">
        <f>V20-Y20</f>
        <v>14</v>
      </c>
      <c r="AC6" s="58">
        <f>AA20-AD20</f>
        <v>0</v>
      </c>
      <c r="AD6" s="58">
        <f>Q23-T23</f>
        <v>-9</v>
      </c>
      <c r="AE6" s="58">
        <f>V23-Y23</f>
        <v>-6</v>
      </c>
      <c r="AF6" s="58">
        <f>AA23-AD23</f>
        <v>0</v>
      </c>
      <c r="AG6" s="58" t="b">
        <f>IF(Q6=Q7,IF(SUM(X6:Z6)&gt;0,B6,B7),IF(Q6=Q8,IF(SUM(AA6:AC6)&gt;0,B6,B8),IF(Q6=Q9,IF(SUM(AD6:AF6)&gt;0, B6,B9))))</f>
        <v>0</v>
      </c>
      <c r="AH6" s="58" t="b">
        <f>IF(Q6=Q7,IF(SUM(X6:Z6)&lt;0,B6,B7),IF(Q6=Q8,IF(SUM(AA6:AC6)&lt;0,B6,B8),IF(Q6=Q9,IF(SUM(AD6:AF6)&lt;0, B6,B9))))</f>
        <v>0</v>
      </c>
      <c r="AI6" s="60">
        <f t="shared" si="1"/>
        <v>3</v>
      </c>
      <c r="AJ6" s="61">
        <f t="shared" si="2"/>
        <v>26</v>
      </c>
      <c r="AK6" s="62">
        <f>1+SUM(IF(AJ6&lt;AJ5,1,0),IF(AJ6&lt;AJ7,1,0),IF(AJ6&lt;AJ8,1,0),IF(AJ6&lt;AJ9,1,0))</f>
        <v>3</v>
      </c>
      <c r="AL6" s="63">
        <f t="shared" si="3"/>
        <v>0.5</v>
      </c>
      <c r="AM6" s="62">
        <f>1+SUM(IF(AL6&lt;AL5,1,0),IF(AL6&lt;AL7,1,0),IF(AL6&lt;AL8,1,0),IF(AL6&lt;AL9,1,0))</f>
        <v>3</v>
      </c>
      <c r="AN6" s="64">
        <f t="shared" si="4"/>
        <v>0.5</v>
      </c>
      <c r="AO6" s="65">
        <f>1+SUM(IF(AN6&lt;AN5,1,0),IF(AN6&lt;AN7,1,0),IF(AN6&lt;AN8,1,0),IF(AN6&lt;AN9,1,0))</f>
        <v>3</v>
      </c>
      <c r="AP6" s="106">
        <f t="shared" si="5"/>
        <v>3.25</v>
      </c>
      <c r="AQ6" s="70">
        <f>1+SUM(IF(AP6&lt;AP5,1,0),IF(AP6&lt;AP7,1,0),IF(AP6&lt;AP8,1,0),IF(AP6&lt;AP9,1,0))</f>
        <v>3</v>
      </c>
      <c r="AR6" s="68">
        <f>1+SUM(IF(Q6&gt;Q5,1,IF(AND(Q6=Q5,AK6&gt;AK5),1,IF(AND(Q6=Q5,AK6=AK5),1,0))),IF(Q6&gt;Q7,1,IF(AND(Q6=Q7,AK6&gt;AK7),1,IF(AND(Q6=Q7,AK6=AK7),1,0))),IF(Q6&gt;Q8,1,IF(AND(Q6=Q8,AK6&gt;AK8),1,IF(AND(Q6=Q8,AK6=AK8),1,0))),IF(Q6&gt;Q9,1,IF(AND(Q6=Q9,AK6&gt;AK9),1,IF(AND(Q6=Q9,AK6=AK9),1,0))))</f>
        <v>3</v>
      </c>
    </row>
    <row r="7" spans="1:44" ht="15.75" customHeight="1" x14ac:dyDescent="0.2">
      <c r="A7" s="51">
        <f t="shared" si="0"/>
        <v>4</v>
      </c>
      <c r="B7" s="172" t="str">
        <f>+'Women''s Master'!J6</f>
        <v>NY BCVA</v>
      </c>
      <c r="C7" s="173"/>
      <c r="D7" s="173"/>
      <c r="E7" s="171">
        <f>SUM(IF(AG15=C15,1,0),IF(AG17=E17,1,0),IF(AG19=E19,1,0),IF(AG21=C21,1,0))</f>
        <v>1</v>
      </c>
      <c r="F7" s="162"/>
      <c r="G7" s="162"/>
      <c r="H7" s="162"/>
      <c r="I7" s="153"/>
      <c r="J7" s="169">
        <f>SUM(IF(AG15=C15,0,1),IF(AG17=E17,0,1),IF(AG19=E19,0,1),IF(AG21=C21,0,1))</f>
        <v>3</v>
      </c>
      <c r="K7" s="162"/>
      <c r="L7" s="162"/>
      <c r="M7" s="162"/>
      <c r="N7" s="170"/>
      <c r="O7" s="53">
        <f>SUM(IF(AD7&gt;0,1,0),IF(AE7&gt;0,1,0),IF(AF7&gt;0,1,0),IF(U7&gt;0,1,0),IF(V7&gt;0,1,0),IF(W7&gt;0,1,0),IF(R7&gt;0,1,0),IF(S7&gt;0,1,0),IF(T7&gt;0,1,0),IF(AA7&gt;0,1,0),IF(AB7&gt;0,1,0),IF(AC7&gt;0,1,0))</f>
        <v>1</v>
      </c>
      <c r="P7" s="52">
        <f>SUM(IF(AD7&lt;0,1,0),IF(AE7&lt;0,1,0),IF(AF7&lt;0,1,0),IF(U7&lt;0,1,0),IF(V7&lt;0,1,0),IF(W7&lt;0,1,0),IF(R7&lt;0,1,0),IF(S7&lt;0,1,0),IF(T7&lt;0,1,0),IF(AA7&lt;0,1,0),IF(AB7&lt;0,1,0),IF(AC7&lt;0,1,0))</f>
        <v>7</v>
      </c>
      <c r="Q7" s="54">
        <f>1+SUM(IF(O7&lt;O6,1,0),IF(O7&lt;O5,1,0),IF(O7&lt;O8,1,0),IF(O7&lt;O9,1,0))</f>
        <v>4</v>
      </c>
      <c r="R7" s="69">
        <f t="shared" ref="R7:T7" si="7">-X5</f>
        <v>-12</v>
      </c>
      <c r="S7" s="58">
        <f t="shared" si="7"/>
        <v>-2</v>
      </c>
      <c r="T7" s="58">
        <f t="shared" si="7"/>
        <v>0</v>
      </c>
      <c r="U7" s="58">
        <f t="shared" ref="U7:W7" si="8">-X6</f>
        <v>-11</v>
      </c>
      <c r="V7" s="58">
        <f t="shared" si="8"/>
        <v>-10</v>
      </c>
      <c r="W7" s="58">
        <f t="shared" si="8"/>
        <v>0</v>
      </c>
      <c r="X7" s="71"/>
      <c r="Y7" s="71"/>
      <c r="Z7" s="71"/>
      <c r="AA7" s="58">
        <f>Q15-T15</f>
        <v>11</v>
      </c>
      <c r="AB7" s="58">
        <f>V15-Y15</f>
        <v>-9</v>
      </c>
      <c r="AC7" s="58">
        <f>AA15-AD15</f>
        <v>0</v>
      </c>
      <c r="AD7" s="58">
        <f>Q21-T21</f>
        <v>-13</v>
      </c>
      <c r="AE7" s="58">
        <f>V21-Y21</f>
        <v>-11</v>
      </c>
      <c r="AF7" s="58">
        <f>AA21-AD21</f>
        <v>0</v>
      </c>
      <c r="AG7" s="58" t="str">
        <f>IF(Q7=Q8,IF(SUM(AA7:AC7)&gt;0,B7,B8),IF(Q7=Q9,IF(SUM(AD7:AF7)&gt;0,B7,B9)))</f>
        <v>NY BCVA</v>
      </c>
      <c r="AH7" s="58" t="str">
        <f>IF(Q7=Q8,IF(SUM(AA7:AC7)&lt;0,B7,B8),IF(Q7=Q9,IF(SUM(AD7:AF7)&lt;0,B7,B9)))</f>
        <v>Boston Hurricanes Gold</v>
      </c>
      <c r="AI7" s="60">
        <f t="shared" si="1"/>
        <v>4</v>
      </c>
      <c r="AJ7" s="61">
        <f t="shared" si="2"/>
        <v>-57</v>
      </c>
      <c r="AK7" s="62">
        <f>1+SUM(IF(AJ7&lt;AJ6,1,0),IF(AJ7&lt;AJ5,1,0),IF(AJ7&lt;AJ8,1,0),IF(AJ7&lt;AJ9,1,0))</f>
        <v>4</v>
      </c>
      <c r="AL7" s="63">
        <f t="shared" si="3"/>
        <v>0.25</v>
      </c>
      <c r="AM7" s="62">
        <f>1+SUM(IF(AL7&lt;AL6,1,0),IF(AL7&lt;AL5,1,0),IF(AL7&lt;AL8,1,0),IF(AL7&lt;AL9,1,0))</f>
        <v>4</v>
      </c>
      <c r="AN7" s="64">
        <f t="shared" si="4"/>
        <v>0.125</v>
      </c>
      <c r="AO7" s="65">
        <f>1+SUM(IF(AN7&lt;AN6,1,0),IF(AN7&lt;AN5,1,0),IF(AN7&lt;AN8,1,0),IF(AN7&lt;AN9,1,0))</f>
        <v>4</v>
      </c>
      <c r="AP7" s="106">
        <f t="shared" si="5"/>
        <v>-7.125</v>
      </c>
      <c r="AQ7" s="70">
        <f>1+SUM(IF(AP7&lt;AP6,1,0),IF(AP7&lt;AP5,1,0),IF(AP7&lt;AP8,1,0),IF(AP7&lt;AP9,1,0))</f>
        <v>4</v>
      </c>
      <c r="AR7" s="68">
        <f>1+SUM(IF(Q7&gt;Q5,1,IF(AND(Q7=Q5,AK7&gt;AK5),1,IF(AND(Q7=Q5,AK7=AK5),1,0))),IF(Q7&gt;Q6,1,IF(AND(Q7=Q6,AK7&gt;AK6),1,IF(AND(Q7=Q6,AK7=AK6),1,0))),IF(Q7&gt;Q8,1,IF(AND(Q7=Q8,AK7&gt;AK8),1,IF(AND(Q7=Q8,AK7=AK8),1,0))),IF(Q7&gt;Q9,1,IF(AND(Q7=Q9,AK7&gt;AK9),1,IF(AND(Q7=Q9,AK7=AK9),1,0))))</f>
        <v>4</v>
      </c>
    </row>
    <row r="8" spans="1:44" ht="15.75" customHeight="1" x14ac:dyDescent="0.2">
      <c r="A8" s="51">
        <f t="shared" si="0"/>
        <v>5</v>
      </c>
      <c r="B8" s="172" t="str">
        <f>+'Women''s Master'!J7</f>
        <v>Boston Hurricanes Gold</v>
      </c>
      <c r="C8" s="173"/>
      <c r="D8" s="173"/>
      <c r="E8" s="171">
        <f>SUM(IF(AG15=E15,1,0),IF(AG18=C18,1,0),IF(AG20=E20,1,0),IF(AG22=E22,1,0))</f>
        <v>0</v>
      </c>
      <c r="F8" s="162"/>
      <c r="G8" s="162"/>
      <c r="H8" s="162"/>
      <c r="I8" s="153"/>
      <c r="J8" s="169">
        <f>SUM(IF(AG15=E15,0,1),IF(AG18=C18,0,1),IF(AG20=E20,0,1),IF(AG22=E22,0,1))</f>
        <v>4</v>
      </c>
      <c r="K8" s="162"/>
      <c r="L8" s="162"/>
      <c r="M8" s="162"/>
      <c r="N8" s="170"/>
      <c r="O8" s="53">
        <f>SUM(IF(AD8&gt;0,1,0),IF(AE8&gt;0,1,0),IF(AF8&gt;0,1,0),IF(U8&gt;0,1,0),IF(V8&gt;0,1,0),IF(W8&gt;0,1,0),IF(X8&gt;0,1,0),IF(Y8&gt;0,1,0),IF(Z8&gt;0,1,0),IF(R8&gt;0,1,0),IF(S8&gt;0,1,0),IF(T8&gt;0,1,0))</f>
        <v>1</v>
      </c>
      <c r="P8" s="52">
        <f>SUM(IF(AD8&lt;0,1,0),IF(AE8&lt;0,1,0),IF(AF8&lt;0,1,0),IF(U8&lt;0,1,0),IF(V8&lt;0,1,0),IF(W8&lt;0,1,0),IF(R8&lt;0,1,0),IF(S8&lt;0,1,0),IF(T8&lt;0,1,0),IF(X8&lt;0,1,0),IF(Y8&lt;0,1,0),IF(Z8&lt;0,1,0))</f>
        <v>7</v>
      </c>
      <c r="Q8" s="54">
        <f>1+SUM(IF(O8&lt;O6,1,0),IF(O8&lt;O7,1,0),IF(O8&lt;O5,1,0),IF(O8&lt;O9,1,0))</f>
        <v>4</v>
      </c>
      <c r="R8" s="69">
        <f t="shared" ref="R8:T8" si="9">-AA5</f>
        <v>-11</v>
      </c>
      <c r="S8" s="58">
        <f t="shared" si="9"/>
        <v>-10</v>
      </c>
      <c r="T8" s="58">
        <f t="shared" si="9"/>
        <v>0</v>
      </c>
      <c r="U8" s="58">
        <f t="shared" ref="U8:W8" si="10">-AA6</f>
        <v>-13</v>
      </c>
      <c r="V8" s="58">
        <f t="shared" si="10"/>
        <v>-14</v>
      </c>
      <c r="W8" s="58">
        <f t="shared" si="10"/>
        <v>0</v>
      </c>
      <c r="X8" s="58">
        <f t="shared" ref="X8:Z8" si="11">-AA7</f>
        <v>-11</v>
      </c>
      <c r="Y8" s="58">
        <f t="shared" si="11"/>
        <v>9</v>
      </c>
      <c r="Z8" s="58">
        <f t="shared" si="11"/>
        <v>0</v>
      </c>
      <c r="AA8" s="71"/>
      <c r="AB8" s="71"/>
      <c r="AC8" s="71"/>
      <c r="AD8" s="58">
        <f>Q18-T18</f>
        <v>-13</v>
      </c>
      <c r="AE8" s="58">
        <f>V18-Y18</f>
        <v>-10</v>
      </c>
      <c r="AF8" s="58">
        <f>AA18-AD18</f>
        <v>0</v>
      </c>
      <c r="AG8" s="58" t="b">
        <f>IF(Q8=Q9,IF(SUM(AD8:AF8)&gt;0,B8,B9))</f>
        <v>0</v>
      </c>
      <c r="AH8" s="58" t="b">
        <f>IF(R8=R9,IF(SUM(AE8:AG8)&lt;0,C8,C9))</f>
        <v>0</v>
      </c>
      <c r="AI8" s="60">
        <f t="shared" si="1"/>
        <v>5</v>
      </c>
      <c r="AJ8" s="61">
        <f t="shared" si="2"/>
        <v>-73</v>
      </c>
      <c r="AK8" s="72">
        <f>1+SUM(IF(AJ8&lt;AJ6,1,0),IF(AJ8&lt;AJ7,1,0),IF(AJ8&lt;AJ5,1,0),IF(AJ8&lt;AJ9,1,0))</f>
        <v>5</v>
      </c>
      <c r="AL8" s="63">
        <f t="shared" si="3"/>
        <v>0</v>
      </c>
      <c r="AM8" s="72">
        <f>1+SUM(IF(AL8&lt;AL6,1,0),IF(AL8&lt;AL7,1,0),IF(AL8&lt;AL5,1,0),IF(AL8&lt;AL9,1,0))</f>
        <v>5</v>
      </c>
      <c r="AN8" s="64">
        <f t="shared" si="4"/>
        <v>0.125</v>
      </c>
      <c r="AO8" s="65">
        <f>1+SUM(IF(AN8&lt;AN6,1,0),IF(AN8&lt;AN7,1,0),IF(AN8&lt;AN5,1,0),IF(AN8&lt;AN9,1,0))</f>
        <v>4</v>
      </c>
      <c r="AP8" s="106">
        <f t="shared" si="5"/>
        <v>-9.125</v>
      </c>
      <c r="AQ8" s="73">
        <f>1+SUM(IF(AP8&lt;AP6,1,0),IF(AP8&lt;AP7,1,0),IF(AP8&lt;AP5,1,0),IF(AP8&lt;AP9,1,0))</f>
        <v>5</v>
      </c>
      <c r="AR8" s="68">
        <f>1+SUM(IF(Q8&gt;Q5,1,IF(AND(Q8=Q5,AK8&gt;AK5),1,IF(AND(Q8=Q5,AK8=AK5),1,0))),IF(Q8&gt;Q6,1,IF(AND(Q8=Q6,AK8&gt;AK6),1,IF(AND(Q8=Q6,AK8=AK6),1,0))),IF(Q8&gt;Q7,1,IF(AND(Q8=Q7,AK8&gt;AK7),1,IF(AND(Q8=Q7,AK8=AK7),1,0))),IF(Q8&gt;Q9,1,IF(AND(Q8=Q9,AK8&gt;AK9),1,IF(AND(Q8=Q9,AK8=AK9),1,0))))</f>
        <v>5</v>
      </c>
    </row>
    <row r="9" spans="1:44" ht="15.75" customHeight="1" x14ac:dyDescent="0.2">
      <c r="A9" s="51">
        <f t="shared" si="0"/>
        <v>1</v>
      </c>
      <c r="B9" s="172" t="str">
        <f>+'Women''s Master'!J8</f>
        <v>Toronto United</v>
      </c>
      <c r="C9" s="173"/>
      <c r="D9" s="173"/>
      <c r="E9" s="171">
        <f>SUM(IF(AG16=E16,1,0),IF(AG18=E18,1,0),IF(AG21=E21,1,0),IF(AG23=E23,1,0))</f>
        <v>4</v>
      </c>
      <c r="F9" s="162"/>
      <c r="G9" s="162"/>
      <c r="H9" s="162"/>
      <c r="I9" s="153"/>
      <c r="J9" s="169">
        <f>SUM(IF(AG16=E16,0,1),IF(AG18=E18,0,1),IF(AG21=E21,0,1),IF(AG23=E23,0,1))</f>
        <v>0</v>
      </c>
      <c r="K9" s="162"/>
      <c r="L9" s="162"/>
      <c r="M9" s="162"/>
      <c r="N9" s="170"/>
      <c r="O9" s="53">
        <f>SUM(IF(R9&gt;0,1,0),IF(S9&gt;0,1,0),IF(T9&gt;0,1,0),IF(U9&gt;0,1,0),IF(V9&gt;0,1,0),IF(W9&gt;0,1,0),IF(X9&gt;0,1,0),IF(Y9&gt;0,1,0),IF(Z9&gt;0,1,0),IF(AA9&gt;0,1,0),IF(AB9&gt;0,1,0),IF(AC9&gt;0,1,0))</f>
        <v>7</v>
      </c>
      <c r="P9" s="52">
        <f>SUM(IF(R9&lt;0,1,0),IF(S9&lt;0,1,0),IF(T9&lt;0,1,0),IF(U9&lt;0,1,0),IF(V9&lt;0,1,0),IF(W9&lt;0,1,0),IF(X9&lt;0,1,0),IF(Y9&lt;0,1,0),IF(Z9&lt;0,1,0),IF(AA9&lt;0,1,0),IF(AB9&lt;0,1,0),IF(AC9&lt;0,1,0))</f>
        <v>1</v>
      </c>
      <c r="Q9" s="54">
        <f>1+SUM(IF(O9&lt;O6,1,0),IF(O9&lt;O7,1,0),IF(O9&lt;O8,1,0),IF(O9&lt;O5,1,0))</f>
        <v>1</v>
      </c>
      <c r="R9" s="74">
        <f t="shared" ref="R9:T9" si="12">-AD5</f>
        <v>-2</v>
      </c>
      <c r="S9" s="75">
        <f t="shared" si="12"/>
        <v>6</v>
      </c>
      <c r="T9" s="75">
        <f t="shared" si="12"/>
        <v>0</v>
      </c>
      <c r="U9" s="75">
        <f t="shared" ref="U9:W9" si="13">-AD6</f>
        <v>9</v>
      </c>
      <c r="V9" s="75">
        <f t="shared" si="13"/>
        <v>6</v>
      </c>
      <c r="W9" s="75">
        <f t="shared" si="13"/>
        <v>0</v>
      </c>
      <c r="X9" s="75">
        <f t="shared" ref="X9:Z9" si="14">-AD7</f>
        <v>13</v>
      </c>
      <c r="Y9" s="75">
        <f t="shared" si="14"/>
        <v>11</v>
      </c>
      <c r="Z9" s="75">
        <f t="shared" si="14"/>
        <v>0</v>
      </c>
      <c r="AA9" s="75">
        <f t="shared" ref="AA9:AC9" si="15">-AD8</f>
        <v>13</v>
      </c>
      <c r="AB9" s="75">
        <f t="shared" si="15"/>
        <v>10</v>
      </c>
      <c r="AC9" s="75">
        <f t="shared" si="15"/>
        <v>0</v>
      </c>
      <c r="AD9" s="76"/>
      <c r="AE9" s="76"/>
      <c r="AF9" s="76"/>
      <c r="AG9" s="77" t="s">
        <v>168</v>
      </c>
      <c r="AH9" s="77" t="s">
        <v>168</v>
      </c>
      <c r="AI9" s="60">
        <f t="shared" si="1"/>
        <v>1</v>
      </c>
      <c r="AJ9" s="78">
        <f t="shared" si="2"/>
        <v>66</v>
      </c>
      <c r="AK9" s="72">
        <f>1+SUM(IF(AJ9&lt;AJ6,1,0),IF(AJ9&lt;AJ7,1,0),IF(AJ9&lt;AJ8,1,0),IF(AJ9&lt;AJ5,1,0))</f>
        <v>1</v>
      </c>
      <c r="AL9" s="79">
        <f t="shared" si="3"/>
        <v>1</v>
      </c>
      <c r="AM9" s="72">
        <f>1+SUM(IF(AL9&lt;AL6,1,0),IF(AL9&lt;AL7,1,0),IF(AL9&lt;AL8,1,0),IF(AL9&lt;AL5,1,0))</f>
        <v>1</v>
      </c>
      <c r="AN9" s="64">
        <f t="shared" si="4"/>
        <v>0.875</v>
      </c>
      <c r="AO9" s="65">
        <f>1+SUM(IF(AN9&lt;AN6,1,0),IF(AN9&lt;AN7,1,0),IF(AN9&lt;AN8,1,0),IF(AN9&lt;AN5,1,0))</f>
        <v>1</v>
      </c>
      <c r="AP9" s="106">
        <f t="shared" si="5"/>
        <v>8.25</v>
      </c>
      <c r="AQ9" s="73">
        <f>1+SUM(IF(AP9&lt;AP6,1,0),IF(AP9&lt;AP7,1,0),IF(AP9&lt;AP8,1,0),IF(AP9&lt;AP5,1,0))</f>
        <v>1</v>
      </c>
      <c r="AR9" s="68">
        <f>1+SUM(IF(Q9&gt;Q5,1,IF(AND(Q9=Q5,AK9&gt;AK5),1,IF(AND(Q9=Q5,AK9=AK5),1,0))),IF(Q9&gt;Q6,1,IF(AND(Q9=Q6,AK9&gt;AK6),1,IF(AND(Q9=Q6,AK9=AK6),1,0))),IF(Q9&gt;Q7,1,IF(AND(Q9=Q7,AK9&gt;AK7),1,IF(AND(Q9=Q7,AK9=AK7),1,0))),IF(Q9&gt;Q8,1,IF(AND(Q9=Q8,AK9&gt;AK8),1,IF(AND(Q9=Q8,AK9=AK8),1,0))))</f>
        <v>1</v>
      </c>
    </row>
    <row r="10" spans="1:44" ht="12.75" customHeight="1" x14ac:dyDescent="0.2">
      <c r="A10" s="174"/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80"/>
      <c r="AI10" s="41"/>
      <c r="AJ10" s="41"/>
      <c r="AK10" s="41"/>
      <c r="AL10" s="41"/>
      <c r="AM10" s="41"/>
      <c r="AN10" s="41"/>
      <c r="AO10" s="5"/>
      <c r="AP10" s="5"/>
      <c r="AQ10" s="5"/>
      <c r="AR10" s="5"/>
    </row>
    <row r="11" spans="1:44" ht="12.75" customHeight="1" x14ac:dyDescent="0.2">
      <c r="A11" s="136"/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80"/>
      <c r="AI11" s="41"/>
      <c r="AJ11" s="41"/>
      <c r="AK11" s="41"/>
      <c r="AL11" s="41"/>
      <c r="AM11" s="41"/>
      <c r="AN11" s="41"/>
      <c r="AO11" s="5"/>
      <c r="AP11" s="5"/>
      <c r="AQ11" s="5"/>
      <c r="AR11" s="5"/>
    </row>
    <row r="12" spans="1:44" ht="13.5" customHeight="1" x14ac:dyDescent="0.2">
      <c r="A12" s="136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80"/>
      <c r="AI12" s="41"/>
      <c r="AJ12" s="41"/>
      <c r="AK12" s="41"/>
      <c r="AL12" s="41"/>
      <c r="AM12" s="41"/>
      <c r="AN12" s="41"/>
      <c r="AO12" s="5"/>
      <c r="AP12" s="5"/>
      <c r="AQ12" s="5"/>
      <c r="AR12" s="5"/>
    </row>
    <row r="13" spans="1:44" ht="13.5" customHeight="1" x14ac:dyDescent="0.2">
      <c r="A13" s="167"/>
      <c r="B13" s="136"/>
      <c r="C13" s="81" t="s">
        <v>169</v>
      </c>
      <c r="D13" s="82" t="s">
        <v>170</v>
      </c>
      <c r="E13" s="165" t="s">
        <v>169</v>
      </c>
      <c r="F13" s="156"/>
      <c r="G13" s="156"/>
      <c r="H13" s="156"/>
      <c r="I13" s="156"/>
      <c r="J13" s="156"/>
      <c r="K13" s="156"/>
      <c r="L13" s="156"/>
      <c r="M13" s="166"/>
      <c r="N13" s="176" t="s">
        <v>171</v>
      </c>
      <c r="O13" s="177"/>
      <c r="P13" s="178"/>
      <c r="Q13" s="155" t="s">
        <v>172</v>
      </c>
      <c r="R13" s="156"/>
      <c r="S13" s="156"/>
      <c r="T13" s="156"/>
      <c r="U13" s="166"/>
      <c r="V13" s="175" t="s">
        <v>173</v>
      </c>
      <c r="W13" s="156"/>
      <c r="X13" s="156"/>
      <c r="Y13" s="156"/>
      <c r="Z13" s="166"/>
      <c r="AA13" s="155" t="s">
        <v>174</v>
      </c>
      <c r="AB13" s="156"/>
      <c r="AC13" s="156"/>
      <c r="AD13" s="156"/>
      <c r="AE13" s="157"/>
      <c r="AF13" s="83"/>
      <c r="AG13" s="84" t="s">
        <v>175</v>
      </c>
      <c r="AH13" s="49" t="s">
        <v>176</v>
      </c>
      <c r="AI13" s="158" t="s">
        <v>177</v>
      </c>
      <c r="AJ13" s="159"/>
      <c r="AK13" s="41"/>
      <c r="AL13" s="5"/>
      <c r="AM13" s="5"/>
      <c r="AN13" s="5"/>
      <c r="AO13" s="5"/>
      <c r="AP13" s="5"/>
      <c r="AQ13" s="5"/>
      <c r="AR13" s="5"/>
    </row>
    <row r="14" spans="1:44" ht="15.75" customHeight="1" x14ac:dyDescent="0.2">
      <c r="A14" s="85">
        <v>1</v>
      </c>
      <c r="B14" s="86">
        <v>1</v>
      </c>
      <c r="C14" s="117" t="str">
        <f>+B5</f>
        <v>NY Fresh</v>
      </c>
      <c r="D14" s="88">
        <v>2</v>
      </c>
      <c r="E14" s="161" t="str">
        <f>+B6</f>
        <v>Philly CIA Agents</v>
      </c>
      <c r="F14" s="162"/>
      <c r="G14" s="162"/>
      <c r="H14" s="162"/>
      <c r="I14" s="162"/>
      <c r="J14" s="162"/>
      <c r="K14" s="162"/>
      <c r="L14" s="162"/>
      <c r="M14" s="153"/>
      <c r="N14" s="89">
        <v>3</v>
      </c>
      <c r="O14" s="160" t="str">
        <f>+B7</f>
        <v>NY BCVA</v>
      </c>
      <c r="P14" s="153"/>
      <c r="Q14" s="196">
        <v>27</v>
      </c>
      <c r="R14" s="143"/>
      <c r="S14" s="91">
        <v>0</v>
      </c>
      <c r="T14" s="151">
        <v>25</v>
      </c>
      <c r="U14" s="143"/>
      <c r="V14" s="154">
        <v>25</v>
      </c>
      <c r="W14" s="143"/>
      <c r="X14" s="92">
        <v>0</v>
      </c>
      <c r="Y14" s="154">
        <v>20</v>
      </c>
      <c r="Z14" s="143"/>
      <c r="AA14" s="152"/>
      <c r="AB14" s="153"/>
      <c r="AC14" s="93" t="s">
        <v>178</v>
      </c>
      <c r="AD14" s="152"/>
      <c r="AE14" s="153"/>
      <c r="AF14" s="94"/>
      <c r="AG14" s="104" t="str">
        <f t="shared" ref="AG14:AG23" si="16">IF((Q14)+(V14)+(AA14)-(T14)-(Y14)-(AD14)&gt;0,C14,E14)</f>
        <v>NY Fresh</v>
      </c>
      <c r="AH14" s="96">
        <f t="shared" ref="AH14:AH23" si="17">(Q14)+(V14)+(AA14)-(T14)-(Y14)-(AD14)</f>
        <v>7</v>
      </c>
      <c r="AI14" s="147">
        <v>0.375</v>
      </c>
      <c r="AJ14" s="148"/>
      <c r="AK14" s="5"/>
      <c r="AL14" s="5"/>
      <c r="AM14" s="5"/>
      <c r="AN14" s="5"/>
      <c r="AO14" s="5"/>
      <c r="AP14" s="5"/>
      <c r="AQ14" s="5"/>
      <c r="AR14" s="5"/>
    </row>
    <row r="15" spans="1:44" ht="15.75" customHeight="1" x14ac:dyDescent="0.2">
      <c r="A15" s="97">
        <v>2</v>
      </c>
      <c r="B15" s="98">
        <v>3</v>
      </c>
      <c r="C15" s="99" t="str">
        <f>+B7</f>
        <v>NY BCVA</v>
      </c>
      <c r="D15" s="61">
        <v>4</v>
      </c>
      <c r="E15" s="163" t="str">
        <f t="shared" ref="E15:E16" si="18">+B8</f>
        <v>Boston Hurricanes Gold</v>
      </c>
      <c r="F15" s="164"/>
      <c r="G15" s="164"/>
      <c r="H15" s="164"/>
      <c r="I15" s="164"/>
      <c r="J15" s="164"/>
      <c r="K15" s="164"/>
      <c r="L15" s="164"/>
      <c r="M15" s="143"/>
      <c r="N15" s="100">
        <v>2</v>
      </c>
      <c r="O15" s="168" t="str">
        <f>+B6</f>
        <v>Philly CIA Agents</v>
      </c>
      <c r="P15" s="143"/>
      <c r="Q15" s="195">
        <v>25</v>
      </c>
      <c r="R15" s="141"/>
      <c r="S15" s="101">
        <v>0</v>
      </c>
      <c r="T15" s="144">
        <v>14</v>
      </c>
      <c r="U15" s="141"/>
      <c r="V15" s="140">
        <v>16</v>
      </c>
      <c r="W15" s="141"/>
      <c r="X15" s="102">
        <v>0</v>
      </c>
      <c r="Y15" s="140">
        <v>25</v>
      </c>
      <c r="Z15" s="141"/>
      <c r="AA15" s="142"/>
      <c r="AB15" s="143"/>
      <c r="AC15" s="103" t="s">
        <v>178</v>
      </c>
      <c r="AD15" s="142"/>
      <c r="AE15" s="143"/>
      <c r="AF15" s="94"/>
      <c r="AG15" s="129" t="str">
        <f t="shared" si="16"/>
        <v>NY BCVA</v>
      </c>
      <c r="AH15" s="96">
        <f t="shared" si="17"/>
        <v>2</v>
      </c>
      <c r="AI15" s="149">
        <v>0.40972222222222227</v>
      </c>
      <c r="AJ15" s="150"/>
      <c r="AK15" s="5"/>
      <c r="AL15" s="5"/>
      <c r="AM15" s="5"/>
      <c r="AN15" s="5"/>
      <c r="AO15" s="5"/>
      <c r="AP15" s="5"/>
      <c r="AQ15" s="5"/>
      <c r="AR15" s="5"/>
    </row>
    <row r="16" spans="1:44" ht="15.75" customHeight="1" x14ac:dyDescent="0.2">
      <c r="A16" s="97">
        <v>3</v>
      </c>
      <c r="B16" s="98">
        <v>1</v>
      </c>
      <c r="C16" s="99" t="str">
        <f t="shared" ref="C16:C17" si="19">+B5</f>
        <v>NY Fresh</v>
      </c>
      <c r="D16" s="61">
        <v>5</v>
      </c>
      <c r="E16" s="163" t="str">
        <f t="shared" si="18"/>
        <v>Toronto United</v>
      </c>
      <c r="F16" s="164"/>
      <c r="G16" s="164"/>
      <c r="H16" s="164"/>
      <c r="I16" s="164"/>
      <c r="J16" s="164"/>
      <c r="K16" s="164"/>
      <c r="L16" s="164"/>
      <c r="M16" s="143"/>
      <c r="N16" s="100">
        <v>4</v>
      </c>
      <c r="O16" s="168" t="str">
        <f>+B8</f>
        <v>Boston Hurricanes Gold</v>
      </c>
      <c r="P16" s="143"/>
      <c r="Q16" s="195">
        <v>25</v>
      </c>
      <c r="R16" s="141"/>
      <c r="S16" s="101">
        <v>0</v>
      </c>
      <c r="T16" s="144">
        <v>23</v>
      </c>
      <c r="U16" s="141"/>
      <c r="V16" s="140">
        <v>19</v>
      </c>
      <c r="W16" s="141"/>
      <c r="X16" s="102">
        <v>0</v>
      </c>
      <c r="Y16" s="140">
        <v>25</v>
      </c>
      <c r="Z16" s="141"/>
      <c r="AA16" s="142"/>
      <c r="AB16" s="143"/>
      <c r="AC16" s="103" t="s">
        <v>178</v>
      </c>
      <c r="AD16" s="142"/>
      <c r="AE16" s="143"/>
      <c r="AF16" s="94"/>
      <c r="AG16" s="129" t="str">
        <f t="shared" si="16"/>
        <v>Toronto United</v>
      </c>
      <c r="AH16" s="96">
        <f t="shared" si="17"/>
        <v>-4</v>
      </c>
      <c r="AI16" s="149">
        <v>0.44444444444444442</v>
      </c>
      <c r="AJ16" s="150"/>
      <c r="AK16" s="5"/>
      <c r="AL16" s="5"/>
      <c r="AM16" s="5"/>
      <c r="AN16" s="5"/>
      <c r="AO16" s="5"/>
      <c r="AP16" s="5"/>
      <c r="AQ16" s="5"/>
      <c r="AR16" s="5"/>
    </row>
    <row r="17" spans="1:44" ht="15.75" customHeight="1" x14ac:dyDescent="0.2">
      <c r="A17" s="97">
        <v>4</v>
      </c>
      <c r="B17" s="98">
        <v>2</v>
      </c>
      <c r="C17" s="99" t="str">
        <f t="shared" si="19"/>
        <v>Philly CIA Agents</v>
      </c>
      <c r="D17" s="61">
        <v>3</v>
      </c>
      <c r="E17" s="163" t="str">
        <f>+B7</f>
        <v>NY BCVA</v>
      </c>
      <c r="F17" s="164"/>
      <c r="G17" s="164"/>
      <c r="H17" s="164"/>
      <c r="I17" s="164"/>
      <c r="J17" s="164"/>
      <c r="K17" s="164"/>
      <c r="L17" s="164"/>
      <c r="M17" s="143"/>
      <c r="N17" s="100">
        <v>1</v>
      </c>
      <c r="O17" s="168" t="str">
        <f>+B5</f>
        <v>NY Fresh</v>
      </c>
      <c r="P17" s="143"/>
      <c r="Q17" s="195">
        <v>25</v>
      </c>
      <c r="R17" s="141"/>
      <c r="S17" s="101">
        <v>0</v>
      </c>
      <c r="T17" s="144">
        <v>14</v>
      </c>
      <c r="U17" s="141"/>
      <c r="V17" s="140">
        <v>25</v>
      </c>
      <c r="W17" s="141"/>
      <c r="X17" s="102">
        <v>0</v>
      </c>
      <c r="Y17" s="140">
        <v>15</v>
      </c>
      <c r="Z17" s="141"/>
      <c r="AA17" s="142"/>
      <c r="AB17" s="143"/>
      <c r="AC17" s="103" t="s">
        <v>178</v>
      </c>
      <c r="AD17" s="142"/>
      <c r="AE17" s="143"/>
      <c r="AF17" s="94"/>
      <c r="AG17" s="129" t="str">
        <f t="shared" si="16"/>
        <v>Philly CIA Agents</v>
      </c>
      <c r="AH17" s="96">
        <f t="shared" si="17"/>
        <v>21</v>
      </c>
      <c r="AI17" s="149">
        <v>0.47916666666666669</v>
      </c>
      <c r="AJ17" s="150"/>
      <c r="AK17" s="5"/>
      <c r="AL17" s="5"/>
      <c r="AM17" s="5"/>
      <c r="AN17" s="5"/>
      <c r="AO17" s="5"/>
      <c r="AP17" s="5"/>
      <c r="AQ17" s="5"/>
      <c r="AR17" s="5"/>
    </row>
    <row r="18" spans="1:44" ht="15.75" customHeight="1" x14ac:dyDescent="0.2">
      <c r="A18" s="97">
        <v>5</v>
      </c>
      <c r="B18" s="98">
        <v>4</v>
      </c>
      <c r="C18" s="99" t="str">
        <f>+B8</f>
        <v>Boston Hurricanes Gold</v>
      </c>
      <c r="D18" s="61">
        <v>5</v>
      </c>
      <c r="E18" s="163" t="str">
        <f>+B9</f>
        <v>Toronto United</v>
      </c>
      <c r="F18" s="164"/>
      <c r="G18" s="164"/>
      <c r="H18" s="164"/>
      <c r="I18" s="164"/>
      <c r="J18" s="164"/>
      <c r="K18" s="164"/>
      <c r="L18" s="164"/>
      <c r="M18" s="143"/>
      <c r="N18" s="100">
        <v>3</v>
      </c>
      <c r="O18" s="168" t="str">
        <f>+B7</f>
        <v>NY BCVA</v>
      </c>
      <c r="P18" s="143"/>
      <c r="Q18" s="195">
        <v>12</v>
      </c>
      <c r="R18" s="141"/>
      <c r="S18" s="101">
        <v>0</v>
      </c>
      <c r="T18" s="144">
        <v>25</v>
      </c>
      <c r="U18" s="141"/>
      <c r="V18" s="140">
        <v>15</v>
      </c>
      <c r="W18" s="141"/>
      <c r="X18" s="102">
        <v>0</v>
      </c>
      <c r="Y18" s="140">
        <v>25</v>
      </c>
      <c r="Z18" s="141"/>
      <c r="AA18" s="142"/>
      <c r="AB18" s="143"/>
      <c r="AC18" s="103" t="s">
        <v>178</v>
      </c>
      <c r="AD18" s="142"/>
      <c r="AE18" s="143"/>
      <c r="AF18" s="94"/>
      <c r="AG18" s="129" t="str">
        <f t="shared" si="16"/>
        <v>Toronto United</v>
      </c>
      <c r="AH18" s="96">
        <f t="shared" si="17"/>
        <v>-23</v>
      </c>
      <c r="AI18" s="149">
        <v>0.53472222222222221</v>
      </c>
      <c r="AJ18" s="150"/>
      <c r="AK18" s="5"/>
      <c r="AL18" s="5"/>
      <c r="AM18" s="5"/>
      <c r="AN18" s="5"/>
      <c r="AO18" s="5"/>
      <c r="AP18" s="5"/>
      <c r="AQ18" s="5"/>
      <c r="AR18" s="5"/>
    </row>
    <row r="19" spans="1:44" ht="15.75" customHeight="1" x14ac:dyDescent="0.2">
      <c r="A19" s="97">
        <v>6</v>
      </c>
      <c r="B19" s="98">
        <v>1</v>
      </c>
      <c r="C19" s="99" t="str">
        <f t="shared" ref="C19:C21" si="20">+B5</f>
        <v>NY Fresh</v>
      </c>
      <c r="D19" s="61">
        <v>3</v>
      </c>
      <c r="E19" s="163" t="str">
        <f t="shared" ref="E19:E21" si="21">+B7</f>
        <v>NY BCVA</v>
      </c>
      <c r="F19" s="164"/>
      <c r="G19" s="164"/>
      <c r="H19" s="164"/>
      <c r="I19" s="164"/>
      <c r="J19" s="164"/>
      <c r="K19" s="164"/>
      <c r="L19" s="164"/>
      <c r="M19" s="143"/>
      <c r="N19" s="100">
        <v>5</v>
      </c>
      <c r="O19" s="168" t="str">
        <f>+B9</f>
        <v>Toronto United</v>
      </c>
      <c r="P19" s="143"/>
      <c r="Q19" s="195">
        <v>25</v>
      </c>
      <c r="R19" s="141"/>
      <c r="S19" s="101">
        <v>0</v>
      </c>
      <c r="T19" s="144">
        <v>13</v>
      </c>
      <c r="U19" s="141"/>
      <c r="V19" s="140">
        <v>27</v>
      </c>
      <c r="W19" s="141"/>
      <c r="X19" s="102">
        <v>0</v>
      </c>
      <c r="Y19" s="140">
        <v>25</v>
      </c>
      <c r="Z19" s="141"/>
      <c r="AA19" s="142"/>
      <c r="AB19" s="143"/>
      <c r="AC19" s="103" t="s">
        <v>178</v>
      </c>
      <c r="AD19" s="142"/>
      <c r="AE19" s="143"/>
      <c r="AF19" s="94"/>
      <c r="AG19" s="129" t="str">
        <f t="shared" si="16"/>
        <v>NY Fresh</v>
      </c>
      <c r="AH19" s="96">
        <f t="shared" si="17"/>
        <v>14</v>
      </c>
      <c r="AI19" s="149">
        <v>6.9444444444444434E-2</v>
      </c>
      <c r="AJ19" s="150"/>
      <c r="AK19" s="5"/>
      <c r="AL19" s="5"/>
      <c r="AM19" s="5"/>
      <c r="AN19" s="5"/>
      <c r="AO19" s="5"/>
      <c r="AP19" s="5"/>
      <c r="AQ19" s="5"/>
      <c r="AR19" s="5"/>
    </row>
    <row r="20" spans="1:44" ht="15.75" customHeight="1" x14ac:dyDescent="0.2">
      <c r="A20" s="97">
        <v>7</v>
      </c>
      <c r="B20" s="98">
        <v>2</v>
      </c>
      <c r="C20" s="99" t="str">
        <f t="shared" si="20"/>
        <v>Philly CIA Agents</v>
      </c>
      <c r="D20" s="61">
        <v>4</v>
      </c>
      <c r="E20" s="163" t="str">
        <f t="shared" si="21"/>
        <v>Boston Hurricanes Gold</v>
      </c>
      <c r="F20" s="164"/>
      <c r="G20" s="164"/>
      <c r="H20" s="164"/>
      <c r="I20" s="164"/>
      <c r="J20" s="164"/>
      <c r="K20" s="164"/>
      <c r="L20" s="164"/>
      <c r="M20" s="143"/>
      <c r="N20" s="100">
        <v>1</v>
      </c>
      <c r="O20" s="168" t="str">
        <f t="shared" ref="O20:O21" si="22">+B5</f>
        <v>NY Fresh</v>
      </c>
      <c r="P20" s="143"/>
      <c r="Q20" s="195">
        <v>25</v>
      </c>
      <c r="R20" s="141"/>
      <c r="S20" s="101">
        <v>0</v>
      </c>
      <c r="T20" s="144">
        <v>12</v>
      </c>
      <c r="U20" s="141"/>
      <c r="V20" s="140">
        <v>25</v>
      </c>
      <c r="W20" s="141"/>
      <c r="X20" s="102">
        <v>0</v>
      </c>
      <c r="Y20" s="140">
        <v>11</v>
      </c>
      <c r="Z20" s="141"/>
      <c r="AA20" s="142"/>
      <c r="AB20" s="143"/>
      <c r="AC20" s="103" t="s">
        <v>178</v>
      </c>
      <c r="AD20" s="142"/>
      <c r="AE20" s="143"/>
      <c r="AF20" s="94"/>
      <c r="AG20" s="129" t="str">
        <f t="shared" si="16"/>
        <v>Philly CIA Agents</v>
      </c>
      <c r="AH20" s="96">
        <f t="shared" si="17"/>
        <v>27</v>
      </c>
      <c r="AI20" s="149">
        <v>0.10416666666666667</v>
      </c>
      <c r="AJ20" s="150"/>
      <c r="AK20" s="5"/>
      <c r="AL20" s="5"/>
      <c r="AM20" s="5"/>
      <c r="AN20" s="5"/>
      <c r="AO20" s="5"/>
      <c r="AP20" s="5"/>
      <c r="AQ20" s="5"/>
      <c r="AR20" s="5"/>
    </row>
    <row r="21" spans="1:44" ht="15.75" customHeight="1" x14ac:dyDescent="0.2">
      <c r="A21" s="97">
        <v>8</v>
      </c>
      <c r="B21" s="98">
        <v>3</v>
      </c>
      <c r="C21" s="99" t="str">
        <f t="shared" si="20"/>
        <v>NY BCVA</v>
      </c>
      <c r="D21" s="61">
        <v>5</v>
      </c>
      <c r="E21" s="163" t="str">
        <f t="shared" si="21"/>
        <v>Toronto United</v>
      </c>
      <c r="F21" s="164"/>
      <c r="G21" s="164"/>
      <c r="H21" s="164"/>
      <c r="I21" s="164"/>
      <c r="J21" s="164"/>
      <c r="K21" s="164"/>
      <c r="L21" s="164"/>
      <c r="M21" s="143"/>
      <c r="N21" s="100">
        <v>2</v>
      </c>
      <c r="O21" s="168" t="str">
        <f t="shared" si="22"/>
        <v>Philly CIA Agents</v>
      </c>
      <c r="P21" s="143"/>
      <c r="Q21" s="195">
        <v>12</v>
      </c>
      <c r="R21" s="141"/>
      <c r="S21" s="101">
        <v>0</v>
      </c>
      <c r="T21" s="144">
        <v>25</v>
      </c>
      <c r="U21" s="141"/>
      <c r="V21" s="140">
        <v>14</v>
      </c>
      <c r="W21" s="141"/>
      <c r="X21" s="102">
        <v>0</v>
      </c>
      <c r="Y21" s="140">
        <v>25</v>
      </c>
      <c r="Z21" s="141"/>
      <c r="AA21" s="142"/>
      <c r="AB21" s="143"/>
      <c r="AC21" s="103" t="s">
        <v>178</v>
      </c>
      <c r="AD21" s="142"/>
      <c r="AE21" s="143"/>
      <c r="AF21" s="94"/>
      <c r="AG21" s="129" t="str">
        <f t="shared" si="16"/>
        <v>Toronto United</v>
      </c>
      <c r="AH21" s="96">
        <f t="shared" si="17"/>
        <v>-24</v>
      </c>
      <c r="AI21" s="149">
        <v>0.15972222222222224</v>
      </c>
      <c r="AJ21" s="150"/>
      <c r="AK21" s="5"/>
      <c r="AL21" s="5"/>
      <c r="AM21" s="5"/>
      <c r="AN21" s="5"/>
      <c r="AO21" s="5"/>
      <c r="AP21" s="5"/>
      <c r="AQ21" s="5"/>
      <c r="AR21" s="5"/>
    </row>
    <row r="22" spans="1:44" ht="15.75" customHeight="1" x14ac:dyDescent="0.2">
      <c r="A22" s="97">
        <v>9</v>
      </c>
      <c r="B22" s="98">
        <v>1</v>
      </c>
      <c r="C22" s="99" t="str">
        <f t="shared" ref="C22:C23" si="23">+B5</f>
        <v>NY Fresh</v>
      </c>
      <c r="D22" s="61">
        <v>4</v>
      </c>
      <c r="E22" s="163" t="str">
        <f t="shared" ref="E22:E23" si="24">+B8</f>
        <v>Boston Hurricanes Gold</v>
      </c>
      <c r="F22" s="164"/>
      <c r="G22" s="164"/>
      <c r="H22" s="164"/>
      <c r="I22" s="164"/>
      <c r="J22" s="164"/>
      <c r="K22" s="164"/>
      <c r="L22" s="164"/>
      <c r="M22" s="143"/>
      <c r="N22" s="100">
        <v>5</v>
      </c>
      <c r="O22" s="168" t="str">
        <f>+B9</f>
        <v>Toronto United</v>
      </c>
      <c r="P22" s="143"/>
      <c r="Q22" s="195">
        <v>25</v>
      </c>
      <c r="R22" s="141"/>
      <c r="S22" s="101">
        <v>0</v>
      </c>
      <c r="T22" s="144">
        <v>14</v>
      </c>
      <c r="U22" s="141"/>
      <c r="V22" s="140">
        <v>25</v>
      </c>
      <c r="W22" s="141"/>
      <c r="X22" s="102">
        <v>0</v>
      </c>
      <c r="Y22" s="140">
        <v>15</v>
      </c>
      <c r="Z22" s="141"/>
      <c r="AA22" s="142"/>
      <c r="AB22" s="143"/>
      <c r="AC22" s="103" t="s">
        <v>178</v>
      </c>
      <c r="AD22" s="142"/>
      <c r="AE22" s="143"/>
      <c r="AF22" s="94"/>
      <c r="AG22" s="129" t="str">
        <f t="shared" si="16"/>
        <v>NY Fresh</v>
      </c>
      <c r="AH22" s="96">
        <f t="shared" si="17"/>
        <v>21</v>
      </c>
      <c r="AI22" s="149">
        <v>0.19444444444444445</v>
      </c>
      <c r="AJ22" s="150"/>
      <c r="AK22" s="5"/>
      <c r="AL22" s="5"/>
      <c r="AM22" s="5"/>
      <c r="AN22" s="5"/>
      <c r="AO22" s="5"/>
      <c r="AP22" s="5"/>
      <c r="AQ22" s="5"/>
      <c r="AR22" s="5"/>
    </row>
    <row r="23" spans="1:44" ht="15.75" customHeight="1" x14ac:dyDescent="0.2">
      <c r="A23" s="109">
        <v>10</v>
      </c>
      <c r="B23" s="110">
        <v>2</v>
      </c>
      <c r="C23" s="111" t="str">
        <f t="shared" si="23"/>
        <v>Philly CIA Agents</v>
      </c>
      <c r="D23" s="78">
        <v>5</v>
      </c>
      <c r="E23" s="188" t="str">
        <f t="shared" si="24"/>
        <v>Toronto United</v>
      </c>
      <c r="F23" s="189"/>
      <c r="G23" s="189"/>
      <c r="H23" s="189"/>
      <c r="I23" s="189"/>
      <c r="J23" s="189"/>
      <c r="K23" s="189"/>
      <c r="L23" s="189"/>
      <c r="M23" s="146"/>
      <c r="N23" s="112">
        <v>4</v>
      </c>
      <c r="O23" s="187" t="str">
        <f>+B8</f>
        <v>Boston Hurricanes Gold</v>
      </c>
      <c r="P23" s="146"/>
      <c r="Q23" s="195">
        <v>16</v>
      </c>
      <c r="R23" s="141"/>
      <c r="S23" s="101">
        <v>0</v>
      </c>
      <c r="T23" s="144">
        <v>25</v>
      </c>
      <c r="U23" s="141"/>
      <c r="V23" s="140">
        <v>19</v>
      </c>
      <c r="W23" s="141"/>
      <c r="X23" s="102">
        <v>0</v>
      </c>
      <c r="Y23" s="140">
        <v>25</v>
      </c>
      <c r="Z23" s="141"/>
      <c r="AA23" s="145"/>
      <c r="AB23" s="146"/>
      <c r="AC23" s="113" t="s">
        <v>178</v>
      </c>
      <c r="AD23" s="145"/>
      <c r="AE23" s="146"/>
      <c r="AF23" s="94"/>
      <c r="AG23" s="131" t="str">
        <f t="shared" si="16"/>
        <v>Toronto United</v>
      </c>
      <c r="AH23" s="96">
        <f t="shared" si="17"/>
        <v>-15</v>
      </c>
      <c r="AI23" s="184">
        <v>0.22916666666666666</v>
      </c>
      <c r="AJ23" s="185"/>
      <c r="AK23" s="5"/>
      <c r="AL23" s="5"/>
      <c r="AM23" s="5"/>
      <c r="AN23" s="5"/>
      <c r="AO23" s="5"/>
      <c r="AP23" s="5"/>
      <c r="AQ23" s="5"/>
      <c r="AR23" s="5"/>
    </row>
    <row r="24" spans="1:44" ht="12.75" customHeight="1" x14ac:dyDescent="0.2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5"/>
      <c r="AM24" s="5"/>
      <c r="AN24" s="5"/>
      <c r="AO24" s="5"/>
      <c r="AP24" s="5"/>
      <c r="AQ24" s="5"/>
      <c r="AR24" s="5"/>
    </row>
    <row r="25" spans="1:44" ht="12.75" customHeight="1" x14ac:dyDescent="0.2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5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5"/>
      <c r="AM25" s="5"/>
      <c r="AN25" s="5"/>
      <c r="AO25" s="5"/>
      <c r="AP25" s="5"/>
      <c r="AQ25" s="5"/>
      <c r="AR25" s="5"/>
    </row>
    <row r="26" spans="1:44" ht="12.75" customHeight="1" x14ac:dyDescent="0.2">
      <c r="A26" s="41"/>
      <c r="B26" s="57"/>
      <c r="C26" s="57" t="s">
        <v>179</v>
      </c>
      <c r="D26" s="57" t="s">
        <v>157</v>
      </c>
      <c r="E26" s="57" t="s">
        <v>180</v>
      </c>
      <c r="F26" s="57" t="s">
        <v>165</v>
      </c>
      <c r="G26" s="57" t="s">
        <v>166</v>
      </c>
      <c r="H26" s="41"/>
      <c r="I26" s="41"/>
      <c r="J26" s="41"/>
      <c r="K26" s="41"/>
      <c r="L26" s="41"/>
      <c r="M26" s="41"/>
      <c r="N26" s="41"/>
      <c r="O26" s="41"/>
      <c r="P26" s="41"/>
      <c r="Q26" s="5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5"/>
      <c r="AM26" s="5"/>
      <c r="AN26" s="5"/>
      <c r="AO26" s="5"/>
      <c r="AP26" s="5"/>
      <c r="AQ26" s="5"/>
      <c r="AR26" s="5"/>
    </row>
    <row r="27" spans="1:44" ht="12.75" customHeight="1" x14ac:dyDescent="0.2">
      <c r="A27" s="41"/>
      <c r="B27" s="57">
        <v>1</v>
      </c>
      <c r="C27" s="57" t="str">
        <f t="shared" ref="C27:C31" si="25">VLOOKUP(B27,$A$5:$AR$9,2,FALSE)</f>
        <v>Toronto United</v>
      </c>
      <c r="D27" s="57">
        <f t="shared" ref="D27:D31" si="26">VLOOKUP(B27,$A$5:$AR$9,15,FALSE)</f>
        <v>7</v>
      </c>
      <c r="E27" s="57">
        <f t="shared" ref="E27:E31" si="27">VLOOKUP(B27,$A$5:$AR$9,36,FALSE)</f>
        <v>66</v>
      </c>
      <c r="F27" s="114">
        <f t="shared" ref="F27:F31" si="28">VLOOKUP(B27,$A$5:$AR$9,40,FALSE)</f>
        <v>0.875</v>
      </c>
      <c r="G27" s="114">
        <f t="shared" ref="G27:G31" si="29">VLOOKUP(B27,$A$5:$AR$9,42,FALSE)</f>
        <v>8.25</v>
      </c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5"/>
      <c r="AM27" s="5"/>
      <c r="AN27" s="5"/>
      <c r="AO27" s="5"/>
      <c r="AP27" s="5"/>
      <c r="AQ27" s="5"/>
      <c r="AR27" s="5"/>
    </row>
    <row r="28" spans="1:44" ht="12.75" customHeight="1" x14ac:dyDescent="0.2">
      <c r="A28" s="41"/>
      <c r="B28" s="57">
        <v>2</v>
      </c>
      <c r="C28" s="57" t="str">
        <f t="shared" si="25"/>
        <v>NY Fresh</v>
      </c>
      <c r="D28" s="57">
        <f t="shared" si="26"/>
        <v>7</v>
      </c>
      <c r="E28" s="57">
        <f t="shared" si="27"/>
        <v>38</v>
      </c>
      <c r="F28" s="114">
        <f t="shared" si="28"/>
        <v>0.875</v>
      </c>
      <c r="G28" s="114">
        <f t="shared" si="29"/>
        <v>4.75</v>
      </c>
      <c r="H28" s="41"/>
      <c r="I28" s="41"/>
      <c r="J28" s="41"/>
      <c r="K28" s="41"/>
      <c r="L28" s="41"/>
      <c r="M28" s="41"/>
      <c r="N28" s="41"/>
      <c r="O28" s="41"/>
      <c r="P28" s="5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183"/>
      <c r="AK28" s="136"/>
      <c r="AL28" s="5"/>
      <c r="AM28" s="5"/>
      <c r="AN28" s="5"/>
      <c r="AO28" s="5"/>
      <c r="AP28" s="5"/>
      <c r="AQ28" s="5"/>
      <c r="AR28" s="5"/>
    </row>
    <row r="29" spans="1:44" ht="12.75" customHeight="1" x14ac:dyDescent="0.2">
      <c r="A29" s="5"/>
      <c r="B29" s="14">
        <v>3</v>
      </c>
      <c r="C29" s="57" t="str">
        <f t="shared" si="25"/>
        <v>Philly CIA Agents</v>
      </c>
      <c r="D29" s="57">
        <f t="shared" si="26"/>
        <v>4</v>
      </c>
      <c r="E29" s="57">
        <f t="shared" si="27"/>
        <v>26</v>
      </c>
      <c r="F29" s="114">
        <f t="shared" si="28"/>
        <v>0.5</v>
      </c>
      <c r="G29" s="114">
        <f t="shared" si="29"/>
        <v>3.25</v>
      </c>
      <c r="H29" s="41"/>
      <c r="I29" s="41"/>
      <c r="J29" s="41"/>
      <c r="K29" s="41"/>
      <c r="L29" s="41"/>
      <c r="M29" s="41"/>
      <c r="N29" s="41"/>
      <c r="O29" s="41"/>
      <c r="P29" s="5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115"/>
      <c r="AK29" s="41"/>
      <c r="AL29" s="5"/>
      <c r="AM29" s="5"/>
      <c r="AN29" s="5"/>
      <c r="AO29" s="5"/>
      <c r="AP29" s="5"/>
      <c r="AQ29" s="5"/>
      <c r="AR29" s="5"/>
    </row>
    <row r="30" spans="1:44" ht="12.75" customHeight="1" x14ac:dyDescent="0.2">
      <c r="A30" s="5"/>
      <c r="B30" s="14">
        <v>4</v>
      </c>
      <c r="C30" s="57" t="str">
        <f t="shared" si="25"/>
        <v>NY BCVA</v>
      </c>
      <c r="D30" s="57">
        <f t="shared" si="26"/>
        <v>1</v>
      </c>
      <c r="E30" s="57">
        <f t="shared" si="27"/>
        <v>-57</v>
      </c>
      <c r="F30" s="114">
        <f t="shared" si="28"/>
        <v>0.125</v>
      </c>
      <c r="G30" s="114">
        <f t="shared" si="29"/>
        <v>-7.125</v>
      </c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115"/>
      <c r="AK30" s="41"/>
      <c r="AL30" s="5"/>
      <c r="AM30" s="5"/>
      <c r="AN30" s="5"/>
      <c r="AO30" s="5"/>
      <c r="AP30" s="5"/>
      <c r="AQ30" s="5"/>
      <c r="AR30" s="5"/>
    </row>
    <row r="31" spans="1:44" ht="12.75" customHeight="1" x14ac:dyDescent="0.2">
      <c r="A31" s="5"/>
      <c r="B31" s="14">
        <v>5</v>
      </c>
      <c r="C31" s="57" t="str">
        <f t="shared" si="25"/>
        <v>Boston Hurricanes Gold</v>
      </c>
      <c r="D31" s="57">
        <f t="shared" si="26"/>
        <v>1</v>
      </c>
      <c r="E31" s="57">
        <f t="shared" si="27"/>
        <v>-73</v>
      </c>
      <c r="F31" s="114">
        <f t="shared" si="28"/>
        <v>0.125</v>
      </c>
      <c r="G31" s="114">
        <f t="shared" si="29"/>
        <v>-9.125</v>
      </c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115"/>
      <c r="AK31" s="41"/>
      <c r="AL31" s="5"/>
      <c r="AM31" s="5"/>
      <c r="AN31" s="5"/>
      <c r="AO31" s="5"/>
      <c r="AP31" s="5"/>
      <c r="AQ31" s="5"/>
      <c r="AR31" s="5"/>
    </row>
    <row r="32" spans="1:44" ht="12.75" customHeight="1" x14ac:dyDescent="0.2">
      <c r="A32" s="5"/>
      <c r="B32" s="5"/>
      <c r="C32" s="5"/>
      <c r="D32" s="5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115"/>
      <c r="AK32" s="41"/>
      <c r="AL32" s="5"/>
      <c r="AM32" s="5"/>
      <c r="AN32" s="5"/>
      <c r="AO32" s="5"/>
      <c r="AP32" s="5"/>
      <c r="AQ32" s="5"/>
      <c r="AR32" s="5"/>
    </row>
  </sheetData>
  <mergeCells count="124">
    <mergeCell ref="A3:AG3"/>
    <mergeCell ref="A1:AG1"/>
    <mergeCell ref="A2:AG2"/>
    <mergeCell ref="B5:D5"/>
    <mergeCell ref="B6:D6"/>
    <mergeCell ref="J9:N9"/>
    <mergeCell ref="E9:I9"/>
    <mergeCell ref="E19:M19"/>
    <mergeCell ref="O19:P19"/>
    <mergeCell ref="E23:M23"/>
    <mergeCell ref="E22:M22"/>
    <mergeCell ref="O23:P23"/>
    <mergeCell ref="O22:P22"/>
    <mergeCell ref="AD22:AE22"/>
    <mergeCell ref="AD21:AE21"/>
    <mergeCell ref="AD23:AE23"/>
    <mergeCell ref="AA23:AB23"/>
    <mergeCell ref="AA22:AB22"/>
    <mergeCell ref="O20:P20"/>
    <mergeCell ref="O21:P21"/>
    <mergeCell ref="T15:U15"/>
    <mergeCell ref="T16:U16"/>
    <mergeCell ref="O17:P17"/>
    <mergeCell ref="O18:P18"/>
    <mergeCell ref="V16:W16"/>
    <mergeCell ref="V15:W15"/>
    <mergeCell ref="E15:M15"/>
    <mergeCell ref="E16:M16"/>
    <mergeCell ref="E20:M20"/>
    <mergeCell ref="E21:M21"/>
    <mergeCell ref="E18:M18"/>
    <mergeCell ref="E17:M17"/>
    <mergeCell ref="AJ28:AK28"/>
    <mergeCell ref="AI16:AJ16"/>
    <mergeCell ref="AA19:AB19"/>
    <mergeCell ref="AD19:AE19"/>
    <mergeCell ref="AD18:AE18"/>
    <mergeCell ref="AD17:AE17"/>
    <mergeCell ref="Y19:Z19"/>
    <mergeCell ref="Y18:Z18"/>
    <mergeCell ref="Y17:Z17"/>
    <mergeCell ref="AA21:AB21"/>
    <mergeCell ref="Y21:Z21"/>
    <mergeCell ref="Y20:Z20"/>
    <mergeCell ref="Y23:Z23"/>
    <mergeCell ref="Y22:Z22"/>
    <mergeCell ref="AA20:AB20"/>
    <mergeCell ref="AD20:AE20"/>
    <mergeCell ref="AA17:AB17"/>
    <mergeCell ref="AA18:AB18"/>
    <mergeCell ref="AI20:AJ20"/>
    <mergeCell ref="AI23:AJ23"/>
    <mergeCell ref="AI21:AJ21"/>
    <mergeCell ref="AI22:AJ22"/>
    <mergeCell ref="AI18:AJ18"/>
    <mergeCell ref="AI17:AJ17"/>
    <mergeCell ref="AI15:AJ15"/>
    <mergeCell ref="AI19:AJ19"/>
    <mergeCell ref="AD15:AE15"/>
    <mergeCell ref="AA15:AB15"/>
    <mergeCell ref="AD16:AE16"/>
    <mergeCell ref="AA16:AB16"/>
    <mergeCell ref="Y15:Z15"/>
    <mergeCell ref="Y16:Z16"/>
    <mergeCell ref="Q16:R16"/>
    <mergeCell ref="O15:P15"/>
    <mergeCell ref="Q15:R15"/>
    <mergeCell ref="O16:P16"/>
    <mergeCell ref="E13:M13"/>
    <mergeCell ref="A13:B13"/>
    <mergeCell ref="AJ4:AK4"/>
    <mergeCell ref="AN4:AO4"/>
    <mergeCell ref="AP4:AQ4"/>
    <mergeCell ref="B9:D9"/>
    <mergeCell ref="A10:AG12"/>
    <mergeCell ref="J5:N5"/>
    <mergeCell ref="AA14:AB14"/>
    <mergeCell ref="Y14:Z14"/>
    <mergeCell ref="AD14:AE14"/>
    <mergeCell ref="O14:P14"/>
    <mergeCell ref="AI14:AJ14"/>
    <mergeCell ref="AI13:AJ13"/>
    <mergeCell ref="AA13:AE13"/>
    <mergeCell ref="V13:Z13"/>
    <mergeCell ref="N13:P13"/>
    <mergeCell ref="Q13:U13"/>
    <mergeCell ref="Q14:R14"/>
    <mergeCell ref="T14:U14"/>
    <mergeCell ref="E14:M14"/>
    <mergeCell ref="V14:W14"/>
    <mergeCell ref="R4:AF4"/>
    <mergeCell ref="E4:I4"/>
    <mergeCell ref="E6:I6"/>
    <mergeCell ref="E5:I5"/>
    <mergeCell ref="E7:I7"/>
    <mergeCell ref="E8:I8"/>
    <mergeCell ref="B7:D7"/>
    <mergeCell ref="B8:D8"/>
    <mergeCell ref="J6:N6"/>
    <mergeCell ref="J8:N8"/>
    <mergeCell ref="J7:N7"/>
    <mergeCell ref="B4:D4"/>
    <mergeCell ref="J4:N4"/>
    <mergeCell ref="T18:U18"/>
    <mergeCell ref="Q17:R17"/>
    <mergeCell ref="T17:U17"/>
    <mergeCell ref="V17:W17"/>
    <mergeCell ref="V18:W18"/>
    <mergeCell ref="Q18:R18"/>
    <mergeCell ref="Q22:R22"/>
    <mergeCell ref="Q23:R23"/>
    <mergeCell ref="Q19:R19"/>
    <mergeCell ref="Q20:R20"/>
    <mergeCell ref="Q21:R21"/>
    <mergeCell ref="T22:U22"/>
    <mergeCell ref="T23:U23"/>
    <mergeCell ref="T20:U20"/>
    <mergeCell ref="V20:W20"/>
    <mergeCell ref="V22:W22"/>
    <mergeCell ref="V21:W21"/>
    <mergeCell ref="T19:U19"/>
    <mergeCell ref="V23:W23"/>
    <mergeCell ref="T21:U21"/>
    <mergeCell ref="V19:W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outlinePr summaryBelow="0" summaryRight="0"/>
  </sheetPr>
  <dimension ref="A1:L9"/>
  <sheetViews>
    <sheetView showGridLines="0" workbookViewId="0"/>
  </sheetViews>
  <sheetFormatPr baseColWidth="10" defaultColWidth="17.33203125" defaultRowHeight="15" customHeight="1" x14ac:dyDescent="0.2"/>
  <cols>
    <col min="1" max="1" width="3" customWidth="1"/>
    <col min="2" max="10" width="15.6640625" customWidth="1"/>
    <col min="11" max="11" width="4.83203125" customWidth="1"/>
    <col min="12" max="12" width="39.33203125" hidden="1" customWidth="1"/>
  </cols>
  <sheetData>
    <row r="1" spans="1:12" ht="30" customHeight="1" x14ac:dyDescent="0.35">
      <c r="A1" s="1"/>
      <c r="B1" s="139" t="s">
        <v>1</v>
      </c>
      <c r="C1" s="136"/>
      <c r="D1" s="136"/>
      <c r="E1" s="136"/>
      <c r="F1" s="136"/>
      <c r="G1" s="136"/>
      <c r="H1" s="136"/>
      <c r="I1" s="136"/>
      <c r="J1" s="136"/>
      <c r="K1" s="3"/>
      <c r="L1" s="1"/>
    </row>
    <row r="2" spans="1:12" ht="13.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5"/>
    </row>
    <row r="3" spans="1:12" ht="39.75" customHeight="1" x14ac:dyDescent="0.2">
      <c r="A3" s="14"/>
      <c r="B3" s="15" t="s">
        <v>17</v>
      </c>
      <c r="C3" s="15" t="s">
        <v>18</v>
      </c>
      <c r="D3" s="15" t="s">
        <v>19</v>
      </c>
      <c r="E3" s="15" t="s">
        <v>20</v>
      </c>
      <c r="F3" s="15" t="s">
        <v>21</v>
      </c>
      <c r="G3" s="15" t="s">
        <v>22</v>
      </c>
      <c r="H3" s="15" t="s">
        <v>23</v>
      </c>
      <c r="I3" s="15" t="s">
        <v>24</v>
      </c>
      <c r="J3" s="15" t="s">
        <v>25</v>
      </c>
      <c r="K3" s="16"/>
      <c r="L3" s="9" t="s">
        <v>13</v>
      </c>
    </row>
    <row r="4" spans="1:12" ht="39.75" customHeight="1" x14ac:dyDescent="0.2">
      <c r="A4" s="17">
        <v>1</v>
      </c>
      <c r="B4" s="13" t="s">
        <v>15</v>
      </c>
      <c r="C4" s="18" t="s">
        <v>26</v>
      </c>
      <c r="D4" s="18" t="s">
        <v>46</v>
      </c>
      <c r="E4" s="18" t="s">
        <v>48</v>
      </c>
      <c r="F4" s="18" t="s">
        <v>50</v>
      </c>
      <c r="G4" s="18" t="s">
        <v>52</v>
      </c>
      <c r="H4" s="18" t="s">
        <v>54</v>
      </c>
      <c r="I4" s="18" t="s">
        <v>56</v>
      </c>
      <c r="J4" s="18" t="s">
        <v>58</v>
      </c>
      <c r="K4" s="20"/>
      <c r="L4" s="21" t="s">
        <v>61</v>
      </c>
    </row>
    <row r="5" spans="1:12" ht="39.75" customHeight="1" x14ac:dyDescent="0.2">
      <c r="A5" s="17">
        <v>2</v>
      </c>
      <c r="B5" s="18" t="s">
        <v>65</v>
      </c>
      <c r="C5" s="18" t="s">
        <v>67</v>
      </c>
      <c r="D5" s="18" t="s">
        <v>70</v>
      </c>
      <c r="E5" s="18" t="s">
        <v>71</v>
      </c>
      <c r="F5" s="18" t="s">
        <v>57</v>
      </c>
      <c r="G5" s="18" t="s">
        <v>75</v>
      </c>
      <c r="H5" s="18" t="s">
        <v>76</v>
      </c>
      <c r="I5" s="18" t="s">
        <v>77</v>
      </c>
      <c r="J5" s="18" t="s">
        <v>78</v>
      </c>
      <c r="K5" s="20"/>
      <c r="L5" s="21" t="s">
        <v>34</v>
      </c>
    </row>
    <row r="6" spans="1:12" ht="39.75" customHeight="1" x14ac:dyDescent="0.2">
      <c r="A6" s="17">
        <v>3</v>
      </c>
      <c r="B6" s="18" t="s">
        <v>80</v>
      </c>
      <c r="C6" s="18" t="s">
        <v>82</v>
      </c>
      <c r="D6" s="13" t="s">
        <v>84</v>
      </c>
      <c r="E6" s="18" t="s">
        <v>55</v>
      </c>
      <c r="F6" s="18" t="s">
        <v>87</v>
      </c>
      <c r="G6" s="18" t="s">
        <v>88</v>
      </c>
      <c r="H6" s="18" t="s">
        <v>90</v>
      </c>
      <c r="I6" s="18" t="s">
        <v>92</v>
      </c>
      <c r="J6" s="18" t="s">
        <v>37</v>
      </c>
      <c r="K6" s="20"/>
      <c r="L6" s="21" t="s">
        <v>95</v>
      </c>
    </row>
    <row r="7" spans="1:12" ht="39.75" customHeight="1" x14ac:dyDescent="0.2">
      <c r="A7" s="17">
        <v>4</v>
      </c>
      <c r="B7" s="18" t="s">
        <v>96</v>
      </c>
      <c r="C7" s="18" t="s">
        <v>97</v>
      </c>
      <c r="D7" s="18" t="s">
        <v>62</v>
      </c>
      <c r="E7" s="18" t="s">
        <v>98</v>
      </c>
      <c r="F7" s="18" t="s">
        <v>99</v>
      </c>
      <c r="G7" s="18" t="s">
        <v>100</v>
      </c>
      <c r="H7" s="18" t="s">
        <v>68</v>
      </c>
      <c r="I7" s="18" t="s">
        <v>101</v>
      </c>
      <c r="J7" s="18" t="s">
        <v>103</v>
      </c>
      <c r="K7" s="20"/>
      <c r="L7" s="21" t="s">
        <v>44</v>
      </c>
    </row>
    <row r="8" spans="1:12" ht="39.75" customHeight="1" x14ac:dyDescent="0.2">
      <c r="A8" s="17">
        <v>5</v>
      </c>
      <c r="B8" s="18" t="s">
        <v>42</v>
      </c>
      <c r="C8" s="18" t="s">
        <v>106</v>
      </c>
      <c r="D8" s="18" t="s">
        <v>107</v>
      </c>
      <c r="E8" s="18" t="s">
        <v>73</v>
      </c>
      <c r="F8" s="18" t="s">
        <v>108</v>
      </c>
      <c r="G8" s="18" t="s">
        <v>109</v>
      </c>
      <c r="H8" s="18" t="s">
        <v>32</v>
      </c>
      <c r="I8" s="18" t="s">
        <v>93</v>
      </c>
      <c r="J8" s="18" t="s">
        <v>110</v>
      </c>
      <c r="K8" s="20"/>
      <c r="L8" s="21" t="s">
        <v>111</v>
      </c>
    </row>
    <row r="9" spans="1:12" ht="12.75" customHeight="1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21" t="s">
        <v>112</v>
      </c>
    </row>
  </sheetData>
  <mergeCells count="1">
    <mergeCell ref="B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2"/>
  <sheetViews>
    <sheetView tabSelected="1" workbookViewId="0">
      <selection activeCell="F14" sqref="F14"/>
    </sheetView>
  </sheetViews>
  <sheetFormatPr baseColWidth="10" defaultColWidth="17.33203125" defaultRowHeight="15" customHeight="1" x14ac:dyDescent="0.2"/>
  <cols>
    <col min="1" max="1" width="5.6640625" customWidth="1"/>
    <col min="2" max="2" width="6" customWidth="1"/>
    <col min="3" max="7" width="26.83203125" customWidth="1"/>
  </cols>
  <sheetData>
    <row r="1" spans="1:7" x14ac:dyDescent="0.2">
      <c r="A1" s="32" t="s">
        <v>83</v>
      </c>
      <c r="B1" s="32" t="s">
        <v>126</v>
      </c>
      <c r="C1" s="32" t="s">
        <v>127</v>
      </c>
      <c r="D1" s="32" t="s">
        <v>182</v>
      </c>
      <c r="E1" s="32" t="s">
        <v>128</v>
      </c>
      <c r="F1" s="32" t="s">
        <v>183</v>
      </c>
      <c r="G1" s="32" t="s">
        <v>129</v>
      </c>
    </row>
    <row r="2" spans="1:7" x14ac:dyDescent="0.2">
      <c r="A2" t="str">
        <f>RIGHT('Men''s Master'!$B$3, 2)</f>
        <v>01</v>
      </c>
      <c r="B2" s="32">
        <v>1</v>
      </c>
      <c r="C2" s="33" t="str">
        <f>VLOOKUP('Pool Schedules'!G5, 'Men''s Master'!$A$3:$J$9, 2)</f>
        <v>Boston Hurricanes Blue</v>
      </c>
      <c r="D2" s="33" t="str">
        <f>LEFT(C2, (FIND(" ",C2,1)-1))</f>
        <v>Boston</v>
      </c>
      <c r="E2" t="str">
        <f>VLOOKUP('Pool Schedules'!H5, 'Men''s Master'!$A$3:$J$9, 2)</f>
        <v>Philly Super CIA</v>
      </c>
      <c r="F2" s="33" t="str">
        <f>LEFT(E2, (FIND(" ",E2,1)-1))</f>
        <v>Philly</v>
      </c>
      <c r="G2" t="str">
        <f>VLOOKUP('Pool Schedules'!I5, 'Men''s Master'!$A$3:$J$9, 2)</f>
        <v>DC CYC B</v>
      </c>
    </row>
    <row r="3" spans="1:7" x14ac:dyDescent="0.2">
      <c r="A3" t="str">
        <f>RIGHT('Men''s Master'!$B$3, 2)</f>
        <v>01</v>
      </c>
      <c r="B3" s="32">
        <v>2</v>
      </c>
      <c r="C3" t="str">
        <f>VLOOKUP('Pool Schedules'!G6, 'Men''s Master'!$A$3:$J$9, 2)</f>
        <v>DC CYC B</v>
      </c>
      <c r="D3" s="33" t="str">
        <f t="shared" ref="D3:D66" si="0">LEFT(C3, (FIND(" ",C3,1)-1))</f>
        <v>DC</v>
      </c>
      <c r="E3" t="str">
        <f>VLOOKUP('Pool Schedules'!H6, 'Men''s Master'!$A$3:$J$9, 2)</f>
        <v>NY Vikings SPA</v>
      </c>
      <c r="F3" s="33" t="str">
        <f t="shared" ref="F3:F66" si="1">LEFT(E3, (FIND(" ",E3,1)-1))</f>
        <v>NY</v>
      </c>
      <c r="G3" s="33" t="str">
        <f>VLOOKUP('Pool Schedules'!I6, 'Men''s Master'!$A$3:$J$9, 2)</f>
        <v>Boston Hurricanes Blue</v>
      </c>
    </row>
    <row r="4" spans="1:7" x14ac:dyDescent="0.2">
      <c r="A4" t="str">
        <f>RIGHT('Men''s Master'!$B$3, 2)</f>
        <v>01</v>
      </c>
      <c r="B4" s="32">
        <v>3</v>
      </c>
      <c r="C4" t="str">
        <f>VLOOKUP('Pool Schedules'!G7, 'Men''s Master'!$A$3:$J$9, 2)</f>
        <v>NY Strangers White</v>
      </c>
      <c r="D4" s="33" t="str">
        <f t="shared" si="0"/>
        <v>NY</v>
      </c>
      <c r="E4" t="str">
        <f>VLOOKUP('Pool Schedules'!H7, 'Men''s Master'!$A$3:$J$9, 2)</f>
        <v>Toronto Connex A</v>
      </c>
      <c r="F4" s="33" t="str">
        <f t="shared" si="1"/>
        <v>Toronto</v>
      </c>
      <c r="G4" t="str">
        <f>VLOOKUP('Pool Schedules'!I7, 'Men''s Master'!$A$3:$J$9, 2)</f>
        <v>DC CYC B</v>
      </c>
    </row>
    <row r="5" spans="1:7" x14ac:dyDescent="0.2">
      <c r="A5" t="str">
        <f>RIGHT('Men''s Master'!$B$3, 2)</f>
        <v>01</v>
      </c>
      <c r="B5" s="32">
        <v>4</v>
      </c>
      <c r="C5" s="33" t="str">
        <f>VLOOKUP('Pool Schedules'!G8, 'Men''s Master'!$A$3:$J$9, 2)</f>
        <v>Boston Hurricanes Blue</v>
      </c>
      <c r="D5" s="33" t="str">
        <f t="shared" si="0"/>
        <v>Boston</v>
      </c>
      <c r="E5" t="str">
        <f>VLOOKUP('Pool Schedules'!H8, 'Men''s Master'!$A$3:$J$9, 2)</f>
        <v>NY Vikings SPA</v>
      </c>
      <c r="F5" s="33" t="str">
        <f t="shared" si="1"/>
        <v>NY</v>
      </c>
      <c r="G5" t="str">
        <f>VLOOKUP('Pool Schedules'!I8, 'Men''s Master'!$A$3:$J$9, 2)</f>
        <v>NY Strangers White</v>
      </c>
    </row>
    <row r="6" spans="1:7" x14ac:dyDescent="0.2">
      <c r="A6" t="str">
        <f>RIGHT('Men''s Master'!$B$3, 2)</f>
        <v>01</v>
      </c>
      <c r="B6" s="32">
        <v>5</v>
      </c>
      <c r="C6" t="str">
        <f>VLOOKUP('Pool Schedules'!G9, 'Men''s Master'!$A$3:$J$9, 2)</f>
        <v>Philly Super CIA</v>
      </c>
      <c r="D6" s="33" t="str">
        <f t="shared" si="0"/>
        <v>Philly</v>
      </c>
      <c r="E6" t="str">
        <f>VLOOKUP('Pool Schedules'!H9, 'Men''s Master'!$A$3:$J$9, 2)</f>
        <v>Toronto Connex A</v>
      </c>
      <c r="F6" s="33" t="str">
        <f t="shared" si="1"/>
        <v>Toronto</v>
      </c>
      <c r="G6" t="str">
        <f>VLOOKUP('Pool Schedules'!I9, 'Men''s Master'!$A$3:$J$9, 2)</f>
        <v>NY Vikings SPA</v>
      </c>
    </row>
    <row r="7" spans="1:7" x14ac:dyDescent="0.2">
      <c r="A7" t="str">
        <f>RIGHT('Men''s Master'!$B$3, 2)</f>
        <v>01</v>
      </c>
      <c r="B7" s="32">
        <v>6</v>
      </c>
      <c r="C7" t="str">
        <f>VLOOKUP('Pool Schedules'!G10, 'Men''s Master'!$A$3:$J$9, 2)</f>
        <v>NY Strangers White</v>
      </c>
      <c r="D7" s="33" t="str">
        <f t="shared" si="0"/>
        <v>NY</v>
      </c>
      <c r="E7" t="str">
        <f>VLOOKUP('Pool Schedules'!H10, 'Men''s Master'!$A$3:$J$9, 2)</f>
        <v>DC CYC B</v>
      </c>
      <c r="F7" s="33" t="str">
        <f t="shared" si="1"/>
        <v>DC</v>
      </c>
      <c r="G7" t="str">
        <f>VLOOKUP('Pool Schedules'!I10, 'Men''s Master'!$A$3:$J$9, 2)</f>
        <v>Philly Super CIA</v>
      </c>
    </row>
    <row r="8" spans="1:7" x14ac:dyDescent="0.2">
      <c r="A8" t="str">
        <f>RIGHT('Men''s Master'!$B$3, 2)</f>
        <v>01</v>
      </c>
      <c r="B8" s="32">
        <v>7</v>
      </c>
      <c r="C8" s="33" t="str">
        <f>VLOOKUP('Pool Schedules'!G11, 'Men''s Master'!$A$3:$J$9, 2)</f>
        <v>Boston Hurricanes Blue</v>
      </c>
      <c r="D8" s="33" t="str">
        <f t="shared" si="0"/>
        <v>Boston</v>
      </c>
      <c r="E8" t="str">
        <f>VLOOKUP('Pool Schedules'!H11, 'Men''s Master'!$A$3:$J$9, 2)</f>
        <v>Toronto Connex A</v>
      </c>
      <c r="F8" s="33" t="str">
        <f t="shared" si="1"/>
        <v>Toronto</v>
      </c>
      <c r="G8" t="str">
        <f>VLOOKUP('Pool Schedules'!I11, 'Men''s Master'!$A$3:$J$9, 2)</f>
        <v>NY Strangers White</v>
      </c>
    </row>
    <row r="9" spans="1:7" x14ac:dyDescent="0.2">
      <c r="A9" t="str">
        <f>RIGHT('Men''s Master'!$B$3, 2)</f>
        <v>01</v>
      </c>
      <c r="B9" s="32">
        <v>8</v>
      </c>
      <c r="C9" t="str">
        <f>VLOOKUP('Pool Schedules'!G12, 'Men''s Master'!$A$3:$J$9, 2)</f>
        <v>Philly Super CIA</v>
      </c>
      <c r="D9" s="33" t="str">
        <f t="shared" si="0"/>
        <v>Philly</v>
      </c>
      <c r="E9" t="str">
        <f>VLOOKUP('Pool Schedules'!H12, 'Men''s Master'!$A$3:$J$9, 2)</f>
        <v>NY Vikings SPA</v>
      </c>
      <c r="F9" s="33" t="str">
        <f t="shared" si="1"/>
        <v>NY</v>
      </c>
      <c r="G9" s="33" t="str">
        <f>VLOOKUP('Pool Schedules'!I12, 'Men''s Master'!$A$3:$J$9, 2)</f>
        <v>Boston Hurricanes Blue</v>
      </c>
    </row>
    <row r="10" spans="1:7" x14ac:dyDescent="0.2">
      <c r="A10" t="str">
        <f>RIGHT('Men''s Master'!$B$3, 2)</f>
        <v>01</v>
      </c>
      <c r="B10" s="32">
        <v>9</v>
      </c>
      <c r="C10" t="str">
        <f>VLOOKUP('Pool Schedules'!G13, 'Men''s Master'!$A$3:$J$9, 2)</f>
        <v>DC CYC B</v>
      </c>
      <c r="D10" s="33" t="str">
        <f t="shared" si="0"/>
        <v>DC</v>
      </c>
      <c r="E10" t="str">
        <f>VLOOKUP('Pool Schedules'!H13, 'Men''s Master'!$A$3:$J$9, 2)</f>
        <v>Toronto Connex A</v>
      </c>
      <c r="F10" s="33" t="str">
        <f t="shared" si="1"/>
        <v>Toronto</v>
      </c>
      <c r="G10" t="str">
        <f>VLOOKUP('Pool Schedules'!I13, 'Men''s Master'!$A$3:$J$9, 2)</f>
        <v>NY Vikings SPA</v>
      </c>
    </row>
    <row r="11" spans="1:7" x14ac:dyDescent="0.2">
      <c r="A11" t="str">
        <f>RIGHT('Men''s Master'!$B$3, 2)</f>
        <v>01</v>
      </c>
      <c r="B11" s="32">
        <v>10</v>
      </c>
      <c r="C11" t="str">
        <f>VLOOKUP('Pool Schedules'!G14, 'Men''s Master'!$A$3:$J$9, 2)</f>
        <v>NY Strangers White</v>
      </c>
      <c r="D11" s="33" t="str">
        <f t="shared" si="0"/>
        <v>NY</v>
      </c>
      <c r="E11" t="str">
        <f>VLOOKUP('Pool Schedules'!H14, 'Men''s Master'!$A$3:$J$9, 2)</f>
        <v>Philly Super CIA</v>
      </c>
      <c r="F11" s="33" t="str">
        <f t="shared" si="1"/>
        <v>Philly</v>
      </c>
      <c r="G11" t="str">
        <f>VLOOKUP('Pool Schedules'!I14, 'Men''s Master'!$A$3:$J$9, 2)</f>
        <v>Toronto Connex A</v>
      </c>
    </row>
    <row r="12" spans="1:7" x14ac:dyDescent="0.2">
      <c r="A12" t="str">
        <f>RIGHT('Men''s Master'!$B$3, 2)</f>
        <v>01</v>
      </c>
      <c r="B12" s="32">
        <v>11</v>
      </c>
      <c r="C12" s="33" t="str">
        <f>VLOOKUP('Pool Schedules'!G15, 'Men''s Master'!$A$3:$J$9, 2)</f>
        <v>Boston Hurricanes Blue</v>
      </c>
      <c r="D12" s="33" t="str">
        <f t="shared" si="0"/>
        <v>Boston</v>
      </c>
      <c r="E12" t="str">
        <f>VLOOKUP('Pool Schedules'!H15, 'Men''s Master'!$A$3:$J$9, 2)</f>
        <v>DC CYC B</v>
      </c>
      <c r="F12" s="33" t="str">
        <f t="shared" si="1"/>
        <v>DC</v>
      </c>
      <c r="G12" t="str">
        <f>VLOOKUP('Pool Schedules'!I15, 'Men''s Master'!$A$3:$J$9, 2)</f>
        <v>Philly Super CIA</v>
      </c>
    </row>
    <row r="13" spans="1:7" x14ac:dyDescent="0.2">
      <c r="A13" t="str">
        <f>RIGHT('Men''s Master'!$B$3, 2)</f>
        <v>01</v>
      </c>
      <c r="B13" s="32">
        <v>12</v>
      </c>
      <c r="C13" t="str">
        <f>VLOOKUP('Pool Schedules'!G16, 'Men''s Master'!$A$3:$J$9, 2)</f>
        <v>NY Strangers White</v>
      </c>
      <c r="D13" s="33" t="str">
        <f t="shared" si="0"/>
        <v>NY</v>
      </c>
      <c r="E13" t="str">
        <f>VLOOKUP('Pool Schedules'!H16, 'Men''s Master'!$A$3:$J$9, 2)</f>
        <v>NY Vikings SPA</v>
      </c>
      <c r="F13" s="33" t="str">
        <f t="shared" si="1"/>
        <v>NY</v>
      </c>
      <c r="G13" t="str">
        <f>VLOOKUP('Pool Schedules'!I16, 'Men''s Master'!$A$3:$J$9, 2)</f>
        <v>Toronto Connex A</v>
      </c>
    </row>
    <row r="14" spans="1:7" x14ac:dyDescent="0.2">
      <c r="A14" t="str">
        <f>RIGHT('Men''s Master'!$C$3, 2)</f>
        <v>02</v>
      </c>
      <c r="B14" s="32">
        <v>1</v>
      </c>
      <c r="C14" t="str">
        <f>VLOOKUP('Pool Schedules'!B5, 'Men''s Master'!$A$3:$J$9, 3)</f>
        <v>Boston Knights X</v>
      </c>
      <c r="D14" s="33" t="str">
        <f t="shared" si="0"/>
        <v>Boston</v>
      </c>
      <c r="E14" t="str">
        <f>VLOOKUP('Pool Schedules'!C5, 'Men''s Master'!$A$3:$J$9, 3)</f>
        <v>DC Yee Fung Toy Thunder A</v>
      </c>
      <c r="F14" s="33" t="str">
        <f t="shared" si="1"/>
        <v>DC</v>
      </c>
      <c r="G14" t="str">
        <f>VLOOKUP('Pool Schedules'!D5, 'Men''s Master'!$A$3:$J$9, 3)</f>
        <v>NY Impact</v>
      </c>
    </row>
    <row r="15" spans="1:7" x14ac:dyDescent="0.2">
      <c r="A15" t="str">
        <f>RIGHT('Men''s Master'!$C$3, 2)</f>
        <v>02</v>
      </c>
      <c r="B15" s="32">
        <v>2</v>
      </c>
      <c r="C15" t="str">
        <f>VLOOKUP('Pool Schedules'!B6, 'Men''s Master'!$A$3:$J$9, 3)</f>
        <v>NY Impact</v>
      </c>
      <c r="D15" s="33" t="str">
        <f t="shared" si="0"/>
        <v>NY</v>
      </c>
      <c r="E15" t="str">
        <f>VLOOKUP('Pool Schedules'!C6, 'Men''s Master'!$A$3:$J$9, 3)</f>
        <v>NY Panda Glass</v>
      </c>
      <c r="F15" s="33" t="str">
        <f t="shared" si="1"/>
        <v>NY</v>
      </c>
      <c r="G15" t="str">
        <f>VLOOKUP('Pool Schedules'!D6, 'Men''s Master'!$A$3:$J$9, 3)</f>
        <v>DC Yee Fung Toy Thunder A</v>
      </c>
    </row>
    <row r="16" spans="1:7" x14ac:dyDescent="0.2">
      <c r="A16" t="str">
        <f>RIGHT('Men''s Master'!$C$3, 2)</f>
        <v>02</v>
      </c>
      <c r="B16" s="32">
        <v>3</v>
      </c>
      <c r="C16" t="str">
        <f>VLOOKUP('Pool Schedules'!B7, 'Men''s Master'!$A$3:$J$9, 3)</f>
        <v>Boston Knights X</v>
      </c>
      <c r="D16" s="33" t="str">
        <f t="shared" si="0"/>
        <v>Boston</v>
      </c>
      <c r="E16" t="str">
        <f>VLOOKUP('Pool Schedules'!C7, 'Men''s Master'!$A$3:$J$9, 3)</f>
        <v>Toronto Ngun Lam Red</v>
      </c>
      <c r="F16" s="33" t="str">
        <f t="shared" si="1"/>
        <v>Toronto</v>
      </c>
      <c r="G16" t="str">
        <f>VLOOKUP('Pool Schedules'!D7, 'Men''s Master'!$A$3:$J$9, 3)</f>
        <v>NY Panda Glass</v>
      </c>
    </row>
    <row r="17" spans="1:7" x14ac:dyDescent="0.2">
      <c r="A17" t="str">
        <f>RIGHT('Men''s Master'!$C$3, 2)</f>
        <v>02</v>
      </c>
      <c r="B17" s="32">
        <v>4</v>
      </c>
      <c r="C17" t="str">
        <f>VLOOKUP('Pool Schedules'!B8, 'Men''s Master'!$A$3:$J$9, 3)</f>
        <v>DC Yee Fung Toy Thunder A</v>
      </c>
      <c r="D17" s="33" t="str">
        <f t="shared" si="0"/>
        <v>DC</v>
      </c>
      <c r="E17" t="str">
        <f>VLOOKUP('Pool Schedules'!C8, 'Men''s Master'!$A$3:$J$9, 3)</f>
        <v>NY Impact</v>
      </c>
      <c r="F17" s="33" t="str">
        <f t="shared" si="1"/>
        <v>NY</v>
      </c>
      <c r="G17" t="str">
        <f>VLOOKUP('Pool Schedules'!D8, 'Men''s Master'!$A$3:$J$9, 3)</f>
        <v>Boston Knights X</v>
      </c>
    </row>
    <row r="18" spans="1:7" x14ac:dyDescent="0.2">
      <c r="A18" t="str">
        <f>RIGHT('Men''s Master'!$C$3, 2)</f>
        <v>02</v>
      </c>
      <c r="B18" s="32">
        <v>5</v>
      </c>
      <c r="C18" t="str">
        <f>VLOOKUP('Pool Schedules'!B9, 'Men''s Master'!$A$3:$J$9, 3)</f>
        <v>NY Panda Glass</v>
      </c>
      <c r="D18" s="33" t="str">
        <f t="shared" si="0"/>
        <v>NY</v>
      </c>
      <c r="E18" t="str">
        <f>VLOOKUP('Pool Schedules'!C9, 'Men''s Master'!$A$3:$J$9, 3)</f>
        <v>Toronto Ngun Lam Red</v>
      </c>
      <c r="F18" s="33" t="str">
        <f t="shared" si="1"/>
        <v>Toronto</v>
      </c>
      <c r="G18" t="str">
        <f>VLOOKUP('Pool Schedules'!D9, 'Men''s Master'!$A$3:$J$9, 3)</f>
        <v>NY Impact</v>
      </c>
    </row>
    <row r="19" spans="1:7" x14ac:dyDescent="0.2">
      <c r="A19" t="str">
        <f>RIGHT('Men''s Master'!$C$3, 2)</f>
        <v>02</v>
      </c>
      <c r="B19" s="32">
        <v>6</v>
      </c>
      <c r="C19" t="str">
        <f>VLOOKUP('Pool Schedules'!B10, 'Men''s Master'!$A$3:$J$9, 3)</f>
        <v>Boston Knights X</v>
      </c>
      <c r="D19" s="33" t="str">
        <f t="shared" si="0"/>
        <v>Boston</v>
      </c>
      <c r="E19" t="str">
        <f>VLOOKUP('Pool Schedules'!C10, 'Men''s Master'!$A$3:$J$9, 3)</f>
        <v>NY Impact</v>
      </c>
      <c r="F19" s="33" t="str">
        <f t="shared" si="1"/>
        <v>NY</v>
      </c>
      <c r="G19" t="str">
        <f>VLOOKUP('Pool Schedules'!D10, 'Men''s Master'!$A$3:$J$9, 3)</f>
        <v>Toronto Ngun Lam Red</v>
      </c>
    </row>
    <row r="20" spans="1:7" x14ac:dyDescent="0.2">
      <c r="A20" t="str">
        <f>RIGHT('Men''s Master'!$C$3, 2)</f>
        <v>02</v>
      </c>
      <c r="B20" s="32">
        <v>7</v>
      </c>
      <c r="C20" t="str">
        <f>VLOOKUP('Pool Schedules'!B11, 'Men''s Master'!$A$3:$J$9, 3)</f>
        <v>DC Yee Fung Toy Thunder A</v>
      </c>
      <c r="D20" s="33" t="str">
        <f t="shared" si="0"/>
        <v>DC</v>
      </c>
      <c r="E20" t="str">
        <f>VLOOKUP('Pool Schedules'!C11, 'Men''s Master'!$A$3:$J$9, 3)</f>
        <v>NY Panda Glass</v>
      </c>
      <c r="F20" s="33" t="str">
        <f t="shared" si="1"/>
        <v>NY</v>
      </c>
      <c r="G20" t="str">
        <f>VLOOKUP('Pool Schedules'!D11, 'Men''s Master'!$A$3:$J$9, 3)</f>
        <v>Boston Knights X</v>
      </c>
    </row>
    <row r="21" spans="1:7" x14ac:dyDescent="0.2">
      <c r="A21" t="str">
        <f>RIGHT('Men''s Master'!$C$3, 2)</f>
        <v>02</v>
      </c>
      <c r="B21" s="32">
        <v>8</v>
      </c>
      <c r="C21" t="str">
        <f>VLOOKUP('Pool Schedules'!B12, 'Men''s Master'!$A$3:$J$9, 3)</f>
        <v>NY Impact</v>
      </c>
      <c r="D21" s="33" t="str">
        <f t="shared" si="0"/>
        <v>NY</v>
      </c>
      <c r="E21" t="str">
        <f>VLOOKUP('Pool Schedules'!C12, 'Men''s Master'!$A$3:$J$9, 3)</f>
        <v>Toronto Ngun Lam Red</v>
      </c>
      <c r="F21" s="33" t="str">
        <f t="shared" si="1"/>
        <v>Toronto</v>
      </c>
      <c r="G21" t="str">
        <f>VLOOKUP('Pool Schedules'!D12, 'Men''s Master'!$A$3:$J$9, 3)</f>
        <v>DC Yee Fung Toy Thunder A</v>
      </c>
    </row>
    <row r="22" spans="1:7" x14ac:dyDescent="0.2">
      <c r="A22" t="str">
        <f>RIGHT('Men''s Master'!$C$3, 2)</f>
        <v>02</v>
      </c>
      <c r="B22" s="32">
        <v>9</v>
      </c>
      <c r="C22" t="str">
        <f>VLOOKUP('Pool Schedules'!B13, 'Men''s Master'!$A$3:$J$9, 3)</f>
        <v>Boston Knights X</v>
      </c>
      <c r="D22" s="33" t="str">
        <f t="shared" si="0"/>
        <v>Boston</v>
      </c>
      <c r="E22" t="str">
        <f>VLOOKUP('Pool Schedules'!C13, 'Men''s Master'!$A$3:$J$9, 3)</f>
        <v>NY Panda Glass</v>
      </c>
      <c r="F22" s="33" t="str">
        <f t="shared" si="1"/>
        <v>NY</v>
      </c>
      <c r="G22" t="str">
        <f>VLOOKUP('Pool Schedules'!D13, 'Men''s Master'!$A$3:$J$9, 3)</f>
        <v>Toronto Ngun Lam Red</v>
      </c>
    </row>
    <row r="23" spans="1:7" x14ac:dyDescent="0.2">
      <c r="A23" t="str">
        <f>RIGHT('Men''s Master'!$C$3, 2)</f>
        <v>02</v>
      </c>
      <c r="B23" s="32">
        <v>10</v>
      </c>
      <c r="C23" t="str">
        <f>VLOOKUP('Pool Schedules'!B14, 'Men''s Master'!$A$3:$J$9, 3)</f>
        <v>DC Yee Fung Toy Thunder A</v>
      </c>
      <c r="D23" s="33" t="str">
        <f t="shared" si="0"/>
        <v>DC</v>
      </c>
      <c r="E23" t="str">
        <f>VLOOKUP('Pool Schedules'!C14, 'Men''s Master'!$A$3:$J$9, 3)</f>
        <v>Toronto Ngun Lam Red</v>
      </c>
      <c r="F23" s="33" t="str">
        <f t="shared" si="1"/>
        <v>Toronto</v>
      </c>
      <c r="G23" t="str">
        <f>VLOOKUP('Pool Schedules'!D14, 'Men''s Master'!$A$3:$J$9, 3)</f>
        <v>NY Panda Glass</v>
      </c>
    </row>
    <row r="24" spans="1:7" x14ac:dyDescent="0.2">
      <c r="A24" t="str">
        <f>RIGHT('Men''s Master'!$D$3, 2)</f>
        <v>03</v>
      </c>
      <c r="B24" s="32">
        <v>1</v>
      </c>
      <c r="C24" t="str">
        <f>VLOOKUP('Pool Schedules'!G5, 'Men''s Master'!$A$3:$J$9, 4)</f>
        <v>Toronto Phoenix</v>
      </c>
      <c r="D24" s="33" t="str">
        <f t="shared" si="0"/>
        <v>Toronto</v>
      </c>
      <c r="E24" t="str">
        <f>VLOOKUP('Pool Schedules'!H5, 'Men''s Master'!$A$3:$J$9, 4)</f>
        <v>NY BCVA</v>
      </c>
      <c r="F24" s="33" t="str">
        <f t="shared" si="1"/>
        <v>NY</v>
      </c>
      <c r="G24" t="str">
        <f>VLOOKUP('Pool Schedules'!I5, 'Men''s Master'!$A$3:$J$9, 4)</f>
        <v>Philly CIA Red</v>
      </c>
    </row>
    <row r="25" spans="1:7" x14ac:dyDescent="0.2">
      <c r="A25" t="str">
        <f>RIGHT('Men''s Master'!$D$3, 2)</f>
        <v>03</v>
      </c>
      <c r="B25" s="32">
        <v>2</v>
      </c>
      <c r="C25" t="str">
        <f>VLOOKUP('Pool Schedules'!G6, 'Men''s Master'!$A$3:$J$9, 4)</f>
        <v>Philly CIA Red</v>
      </c>
      <c r="D25" s="33" t="str">
        <f t="shared" si="0"/>
        <v>Philly</v>
      </c>
      <c r="E25" s="33" t="str">
        <f>VLOOKUP('Pool Schedules'!H6, 'Men''s Master'!$A$3:$J$9, 4)</f>
        <v>NJ Ronin</v>
      </c>
      <c r="F25" s="33" t="str">
        <f t="shared" si="1"/>
        <v>NJ</v>
      </c>
      <c r="G25" t="str">
        <f>VLOOKUP('Pool Schedules'!I6, 'Men''s Master'!$A$3:$J$9, 4)</f>
        <v>Toronto Phoenix</v>
      </c>
    </row>
    <row r="26" spans="1:7" x14ac:dyDescent="0.2">
      <c r="A26" t="str">
        <f>RIGHT('Men''s Master'!$D$3, 2)</f>
        <v>03</v>
      </c>
      <c r="B26" s="32">
        <v>3</v>
      </c>
      <c r="C26" t="str">
        <f>VLOOKUP('Pool Schedules'!G7, 'Men''s Master'!$A$3:$J$9, 4)</f>
        <v>DC Jin Long</v>
      </c>
      <c r="D26" s="33" t="str">
        <f t="shared" si="0"/>
        <v>DC</v>
      </c>
      <c r="E26" t="str">
        <f>VLOOKUP('Pool Schedules'!H7, 'Men''s Master'!$A$3:$J$9, 4)</f>
        <v>Boston Knights A</v>
      </c>
      <c r="F26" s="33" t="str">
        <f t="shared" si="1"/>
        <v>Boston</v>
      </c>
      <c r="G26" t="str">
        <f>VLOOKUP('Pool Schedules'!I7, 'Men''s Master'!$A$3:$J$9, 4)</f>
        <v>Philly CIA Red</v>
      </c>
    </row>
    <row r="27" spans="1:7" x14ac:dyDescent="0.2">
      <c r="A27" t="str">
        <f>RIGHT('Men''s Master'!$D$3, 2)</f>
        <v>03</v>
      </c>
      <c r="B27" s="32">
        <v>4</v>
      </c>
      <c r="C27" t="str">
        <f>VLOOKUP('Pool Schedules'!G8, 'Men''s Master'!$A$3:$J$9, 4)</f>
        <v>Toronto Phoenix</v>
      </c>
      <c r="D27" s="33" t="str">
        <f t="shared" si="0"/>
        <v>Toronto</v>
      </c>
      <c r="E27" s="33" t="str">
        <f>VLOOKUP('Pool Schedules'!H8, 'Men''s Master'!$A$3:$J$9, 4)</f>
        <v>NJ Ronin</v>
      </c>
      <c r="F27" s="33" t="str">
        <f t="shared" si="1"/>
        <v>NJ</v>
      </c>
      <c r="G27" t="str">
        <f>VLOOKUP('Pool Schedules'!I8, 'Men''s Master'!$A$3:$J$9, 4)</f>
        <v>DC Jin Long</v>
      </c>
    </row>
    <row r="28" spans="1:7" x14ac:dyDescent="0.2">
      <c r="A28" t="str">
        <f>RIGHT('Men''s Master'!$D$3, 2)</f>
        <v>03</v>
      </c>
      <c r="B28" s="32">
        <v>5</v>
      </c>
      <c r="C28" t="str">
        <f>VLOOKUP('Pool Schedules'!G9, 'Men''s Master'!$A$3:$J$9, 4)</f>
        <v>NY BCVA</v>
      </c>
      <c r="D28" s="33" t="str">
        <f t="shared" si="0"/>
        <v>NY</v>
      </c>
      <c r="E28" t="str">
        <f>VLOOKUP('Pool Schedules'!H9, 'Men''s Master'!$A$3:$J$9, 4)</f>
        <v>Boston Knights A</v>
      </c>
      <c r="F28" s="33" t="str">
        <f t="shared" si="1"/>
        <v>Boston</v>
      </c>
      <c r="G28" s="33" t="str">
        <f>VLOOKUP('Pool Schedules'!I9, 'Men''s Master'!$A$3:$J$9, 4)</f>
        <v>NJ Ronin</v>
      </c>
    </row>
    <row r="29" spans="1:7" x14ac:dyDescent="0.2">
      <c r="A29" t="str">
        <f>RIGHT('Men''s Master'!$D$3, 2)</f>
        <v>03</v>
      </c>
      <c r="B29" s="32">
        <v>6</v>
      </c>
      <c r="C29" t="str">
        <f>VLOOKUP('Pool Schedules'!G10, 'Men''s Master'!$A$3:$J$9, 4)</f>
        <v>DC Jin Long</v>
      </c>
      <c r="D29" s="33" t="str">
        <f t="shared" si="0"/>
        <v>DC</v>
      </c>
      <c r="E29" t="str">
        <f>VLOOKUP('Pool Schedules'!H10, 'Men''s Master'!$A$3:$J$9, 4)</f>
        <v>Philly CIA Red</v>
      </c>
      <c r="F29" s="33" t="str">
        <f t="shared" si="1"/>
        <v>Philly</v>
      </c>
      <c r="G29" t="str">
        <f>VLOOKUP('Pool Schedules'!I10, 'Men''s Master'!$A$3:$J$9, 4)</f>
        <v>NY BCVA</v>
      </c>
    </row>
    <row r="30" spans="1:7" x14ac:dyDescent="0.2">
      <c r="A30" t="str">
        <f>RIGHT('Men''s Master'!$D$3, 2)</f>
        <v>03</v>
      </c>
      <c r="B30" s="32">
        <v>7</v>
      </c>
      <c r="C30" t="str">
        <f>VLOOKUP('Pool Schedules'!G11, 'Men''s Master'!$A$3:$J$9, 4)</f>
        <v>Toronto Phoenix</v>
      </c>
      <c r="D30" s="33" t="str">
        <f t="shared" si="0"/>
        <v>Toronto</v>
      </c>
      <c r="E30" t="str">
        <f>VLOOKUP('Pool Schedules'!H11, 'Men''s Master'!$A$3:$J$9, 4)</f>
        <v>Boston Knights A</v>
      </c>
      <c r="F30" s="33" t="str">
        <f t="shared" si="1"/>
        <v>Boston</v>
      </c>
      <c r="G30" t="str">
        <f>VLOOKUP('Pool Schedules'!I11, 'Men''s Master'!$A$3:$J$9, 4)</f>
        <v>DC Jin Long</v>
      </c>
    </row>
    <row r="31" spans="1:7" x14ac:dyDescent="0.2">
      <c r="A31" t="str">
        <f>RIGHT('Men''s Master'!$D$3, 2)</f>
        <v>03</v>
      </c>
      <c r="B31" s="32">
        <v>8</v>
      </c>
      <c r="C31" t="str">
        <f>VLOOKUP('Pool Schedules'!G12, 'Men''s Master'!$A$3:$J$9, 4)</f>
        <v>NY BCVA</v>
      </c>
      <c r="D31" s="33" t="str">
        <f t="shared" si="0"/>
        <v>NY</v>
      </c>
      <c r="E31" s="33" t="str">
        <f>VLOOKUP('Pool Schedules'!H12, 'Men''s Master'!$A$3:$J$9, 4)</f>
        <v>NJ Ronin</v>
      </c>
      <c r="F31" s="33" t="str">
        <f t="shared" si="1"/>
        <v>NJ</v>
      </c>
      <c r="G31" t="str">
        <f>VLOOKUP('Pool Schedules'!I12, 'Men''s Master'!$A$3:$J$9, 4)</f>
        <v>Toronto Phoenix</v>
      </c>
    </row>
    <row r="32" spans="1:7" x14ac:dyDescent="0.2">
      <c r="A32" t="str">
        <f>RIGHT('Men''s Master'!$D$3, 2)</f>
        <v>03</v>
      </c>
      <c r="B32" s="32">
        <v>9</v>
      </c>
      <c r="C32" t="str">
        <f>VLOOKUP('Pool Schedules'!G13, 'Men''s Master'!$A$3:$J$9, 4)</f>
        <v>Philly CIA Red</v>
      </c>
      <c r="D32" s="33" t="str">
        <f t="shared" si="0"/>
        <v>Philly</v>
      </c>
      <c r="E32" t="str">
        <f>VLOOKUP('Pool Schedules'!H13, 'Men''s Master'!$A$3:$J$9, 4)</f>
        <v>Boston Knights A</v>
      </c>
      <c r="F32" s="33" t="str">
        <f t="shared" si="1"/>
        <v>Boston</v>
      </c>
      <c r="G32" s="33" t="str">
        <f>VLOOKUP('Pool Schedules'!I13, 'Men''s Master'!$A$3:$J$9, 4)</f>
        <v>NJ Ronin</v>
      </c>
    </row>
    <row r="33" spans="1:7" x14ac:dyDescent="0.2">
      <c r="A33" t="str">
        <f>RIGHT('Men''s Master'!$D$3, 2)</f>
        <v>03</v>
      </c>
      <c r="B33" s="32">
        <v>10</v>
      </c>
      <c r="C33" t="str">
        <f>VLOOKUP('Pool Schedules'!G14, 'Men''s Master'!$A$3:$J$9, 4)</f>
        <v>DC Jin Long</v>
      </c>
      <c r="D33" s="33" t="str">
        <f t="shared" si="0"/>
        <v>DC</v>
      </c>
      <c r="E33" t="str">
        <f>VLOOKUP('Pool Schedules'!H14, 'Men''s Master'!$A$3:$J$9, 4)</f>
        <v>NY BCVA</v>
      </c>
      <c r="F33" s="33" t="str">
        <f t="shared" si="1"/>
        <v>NY</v>
      </c>
      <c r="G33" t="str">
        <f>VLOOKUP('Pool Schedules'!I14, 'Men''s Master'!$A$3:$J$9, 4)</f>
        <v>Boston Knights A</v>
      </c>
    </row>
    <row r="34" spans="1:7" x14ac:dyDescent="0.2">
      <c r="A34" t="str">
        <f>RIGHT('Men''s Master'!$D$3, 2)</f>
        <v>03</v>
      </c>
      <c r="B34" s="32">
        <v>11</v>
      </c>
      <c r="C34" t="str">
        <f>VLOOKUP('Pool Schedules'!G15, 'Men''s Master'!$A$3:$J$9, 4)</f>
        <v>Toronto Phoenix</v>
      </c>
      <c r="D34" s="33" t="str">
        <f t="shared" si="0"/>
        <v>Toronto</v>
      </c>
      <c r="E34" t="str">
        <f>VLOOKUP('Pool Schedules'!H15, 'Men''s Master'!$A$3:$J$9, 4)</f>
        <v>Philly CIA Red</v>
      </c>
      <c r="F34" s="33" t="str">
        <f t="shared" si="1"/>
        <v>Philly</v>
      </c>
      <c r="G34" t="str">
        <f>VLOOKUP('Pool Schedules'!I15, 'Men''s Master'!$A$3:$J$9, 4)</f>
        <v>NY BCVA</v>
      </c>
    </row>
    <row r="35" spans="1:7" x14ac:dyDescent="0.2">
      <c r="A35" t="str">
        <f>RIGHT('Men''s Master'!$D$3, 2)</f>
        <v>03</v>
      </c>
      <c r="B35" s="32">
        <v>12</v>
      </c>
      <c r="C35" t="str">
        <f>VLOOKUP('Pool Schedules'!G16, 'Men''s Master'!$A$3:$J$9, 4)</f>
        <v>DC Jin Long</v>
      </c>
      <c r="D35" s="33" t="str">
        <f t="shared" si="0"/>
        <v>DC</v>
      </c>
      <c r="E35" s="33" t="str">
        <f>VLOOKUP('Pool Schedules'!H16, 'Men''s Master'!$A$3:$J$9, 4)</f>
        <v>NJ Ronin</v>
      </c>
      <c r="F35" s="33" t="str">
        <f t="shared" si="1"/>
        <v>NJ</v>
      </c>
      <c r="G35" t="str">
        <f>VLOOKUP('Pool Schedules'!I16, 'Men''s Master'!$A$3:$J$9, 4)</f>
        <v>Boston Knights A</v>
      </c>
    </row>
    <row r="36" spans="1:7" x14ac:dyDescent="0.2">
      <c r="A36" t="str">
        <f>RIGHT('Men''s Master'!$E$3, 2)</f>
        <v>04</v>
      </c>
      <c r="B36" s="32">
        <v>1</v>
      </c>
      <c r="C36" t="str">
        <f>VLOOKUP('Pool Schedules'!B5, 'Men''s Master'!$A$3:$J$9, 5)</f>
        <v>NJ Vikings Blue</v>
      </c>
      <c r="D36" s="33" t="str">
        <f t="shared" si="0"/>
        <v>NJ</v>
      </c>
      <c r="E36" t="str">
        <f>VLOOKUP('Pool Schedules'!C5, 'Men''s Master'!$A$3:$J$9, 5)</f>
        <v>DC MVP A</v>
      </c>
      <c r="F36" s="33" t="str">
        <f t="shared" si="1"/>
        <v>DC</v>
      </c>
      <c r="G36" t="str">
        <f>VLOOKUP('Pool Schedules'!D5, 'Men''s Master'!$A$3:$J$9, 5)</f>
        <v>NY Freemason B</v>
      </c>
    </row>
    <row r="37" spans="1:7" x14ac:dyDescent="0.2">
      <c r="A37" t="str">
        <f>RIGHT('Men''s Master'!$E$3, 2)</f>
        <v>04</v>
      </c>
      <c r="B37" s="32">
        <v>2</v>
      </c>
      <c r="C37" t="str">
        <f>VLOOKUP('Pool Schedules'!B6, 'Men''s Master'!$A$3:$J$9, 5)</f>
        <v>NY Freemason B</v>
      </c>
      <c r="D37" s="33" t="str">
        <f t="shared" si="0"/>
        <v>NY</v>
      </c>
      <c r="E37" t="str">
        <f>VLOOKUP('Pool Schedules'!C6, 'Men''s Master'!$A$3:$J$9, 5)</f>
        <v>NY Strangers Blue</v>
      </c>
      <c r="F37" s="33" t="str">
        <f t="shared" si="1"/>
        <v>NY</v>
      </c>
      <c r="G37" t="str">
        <f>VLOOKUP('Pool Schedules'!D6, 'Men''s Master'!$A$3:$J$9, 5)</f>
        <v>DC MVP A</v>
      </c>
    </row>
    <row r="38" spans="1:7" x14ac:dyDescent="0.2">
      <c r="A38" t="str">
        <f>RIGHT('Men''s Master'!$E$3, 2)</f>
        <v>04</v>
      </c>
      <c r="B38" s="32">
        <v>3</v>
      </c>
      <c r="C38" t="str">
        <f>VLOOKUP('Pool Schedules'!B7, 'Men''s Master'!$A$3:$J$9, 5)</f>
        <v>NJ Vikings Blue</v>
      </c>
      <c r="D38" s="33" t="str">
        <f t="shared" si="0"/>
        <v>NJ</v>
      </c>
      <c r="E38" t="str">
        <f>VLOOKUP('Pool Schedules'!C7, 'Men''s Master'!$A$3:$J$9, 5)</f>
        <v>Toronto LEGACY</v>
      </c>
      <c r="F38" s="33" t="str">
        <f t="shared" si="1"/>
        <v>Toronto</v>
      </c>
      <c r="G38" t="str">
        <f>VLOOKUP('Pool Schedules'!D7, 'Men''s Master'!$A$3:$J$9, 5)</f>
        <v>NY Strangers Blue</v>
      </c>
    </row>
    <row r="39" spans="1:7" x14ac:dyDescent="0.2">
      <c r="A39" t="str">
        <f>RIGHT('Men''s Master'!$E$3, 2)</f>
        <v>04</v>
      </c>
      <c r="B39" s="32">
        <v>4</v>
      </c>
      <c r="C39" t="str">
        <f>VLOOKUP('Pool Schedules'!B8, 'Men''s Master'!$A$3:$J$9, 5)</f>
        <v>DC MVP A</v>
      </c>
      <c r="D39" s="33" t="str">
        <f t="shared" si="0"/>
        <v>DC</v>
      </c>
      <c r="E39" t="str">
        <f>VLOOKUP('Pool Schedules'!C8, 'Men''s Master'!$A$3:$J$9, 5)</f>
        <v>NY Freemason B</v>
      </c>
      <c r="F39" s="33" t="str">
        <f t="shared" si="1"/>
        <v>NY</v>
      </c>
      <c r="G39" t="str">
        <f>VLOOKUP('Pool Schedules'!D8, 'Men''s Master'!$A$3:$J$9, 5)</f>
        <v>NJ Vikings Blue</v>
      </c>
    </row>
    <row r="40" spans="1:7" x14ac:dyDescent="0.2">
      <c r="A40" t="str">
        <f>RIGHT('Men''s Master'!$E$3, 2)</f>
        <v>04</v>
      </c>
      <c r="B40" s="32">
        <v>5</v>
      </c>
      <c r="C40" t="str">
        <f>VLOOKUP('Pool Schedules'!B9, 'Men''s Master'!$A$3:$J$9, 5)</f>
        <v>NY Strangers Blue</v>
      </c>
      <c r="D40" s="33" t="str">
        <f t="shared" si="0"/>
        <v>NY</v>
      </c>
      <c r="E40" t="str">
        <f>VLOOKUP('Pool Schedules'!C9, 'Men''s Master'!$A$3:$J$9, 5)</f>
        <v>Toronto LEGACY</v>
      </c>
      <c r="F40" s="33" t="str">
        <f t="shared" si="1"/>
        <v>Toronto</v>
      </c>
      <c r="G40" t="str">
        <f>VLOOKUP('Pool Schedules'!D9, 'Men''s Master'!$A$3:$J$9, 5)</f>
        <v>NY Freemason B</v>
      </c>
    </row>
    <row r="41" spans="1:7" x14ac:dyDescent="0.2">
      <c r="A41" t="str">
        <f>RIGHT('Men''s Master'!$E$3, 2)</f>
        <v>04</v>
      </c>
      <c r="B41" s="32">
        <v>6</v>
      </c>
      <c r="C41" t="str">
        <f>VLOOKUP('Pool Schedules'!B10, 'Men''s Master'!$A$3:$J$9, 5)</f>
        <v>NJ Vikings Blue</v>
      </c>
      <c r="D41" s="33" t="str">
        <f t="shared" si="0"/>
        <v>NJ</v>
      </c>
      <c r="E41" t="str">
        <f>VLOOKUP('Pool Schedules'!C10, 'Men''s Master'!$A$3:$J$9, 5)</f>
        <v>NY Freemason B</v>
      </c>
      <c r="F41" s="33" t="str">
        <f t="shared" si="1"/>
        <v>NY</v>
      </c>
      <c r="G41" t="str">
        <f>VLOOKUP('Pool Schedules'!D10, 'Men''s Master'!$A$3:$J$9, 5)</f>
        <v>Toronto LEGACY</v>
      </c>
    </row>
    <row r="42" spans="1:7" x14ac:dyDescent="0.2">
      <c r="A42" t="str">
        <f>RIGHT('Men''s Master'!$E$3, 2)</f>
        <v>04</v>
      </c>
      <c r="B42" s="32">
        <v>7</v>
      </c>
      <c r="C42" t="str">
        <f>VLOOKUP('Pool Schedules'!B11, 'Men''s Master'!$A$3:$J$9, 5)</f>
        <v>DC MVP A</v>
      </c>
      <c r="D42" s="33" t="str">
        <f t="shared" si="0"/>
        <v>DC</v>
      </c>
      <c r="E42" t="str">
        <f>VLOOKUP('Pool Schedules'!C11, 'Men''s Master'!$A$3:$J$9, 5)</f>
        <v>NY Strangers Blue</v>
      </c>
      <c r="F42" s="33" t="str">
        <f t="shared" si="1"/>
        <v>NY</v>
      </c>
      <c r="G42" t="str">
        <f>VLOOKUP('Pool Schedules'!D11, 'Men''s Master'!$A$3:$J$9, 5)</f>
        <v>NJ Vikings Blue</v>
      </c>
    </row>
    <row r="43" spans="1:7" x14ac:dyDescent="0.2">
      <c r="A43" t="str">
        <f>RIGHT('Men''s Master'!$E$3, 2)</f>
        <v>04</v>
      </c>
      <c r="B43" s="32">
        <v>8</v>
      </c>
      <c r="C43" t="str">
        <f>VLOOKUP('Pool Schedules'!B12, 'Men''s Master'!$A$3:$J$9, 5)</f>
        <v>NY Freemason B</v>
      </c>
      <c r="D43" s="33" t="str">
        <f t="shared" si="0"/>
        <v>NY</v>
      </c>
      <c r="E43" t="str">
        <f>VLOOKUP('Pool Schedules'!C12, 'Men''s Master'!$A$3:$J$9, 5)</f>
        <v>Toronto LEGACY</v>
      </c>
      <c r="F43" s="33" t="str">
        <f t="shared" si="1"/>
        <v>Toronto</v>
      </c>
      <c r="G43" t="str">
        <f>VLOOKUP('Pool Schedules'!D12, 'Men''s Master'!$A$3:$J$9, 5)</f>
        <v>DC MVP A</v>
      </c>
    </row>
    <row r="44" spans="1:7" x14ac:dyDescent="0.2">
      <c r="A44" t="str">
        <f>RIGHT('Men''s Master'!$E$3, 2)</f>
        <v>04</v>
      </c>
      <c r="B44" s="32">
        <v>9</v>
      </c>
      <c r="C44" t="str">
        <f>VLOOKUP('Pool Schedules'!B13, 'Men''s Master'!$A$3:$J$9, 5)</f>
        <v>NJ Vikings Blue</v>
      </c>
      <c r="D44" s="33" t="str">
        <f t="shared" si="0"/>
        <v>NJ</v>
      </c>
      <c r="E44" t="str">
        <f>VLOOKUP('Pool Schedules'!C13, 'Men''s Master'!$A$3:$J$9, 5)</f>
        <v>NY Strangers Blue</v>
      </c>
      <c r="F44" s="33" t="str">
        <f t="shared" si="1"/>
        <v>NY</v>
      </c>
      <c r="G44" t="str">
        <f>VLOOKUP('Pool Schedules'!D13, 'Men''s Master'!$A$3:$J$9, 5)</f>
        <v>Toronto LEGACY</v>
      </c>
    </row>
    <row r="45" spans="1:7" x14ac:dyDescent="0.2">
      <c r="A45" t="str">
        <f>RIGHT('Men''s Master'!$E$3, 2)</f>
        <v>04</v>
      </c>
      <c r="B45" s="32">
        <v>10</v>
      </c>
      <c r="C45" t="str">
        <f>VLOOKUP('Pool Schedules'!B14, 'Men''s Master'!$A$3:$J$9, 5)</f>
        <v>DC MVP A</v>
      </c>
      <c r="D45" s="33" t="str">
        <f t="shared" si="0"/>
        <v>DC</v>
      </c>
      <c r="E45" t="str">
        <f>VLOOKUP('Pool Schedules'!C14, 'Men''s Master'!$A$3:$J$9, 5)</f>
        <v>Toronto LEGACY</v>
      </c>
      <c r="F45" s="33" t="str">
        <f t="shared" si="1"/>
        <v>Toronto</v>
      </c>
      <c r="G45" t="str">
        <f>VLOOKUP('Pool Schedules'!D14, 'Men''s Master'!$A$3:$J$9, 5)</f>
        <v>NY Strangers Blue</v>
      </c>
    </row>
    <row r="46" spans="1:7" x14ac:dyDescent="0.2">
      <c r="A46" t="str">
        <f>RIGHT('Men''s Master'!$F$3, 2)</f>
        <v>07</v>
      </c>
      <c r="B46" s="32">
        <v>1</v>
      </c>
      <c r="C46" t="str">
        <f>VLOOKUP('Pool Schedules'!B5,'Men''s Master'!$A$3:$J$8, 6)</f>
        <v>DC Yee Fung Toy Thunder B</v>
      </c>
      <c r="D46" s="33" t="str">
        <f t="shared" si="0"/>
        <v>DC</v>
      </c>
      <c r="E46" t="str">
        <f>VLOOKUP('Pool Schedules'!C5,'Men''s Master'!$A$3:$J$8, 6)</f>
        <v>Philly Fastball-Horizon</v>
      </c>
      <c r="F46" s="33" t="str">
        <f t="shared" si="1"/>
        <v>Philly</v>
      </c>
      <c r="G46" t="str">
        <f>VLOOKUP('Pool Schedules'!D5,'Men''s Master'!$A$3:$J$8, 6)</f>
        <v>Boston Hurricanes Orange</v>
      </c>
    </row>
    <row r="47" spans="1:7" x14ac:dyDescent="0.2">
      <c r="A47" t="str">
        <f>RIGHT('Men''s Master'!$F$3, 2)</f>
        <v>07</v>
      </c>
      <c r="B47" s="32">
        <v>2</v>
      </c>
      <c r="C47" t="str">
        <f>VLOOKUP('Pool Schedules'!B6,'Men''s Master'!$A$3:$J$8, 6)</f>
        <v>Boston Hurricanes Orange</v>
      </c>
      <c r="D47" s="33" t="str">
        <f t="shared" si="0"/>
        <v>Boston</v>
      </c>
      <c r="E47" t="str">
        <f>VLOOKUP('Pool Schedules'!C6,'Men''s Master'!$A$3:$J$8, 6)</f>
        <v>Montreal Freemason</v>
      </c>
      <c r="F47" s="33" t="str">
        <f t="shared" si="1"/>
        <v>Montreal</v>
      </c>
      <c r="G47" t="str">
        <f>VLOOKUP('Pool Schedules'!D6,'Men''s Master'!$A$3:$J$8, 6)</f>
        <v>Philly Fastball-Horizon</v>
      </c>
    </row>
    <row r="48" spans="1:7" x14ac:dyDescent="0.2">
      <c r="A48" t="str">
        <f>RIGHT('Men''s Master'!$F$3, 2)</f>
        <v>07</v>
      </c>
      <c r="B48" s="32">
        <v>3</v>
      </c>
      <c r="C48" t="str">
        <f>VLOOKUP('Pool Schedules'!B7,'Men''s Master'!$A$3:$J$8, 6)</f>
        <v>DC Yee Fung Toy Thunder B</v>
      </c>
      <c r="D48" s="33" t="str">
        <f t="shared" si="0"/>
        <v>DC</v>
      </c>
      <c r="E48" t="str">
        <f>VLOOKUP('Pool Schedules'!C7,'Men''s Master'!$A$3:$J$8, 6)</f>
        <v>NY Strangers Black</v>
      </c>
      <c r="F48" s="33" t="str">
        <f t="shared" si="1"/>
        <v>NY</v>
      </c>
      <c r="G48" t="str">
        <f>VLOOKUP('Pool Schedules'!D7,'Men''s Master'!$A$3:$J$8, 6)</f>
        <v>Montreal Freemason</v>
      </c>
    </row>
    <row r="49" spans="1:7" x14ac:dyDescent="0.2">
      <c r="A49" t="str">
        <f>RIGHT('Men''s Master'!$F$3, 2)</f>
        <v>07</v>
      </c>
      <c r="B49" s="32">
        <v>4</v>
      </c>
      <c r="C49" t="str">
        <f>VLOOKUP('Pool Schedules'!B8,'Men''s Master'!$A$3:$J$8, 6)</f>
        <v>Philly Fastball-Horizon</v>
      </c>
      <c r="D49" s="33" t="str">
        <f t="shared" si="0"/>
        <v>Philly</v>
      </c>
      <c r="E49" t="str">
        <f>VLOOKUP('Pool Schedules'!C8,'Men''s Master'!$A$3:$J$8, 6)</f>
        <v>Boston Hurricanes Orange</v>
      </c>
      <c r="F49" s="33" t="str">
        <f t="shared" si="1"/>
        <v>Boston</v>
      </c>
      <c r="G49" t="str">
        <f>VLOOKUP('Pool Schedules'!D8,'Men''s Master'!$A$3:$J$8, 6)</f>
        <v>DC Yee Fung Toy Thunder B</v>
      </c>
    </row>
    <row r="50" spans="1:7" x14ac:dyDescent="0.2">
      <c r="A50" t="str">
        <f>RIGHT('Men''s Master'!$F$3, 2)</f>
        <v>07</v>
      </c>
      <c r="B50" s="32">
        <v>5</v>
      </c>
      <c r="C50" t="str">
        <f>VLOOKUP('Pool Schedules'!B9,'Men''s Master'!$A$3:$J$8, 6)</f>
        <v>Montreal Freemason</v>
      </c>
      <c r="D50" s="33" t="str">
        <f t="shared" si="0"/>
        <v>Montreal</v>
      </c>
      <c r="E50" t="str">
        <f>VLOOKUP('Pool Schedules'!C9,'Men''s Master'!$A$3:$J$8, 6)</f>
        <v>NY Strangers Black</v>
      </c>
      <c r="F50" s="33" t="str">
        <f t="shared" si="1"/>
        <v>NY</v>
      </c>
      <c r="G50" t="str">
        <f>VLOOKUP('Pool Schedules'!D9,'Men''s Master'!$A$3:$J$8, 6)</f>
        <v>Boston Hurricanes Orange</v>
      </c>
    </row>
    <row r="51" spans="1:7" x14ac:dyDescent="0.2">
      <c r="A51" t="str">
        <f>RIGHT('Men''s Master'!$F$3, 2)</f>
        <v>07</v>
      </c>
      <c r="B51" s="32">
        <v>6</v>
      </c>
      <c r="C51" t="str">
        <f>VLOOKUP('Pool Schedules'!B10,'Men''s Master'!$A$3:$J$8, 6)</f>
        <v>DC Yee Fung Toy Thunder B</v>
      </c>
      <c r="D51" s="33" t="str">
        <f t="shared" si="0"/>
        <v>DC</v>
      </c>
      <c r="E51" t="str">
        <f>VLOOKUP('Pool Schedules'!C10,'Men''s Master'!$A$3:$J$8, 6)</f>
        <v>Boston Hurricanes Orange</v>
      </c>
      <c r="F51" s="33" t="str">
        <f t="shared" si="1"/>
        <v>Boston</v>
      </c>
      <c r="G51" t="str">
        <f>VLOOKUP('Pool Schedules'!D10,'Men''s Master'!$A$3:$J$8, 6)</f>
        <v>NY Strangers Black</v>
      </c>
    </row>
    <row r="52" spans="1:7" x14ac:dyDescent="0.2">
      <c r="A52" t="str">
        <f>RIGHT('Men''s Master'!$F$3, 2)</f>
        <v>07</v>
      </c>
      <c r="B52" s="32">
        <v>7</v>
      </c>
      <c r="C52" t="str">
        <f>VLOOKUP('Pool Schedules'!B11,'Men''s Master'!$A$3:$J$8, 6)</f>
        <v>Philly Fastball-Horizon</v>
      </c>
      <c r="D52" s="33" t="str">
        <f t="shared" si="0"/>
        <v>Philly</v>
      </c>
      <c r="E52" t="str">
        <f>VLOOKUP('Pool Schedules'!C11,'Men''s Master'!$A$3:$J$8, 6)</f>
        <v>Montreal Freemason</v>
      </c>
      <c r="F52" s="33" t="str">
        <f t="shared" si="1"/>
        <v>Montreal</v>
      </c>
      <c r="G52" t="str">
        <f>VLOOKUP('Pool Schedules'!D11,'Men''s Master'!$A$3:$J$8, 6)</f>
        <v>DC Yee Fung Toy Thunder B</v>
      </c>
    </row>
    <row r="53" spans="1:7" x14ac:dyDescent="0.2">
      <c r="A53" t="str">
        <f>RIGHT('Men''s Master'!$F$3, 2)</f>
        <v>07</v>
      </c>
      <c r="B53" s="32">
        <v>8</v>
      </c>
      <c r="C53" t="str">
        <f>VLOOKUP('Pool Schedules'!B12,'Men''s Master'!$A$3:$J$8, 6)</f>
        <v>Boston Hurricanes Orange</v>
      </c>
      <c r="D53" s="33" t="str">
        <f t="shared" si="0"/>
        <v>Boston</v>
      </c>
      <c r="E53" t="str">
        <f>VLOOKUP('Pool Schedules'!C12,'Men''s Master'!$A$3:$J$8, 6)</f>
        <v>NY Strangers Black</v>
      </c>
      <c r="F53" s="33" t="str">
        <f t="shared" si="1"/>
        <v>NY</v>
      </c>
      <c r="G53" t="str">
        <f>VLOOKUP('Pool Schedules'!D12,'Men''s Master'!$A$3:$J$8, 6)</f>
        <v>Philly Fastball-Horizon</v>
      </c>
    </row>
    <row r="54" spans="1:7" x14ac:dyDescent="0.2">
      <c r="A54" t="str">
        <f>RIGHT('Men''s Master'!$F$3, 2)</f>
        <v>07</v>
      </c>
      <c r="B54" s="32">
        <v>9</v>
      </c>
      <c r="C54" t="str">
        <f>VLOOKUP('Pool Schedules'!B13,'Men''s Master'!$A$3:$J$8, 6)</f>
        <v>DC Yee Fung Toy Thunder B</v>
      </c>
      <c r="D54" s="33" t="str">
        <f t="shared" si="0"/>
        <v>DC</v>
      </c>
      <c r="E54" t="str">
        <f>VLOOKUP('Pool Schedules'!C13,'Men''s Master'!$A$3:$J$8, 6)</f>
        <v>Montreal Freemason</v>
      </c>
      <c r="F54" s="33" t="str">
        <f t="shared" si="1"/>
        <v>Montreal</v>
      </c>
      <c r="G54" t="str">
        <f>VLOOKUP('Pool Schedules'!D13,'Men''s Master'!$A$3:$J$8, 6)</f>
        <v>NY Strangers Black</v>
      </c>
    </row>
    <row r="55" spans="1:7" x14ac:dyDescent="0.2">
      <c r="A55" t="str">
        <f>RIGHT('Men''s Master'!$F$3, 2)</f>
        <v>07</v>
      </c>
      <c r="B55" s="32">
        <v>10</v>
      </c>
      <c r="C55" t="str">
        <f>VLOOKUP('Pool Schedules'!B14,'Men''s Master'!$A$3:$J$8, 6)</f>
        <v>Philly Fastball-Horizon</v>
      </c>
      <c r="D55" s="33" t="str">
        <f t="shared" si="0"/>
        <v>Philly</v>
      </c>
      <c r="E55" t="str">
        <f>VLOOKUP('Pool Schedules'!C14,'Men''s Master'!$A$3:$J$8, 6)</f>
        <v>NY Strangers Black</v>
      </c>
      <c r="F55" s="33" t="str">
        <f t="shared" si="1"/>
        <v>NY</v>
      </c>
      <c r="G55" t="str">
        <f>VLOOKUP('Pool Schedules'!D14,'Men''s Master'!$A$3:$J$8, 6)</f>
        <v>Montreal Freemason</v>
      </c>
    </row>
    <row r="56" spans="1:7" x14ac:dyDescent="0.2">
      <c r="A56" t="str">
        <f>RIGHT('Men''s Master'!$G$3, 2)</f>
        <v>08</v>
      </c>
      <c r="B56" s="32">
        <v>1</v>
      </c>
      <c r="C56" t="str">
        <f>VLOOKUP('Pool Schedules'!G5,'Men''s Master'!$A$3:$J$8, 7)</f>
        <v>Boston Knights C</v>
      </c>
      <c r="D56" s="33" t="str">
        <f t="shared" si="0"/>
        <v>Boston</v>
      </c>
      <c r="E56" t="str">
        <f>VLOOKUP('Pool Schedules'!H5,'Men''s Master'!$A$3:$J$8, 7)</f>
        <v>Chicago United</v>
      </c>
      <c r="F56" s="33" t="str">
        <f t="shared" si="1"/>
        <v>Chicago</v>
      </c>
      <c r="G56" t="str">
        <f>VLOOKUP('Pool Schedules'!I5,'Men''s Master'!$A$3:$J$8, 7)</f>
        <v>DC CYC A</v>
      </c>
    </row>
    <row r="57" spans="1:7" x14ac:dyDescent="0.2">
      <c r="A57" t="str">
        <f>RIGHT('Men''s Master'!$G$3, 2)</f>
        <v>08</v>
      </c>
      <c r="B57" s="32">
        <v>2</v>
      </c>
      <c r="C57" t="str">
        <f>VLOOKUP('Pool Schedules'!G6,'Men''s Master'!$A$3:$J$8, 7)</f>
        <v>DC CYC A</v>
      </c>
      <c r="D57" s="33" t="str">
        <f t="shared" si="0"/>
        <v>DC</v>
      </c>
      <c r="E57" t="str">
        <f>VLOOKUP('Pool Schedules'!H6,'Men''s Master'!$A$3:$J$8, 7)</f>
        <v>Philly CIA Jrs.</v>
      </c>
      <c r="F57" s="33" t="str">
        <f t="shared" si="1"/>
        <v>Philly</v>
      </c>
      <c r="G57" t="str">
        <f>VLOOKUP('Pool Schedules'!I6,'Men''s Master'!$A$3:$J$8, 7)</f>
        <v>Boston Knights C</v>
      </c>
    </row>
    <row r="58" spans="1:7" x14ac:dyDescent="0.2">
      <c r="A58" t="str">
        <f>RIGHT('Men''s Master'!$G$3, 2)</f>
        <v>08</v>
      </c>
      <c r="B58" s="32">
        <v>3</v>
      </c>
      <c r="C58" t="str">
        <f>VLOOKUP('Pool Schedules'!G7,'Men''s Master'!$A$3:$J$8, 7)</f>
        <v>DC CYC A</v>
      </c>
      <c r="D58" s="33" t="str">
        <f t="shared" si="0"/>
        <v>DC</v>
      </c>
      <c r="E58" t="str">
        <f>VLOOKUP('Pool Schedules'!H7,'Men''s Master'!$A$3:$J$8, 7)</f>
        <v>NY Strangers Alumni</v>
      </c>
      <c r="F58" s="33" t="str">
        <f t="shared" si="1"/>
        <v>NY</v>
      </c>
      <c r="G58" t="str">
        <f>VLOOKUP('Pool Schedules'!I7,'Men''s Master'!$A$3:$J$8, 7)</f>
        <v>DC CYC A</v>
      </c>
    </row>
    <row r="59" spans="1:7" x14ac:dyDescent="0.2">
      <c r="A59" t="str">
        <f>RIGHT('Men''s Master'!$G$3, 2)</f>
        <v>08</v>
      </c>
      <c r="B59" s="32">
        <v>4</v>
      </c>
      <c r="C59" t="str">
        <f>VLOOKUP('Pool Schedules'!G8,'Men''s Master'!$A$3:$J$8, 7)</f>
        <v>Boston Knights C</v>
      </c>
      <c r="D59" s="33" t="str">
        <f t="shared" si="0"/>
        <v>Boston</v>
      </c>
      <c r="E59" t="str">
        <f>VLOOKUP('Pool Schedules'!H8,'Men''s Master'!$A$3:$J$8, 7)</f>
        <v>Philly CIA Jrs.</v>
      </c>
      <c r="F59" s="33" t="str">
        <f t="shared" si="1"/>
        <v>Philly</v>
      </c>
      <c r="G59" t="str">
        <f>VLOOKUP('Pool Schedules'!I8,'Men''s Master'!$A$3:$J$8, 7)</f>
        <v>DC CYC A</v>
      </c>
    </row>
    <row r="60" spans="1:7" x14ac:dyDescent="0.2">
      <c r="A60" t="str">
        <f>RIGHT('Men''s Master'!$G$3, 2)</f>
        <v>08</v>
      </c>
      <c r="B60" s="32">
        <v>5</v>
      </c>
      <c r="C60" t="str">
        <f>VLOOKUP('Pool Schedules'!G9,'Men''s Master'!$A$3:$J$8, 7)</f>
        <v>Chicago United</v>
      </c>
      <c r="D60" s="33" t="str">
        <f t="shared" si="0"/>
        <v>Chicago</v>
      </c>
      <c r="E60" t="str">
        <f>VLOOKUP('Pool Schedules'!H9,'Men''s Master'!$A$3:$J$8, 7)</f>
        <v>NY Strangers Alumni</v>
      </c>
      <c r="F60" s="33" t="str">
        <f t="shared" si="1"/>
        <v>NY</v>
      </c>
      <c r="G60" t="str">
        <f>VLOOKUP('Pool Schedules'!I9,'Men''s Master'!$A$3:$J$8, 7)</f>
        <v>Philly CIA Jrs.</v>
      </c>
    </row>
    <row r="61" spans="1:7" x14ac:dyDescent="0.2">
      <c r="A61" t="str">
        <f>RIGHT('Men''s Master'!$G$3, 2)</f>
        <v>08</v>
      </c>
      <c r="B61" s="32">
        <v>6</v>
      </c>
      <c r="C61" t="str">
        <f>VLOOKUP('Pool Schedules'!G10,'Men''s Master'!$A$3:$J$8, 7)</f>
        <v>DC CYC A</v>
      </c>
      <c r="D61" s="33" t="str">
        <f t="shared" si="0"/>
        <v>DC</v>
      </c>
      <c r="E61" t="str">
        <f>VLOOKUP('Pool Schedules'!H10,'Men''s Master'!$A$3:$J$8, 7)</f>
        <v>DC CYC A</v>
      </c>
      <c r="F61" s="33" t="str">
        <f t="shared" si="1"/>
        <v>DC</v>
      </c>
      <c r="G61" t="str">
        <f>VLOOKUP('Pool Schedules'!I10,'Men''s Master'!$A$3:$J$8, 7)</f>
        <v>Chicago United</v>
      </c>
    </row>
    <row r="62" spans="1:7" x14ac:dyDescent="0.2">
      <c r="A62" t="str">
        <f>RIGHT('Men''s Master'!$G$3, 2)</f>
        <v>08</v>
      </c>
      <c r="B62" s="32">
        <v>7</v>
      </c>
      <c r="C62" t="str">
        <f>VLOOKUP('Pool Schedules'!G11,'Men''s Master'!$A$3:$J$8, 7)</f>
        <v>Boston Knights C</v>
      </c>
      <c r="D62" s="33" t="str">
        <f t="shared" si="0"/>
        <v>Boston</v>
      </c>
      <c r="E62" t="str">
        <f>VLOOKUP('Pool Schedules'!H11,'Men''s Master'!$A$3:$J$8, 7)</f>
        <v>NY Strangers Alumni</v>
      </c>
      <c r="F62" s="33" t="str">
        <f t="shared" si="1"/>
        <v>NY</v>
      </c>
      <c r="G62" t="str">
        <f>VLOOKUP('Pool Schedules'!I11,'Men''s Master'!$A$3:$J$8, 7)</f>
        <v>DC CYC A</v>
      </c>
    </row>
    <row r="63" spans="1:7" x14ac:dyDescent="0.2">
      <c r="A63" t="str">
        <f>RIGHT('Men''s Master'!$G$3, 2)</f>
        <v>08</v>
      </c>
      <c r="B63" s="32">
        <v>8</v>
      </c>
      <c r="C63" t="str">
        <f>VLOOKUP('Pool Schedules'!G12,'Men''s Master'!$A$3:$J$8, 7)</f>
        <v>Chicago United</v>
      </c>
      <c r="D63" s="33" t="str">
        <f t="shared" si="0"/>
        <v>Chicago</v>
      </c>
      <c r="E63" t="str">
        <f>VLOOKUP('Pool Schedules'!H12,'Men''s Master'!$A$3:$J$8, 7)</f>
        <v>Philly CIA Jrs.</v>
      </c>
      <c r="F63" s="33" t="str">
        <f t="shared" si="1"/>
        <v>Philly</v>
      </c>
      <c r="G63" t="str">
        <f>VLOOKUP('Pool Schedules'!I12,'Men''s Master'!$A$3:$J$8, 7)</f>
        <v>Boston Knights C</v>
      </c>
    </row>
    <row r="64" spans="1:7" x14ac:dyDescent="0.2">
      <c r="A64" t="str">
        <f>RIGHT('Men''s Master'!$G$3, 2)</f>
        <v>08</v>
      </c>
      <c r="B64" s="32">
        <v>9</v>
      </c>
      <c r="C64" t="str">
        <f>VLOOKUP('Pool Schedules'!G13,'Men''s Master'!$A$3:$J$8, 7)</f>
        <v>DC CYC A</v>
      </c>
      <c r="D64" s="33" t="str">
        <f t="shared" si="0"/>
        <v>DC</v>
      </c>
      <c r="E64" t="str">
        <f>VLOOKUP('Pool Schedules'!H13,'Men''s Master'!$A$3:$J$8, 7)</f>
        <v>NY Strangers Alumni</v>
      </c>
      <c r="F64" s="33" t="str">
        <f t="shared" si="1"/>
        <v>NY</v>
      </c>
      <c r="G64" t="str">
        <f>VLOOKUP('Pool Schedules'!I13,'Men''s Master'!$A$3:$J$8, 7)</f>
        <v>Philly CIA Jrs.</v>
      </c>
    </row>
    <row r="65" spans="1:7" x14ac:dyDescent="0.2">
      <c r="A65" t="str">
        <f>RIGHT('Men''s Master'!$G$3, 2)</f>
        <v>08</v>
      </c>
      <c r="B65" s="32">
        <v>10</v>
      </c>
      <c r="C65" t="str">
        <f>VLOOKUP('Pool Schedules'!G14,'Men''s Master'!$A$3:$J$8, 7)</f>
        <v>DC CYC A</v>
      </c>
      <c r="D65" s="33" t="str">
        <f t="shared" si="0"/>
        <v>DC</v>
      </c>
      <c r="E65" t="str">
        <f>VLOOKUP('Pool Schedules'!H14,'Men''s Master'!$A$3:$J$8, 7)</f>
        <v>Chicago United</v>
      </c>
      <c r="F65" s="33" t="str">
        <f t="shared" si="1"/>
        <v>Chicago</v>
      </c>
      <c r="G65" t="str">
        <f>VLOOKUP('Pool Schedules'!I14,'Men''s Master'!$A$3:$J$8, 7)</f>
        <v>NY Strangers Alumni</v>
      </c>
    </row>
    <row r="66" spans="1:7" x14ac:dyDescent="0.2">
      <c r="A66" t="str">
        <f>RIGHT('Men''s Master'!$G$3, 2)</f>
        <v>08</v>
      </c>
      <c r="B66" s="32">
        <v>11</v>
      </c>
      <c r="C66" t="str">
        <f>VLOOKUP('Pool Schedules'!G15,'Men''s Master'!$A$3:$J$8, 7)</f>
        <v>Boston Knights C</v>
      </c>
      <c r="D66" s="33" t="str">
        <f t="shared" si="0"/>
        <v>Boston</v>
      </c>
      <c r="E66" t="str">
        <f>VLOOKUP('Pool Schedules'!H15,'Men''s Master'!$A$3:$J$8, 7)</f>
        <v>DC CYC A</v>
      </c>
      <c r="F66" s="33" t="str">
        <f t="shared" si="1"/>
        <v>DC</v>
      </c>
      <c r="G66" t="str">
        <f>VLOOKUP('Pool Schedules'!I15,'Men''s Master'!$A$3:$J$8, 7)</f>
        <v>Chicago United</v>
      </c>
    </row>
    <row r="67" spans="1:7" x14ac:dyDescent="0.2">
      <c r="A67" t="str">
        <f>RIGHT('Men''s Master'!$G$3, 2)</f>
        <v>08</v>
      </c>
      <c r="B67" s="32">
        <v>12</v>
      </c>
      <c r="C67" t="str">
        <f>VLOOKUP('Pool Schedules'!G16,'Men''s Master'!$A$3:$J$8, 7)</f>
        <v>DC CYC A</v>
      </c>
      <c r="D67" s="33" t="str">
        <f t="shared" ref="D67:D99" si="2">LEFT(C67, (FIND(" ",C67,1)-1))</f>
        <v>DC</v>
      </c>
      <c r="E67" t="str">
        <f>VLOOKUP('Pool Schedules'!H16,'Men''s Master'!$A$3:$J$8, 7)</f>
        <v>Philly CIA Jrs.</v>
      </c>
      <c r="F67" s="33" t="str">
        <f t="shared" ref="F67:F99" si="3">LEFT(E67, (FIND(" ",E67,1)-1))</f>
        <v>Philly</v>
      </c>
      <c r="G67" t="str">
        <f>VLOOKUP('Pool Schedules'!I16,'Men''s Master'!$A$3:$J$8, 7)</f>
        <v>NY Strangers Alumni</v>
      </c>
    </row>
    <row r="68" spans="1:7" x14ac:dyDescent="0.2">
      <c r="A68" t="str">
        <f>RIGHT('Men''s Master'!$H$3, 2)</f>
        <v>12</v>
      </c>
      <c r="B68" s="32">
        <v>1</v>
      </c>
      <c r="C68" t="str">
        <f>VLOOKUP('Pool Schedules'!G5,'Men''s Master'!$A$3:$J$8, 8)</f>
        <v>Toronto Ngun Lam White</v>
      </c>
      <c r="D68" s="33" t="str">
        <f t="shared" si="2"/>
        <v>Toronto</v>
      </c>
      <c r="E68" t="str">
        <f>VLOOKUP('Pool Schedules'!H5,'Men''s Master'!$A$3:$J$8, 8)</f>
        <v>Boston Knights B</v>
      </c>
      <c r="F68" s="33" t="str">
        <f t="shared" si="3"/>
        <v>Boston</v>
      </c>
      <c r="G68" t="str">
        <f>VLOOKUP('Pool Schedules'!I5,'Men''s Master'!$A$3:$J$8, 8)</f>
        <v>Philly Rising Suns</v>
      </c>
    </row>
    <row r="69" spans="1:7" x14ac:dyDescent="0.2">
      <c r="A69" t="str">
        <f>RIGHT('Men''s Master'!$H$3, 2)</f>
        <v>12</v>
      </c>
      <c r="B69" s="32">
        <v>2</v>
      </c>
      <c r="C69" t="str">
        <f>VLOOKUP('Pool Schedules'!G6,'Men''s Master'!$A$3:$J$8, 8)</f>
        <v>Philly Rising Suns</v>
      </c>
      <c r="D69" s="33" t="str">
        <f t="shared" si="2"/>
        <v>Philly</v>
      </c>
      <c r="E69" t="str">
        <f>VLOOKUP('Pool Schedules'!H6,'Men''s Master'!$A$3:$J$8, 8)</f>
        <v>Toronto Connex B</v>
      </c>
      <c r="F69" s="33" t="str">
        <f t="shared" si="3"/>
        <v>Toronto</v>
      </c>
      <c r="G69" t="str">
        <f>VLOOKUP('Pool Schedules'!I6,'Men''s Master'!$A$3:$J$8, 8)</f>
        <v>Toronto Ngun Lam White</v>
      </c>
    </row>
    <row r="70" spans="1:7" x14ac:dyDescent="0.2">
      <c r="A70" t="str">
        <f>RIGHT('Men''s Master'!$H$3, 2)</f>
        <v>12</v>
      </c>
      <c r="B70" s="32">
        <v>3</v>
      </c>
      <c r="C70" t="str">
        <f>VLOOKUP('Pool Schedules'!G7,'Men''s Master'!$A$3:$J$8, 8)</f>
        <v>Philly Rising Suns</v>
      </c>
      <c r="D70" s="33" t="str">
        <f t="shared" si="2"/>
        <v>Philly</v>
      </c>
      <c r="E70" t="str">
        <f>VLOOKUP('Pool Schedules'!H7,'Men''s Master'!$A$3:$J$8, 8)</f>
        <v>NY Vikings</v>
      </c>
      <c r="F70" s="33" t="str">
        <f t="shared" si="3"/>
        <v>NY</v>
      </c>
      <c r="G70" t="str">
        <f>VLOOKUP('Pool Schedules'!I7,'Men''s Master'!$A$3:$J$8, 8)</f>
        <v>Philly Rising Suns</v>
      </c>
    </row>
    <row r="71" spans="1:7" x14ac:dyDescent="0.2">
      <c r="A71" t="str">
        <f>RIGHT('Men''s Master'!$H$3, 2)</f>
        <v>12</v>
      </c>
      <c r="B71" s="32">
        <v>4</v>
      </c>
      <c r="C71" t="str">
        <f>VLOOKUP('Pool Schedules'!G8,'Men''s Master'!$A$3:$J$8, 8)</f>
        <v>Toronto Ngun Lam White</v>
      </c>
      <c r="D71" s="33" t="str">
        <f t="shared" si="2"/>
        <v>Toronto</v>
      </c>
      <c r="E71" t="str">
        <f>VLOOKUP('Pool Schedules'!H8,'Men''s Master'!$A$3:$J$8, 8)</f>
        <v>Toronto Connex B</v>
      </c>
      <c r="F71" s="33" t="str">
        <f t="shared" si="3"/>
        <v>Toronto</v>
      </c>
      <c r="G71" t="str">
        <f>VLOOKUP('Pool Schedules'!I8,'Men''s Master'!$A$3:$J$8, 8)</f>
        <v>Philly Rising Suns</v>
      </c>
    </row>
    <row r="72" spans="1:7" x14ac:dyDescent="0.2">
      <c r="A72" t="str">
        <f>RIGHT('Men''s Master'!$H$3, 2)</f>
        <v>12</v>
      </c>
      <c r="B72" s="32">
        <v>5</v>
      </c>
      <c r="C72" t="str">
        <f>VLOOKUP('Pool Schedules'!G9,'Men''s Master'!$A$3:$J$8, 8)</f>
        <v>Boston Knights B</v>
      </c>
      <c r="D72" s="33" t="str">
        <f t="shared" si="2"/>
        <v>Boston</v>
      </c>
      <c r="E72" t="str">
        <f>VLOOKUP('Pool Schedules'!H9,'Men''s Master'!$A$3:$J$8, 8)</f>
        <v>NY Vikings</v>
      </c>
      <c r="F72" s="33" t="str">
        <f t="shared" si="3"/>
        <v>NY</v>
      </c>
      <c r="G72" t="str">
        <f>VLOOKUP('Pool Schedules'!I9,'Men''s Master'!$A$3:$J$8, 8)</f>
        <v>Toronto Connex B</v>
      </c>
    </row>
    <row r="73" spans="1:7" x14ac:dyDescent="0.2">
      <c r="A73" t="str">
        <f>RIGHT('Men''s Master'!$H$3, 2)</f>
        <v>12</v>
      </c>
      <c r="B73" s="32">
        <v>6</v>
      </c>
      <c r="C73" t="str">
        <f>VLOOKUP('Pool Schedules'!G10,'Men''s Master'!$A$3:$J$8, 8)</f>
        <v>Philly Rising Suns</v>
      </c>
      <c r="D73" s="33" t="str">
        <f t="shared" si="2"/>
        <v>Philly</v>
      </c>
      <c r="E73" t="str">
        <f>VLOOKUP('Pool Schedules'!H10,'Men''s Master'!$A$3:$J$8, 8)</f>
        <v>Philly Rising Suns</v>
      </c>
      <c r="F73" s="33" t="str">
        <f t="shared" si="3"/>
        <v>Philly</v>
      </c>
      <c r="G73" t="str">
        <f>VLOOKUP('Pool Schedules'!I10,'Men''s Master'!$A$3:$J$8, 8)</f>
        <v>Boston Knights B</v>
      </c>
    </row>
    <row r="74" spans="1:7" x14ac:dyDescent="0.2">
      <c r="A74" t="str">
        <f>RIGHT('Men''s Master'!$H$3, 2)</f>
        <v>12</v>
      </c>
      <c r="B74" s="32">
        <v>7</v>
      </c>
      <c r="C74" t="str">
        <f>VLOOKUP('Pool Schedules'!G11,'Men''s Master'!$A$3:$J$8, 8)</f>
        <v>Toronto Ngun Lam White</v>
      </c>
      <c r="D74" s="33" t="str">
        <f t="shared" si="2"/>
        <v>Toronto</v>
      </c>
      <c r="E74" t="str">
        <f>VLOOKUP('Pool Schedules'!H11,'Men''s Master'!$A$3:$J$8, 8)</f>
        <v>NY Vikings</v>
      </c>
      <c r="F74" s="33" t="str">
        <f t="shared" si="3"/>
        <v>NY</v>
      </c>
      <c r="G74" t="str">
        <f>VLOOKUP('Pool Schedules'!I11,'Men''s Master'!$A$3:$J$8, 8)</f>
        <v>Philly Rising Suns</v>
      </c>
    </row>
    <row r="75" spans="1:7" x14ac:dyDescent="0.2">
      <c r="A75" t="str">
        <f>RIGHT('Men''s Master'!$H$3, 2)</f>
        <v>12</v>
      </c>
      <c r="B75" s="32">
        <v>8</v>
      </c>
      <c r="C75" t="str">
        <f>VLOOKUP('Pool Schedules'!G12,'Men''s Master'!$A$3:$J$8, 8)</f>
        <v>Boston Knights B</v>
      </c>
      <c r="D75" s="33" t="str">
        <f t="shared" si="2"/>
        <v>Boston</v>
      </c>
      <c r="E75" t="str">
        <f>VLOOKUP('Pool Schedules'!H12,'Men''s Master'!$A$3:$J$8, 8)</f>
        <v>Toronto Connex B</v>
      </c>
      <c r="F75" s="33" t="str">
        <f t="shared" si="3"/>
        <v>Toronto</v>
      </c>
      <c r="G75" t="str">
        <f>VLOOKUP('Pool Schedules'!I12,'Men''s Master'!$A$3:$J$8, 8)</f>
        <v>Toronto Ngun Lam White</v>
      </c>
    </row>
    <row r="76" spans="1:7" x14ac:dyDescent="0.2">
      <c r="A76" t="str">
        <f>RIGHT('Men''s Master'!$H$3, 2)</f>
        <v>12</v>
      </c>
      <c r="B76" s="32">
        <v>9</v>
      </c>
      <c r="C76" t="str">
        <f>VLOOKUP('Pool Schedules'!G13,'Men''s Master'!$A$3:$J$8, 8)</f>
        <v>Philly Rising Suns</v>
      </c>
      <c r="D76" s="33" t="str">
        <f t="shared" si="2"/>
        <v>Philly</v>
      </c>
      <c r="E76" t="str">
        <f>VLOOKUP('Pool Schedules'!H13,'Men''s Master'!$A$3:$J$8, 8)</f>
        <v>NY Vikings</v>
      </c>
      <c r="F76" s="33" t="str">
        <f t="shared" si="3"/>
        <v>NY</v>
      </c>
      <c r="G76" t="str">
        <f>VLOOKUP('Pool Schedules'!I13,'Men''s Master'!$A$3:$J$8, 8)</f>
        <v>Toronto Connex B</v>
      </c>
    </row>
    <row r="77" spans="1:7" x14ac:dyDescent="0.2">
      <c r="A77" t="str">
        <f>RIGHT('Men''s Master'!$H$3, 2)</f>
        <v>12</v>
      </c>
      <c r="B77" s="32">
        <v>10</v>
      </c>
      <c r="C77" t="str">
        <f>VLOOKUP('Pool Schedules'!G14,'Men''s Master'!$A$3:$J$8, 8)</f>
        <v>Philly Rising Suns</v>
      </c>
      <c r="D77" s="33" t="str">
        <f t="shared" si="2"/>
        <v>Philly</v>
      </c>
      <c r="E77" t="str">
        <f>VLOOKUP('Pool Schedules'!H14,'Men''s Master'!$A$3:$J$8, 8)</f>
        <v>Boston Knights B</v>
      </c>
      <c r="F77" s="33" t="str">
        <f t="shared" si="3"/>
        <v>Boston</v>
      </c>
      <c r="G77" t="str">
        <f>VLOOKUP('Pool Schedules'!I14,'Men''s Master'!$A$3:$J$8, 8)</f>
        <v>NY Vikings</v>
      </c>
    </row>
    <row r="78" spans="1:7" x14ac:dyDescent="0.2">
      <c r="A78" t="str">
        <f>RIGHT('Men''s Master'!$H$3, 2)</f>
        <v>12</v>
      </c>
      <c r="B78" s="32">
        <v>11</v>
      </c>
      <c r="C78" t="str">
        <f>VLOOKUP('Pool Schedules'!G15,'Men''s Master'!$A$3:$J$8, 8)</f>
        <v>Toronto Ngun Lam White</v>
      </c>
      <c r="D78" s="33" t="str">
        <f t="shared" si="2"/>
        <v>Toronto</v>
      </c>
      <c r="E78" t="str">
        <f>VLOOKUP('Pool Schedules'!H15,'Men''s Master'!$A$3:$J$8, 8)</f>
        <v>Philly Rising Suns</v>
      </c>
      <c r="F78" s="33" t="str">
        <f t="shared" si="3"/>
        <v>Philly</v>
      </c>
      <c r="G78" t="str">
        <f>VLOOKUP('Pool Schedules'!I15,'Men''s Master'!$A$3:$J$8, 8)</f>
        <v>Boston Knights B</v>
      </c>
    </row>
    <row r="79" spans="1:7" x14ac:dyDescent="0.2">
      <c r="A79" t="str">
        <f>RIGHT('Men''s Master'!$H$3, 2)</f>
        <v>12</v>
      </c>
      <c r="B79" s="32">
        <v>12</v>
      </c>
      <c r="C79" t="str">
        <f>VLOOKUP('Pool Schedules'!G16,'Men''s Master'!$A$3:$J$8, 8)</f>
        <v>Philly Rising Suns</v>
      </c>
      <c r="D79" s="33" t="str">
        <f t="shared" si="2"/>
        <v>Philly</v>
      </c>
      <c r="E79" t="str">
        <f>VLOOKUP('Pool Schedules'!H16,'Men''s Master'!$A$3:$J$8, 8)</f>
        <v>Toronto Connex B</v>
      </c>
      <c r="F79" s="33" t="str">
        <f t="shared" si="3"/>
        <v>Toronto</v>
      </c>
      <c r="G79" t="str">
        <f>VLOOKUP('Pool Schedules'!I16,'Men''s Master'!$A$3:$J$8, 8)</f>
        <v>NY Vikings</v>
      </c>
    </row>
    <row r="80" spans="1:7" x14ac:dyDescent="0.2">
      <c r="A80" t="str">
        <f>RIGHT('Men''s Master'!$I$3, 2)</f>
        <v>13</v>
      </c>
      <c r="B80" s="32">
        <v>1</v>
      </c>
      <c r="C80" t="str">
        <f>VLOOKUP('Pool Schedules'!B5,'Men''s Master'!$A$3:$J$8, 9)</f>
        <v>Boston Hurricanes Black</v>
      </c>
      <c r="D80" s="33" t="str">
        <f t="shared" si="2"/>
        <v>Boston</v>
      </c>
      <c r="E80" t="str">
        <f>VLOOKUP('Pool Schedules'!C5,'Men''s Master'!$A$3:$J$8, 9)</f>
        <v>Toronto Flying Tigers</v>
      </c>
      <c r="F80" s="33" t="str">
        <f t="shared" si="3"/>
        <v>Toronto</v>
      </c>
      <c r="G80" t="str">
        <f>VLOOKUP('Pool Schedules'!D5,'Men''s Master'!$A$3:$J$8, 9)</f>
        <v>Toronto Connex C</v>
      </c>
    </row>
    <row r="81" spans="1:7" x14ac:dyDescent="0.2">
      <c r="A81" t="str">
        <f>RIGHT('Men''s Master'!$I$3, 2)</f>
        <v>13</v>
      </c>
      <c r="B81" s="32">
        <v>2</v>
      </c>
      <c r="C81" t="str">
        <f>VLOOKUP('Pool Schedules'!B6,'Men''s Master'!$A$3:$J$8, 9)</f>
        <v>Toronto Connex C</v>
      </c>
      <c r="D81" s="33" t="str">
        <f t="shared" si="2"/>
        <v>Toronto</v>
      </c>
      <c r="E81" t="str">
        <f>VLOOKUP('Pool Schedules'!C6,'Men''s Master'!$A$3:$J$8, 9)</f>
        <v>NY Freemason A</v>
      </c>
      <c r="F81" s="33" t="str">
        <f t="shared" si="3"/>
        <v>NY</v>
      </c>
      <c r="G81" t="str">
        <f>VLOOKUP('Pool Schedules'!D6,'Men''s Master'!$A$3:$J$8, 9)</f>
        <v>Toronto Flying Tigers</v>
      </c>
    </row>
    <row r="82" spans="1:7" x14ac:dyDescent="0.2">
      <c r="A82" t="str">
        <f>RIGHT('Men''s Master'!$I$3, 2)</f>
        <v>13</v>
      </c>
      <c r="B82" s="32">
        <v>3</v>
      </c>
      <c r="C82" t="str">
        <f>VLOOKUP('Pool Schedules'!B7,'Men''s Master'!$A$3:$J$8, 9)</f>
        <v>Boston Hurricanes Black</v>
      </c>
      <c r="D82" s="33" t="str">
        <f t="shared" si="2"/>
        <v>Boston</v>
      </c>
      <c r="E82" t="str">
        <f>VLOOKUP('Pool Schedules'!C7,'Men''s Master'!$A$3:$J$8, 9)</f>
        <v>DC MVP B</v>
      </c>
      <c r="F82" s="33" t="str">
        <f t="shared" si="3"/>
        <v>DC</v>
      </c>
      <c r="G82" t="str">
        <f>VLOOKUP('Pool Schedules'!D7,'Men''s Master'!$A$3:$J$8, 9)</f>
        <v>NY Freemason A</v>
      </c>
    </row>
    <row r="83" spans="1:7" x14ac:dyDescent="0.2">
      <c r="A83" t="str">
        <f>RIGHT('Men''s Master'!$I$3, 2)</f>
        <v>13</v>
      </c>
      <c r="B83" s="32">
        <v>4</v>
      </c>
      <c r="C83" t="str">
        <f>VLOOKUP('Pool Schedules'!B8,'Men''s Master'!$A$3:$J$8, 9)</f>
        <v>Toronto Flying Tigers</v>
      </c>
      <c r="D83" s="33" t="str">
        <f t="shared" si="2"/>
        <v>Toronto</v>
      </c>
      <c r="E83" t="str">
        <f>VLOOKUP('Pool Schedules'!C8,'Men''s Master'!$A$3:$J$8, 9)</f>
        <v>Toronto Connex C</v>
      </c>
      <c r="F83" s="33" t="str">
        <f t="shared" si="3"/>
        <v>Toronto</v>
      </c>
      <c r="G83" t="str">
        <f>VLOOKUP('Pool Schedules'!D8,'Men''s Master'!$A$3:$J$8, 9)</f>
        <v>Boston Hurricanes Black</v>
      </c>
    </row>
    <row r="84" spans="1:7" x14ac:dyDescent="0.2">
      <c r="A84" t="str">
        <f>RIGHT('Men''s Master'!$I$3, 2)</f>
        <v>13</v>
      </c>
      <c r="B84" s="32">
        <v>5</v>
      </c>
      <c r="C84" t="str">
        <f>VLOOKUP('Pool Schedules'!B9,'Men''s Master'!$A$3:$J$8, 9)</f>
        <v>NY Freemason A</v>
      </c>
      <c r="D84" s="33" t="str">
        <f t="shared" si="2"/>
        <v>NY</v>
      </c>
      <c r="E84" t="str">
        <f>VLOOKUP('Pool Schedules'!C9,'Men''s Master'!$A$3:$J$8, 9)</f>
        <v>DC MVP B</v>
      </c>
      <c r="F84" s="33" t="str">
        <f t="shared" si="3"/>
        <v>DC</v>
      </c>
      <c r="G84" t="str">
        <f>VLOOKUP('Pool Schedules'!D9,'Men''s Master'!$A$3:$J$8, 9)</f>
        <v>Toronto Connex C</v>
      </c>
    </row>
    <row r="85" spans="1:7" x14ac:dyDescent="0.2">
      <c r="A85" t="str">
        <f>RIGHT('Men''s Master'!$I$3, 2)</f>
        <v>13</v>
      </c>
      <c r="B85" s="32">
        <v>6</v>
      </c>
      <c r="C85" t="str">
        <f>VLOOKUP('Pool Schedules'!B10,'Men''s Master'!$A$3:$J$8, 9)</f>
        <v>Boston Hurricanes Black</v>
      </c>
      <c r="D85" s="33" t="str">
        <f t="shared" si="2"/>
        <v>Boston</v>
      </c>
      <c r="E85" t="str">
        <f>VLOOKUP('Pool Schedules'!C10,'Men''s Master'!$A$3:$J$8, 9)</f>
        <v>Toronto Connex C</v>
      </c>
      <c r="F85" s="33" t="str">
        <f t="shared" si="3"/>
        <v>Toronto</v>
      </c>
      <c r="G85" t="str">
        <f>VLOOKUP('Pool Schedules'!D10,'Men''s Master'!$A$3:$J$8, 9)</f>
        <v>DC MVP B</v>
      </c>
    </row>
    <row r="86" spans="1:7" x14ac:dyDescent="0.2">
      <c r="A86" t="str">
        <f>RIGHT('Men''s Master'!$I$3, 2)</f>
        <v>13</v>
      </c>
      <c r="B86" s="32">
        <v>7</v>
      </c>
      <c r="C86" t="str">
        <f>VLOOKUP('Pool Schedules'!B11,'Men''s Master'!$A$3:$J$8, 9)</f>
        <v>Toronto Flying Tigers</v>
      </c>
      <c r="D86" s="33" t="str">
        <f t="shared" si="2"/>
        <v>Toronto</v>
      </c>
      <c r="E86" t="str">
        <f>VLOOKUP('Pool Schedules'!C11,'Men''s Master'!$A$3:$J$8, 9)</f>
        <v>NY Freemason A</v>
      </c>
      <c r="F86" s="33" t="str">
        <f t="shared" si="3"/>
        <v>NY</v>
      </c>
      <c r="G86" t="str">
        <f>VLOOKUP('Pool Schedules'!D11,'Men''s Master'!$A$3:$J$8, 9)</f>
        <v>Boston Hurricanes Black</v>
      </c>
    </row>
    <row r="87" spans="1:7" x14ac:dyDescent="0.2">
      <c r="A87" t="str">
        <f>RIGHT('Men''s Master'!$I$3, 2)</f>
        <v>13</v>
      </c>
      <c r="B87" s="32">
        <v>8</v>
      </c>
      <c r="C87" t="str">
        <f>VLOOKUP('Pool Schedules'!B12,'Men''s Master'!$A$3:$J$8, 9)</f>
        <v>Toronto Connex C</v>
      </c>
      <c r="D87" s="33" t="str">
        <f t="shared" si="2"/>
        <v>Toronto</v>
      </c>
      <c r="E87" t="str">
        <f>VLOOKUP('Pool Schedules'!C12,'Men''s Master'!$A$3:$J$8, 9)</f>
        <v>DC MVP B</v>
      </c>
      <c r="F87" s="33" t="str">
        <f t="shared" si="3"/>
        <v>DC</v>
      </c>
      <c r="G87" t="str">
        <f>VLOOKUP('Pool Schedules'!D12,'Men''s Master'!$A$3:$J$8, 9)</f>
        <v>Toronto Flying Tigers</v>
      </c>
    </row>
    <row r="88" spans="1:7" x14ac:dyDescent="0.2">
      <c r="A88" t="str">
        <f>RIGHT('Men''s Master'!$I$3, 2)</f>
        <v>13</v>
      </c>
      <c r="B88" s="32">
        <v>9</v>
      </c>
      <c r="C88" t="str">
        <f>VLOOKUP('Pool Schedules'!B13,'Men''s Master'!$A$3:$J$8, 9)</f>
        <v>Boston Hurricanes Black</v>
      </c>
      <c r="D88" s="33" t="str">
        <f t="shared" si="2"/>
        <v>Boston</v>
      </c>
      <c r="E88" t="str">
        <f>VLOOKUP('Pool Schedules'!C13,'Men''s Master'!$A$3:$J$8, 9)</f>
        <v>NY Freemason A</v>
      </c>
      <c r="F88" s="33" t="str">
        <f t="shared" si="3"/>
        <v>NY</v>
      </c>
      <c r="G88" t="str">
        <f>VLOOKUP('Pool Schedules'!D13,'Men''s Master'!$A$3:$J$8, 9)</f>
        <v>DC MVP B</v>
      </c>
    </row>
    <row r="89" spans="1:7" x14ac:dyDescent="0.2">
      <c r="A89" t="str">
        <f>RIGHT('Men''s Master'!$I$3, 2)</f>
        <v>13</v>
      </c>
      <c r="B89" s="32">
        <v>10</v>
      </c>
      <c r="C89" t="str">
        <f>VLOOKUP('Pool Schedules'!B14,'Men''s Master'!$A$3:$J$8, 9)</f>
        <v>Toronto Flying Tigers</v>
      </c>
      <c r="D89" s="33" t="str">
        <f t="shared" si="2"/>
        <v>Toronto</v>
      </c>
      <c r="E89" t="str">
        <f>VLOOKUP('Pool Schedules'!C14,'Men''s Master'!$A$3:$J$8, 9)</f>
        <v>DC MVP B</v>
      </c>
      <c r="F89" s="33" t="str">
        <f t="shared" si="3"/>
        <v>DC</v>
      </c>
      <c r="G89" t="str">
        <f>VLOOKUP('Pool Schedules'!D14,'Men''s Master'!$A$3:$J$8, 9)</f>
        <v>NY Freemason A</v>
      </c>
    </row>
    <row r="90" spans="1:7" x14ac:dyDescent="0.2">
      <c r="A90" t="str">
        <f>RIGHT('Men''s Master'!$J$3, 2)</f>
        <v>14</v>
      </c>
      <c r="B90" s="32">
        <v>1</v>
      </c>
      <c r="C90" t="str">
        <f>VLOOKUP('Pool Schedules'!B5,'Men''s Master'!$A$3:$J$8, 10)</f>
        <v>DC CYC C</v>
      </c>
      <c r="D90" s="33" t="str">
        <f t="shared" si="2"/>
        <v>DC</v>
      </c>
      <c r="E90" t="str">
        <f>VLOOKUP('Pool Schedules'!C5,'Men''s Master'!$A$3:$J$8, 10)</f>
        <v>Toronto Ngun Lam Blue</v>
      </c>
      <c r="F90" s="33" t="str">
        <f t="shared" si="3"/>
        <v>Toronto</v>
      </c>
      <c r="G90" t="str">
        <f>VLOOKUP('Pool Schedules'!D5,'Men''s Master'!$A$3:$J$8, 10)</f>
        <v>Boston Rising Tide</v>
      </c>
    </row>
    <row r="91" spans="1:7" x14ac:dyDescent="0.2">
      <c r="A91" t="str">
        <f>RIGHT('Men''s Master'!$J$3, 2)</f>
        <v>14</v>
      </c>
      <c r="B91" s="32">
        <v>2</v>
      </c>
      <c r="C91" t="str">
        <f>VLOOKUP('Pool Schedules'!B6,'Men''s Master'!$A$3:$J$8, 10)</f>
        <v>Boston Rising Tide</v>
      </c>
      <c r="D91" s="33" t="str">
        <f t="shared" si="2"/>
        <v>Boston</v>
      </c>
      <c r="E91" t="str">
        <f>VLOOKUP('Pool Schedules'!C6,'Men''s Master'!$A$3:$J$8, 10)</f>
        <v>Philly CIA A</v>
      </c>
      <c r="F91" s="33" t="str">
        <f t="shared" si="3"/>
        <v>Philly</v>
      </c>
      <c r="G91" t="str">
        <f>VLOOKUP('Pool Schedules'!D6,'Men''s Master'!$A$3:$J$8, 10)</f>
        <v>Toronto Ngun Lam Blue</v>
      </c>
    </row>
    <row r="92" spans="1:7" x14ac:dyDescent="0.2">
      <c r="A92" t="str">
        <f>RIGHT('Men''s Master'!$J$3, 2)</f>
        <v>14</v>
      </c>
      <c r="B92" s="32">
        <v>3</v>
      </c>
      <c r="C92" t="str">
        <f>VLOOKUP('Pool Schedules'!B7,'Men''s Master'!$A$3:$J$8, 10)</f>
        <v>DC CYC C</v>
      </c>
      <c r="D92" s="33" t="str">
        <f t="shared" si="2"/>
        <v>DC</v>
      </c>
      <c r="E92" t="str">
        <f>VLOOKUP('Pool Schedules'!C7,'Men''s Master'!$A$3:$J$8, 10)</f>
        <v>NY Gong Hoy</v>
      </c>
      <c r="F92" s="33" t="str">
        <f t="shared" si="3"/>
        <v>NY</v>
      </c>
      <c r="G92" t="str">
        <f>VLOOKUP('Pool Schedules'!D7,'Men''s Master'!$A$3:$J$8, 10)</f>
        <v>Philly CIA A</v>
      </c>
    </row>
    <row r="93" spans="1:7" x14ac:dyDescent="0.2">
      <c r="A93" t="str">
        <f>RIGHT('Men''s Master'!$J$3, 2)</f>
        <v>14</v>
      </c>
      <c r="B93" s="32">
        <v>4</v>
      </c>
      <c r="C93" t="str">
        <f>VLOOKUP('Pool Schedules'!B8,'Men''s Master'!$A$3:$J$8, 10)</f>
        <v>Toronto Ngun Lam Blue</v>
      </c>
      <c r="D93" s="33" t="str">
        <f t="shared" si="2"/>
        <v>Toronto</v>
      </c>
      <c r="E93" t="str">
        <f>VLOOKUP('Pool Schedules'!C8,'Men''s Master'!$A$3:$J$8, 10)</f>
        <v>Boston Rising Tide</v>
      </c>
      <c r="F93" s="33" t="str">
        <f t="shared" si="3"/>
        <v>Boston</v>
      </c>
      <c r="G93" t="str">
        <f>VLOOKUP('Pool Schedules'!D8,'Men''s Master'!$A$3:$J$8, 10)</f>
        <v>DC CYC C</v>
      </c>
    </row>
    <row r="94" spans="1:7" x14ac:dyDescent="0.2">
      <c r="A94" t="str">
        <f>RIGHT('Men''s Master'!$J$3, 2)</f>
        <v>14</v>
      </c>
      <c r="B94" s="32">
        <v>5</v>
      </c>
      <c r="C94" t="str">
        <f>VLOOKUP('Pool Schedules'!B9,'Men''s Master'!$A$3:$J$8, 10)</f>
        <v>Philly CIA A</v>
      </c>
      <c r="D94" s="33" t="str">
        <f t="shared" si="2"/>
        <v>Philly</v>
      </c>
      <c r="E94" t="str">
        <f>VLOOKUP('Pool Schedules'!C9,'Men''s Master'!$A$3:$J$8, 10)</f>
        <v>NY Gong Hoy</v>
      </c>
      <c r="F94" s="33" t="str">
        <f t="shared" si="3"/>
        <v>NY</v>
      </c>
      <c r="G94" t="str">
        <f>VLOOKUP('Pool Schedules'!D9,'Men''s Master'!$A$3:$J$8, 10)</f>
        <v>Boston Rising Tide</v>
      </c>
    </row>
    <row r="95" spans="1:7" x14ac:dyDescent="0.2">
      <c r="A95" t="str">
        <f>RIGHT('Men''s Master'!$J$3, 2)</f>
        <v>14</v>
      </c>
      <c r="B95" s="32">
        <v>6</v>
      </c>
      <c r="C95" t="str">
        <f>VLOOKUP('Pool Schedules'!B10,'Men''s Master'!$A$3:$J$8, 10)</f>
        <v>DC CYC C</v>
      </c>
      <c r="D95" s="33" t="str">
        <f t="shared" si="2"/>
        <v>DC</v>
      </c>
      <c r="E95" t="str">
        <f>VLOOKUP('Pool Schedules'!C10,'Men''s Master'!$A$3:$J$8, 10)</f>
        <v>Boston Rising Tide</v>
      </c>
      <c r="F95" s="33" t="str">
        <f t="shared" si="3"/>
        <v>Boston</v>
      </c>
      <c r="G95" t="str">
        <f>VLOOKUP('Pool Schedules'!D10,'Men''s Master'!$A$3:$J$8, 10)</f>
        <v>NY Gong Hoy</v>
      </c>
    </row>
    <row r="96" spans="1:7" x14ac:dyDescent="0.2">
      <c r="A96" t="str">
        <f>RIGHT('Men''s Master'!$J$3, 2)</f>
        <v>14</v>
      </c>
      <c r="B96" s="32">
        <v>7</v>
      </c>
      <c r="C96" t="str">
        <f>VLOOKUP('Pool Schedules'!B11,'Men''s Master'!$A$3:$J$8, 10)</f>
        <v>Toronto Ngun Lam Blue</v>
      </c>
      <c r="D96" s="33" t="str">
        <f t="shared" si="2"/>
        <v>Toronto</v>
      </c>
      <c r="E96" t="str">
        <f>VLOOKUP('Pool Schedules'!C11,'Men''s Master'!$A$3:$J$8, 10)</f>
        <v>Philly CIA A</v>
      </c>
      <c r="F96" s="33" t="str">
        <f t="shared" si="3"/>
        <v>Philly</v>
      </c>
      <c r="G96" t="str">
        <f>VLOOKUP('Pool Schedules'!D11,'Men''s Master'!$A$3:$J$8, 10)</f>
        <v>DC CYC C</v>
      </c>
    </row>
    <row r="97" spans="1:7" x14ac:dyDescent="0.2">
      <c r="A97" t="str">
        <f>RIGHT('Men''s Master'!$J$3, 2)</f>
        <v>14</v>
      </c>
      <c r="B97" s="32">
        <v>8</v>
      </c>
      <c r="C97" t="str">
        <f>VLOOKUP('Pool Schedules'!B12,'Men''s Master'!$A$3:$J$8, 10)</f>
        <v>Boston Rising Tide</v>
      </c>
      <c r="D97" s="33" t="str">
        <f t="shared" si="2"/>
        <v>Boston</v>
      </c>
      <c r="E97" t="str">
        <f>VLOOKUP('Pool Schedules'!C12,'Men''s Master'!$A$3:$J$8, 10)</f>
        <v>NY Gong Hoy</v>
      </c>
      <c r="F97" s="33" t="str">
        <f t="shared" si="3"/>
        <v>NY</v>
      </c>
      <c r="G97" t="str">
        <f>VLOOKUP('Pool Schedules'!D12,'Men''s Master'!$A$3:$J$8, 10)</f>
        <v>Toronto Ngun Lam Blue</v>
      </c>
    </row>
    <row r="98" spans="1:7" x14ac:dyDescent="0.2">
      <c r="A98" t="str">
        <f>RIGHT('Men''s Master'!$J$3, 2)</f>
        <v>14</v>
      </c>
      <c r="B98" s="32">
        <v>9</v>
      </c>
      <c r="C98" t="str">
        <f>VLOOKUP('Pool Schedules'!B13,'Men''s Master'!$A$3:$J$8, 10)</f>
        <v>DC CYC C</v>
      </c>
      <c r="D98" s="33" t="str">
        <f t="shared" si="2"/>
        <v>DC</v>
      </c>
      <c r="E98" t="str">
        <f>VLOOKUP('Pool Schedules'!C13,'Men''s Master'!$A$3:$J$8, 10)</f>
        <v>Philly CIA A</v>
      </c>
      <c r="F98" s="33" t="str">
        <f t="shared" si="3"/>
        <v>Philly</v>
      </c>
      <c r="G98" t="str">
        <f>VLOOKUP('Pool Schedules'!D13,'Men''s Master'!$A$3:$J$8, 10)</f>
        <v>NY Gong Hoy</v>
      </c>
    </row>
    <row r="99" spans="1:7" x14ac:dyDescent="0.2">
      <c r="A99" t="str">
        <f>RIGHT('Men''s Master'!$J$3, 2)</f>
        <v>14</v>
      </c>
      <c r="B99" s="32">
        <v>10</v>
      </c>
      <c r="C99" t="str">
        <f>VLOOKUP('Pool Schedules'!B14,'Men''s Master'!$A$3:$J$8, 10)</f>
        <v>Toronto Ngun Lam Blue</v>
      </c>
      <c r="D99" s="33" t="str">
        <f t="shared" si="2"/>
        <v>Toronto</v>
      </c>
      <c r="E99" t="str">
        <f>VLOOKUP('Pool Schedules'!C14,'Men''s Master'!$A$3:$J$8, 10)</f>
        <v>NY Gong Hoy</v>
      </c>
      <c r="F99" s="33" t="str">
        <f t="shared" si="3"/>
        <v>NY</v>
      </c>
      <c r="G99" t="str">
        <f>VLOOKUP('Pool Schedules'!D14,'Men''s Master'!$A$3:$J$8, 10)</f>
        <v>Philly CIA A</v>
      </c>
    </row>
    <row r="100" spans="1:7" x14ac:dyDescent="0.2">
      <c r="B100" s="32"/>
    </row>
    <row r="101" spans="1:7" x14ac:dyDescent="0.2">
      <c r="B101" s="32"/>
    </row>
    <row r="102" spans="1:7" x14ac:dyDescent="0.2">
      <c r="B102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91"/>
  <sheetViews>
    <sheetView workbookViewId="0"/>
  </sheetViews>
  <sheetFormatPr baseColWidth="10" defaultColWidth="17.33203125" defaultRowHeight="15" customHeight="1" x14ac:dyDescent="0.2"/>
  <cols>
    <col min="1" max="1" width="5.6640625" customWidth="1"/>
    <col min="2" max="2" width="6" customWidth="1"/>
    <col min="5" max="5" width="24.33203125" customWidth="1"/>
  </cols>
  <sheetData>
    <row r="1" spans="1:5" x14ac:dyDescent="0.2">
      <c r="A1" s="32" t="s">
        <v>83</v>
      </c>
      <c r="B1" s="32" t="s">
        <v>126</v>
      </c>
      <c r="C1" s="32" t="s">
        <v>127</v>
      </c>
      <c r="D1" s="32" t="s">
        <v>128</v>
      </c>
      <c r="E1" s="32" t="s">
        <v>129</v>
      </c>
    </row>
    <row r="2" spans="1:5" x14ac:dyDescent="0.2">
      <c r="A2" t="str">
        <f>RIGHT('Women''s Master'!$B$3, 2)</f>
        <v>05</v>
      </c>
      <c r="B2" s="32">
        <v>1</v>
      </c>
      <c r="C2" s="33" t="str">
        <f>VLOOKUP('Pool Schedules'!B5,'Women''s Master'!$A$3:$J$8, 2)</f>
        <v>Boston Hurricanes Blue</v>
      </c>
      <c r="D2" t="str">
        <f>VLOOKUP('Pool Schedules'!C5,'Women''s Master'!$A$3:$J$8, 2)</f>
        <v>Philly CIA</v>
      </c>
      <c r="E2" t="str">
        <f>VLOOKUP('Pool Schedules'!D5,'Women''s Master'!$A$3:$J$8, 2)</f>
        <v>NY Impact Booming</v>
      </c>
    </row>
    <row r="3" spans="1:5" x14ac:dyDescent="0.2">
      <c r="A3" t="str">
        <f>RIGHT('Women''s Master'!$B$3, 2)</f>
        <v>05</v>
      </c>
      <c r="B3" s="32">
        <v>2</v>
      </c>
      <c r="C3" t="str">
        <f>VLOOKUP('Pool Schedules'!B6,'Women''s Master'!$A$3:$J$8, 2)</f>
        <v>NY Impact Booming</v>
      </c>
      <c r="D3" t="str">
        <f>VLOOKUP('Pool Schedules'!C6,'Women''s Master'!$A$3:$J$8, 2)</f>
        <v>NY Vikings Rogue</v>
      </c>
      <c r="E3" t="str">
        <f>VLOOKUP('Pool Schedules'!D6,'Women''s Master'!$A$3:$J$8, 2)</f>
        <v>Philly CIA</v>
      </c>
    </row>
    <row r="4" spans="1:5" x14ac:dyDescent="0.2">
      <c r="A4" t="str">
        <f>RIGHT('Women''s Master'!$B$3, 2)</f>
        <v>05</v>
      </c>
      <c r="B4" s="32">
        <v>3</v>
      </c>
      <c r="C4" s="33" t="str">
        <f>VLOOKUP('Pool Schedules'!B7,'Women''s Master'!$A$3:$J$8, 2)</f>
        <v>Boston Hurricanes Blue</v>
      </c>
      <c r="D4" t="str">
        <f>VLOOKUP('Pool Schedules'!C7,'Women''s Master'!$A$3:$J$8, 2)</f>
        <v>Toronto Flying Tigers</v>
      </c>
      <c r="E4" t="str">
        <f>VLOOKUP('Pool Schedules'!D7,'Women''s Master'!$A$3:$J$8, 2)</f>
        <v>NY Vikings Rogue</v>
      </c>
    </row>
    <row r="5" spans="1:5" x14ac:dyDescent="0.2">
      <c r="A5" t="str">
        <f>RIGHT('Women''s Master'!$B$3, 2)</f>
        <v>05</v>
      </c>
      <c r="B5" s="32">
        <v>4</v>
      </c>
      <c r="C5" t="str">
        <f>VLOOKUP('Pool Schedules'!B8,'Women''s Master'!$A$3:$J$8, 2)</f>
        <v>Philly CIA</v>
      </c>
      <c r="D5" t="str">
        <f>VLOOKUP('Pool Schedules'!C8,'Women''s Master'!$A$3:$J$8, 2)</f>
        <v>NY Impact Booming</v>
      </c>
      <c r="E5" s="33" t="str">
        <f>VLOOKUP('Pool Schedules'!D8,'Women''s Master'!$A$3:$J$8, 2)</f>
        <v>Boston Hurricanes Blue</v>
      </c>
    </row>
    <row r="6" spans="1:5" x14ac:dyDescent="0.2">
      <c r="A6" t="str">
        <f>RIGHT('Women''s Master'!$B$3, 2)</f>
        <v>05</v>
      </c>
      <c r="B6" s="32">
        <v>5</v>
      </c>
      <c r="C6" t="str">
        <f>VLOOKUP('Pool Schedules'!B9,'Women''s Master'!$A$3:$J$8, 2)</f>
        <v>NY Vikings Rogue</v>
      </c>
      <c r="D6" t="str">
        <f>VLOOKUP('Pool Schedules'!C9,'Women''s Master'!$A$3:$J$8, 2)</f>
        <v>Toronto Flying Tigers</v>
      </c>
      <c r="E6" t="str">
        <f>VLOOKUP('Pool Schedules'!D9,'Women''s Master'!$A$3:$J$8, 2)</f>
        <v>NY Impact Booming</v>
      </c>
    </row>
    <row r="7" spans="1:5" x14ac:dyDescent="0.2">
      <c r="A7" t="str">
        <f>RIGHT('Women''s Master'!$B$3, 2)</f>
        <v>05</v>
      </c>
      <c r="B7" s="32">
        <v>6</v>
      </c>
      <c r="C7" s="33" t="str">
        <f>VLOOKUP('Pool Schedules'!B10,'Women''s Master'!$A$3:$J$8, 2)</f>
        <v>Boston Hurricanes Blue</v>
      </c>
      <c r="D7" t="str">
        <f>VLOOKUP('Pool Schedules'!C10,'Women''s Master'!$A$3:$J$8, 2)</f>
        <v>NY Impact Booming</v>
      </c>
      <c r="E7" t="str">
        <f>VLOOKUP('Pool Schedules'!D10,'Women''s Master'!$A$3:$J$8, 2)</f>
        <v>Toronto Flying Tigers</v>
      </c>
    </row>
    <row r="8" spans="1:5" x14ac:dyDescent="0.2">
      <c r="A8" t="str">
        <f>RIGHT('Women''s Master'!$B$3, 2)</f>
        <v>05</v>
      </c>
      <c r="B8" s="32">
        <v>7</v>
      </c>
      <c r="C8" t="str">
        <f>VLOOKUP('Pool Schedules'!B11,'Women''s Master'!$A$3:$J$8, 2)</f>
        <v>Philly CIA</v>
      </c>
      <c r="D8" t="str">
        <f>VLOOKUP('Pool Schedules'!C11,'Women''s Master'!$A$3:$J$8, 2)</f>
        <v>NY Vikings Rogue</v>
      </c>
      <c r="E8" s="33" t="str">
        <f>VLOOKUP('Pool Schedules'!D11,'Women''s Master'!$A$3:$J$8, 2)</f>
        <v>Boston Hurricanes Blue</v>
      </c>
    </row>
    <row r="9" spans="1:5" x14ac:dyDescent="0.2">
      <c r="A9" t="str">
        <f>RIGHT('Women''s Master'!$B$3, 2)</f>
        <v>05</v>
      </c>
      <c r="B9" s="32">
        <v>8</v>
      </c>
      <c r="C9" t="str">
        <f>VLOOKUP('Pool Schedules'!B12,'Women''s Master'!$A$3:$J$8, 2)</f>
        <v>NY Impact Booming</v>
      </c>
      <c r="D9" t="str">
        <f>VLOOKUP('Pool Schedules'!C12,'Women''s Master'!$A$3:$J$8, 2)</f>
        <v>Toronto Flying Tigers</v>
      </c>
      <c r="E9" t="str">
        <f>VLOOKUP('Pool Schedules'!D12,'Women''s Master'!$A$3:$J$8, 2)</f>
        <v>Philly CIA</v>
      </c>
    </row>
    <row r="10" spans="1:5" x14ac:dyDescent="0.2">
      <c r="A10" t="str">
        <f>RIGHT('Women''s Master'!$B$3, 2)</f>
        <v>05</v>
      </c>
      <c r="B10" s="32">
        <v>9</v>
      </c>
      <c r="C10" s="33" t="str">
        <f>VLOOKUP('Pool Schedules'!B13,'Women''s Master'!$A$3:$J$8, 2)</f>
        <v>Boston Hurricanes Blue</v>
      </c>
      <c r="D10" t="str">
        <f>VLOOKUP('Pool Schedules'!C13,'Women''s Master'!$A$3:$J$8, 2)</f>
        <v>NY Vikings Rogue</v>
      </c>
      <c r="E10" t="str">
        <f>VLOOKUP('Pool Schedules'!D13,'Women''s Master'!$A$3:$J$8, 2)</f>
        <v>Toronto Flying Tigers</v>
      </c>
    </row>
    <row r="11" spans="1:5" x14ac:dyDescent="0.2">
      <c r="A11" t="str">
        <f>RIGHT('Women''s Master'!$B$3, 2)</f>
        <v>05</v>
      </c>
      <c r="B11" s="32">
        <v>10</v>
      </c>
      <c r="C11" t="str">
        <f>VLOOKUP('Pool Schedules'!B14,'Women''s Master'!$A$3:$J$8, 2)</f>
        <v>Philly CIA</v>
      </c>
      <c r="D11" t="str">
        <f>VLOOKUP('Pool Schedules'!C14,'Women''s Master'!$A$3:$J$8, 2)</f>
        <v>Toronto Flying Tigers</v>
      </c>
      <c r="E11" t="str">
        <f>VLOOKUP('Pool Schedules'!D14,'Women''s Master'!$A$3:$J$8, 2)</f>
        <v>NY Vikings Rogue</v>
      </c>
    </row>
    <row r="12" spans="1:5" x14ac:dyDescent="0.2">
      <c r="A12" t="str">
        <f>RIGHT('Women''s Master'!$C$3, 2)</f>
        <v>06</v>
      </c>
      <c r="B12" s="32">
        <v>1</v>
      </c>
      <c r="C12" t="str">
        <f>VLOOKUP('Pool Schedules'!B5,'Women''s Master'!$A$3:$J$8, 3)</f>
        <v>DC CYC Red</v>
      </c>
      <c r="D12" t="str">
        <f>VLOOKUP('Pool Schedules'!C5,'Women''s Master'!$A$3:$J$8, 3)</f>
        <v>Toronto Storm X</v>
      </c>
      <c r="E12" t="str">
        <f>VLOOKUP('Pool Schedules'!D5,'Women''s Master'!$A$3:$J$8, 3)</f>
        <v>NJ Fastbelles Jr</v>
      </c>
    </row>
    <row r="13" spans="1:5" x14ac:dyDescent="0.2">
      <c r="A13" t="str">
        <f>RIGHT('Women''s Master'!$C$3, 2)</f>
        <v>06</v>
      </c>
      <c r="B13" s="32">
        <v>2</v>
      </c>
      <c r="C13" t="str">
        <f>VLOOKUP('Pool Schedules'!B6,'Women''s Master'!$A$3:$J$8, 3)</f>
        <v>NJ Fastbelles Jr</v>
      </c>
      <c r="D13" t="str">
        <f>VLOOKUP('Pool Schedules'!C6,'Women''s Master'!$A$3:$J$8, 3)</f>
        <v>NY Strangers Fire</v>
      </c>
      <c r="E13" t="str">
        <f>VLOOKUP('Pool Schedules'!D6,'Women''s Master'!$A$3:$J$8, 3)</f>
        <v>Toronto Storm X</v>
      </c>
    </row>
    <row r="14" spans="1:5" x14ac:dyDescent="0.2">
      <c r="A14" t="str">
        <f>RIGHT('Women''s Master'!$C$3, 2)</f>
        <v>06</v>
      </c>
      <c r="B14" s="32">
        <v>3</v>
      </c>
      <c r="C14" t="str">
        <f>VLOOKUP('Pool Schedules'!B7,'Women''s Master'!$A$3:$J$8, 3)</f>
        <v>DC CYC Red</v>
      </c>
      <c r="D14" t="str">
        <f>VLOOKUP('Pool Schedules'!C7,'Women''s Master'!$A$3:$J$8, 3)</f>
        <v>Boston Lady Knights A</v>
      </c>
      <c r="E14" t="str">
        <f>VLOOKUP('Pool Schedules'!D7,'Women''s Master'!$A$3:$J$8, 3)</f>
        <v>NY Strangers Fire</v>
      </c>
    </row>
    <row r="15" spans="1:5" x14ac:dyDescent="0.2">
      <c r="A15" t="str">
        <f>RIGHT('Women''s Master'!$C$3, 2)</f>
        <v>06</v>
      </c>
      <c r="B15" s="32">
        <v>4</v>
      </c>
      <c r="C15" t="str">
        <f>VLOOKUP('Pool Schedules'!B8,'Women''s Master'!$A$3:$J$8, 3)</f>
        <v>Toronto Storm X</v>
      </c>
      <c r="D15" t="str">
        <f>VLOOKUP('Pool Schedules'!C8,'Women''s Master'!$A$3:$J$8, 3)</f>
        <v>NJ Fastbelles Jr</v>
      </c>
      <c r="E15" t="str">
        <f>VLOOKUP('Pool Schedules'!D8,'Women''s Master'!$A$3:$J$8, 3)</f>
        <v>DC CYC Red</v>
      </c>
    </row>
    <row r="16" spans="1:5" x14ac:dyDescent="0.2">
      <c r="A16" t="str">
        <f>RIGHT('Women''s Master'!$C$3, 2)</f>
        <v>06</v>
      </c>
      <c r="B16" s="32">
        <v>5</v>
      </c>
      <c r="C16" t="str">
        <f>VLOOKUP('Pool Schedules'!B9,'Women''s Master'!$A$3:$J$8, 3)</f>
        <v>NY Strangers Fire</v>
      </c>
      <c r="D16" t="str">
        <f>VLOOKUP('Pool Schedules'!C9,'Women''s Master'!$A$3:$J$8, 3)</f>
        <v>Boston Lady Knights A</v>
      </c>
      <c r="E16" t="str">
        <f>VLOOKUP('Pool Schedules'!D9,'Women''s Master'!$A$3:$J$8, 3)</f>
        <v>NJ Fastbelles Jr</v>
      </c>
    </row>
    <row r="17" spans="1:5" x14ac:dyDescent="0.2">
      <c r="A17" t="str">
        <f>RIGHT('Women''s Master'!$C$3, 2)</f>
        <v>06</v>
      </c>
      <c r="B17" s="32">
        <v>6</v>
      </c>
      <c r="C17" t="str">
        <f>VLOOKUP('Pool Schedules'!B10,'Women''s Master'!$A$3:$J$8, 3)</f>
        <v>DC CYC Red</v>
      </c>
      <c r="D17" t="str">
        <f>VLOOKUP('Pool Schedules'!C10,'Women''s Master'!$A$3:$J$8, 3)</f>
        <v>NJ Fastbelles Jr</v>
      </c>
      <c r="E17" t="str">
        <f>VLOOKUP('Pool Schedules'!D10,'Women''s Master'!$A$3:$J$8, 3)</f>
        <v>Boston Lady Knights A</v>
      </c>
    </row>
    <row r="18" spans="1:5" x14ac:dyDescent="0.2">
      <c r="A18" t="str">
        <f>RIGHT('Women''s Master'!$C$3, 2)</f>
        <v>06</v>
      </c>
      <c r="B18" s="32">
        <v>7</v>
      </c>
      <c r="C18" t="str">
        <f>VLOOKUP('Pool Schedules'!B11,'Women''s Master'!$A$3:$J$8, 3)</f>
        <v>Toronto Storm X</v>
      </c>
      <c r="D18" t="str">
        <f>VLOOKUP('Pool Schedules'!C11,'Women''s Master'!$A$3:$J$8, 3)</f>
        <v>NY Strangers Fire</v>
      </c>
      <c r="E18" t="str">
        <f>VLOOKUP('Pool Schedules'!D11,'Women''s Master'!$A$3:$J$8, 3)</f>
        <v>DC CYC Red</v>
      </c>
    </row>
    <row r="19" spans="1:5" x14ac:dyDescent="0.2">
      <c r="A19" t="str">
        <f>RIGHT('Women''s Master'!$C$3, 2)</f>
        <v>06</v>
      </c>
      <c r="B19" s="32">
        <v>8</v>
      </c>
      <c r="C19" t="str">
        <f>VLOOKUP('Pool Schedules'!B12,'Women''s Master'!$A$3:$J$8, 3)</f>
        <v>NJ Fastbelles Jr</v>
      </c>
      <c r="D19" t="str">
        <f>VLOOKUP('Pool Schedules'!C12,'Women''s Master'!$A$3:$J$8, 3)</f>
        <v>Boston Lady Knights A</v>
      </c>
      <c r="E19" t="str">
        <f>VLOOKUP('Pool Schedules'!D12,'Women''s Master'!$A$3:$J$8, 3)</f>
        <v>Toronto Storm X</v>
      </c>
    </row>
    <row r="20" spans="1:5" x14ac:dyDescent="0.2">
      <c r="A20" t="str">
        <f>RIGHT('Women''s Master'!$C$3, 2)</f>
        <v>06</v>
      </c>
      <c r="B20" s="32">
        <v>9</v>
      </c>
      <c r="C20" t="str">
        <f>VLOOKUP('Pool Schedules'!B13,'Women''s Master'!$A$3:$J$8, 3)</f>
        <v>DC CYC Red</v>
      </c>
      <c r="D20" t="str">
        <f>VLOOKUP('Pool Schedules'!C13,'Women''s Master'!$A$3:$J$8, 3)</f>
        <v>NY Strangers Fire</v>
      </c>
      <c r="E20" t="str">
        <f>VLOOKUP('Pool Schedules'!D13,'Women''s Master'!$A$3:$J$8, 3)</f>
        <v>Boston Lady Knights A</v>
      </c>
    </row>
    <row r="21" spans="1:5" x14ac:dyDescent="0.2">
      <c r="A21" t="str">
        <f>RIGHT('Women''s Master'!$C$3, 2)</f>
        <v>06</v>
      </c>
      <c r="B21" s="32">
        <v>10</v>
      </c>
      <c r="C21" t="str">
        <f>VLOOKUP('Pool Schedules'!B14,'Women''s Master'!$A$3:$J$8, 3)</f>
        <v>Toronto Storm X</v>
      </c>
      <c r="D21" t="str">
        <f>VLOOKUP('Pool Schedules'!C14,'Women''s Master'!$A$3:$J$8, 3)</f>
        <v>Boston Lady Knights A</v>
      </c>
      <c r="E21" t="str">
        <f>VLOOKUP('Pool Schedules'!D14,'Women''s Master'!$A$3:$J$8, 3)</f>
        <v>NY Strangers Fire</v>
      </c>
    </row>
    <row r="22" spans="1:5" x14ac:dyDescent="0.2">
      <c r="A22" t="str">
        <f>RIGHT('Women''s Master'!$D$3, 2)</f>
        <v>09</v>
      </c>
      <c r="B22" s="32">
        <v>1</v>
      </c>
      <c r="C22" t="str">
        <f>VLOOKUP('Pool Schedules'!B5,'Women''s Master'!$A$3:$J$8, 4)</f>
        <v>DC Jin Long</v>
      </c>
      <c r="D22" t="str">
        <f>VLOOKUP('Pool Schedules'!C5,'Women''s Master'!$A$3:$J$8, 4)</f>
        <v>NY Super mom</v>
      </c>
      <c r="E22" s="33" t="str">
        <f>VLOOKUP('Pool Schedules'!D5,'Women''s Master'!$A$3:$J$8, 4)</f>
        <v>Boston Lady Knights B</v>
      </c>
    </row>
    <row r="23" spans="1:5" x14ac:dyDescent="0.2">
      <c r="A23" t="str">
        <f>RIGHT('Women''s Master'!$D$3, 2)</f>
        <v>09</v>
      </c>
      <c r="B23" s="32">
        <v>2</v>
      </c>
      <c r="C23" s="33" t="str">
        <f>VLOOKUP('Pool Schedules'!B6,'Women''s Master'!$A$3:$J$8, 4)</f>
        <v>Boston Lady Knights B</v>
      </c>
      <c r="D23" t="str">
        <f>VLOOKUP('Pool Schedules'!C6,'Women''s Master'!$A$3:$J$8, 4)</f>
        <v>Toronto Connex A</v>
      </c>
      <c r="E23" t="str">
        <f>VLOOKUP('Pool Schedules'!D6,'Women''s Master'!$A$3:$J$8, 4)</f>
        <v>NY Super mom</v>
      </c>
    </row>
    <row r="24" spans="1:5" x14ac:dyDescent="0.2">
      <c r="A24" t="str">
        <f>RIGHT('Women''s Master'!$D$3, 2)</f>
        <v>09</v>
      </c>
      <c r="B24" s="32">
        <v>3</v>
      </c>
      <c r="C24" t="str">
        <f>VLOOKUP('Pool Schedules'!B7,'Women''s Master'!$A$3:$J$8, 4)</f>
        <v>DC Jin Long</v>
      </c>
      <c r="D24" t="str">
        <f>VLOOKUP('Pool Schedules'!C7,'Women''s Master'!$A$3:$J$8, 4)</f>
        <v>NY Strangers Wind</v>
      </c>
      <c r="E24" t="str">
        <f>VLOOKUP('Pool Schedules'!D7,'Women''s Master'!$A$3:$J$8, 4)</f>
        <v>Toronto Connex A</v>
      </c>
    </row>
    <row r="25" spans="1:5" x14ac:dyDescent="0.2">
      <c r="A25" t="str">
        <f>RIGHT('Women''s Master'!$D$3, 2)</f>
        <v>09</v>
      </c>
      <c r="B25" s="32">
        <v>4</v>
      </c>
      <c r="C25" t="str">
        <f>VLOOKUP('Pool Schedules'!B8,'Women''s Master'!$A$3:$J$8, 4)</f>
        <v>NY Super mom</v>
      </c>
      <c r="D25" s="33" t="str">
        <f>VLOOKUP('Pool Schedules'!C8,'Women''s Master'!$A$3:$J$8, 4)</f>
        <v>Boston Lady Knights B</v>
      </c>
      <c r="E25" t="str">
        <f>VLOOKUP('Pool Schedules'!D8,'Women''s Master'!$A$3:$J$8, 4)</f>
        <v>DC Jin Long</v>
      </c>
    </row>
    <row r="26" spans="1:5" x14ac:dyDescent="0.2">
      <c r="A26" t="str">
        <f>RIGHT('Women''s Master'!$D$3, 2)</f>
        <v>09</v>
      </c>
      <c r="B26" s="32">
        <v>5</v>
      </c>
      <c r="C26" t="str">
        <f>VLOOKUP('Pool Schedules'!B9,'Women''s Master'!$A$3:$J$8, 4)</f>
        <v>Toronto Connex A</v>
      </c>
      <c r="D26" t="str">
        <f>VLOOKUP('Pool Schedules'!C9,'Women''s Master'!$A$3:$J$8, 4)</f>
        <v>NY Strangers Wind</v>
      </c>
      <c r="E26" s="33" t="str">
        <f>VLOOKUP('Pool Schedules'!D9,'Women''s Master'!$A$3:$J$8, 4)</f>
        <v>Boston Lady Knights B</v>
      </c>
    </row>
    <row r="27" spans="1:5" x14ac:dyDescent="0.2">
      <c r="A27" t="str">
        <f>RIGHT('Women''s Master'!$D$3, 2)</f>
        <v>09</v>
      </c>
      <c r="B27" s="32">
        <v>6</v>
      </c>
      <c r="C27" t="str">
        <f>VLOOKUP('Pool Schedules'!B10,'Women''s Master'!$A$3:$J$8, 4)</f>
        <v>DC Jin Long</v>
      </c>
      <c r="D27" s="33" t="str">
        <f>VLOOKUP('Pool Schedules'!C10,'Women''s Master'!$A$3:$J$8, 4)</f>
        <v>Boston Lady Knights B</v>
      </c>
      <c r="E27" t="str">
        <f>VLOOKUP('Pool Schedules'!D10,'Women''s Master'!$A$3:$J$8, 4)</f>
        <v>NY Strangers Wind</v>
      </c>
    </row>
    <row r="28" spans="1:5" x14ac:dyDescent="0.2">
      <c r="A28" t="str">
        <f>RIGHT('Women''s Master'!$D$3, 2)</f>
        <v>09</v>
      </c>
      <c r="B28" s="32">
        <v>7</v>
      </c>
      <c r="C28" t="str">
        <f>VLOOKUP('Pool Schedules'!B11,'Women''s Master'!$A$3:$J$8, 4)</f>
        <v>NY Super mom</v>
      </c>
      <c r="D28" t="str">
        <f>VLOOKUP('Pool Schedules'!C11,'Women''s Master'!$A$3:$J$8, 4)</f>
        <v>Toronto Connex A</v>
      </c>
      <c r="E28" t="str">
        <f>VLOOKUP('Pool Schedules'!D11,'Women''s Master'!$A$3:$J$8, 4)</f>
        <v>DC Jin Long</v>
      </c>
    </row>
    <row r="29" spans="1:5" x14ac:dyDescent="0.2">
      <c r="A29" t="str">
        <f>RIGHT('Women''s Master'!$D$3, 2)</f>
        <v>09</v>
      </c>
      <c r="B29" s="32">
        <v>8</v>
      </c>
      <c r="C29" s="33" t="str">
        <f>VLOOKUP('Pool Schedules'!B12,'Women''s Master'!$A$3:$J$8, 4)</f>
        <v>Boston Lady Knights B</v>
      </c>
      <c r="D29" t="str">
        <f>VLOOKUP('Pool Schedules'!C12,'Women''s Master'!$A$3:$J$8, 4)</f>
        <v>NY Strangers Wind</v>
      </c>
      <c r="E29" t="str">
        <f>VLOOKUP('Pool Schedules'!D12,'Women''s Master'!$A$3:$J$8, 4)</f>
        <v>NY Super mom</v>
      </c>
    </row>
    <row r="30" spans="1:5" x14ac:dyDescent="0.2">
      <c r="A30" t="str">
        <f>RIGHT('Women''s Master'!$D$3, 2)</f>
        <v>09</v>
      </c>
      <c r="B30" s="32">
        <v>9</v>
      </c>
      <c r="C30" t="str">
        <f>VLOOKUP('Pool Schedules'!B13,'Women''s Master'!$A$3:$J$8, 4)</f>
        <v>DC Jin Long</v>
      </c>
      <c r="D30" t="str">
        <f>VLOOKUP('Pool Schedules'!C13,'Women''s Master'!$A$3:$J$8, 4)</f>
        <v>Toronto Connex A</v>
      </c>
      <c r="E30" t="str">
        <f>VLOOKUP('Pool Schedules'!D13,'Women''s Master'!$A$3:$J$8, 4)</f>
        <v>NY Strangers Wind</v>
      </c>
    </row>
    <row r="31" spans="1:5" x14ac:dyDescent="0.2">
      <c r="A31" t="str">
        <f>RIGHT('Women''s Master'!$E$3, 2)</f>
        <v>10</v>
      </c>
      <c r="B31" s="32">
        <v>10</v>
      </c>
      <c r="C31" t="str">
        <f>VLOOKUP('Pool Schedules'!B14,'Women''s Master'!$A$3:$J$8, 4)</f>
        <v>NY Super mom</v>
      </c>
      <c r="D31" t="str">
        <f>VLOOKUP('Pool Schedules'!C14,'Women''s Master'!$A$3:$J$8, 4)</f>
        <v>NY Strangers Wind</v>
      </c>
      <c r="E31" t="str">
        <f>VLOOKUP('Pool Schedules'!D14,'Women''s Master'!$A$3:$J$8, 4)</f>
        <v>Toronto Connex A</v>
      </c>
    </row>
    <row r="32" spans="1:5" x14ac:dyDescent="0.2">
      <c r="A32" t="str">
        <f>RIGHT('Women''s Master'!$E$3, 2)</f>
        <v>10</v>
      </c>
      <c r="B32" s="32">
        <v>1</v>
      </c>
      <c r="C32" t="str">
        <f>VLOOKUP('Pool Schedules'!B5,'Women''s Master'!$A$3:$J$8, 5)</f>
        <v>Boston GHOTANE White</v>
      </c>
      <c r="D32" t="str">
        <f>VLOOKUP('Pool Schedules'!C5,'Women''s Master'!$A$3:$J$8, 5)</f>
        <v>Philly CIA Fire</v>
      </c>
      <c r="E32" t="str">
        <f>VLOOKUP('Pool Schedules'!D5,'Women''s Master'!$A$3:$J$8, 5)</f>
        <v>Toronto Connex B</v>
      </c>
    </row>
    <row r="33" spans="1:5" x14ac:dyDescent="0.2">
      <c r="A33" t="str">
        <f>RIGHT('Women''s Master'!$E$3, 2)</f>
        <v>10</v>
      </c>
      <c r="B33" s="32">
        <v>2</v>
      </c>
      <c r="C33" t="str">
        <f>VLOOKUP('Pool Schedules'!B6,'Women''s Master'!$A$3:$J$8, 5)</f>
        <v>Toronto Connex B</v>
      </c>
      <c r="D33" t="str">
        <f>VLOOKUP('Pool Schedules'!C6,'Women''s Master'!$A$3:$J$8, 5)</f>
        <v>NY Strangers Earth</v>
      </c>
      <c r="E33" t="str">
        <f>VLOOKUP('Pool Schedules'!D6,'Women''s Master'!$A$3:$J$8, 5)</f>
        <v>Philly CIA Fire</v>
      </c>
    </row>
    <row r="34" spans="1:5" x14ac:dyDescent="0.2">
      <c r="A34" t="str">
        <f>RIGHT('Women''s Master'!$E$3, 2)</f>
        <v>10</v>
      </c>
      <c r="B34" s="32">
        <v>3</v>
      </c>
      <c r="C34" t="str">
        <f>VLOOKUP('Pool Schedules'!B7,'Women''s Master'!$A$3:$J$8, 5)</f>
        <v>Boston GHOTANE White</v>
      </c>
      <c r="D34" t="str">
        <f>VLOOKUP('Pool Schedules'!C7,'Women''s Master'!$A$3:$J$8, 5)</f>
        <v>NY Freemason A</v>
      </c>
      <c r="E34" t="str">
        <f>VLOOKUP('Pool Schedules'!D7,'Women''s Master'!$A$3:$J$8, 5)</f>
        <v>NY Strangers Earth</v>
      </c>
    </row>
    <row r="35" spans="1:5" x14ac:dyDescent="0.2">
      <c r="A35" t="str">
        <f>RIGHT('Women''s Master'!$E$3, 2)</f>
        <v>10</v>
      </c>
      <c r="B35" s="32">
        <v>4</v>
      </c>
      <c r="C35" t="str">
        <f>VLOOKUP('Pool Schedules'!B8,'Women''s Master'!$A$3:$J$8, 5)</f>
        <v>Philly CIA Fire</v>
      </c>
      <c r="D35" t="str">
        <f>VLOOKUP('Pool Schedules'!C8,'Women''s Master'!$A$3:$J$8, 5)</f>
        <v>Toronto Connex B</v>
      </c>
      <c r="E35" t="str">
        <f>VLOOKUP('Pool Schedules'!D8,'Women''s Master'!$A$3:$J$8, 5)</f>
        <v>Boston GHOTANE White</v>
      </c>
    </row>
    <row r="36" spans="1:5" x14ac:dyDescent="0.2">
      <c r="A36" t="str">
        <f>RIGHT('Women''s Master'!$E$3, 2)</f>
        <v>10</v>
      </c>
      <c r="B36" s="32">
        <v>5</v>
      </c>
      <c r="C36" t="str">
        <f>VLOOKUP('Pool Schedules'!B9,'Women''s Master'!$A$3:$J$8, 5)</f>
        <v>NY Strangers Earth</v>
      </c>
      <c r="D36" t="str">
        <f>VLOOKUP('Pool Schedules'!C9,'Women''s Master'!$A$3:$J$8, 5)</f>
        <v>NY Freemason A</v>
      </c>
      <c r="E36" t="str">
        <f>VLOOKUP('Pool Schedules'!D9,'Women''s Master'!$A$3:$J$8, 5)</f>
        <v>Toronto Connex B</v>
      </c>
    </row>
    <row r="37" spans="1:5" x14ac:dyDescent="0.2">
      <c r="A37" t="str">
        <f>RIGHT('Women''s Master'!$E$3, 2)</f>
        <v>10</v>
      </c>
      <c r="B37" s="32">
        <v>6</v>
      </c>
      <c r="C37" t="str">
        <f>VLOOKUP('Pool Schedules'!B10,'Women''s Master'!$A$3:$J$8, 5)</f>
        <v>Boston GHOTANE White</v>
      </c>
      <c r="D37" t="str">
        <f>VLOOKUP('Pool Schedules'!C10,'Women''s Master'!$A$3:$J$8, 5)</f>
        <v>Toronto Connex B</v>
      </c>
      <c r="E37" t="str">
        <f>VLOOKUP('Pool Schedules'!D10,'Women''s Master'!$A$3:$J$8, 5)</f>
        <v>NY Freemason A</v>
      </c>
    </row>
    <row r="38" spans="1:5" x14ac:dyDescent="0.2">
      <c r="A38" t="str">
        <f>RIGHT('Women''s Master'!$E$3, 2)</f>
        <v>10</v>
      </c>
      <c r="B38" s="32">
        <v>7</v>
      </c>
      <c r="C38" t="str">
        <f>VLOOKUP('Pool Schedules'!B11,'Women''s Master'!$A$3:$J$8, 5)</f>
        <v>Philly CIA Fire</v>
      </c>
      <c r="D38" t="str">
        <f>VLOOKUP('Pool Schedules'!C11,'Women''s Master'!$A$3:$J$8, 5)</f>
        <v>NY Strangers Earth</v>
      </c>
      <c r="E38" t="str">
        <f>VLOOKUP('Pool Schedules'!D11,'Women''s Master'!$A$3:$J$8, 5)</f>
        <v>Boston GHOTANE White</v>
      </c>
    </row>
    <row r="39" spans="1:5" x14ac:dyDescent="0.2">
      <c r="A39" t="str">
        <f>RIGHT('Women''s Master'!$E$3, 2)</f>
        <v>10</v>
      </c>
      <c r="B39" s="32">
        <v>8</v>
      </c>
      <c r="C39" t="str">
        <f>VLOOKUP('Pool Schedules'!B12,'Women''s Master'!$A$3:$J$8, 5)</f>
        <v>Toronto Connex B</v>
      </c>
      <c r="D39" t="str">
        <f>VLOOKUP('Pool Schedules'!C12,'Women''s Master'!$A$3:$J$8, 5)</f>
        <v>NY Freemason A</v>
      </c>
      <c r="E39" t="str">
        <f>VLOOKUP('Pool Schedules'!D12,'Women''s Master'!$A$3:$J$8, 5)</f>
        <v>Philly CIA Fire</v>
      </c>
    </row>
    <row r="40" spans="1:5" x14ac:dyDescent="0.2">
      <c r="A40" t="str">
        <f>RIGHT('Women''s Master'!$E$3, 2)</f>
        <v>10</v>
      </c>
      <c r="B40" s="32">
        <v>9</v>
      </c>
      <c r="C40" t="str">
        <f>VLOOKUP('Pool Schedules'!B13,'Women''s Master'!$A$3:$J$8, 5)</f>
        <v>Boston GHOTANE White</v>
      </c>
      <c r="D40" t="str">
        <f>VLOOKUP('Pool Schedules'!C13,'Women''s Master'!$A$3:$J$8, 5)</f>
        <v>NY Strangers Earth</v>
      </c>
      <c r="E40" t="str">
        <f>VLOOKUP('Pool Schedules'!D13,'Women''s Master'!$A$3:$J$8, 5)</f>
        <v>NY Freemason A</v>
      </c>
    </row>
    <row r="41" spans="1:5" x14ac:dyDescent="0.2">
      <c r="A41" t="str">
        <f>RIGHT('Women''s Master'!$E$3, 2)</f>
        <v>10</v>
      </c>
      <c r="B41" s="32">
        <v>10</v>
      </c>
      <c r="C41" t="str">
        <f>VLOOKUP('Pool Schedules'!B14,'Women''s Master'!$A$3:$J$8, 5)</f>
        <v>Philly CIA Fire</v>
      </c>
      <c r="D41" t="str">
        <f>VLOOKUP('Pool Schedules'!C14,'Women''s Master'!$A$3:$J$8, 4)</f>
        <v>NY Strangers Wind</v>
      </c>
      <c r="E41" t="str">
        <f>VLOOKUP('Pool Schedules'!D14,'Women''s Master'!$A$3:$J$8, 4)</f>
        <v>Toronto Connex A</v>
      </c>
    </row>
    <row r="42" spans="1:5" x14ac:dyDescent="0.2">
      <c r="A42" t="str">
        <f>RIGHT('Women''s Master'!$F$3, 2)</f>
        <v>11</v>
      </c>
      <c r="B42" s="32">
        <v>1</v>
      </c>
      <c r="C42" t="str">
        <f>VLOOKUP('Pool Schedules'!B5,'Women''s Master'!$A$3:$J$8, 6)</f>
        <v>NY Freemason B</v>
      </c>
      <c r="D42" t="str">
        <f>VLOOKUP('Pool Schedules'!C5,'Women''s Master'!$A$3:$J$8, 6)</f>
        <v>Toronto Connex C</v>
      </c>
      <c r="E42" t="str">
        <f>VLOOKUP('Pool Schedules'!D5,'Women''s Master'!$A$3:$J$8, 6)</f>
        <v>Philly Lady Suns</v>
      </c>
    </row>
    <row r="43" spans="1:5" x14ac:dyDescent="0.2">
      <c r="A43" t="str">
        <f>RIGHT('Women''s Master'!$F$3, 2)</f>
        <v>11</v>
      </c>
      <c r="B43" s="32">
        <v>2</v>
      </c>
      <c r="C43" t="str">
        <f>VLOOKUP('Pool Schedules'!B6,'Women''s Master'!$A$3:$J$8, 6)</f>
        <v>Philly Lady Suns</v>
      </c>
      <c r="D43" t="str">
        <f>VLOOKUP('Pool Schedules'!C6,'Women''s Master'!$A$3:$J$8, 6)</f>
        <v>NY Impact Synergy</v>
      </c>
      <c r="E43" t="str">
        <f>VLOOKUP('Pool Schedules'!D6,'Women''s Master'!$A$3:$J$8, 6)</f>
        <v>Toronto Connex C</v>
      </c>
    </row>
    <row r="44" spans="1:5" x14ac:dyDescent="0.2">
      <c r="A44" t="str">
        <f>RIGHT('Women''s Master'!$F$3, 2)</f>
        <v>11</v>
      </c>
      <c r="B44" s="32">
        <v>3</v>
      </c>
      <c r="C44" t="str">
        <f>VLOOKUP('Pool Schedules'!B7,'Women''s Master'!$A$3:$J$8, 6)</f>
        <v>NY Freemason B</v>
      </c>
      <c r="D44" t="str">
        <f>VLOOKUP('Pool Schedules'!C7,'Women''s Master'!$A$3:$J$8, 6)</f>
        <v>Toronto Thunder Grey</v>
      </c>
      <c r="E44" t="str">
        <f>VLOOKUP('Pool Schedules'!D7,'Women''s Master'!$A$3:$J$8, 6)</f>
        <v>NY Impact Synergy</v>
      </c>
    </row>
    <row r="45" spans="1:5" x14ac:dyDescent="0.2">
      <c r="A45" t="str">
        <f>RIGHT('Women''s Master'!$F$3, 2)</f>
        <v>11</v>
      </c>
      <c r="B45" s="32">
        <v>4</v>
      </c>
      <c r="C45" t="str">
        <f>VLOOKUP('Pool Schedules'!B8,'Women''s Master'!$A$3:$J$8, 6)</f>
        <v>Toronto Connex C</v>
      </c>
      <c r="D45" t="str">
        <f>VLOOKUP('Pool Schedules'!C8,'Women''s Master'!$A$3:$J$8, 6)</f>
        <v>Philly Lady Suns</v>
      </c>
      <c r="E45" t="str">
        <f>VLOOKUP('Pool Schedules'!D8,'Women''s Master'!$A$3:$J$8, 6)</f>
        <v>NY Freemason B</v>
      </c>
    </row>
    <row r="46" spans="1:5" x14ac:dyDescent="0.2">
      <c r="A46" t="str">
        <f>RIGHT('Women''s Master'!$F$3, 2)</f>
        <v>11</v>
      </c>
      <c r="B46" s="32">
        <v>5</v>
      </c>
      <c r="C46" t="str">
        <f>VLOOKUP('Pool Schedules'!B9,'Women''s Master'!$A$3:$J$8, 6)</f>
        <v>NY Impact Synergy</v>
      </c>
      <c r="D46" t="str">
        <f>VLOOKUP('Pool Schedules'!C9,'Women''s Master'!$A$3:$J$8, 6)</f>
        <v>Toronto Thunder Grey</v>
      </c>
      <c r="E46" t="str">
        <f>VLOOKUP('Pool Schedules'!D9,'Women''s Master'!$A$3:$J$8, 6)</f>
        <v>Philly Lady Suns</v>
      </c>
    </row>
    <row r="47" spans="1:5" x14ac:dyDescent="0.2">
      <c r="A47" t="str">
        <f>RIGHT('Women''s Master'!$F$3, 2)</f>
        <v>11</v>
      </c>
      <c r="B47" s="32">
        <v>6</v>
      </c>
      <c r="C47" t="str">
        <f>VLOOKUP('Pool Schedules'!B10,'Women''s Master'!$A$3:$J$8, 6)</f>
        <v>NY Freemason B</v>
      </c>
      <c r="D47" t="str">
        <f>VLOOKUP('Pool Schedules'!C10,'Women''s Master'!$A$3:$J$8, 6)</f>
        <v>Philly Lady Suns</v>
      </c>
      <c r="E47" t="str">
        <f>VLOOKUP('Pool Schedules'!D10,'Women''s Master'!$A$3:$J$8, 6)</f>
        <v>Toronto Thunder Grey</v>
      </c>
    </row>
    <row r="48" spans="1:5" x14ac:dyDescent="0.2">
      <c r="A48" t="str">
        <f>RIGHT('Women''s Master'!$F$3, 2)</f>
        <v>11</v>
      </c>
      <c r="B48" s="32">
        <v>7</v>
      </c>
      <c r="C48" t="str">
        <f>VLOOKUP('Pool Schedules'!B11,'Women''s Master'!$A$3:$J$8, 6)</f>
        <v>Toronto Connex C</v>
      </c>
      <c r="D48" t="str">
        <f>VLOOKUP('Pool Schedules'!C11,'Women''s Master'!$A$3:$J$8, 6)</f>
        <v>NY Impact Synergy</v>
      </c>
      <c r="E48" t="str">
        <f>VLOOKUP('Pool Schedules'!D11,'Women''s Master'!$A$3:$J$8, 6)</f>
        <v>NY Freemason B</v>
      </c>
    </row>
    <row r="49" spans="1:5" x14ac:dyDescent="0.2">
      <c r="A49" t="str">
        <f>RIGHT('Women''s Master'!$F$3, 2)</f>
        <v>11</v>
      </c>
      <c r="B49" s="32">
        <v>8</v>
      </c>
      <c r="C49" t="str">
        <f>VLOOKUP('Pool Schedules'!B12,'Women''s Master'!$A$3:$J$8, 6)</f>
        <v>Philly Lady Suns</v>
      </c>
      <c r="D49" t="str">
        <f>VLOOKUP('Pool Schedules'!C12,'Women''s Master'!$A$3:$J$8, 6)</f>
        <v>Toronto Thunder Grey</v>
      </c>
      <c r="E49" t="str">
        <f>VLOOKUP('Pool Schedules'!D12,'Women''s Master'!$A$3:$J$8, 6)</f>
        <v>Toronto Connex C</v>
      </c>
    </row>
    <row r="50" spans="1:5" x14ac:dyDescent="0.2">
      <c r="A50" t="str">
        <f>RIGHT('Women''s Master'!$F$3, 2)</f>
        <v>11</v>
      </c>
      <c r="B50" s="32">
        <v>9</v>
      </c>
      <c r="C50" t="str">
        <f>VLOOKUP('Pool Schedules'!B13,'Women''s Master'!$A$3:$J$8, 6)</f>
        <v>NY Freemason B</v>
      </c>
      <c r="D50" t="str">
        <f>VLOOKUP('Pool Schedules'!C13,'Women''s Master'!$A$3:$J$8, 6)</f>
        <v>NY Impact Synergy</v>
      </c>
      <c r="E50" t="str">
        <f>VLOOKUP('Pool Schedules'!D13,'Women''s Master'!$A$3:$J$8, 6)</f>
        <v>Toronto Thunder Grey</v>
      </c>
    </row>
    <row r="51" spans="1:5" x14ac:dyDescent="0.2">
      <c r="A51" t="str">
        <f>RIGHT('Women''s Master'!$F$3, 2)</f>
        <v>11</v>
      </c>
      <c r="B51" s="32">
        <v>10</v>
      </c>
      <c r="C51" t="str">
        <f>VLOOKUP('Pool Schedules'!B14,'Women''s Master'!$A$3:$J$8, 6)</f>
        <v>Toronto Connex C</v>
      </c>
      <c r="D51" t="str">
        <f>VLOOKUP('Pool Schedules'!C14,'Women''s Master'!$A$3:$J$8, 6)</f>
        <v>Toronto Thunder Grey</v>
      </c>
      <c r="E51" t="str">
        <f>VLOOKUP('Pool Schedules'!D14,'Women''s Master'!$A$3:$J$8, 6)</f>
        <v>NY Impact Synergy</v>
      </c>
    </row>
    <row r="52" spans="1:5" x14ac:dyDescent="0.2">
      <c r="A52" t="str">
        <f>RIGHT('Women''s Master'!$G$3, 2)</f>
        <v>15</v>
      </c>
      <c r="B52" s="32">
        <v>1</v>
      </c>
      <c r="C52" t="str">
        <f>VLOOKUP('Pool Schedules'!B5,'Women''s Master'!$A$3:$J$8, 7)</f>
        <v>Philly Lady Suns Sunsations</v>
      </c>
      <c r="D52" t="str">
        <f>VLOOKUP('Pool Schedules'!C5,'Women''s Master'!$A$3:$J$8, 7)</f>
        <v>NY Impact Dynamic</v>
      </c>
      <c r="E52" t="str">
        <f>VLOOKUP('Pool Schedules'!D5,'Women''s Master'!$A$3:$J$8, 7)</f>
        <v>DC CYC Black</v>
      </c>
    </row>
    <row r="53" spans="1:5" x14ac:dyDescent="0.2">
      <c r="A53" t="str">
        <f>RIGHT('Women''s Master'!$G$3, 2)</f>
        <v>15</v>
      </c>
      <c r="B53" s="32">
        <v>2</v>
      </c>
      <c r="C53" t="str">
        <f>VLOOKUP('Pool Schedules'!B6,'Women''s Master'!$A$3:$J$8, 7)</f>
        <v>DC CYC Black</v>
      </c>
      <c r="D53" t="str">
        <f>VLOOKUP('Pool Schedules'!C6,'Women''s Master'!$A$3:$J$8, 7)</f>
        <v>Toronto Phoenix Blaze</v>
      </c>
      <c r="E53" t="str">
        <f>VLOOKUP('Pool Schedules'!D6,'Women''s Master'!$A$3:$J$8, 7)</f>
        <v>NY Impact Dynamic</v>
      </c>
    </row>
    <row r="54" spans="1:5" x14ac:dyDescent="0.2">
      <c r="A54" t="str">
        <f>RIGHT('Women''s Master'!$G$3, 2)</f>
        <v>15</v>
      </c>
      <c r="B54" s="32">
        <v>3</v>
      </c>
      <c r="C54" t="str">
        <f>VLOOKUP('Pool Schedules'!B7,'Women''s Master'!$A$3:$J$8, 7)</f>
        <v>Philly Lady Suns Sunsations</v>
      </c>
      <c r="D54" t="str">
        <f>VLOOKUP('Pool Schedules'!C7,'Women''s Master'!$A$3:$J$8, 7)</f>
        <v>NY Vikings Storm</v>
      </c>
      <c r="E54" t="str">
        <f>VLOOKUP('Pool Schedules'!D7,'Women''s Master'!$A$3:$J$8, 7)</f>
        <v>Toronto Phoenix Blaze</v>
      </c>
    </row>
    <row r="55" spans="1:5" x14ac:dyDescent="0.2">
      <c r="A55" t="str">
        <f>RIGHT('Women''s Master'!$G$3, 2)</f>
        <v>15</v>
      </c>
      <c r="B55" s="32">
        <v>4</v>
      </c>
      <c r="C55" t="str">
        <f>VLOOKUP('Pool Schedules'!B8,'Women''s Master'!$A$3:$J$8, 7)</f>
        <v>NY Impact Dynamic</v>
      </c>
      <c r="D55" t="str">
        <f>VLOOKUP('Pool Schedules'!C8,'Women''s Master'!$A$3:$J$8, 7)</f>
        <v>DC CYC Black</v>
      </c>
      <c r="E55" t="str">
        <f>VLOOKUP('Pool Schedules'!D8,'Women''s Master'!$A$3:$J$8, 7)</f>
        <v>Philly Lady Suns Sunsations</v>
      </c>
    </row>
    <row r="56" spans="1:5" x14ac:dyDescent="0.2">
      <c r="A56" t="str">
        <f>RIGHT('Women''s Master'!$G$3, 2)</f>
        <v>15</v>
      </c>
      <c r="B56" s="32">
        <v>5</v>
      </c>
      <c r="C56" t="str">
        <f>VLOOKUP('Pool Schedules'!B9,'Women''s Master'!$A$3:$J$8, 7)</f>
        <v>Toronto Phoenix Blaze</v>
      </c>
      <c r="D56" t="str">
        <f>VLOOKUP('Pool Schedules'!C9,'Women''s Master'!$A$3:$J$8, 7)</f>
        <v>NY Vikings Storm</v>
      </c>
      <c r="E56" t="str">
        <f>VLOOKUP('Pool Schedules'!D9,'Women''s Master'!$A$3:$J$8, 7)</f>
        <v>DC CYC Black</v>
      </c>
    </row>
    <row r="57" spans="1:5" x14ac:dyDescent="0.2">
      <c r="A57" t="str">
        <f>RIGHT('Women''s Master'!$G$3, 2)</f>
        <v>15</v>
      </c>
      <c r="B57" s="32">
        <v>6</v>
      </c>
      <c r="C57" t="str">
        <f>VLOOKUP('Pool Schedules'!B10,'Women''s Master'!$A$3:$J$8, 7)</f>
        <v>Philly Lady Suns Sunsations</v>
      </c>
      <c r="D57" t="str">
        <f>VLOOKUP('Pool Schedules'!C10,'Women''s Master'!$A$3:$J$8, 7)</f>
        <v>DC CYC Black</v>
      </c>
      <c r="E57" t="str">
        <f>VLOOKUP('Pool Schedules'!D10,'Women''s Master'!$A$3:$J$8, 7)</f>
        <v>NY Vikings Storm</v>
      </c>
    </row>
    <row r="58" spans="1:5" x14ac:dyDescent="0.2">
      <c r="A58" t="str">
        <f>RIGHT('Women''s Master'!$G$3, 2)</f>
        <v>15</v>
      </c>
      <c r="B58" s="32">
        <v>7</v>
      </c>
      <c r="C58" t="str">
        <f>VLOOKUP('Pool Schedules'!B11,'Women''s Master'!$A$3:$J$8, 7)</f>
        <v>NY Impact Dynamic</v>
      </c>
      <c r="D58" t="str">
        <f>VLOOKUP('Pool Schedules'!C11,'Women''s Master'!$A$3:$J$8, 7)</f>
        <v>Toronto Phoenix Blaze</v>
      </c>
      <c r="E58" t="str">
        <f>VLOOKUP('Pool Schedules'!D11,'Women''s Master'!$A$3:$J$8, 7)</f>
        <v>Philly Lady Suns Sunsations</v>
      </c>
    </row>
    <row r="59" spans="1:5" x14ac:dyDescent="0.2">
      <c r="A59" t="str">
        <f>RIGHT('Women''s Master'!$G$3, 2)</f>
        <v>15</v>
      </c>
      <c r="B59" s="32">
        <v>8</v>
      </c>
      <c r="C59" t="str">
        <f>VLOOKUP('Pool Schedules'!B12,'Women''s Master'!$A$3:$J$8, 7)</f>
        <v>DC CYC Black</v>
      </c>
      <c r="D59" t="str">
        <f>VLOOKUP('Pool Schedules'!C12,'Women''s Master'!$A$3:$J$8, 7)</f>
        <v>NY Vikings Storm</v>
      </c>
      <c r="E59" t="str">
        <f>VLOOKUP('Pool Schedules'!D12,'Women''s Master'!$A$3:$J$8, 7)</f>
        <v>NY Impact Dynamic</v>
      </c>
    </row>
    <row r="60" spans="1:5" x14ac:dyDescent="0.2">
      <c r="A60" t="str">
        <f>RIGHT('Women''s Master'!$G$3, 2)</f>
        <v>15</v>
      </c>
      <c r="B60" s="32">
        <v>9</v>
      </c>
      <c r="C60" t="str">
        <f>VLOOKUP('Pool Schedules'!B13,'Women''s Master'!$A$3:$J$8, 7)</f>
        <v>Philly Lady Suns Sunsations</v>
      </c>
      <c r="D60" t="str">
        <f>VLOOKUP('Pool Schedules'!C13,'Women''s Master'!$A$3:$J$8, 7)</f>
        <v>Toronto Phoenix Blaze</v>
      </c>
      <c r="E60" t="str">
        <f>VLOOKUP('Pool Schedules'!D13,'Women''s Master'!$A$3:$J$8, 7)</f>
        <v>NY Vikings Storm</v>
      </c>
    </row>
    <row r="61" spans="1:5" x14ac:dyDescent="0.2">
      <c r="A61" t="str">
        <f>RIGHT('Women''s Master'!$G$3, 2)</f>
        <v>15</v>
      </c>
      <c r="B61" s="32">
        <v>10</v>
      </c>
      <c r="C61" t="str">
        <f>VLOOKUP('Pool Schedules'!B14,'Women''s Master'!$A$3:$J$8, 7)</f>
        <v>NY Impact Dynamic</v>
      </c>
      <c r="D61" t="str">
        <f>VLOOKUP('Pool Schedules'!C14,'Women''s Master'!$A$3:$J$8, 7)</f>
        <v>NY Vikings Storm</v>
      </c>
      <c r="E61" t="str">
        <f>VLOOKUP('Pool Schedules'!D14,'Women''s Master'!$A$3:$J$8, 7)</f>
        <v>Toronto Phoenix Blaze</v>
      </c>
    </row>
    <row r="62" spans="1:5" x14ac:dyDescent="0.2">
      <c r="A62" t="str">
        <f>RIGHT('Women''s Master'!$H$3, 2)</f>
        <v>16</v>
      </c>
      <c r="B62" s="32">
        <v>1</v>
      </c>
      <c r="C62" t="str">
        <f>VLOOKUP('Pool Schedules'!B5,'Women''s Master'!$A$3:$J$8, 8)</f>
        <v>Toronto Bats</v>
      </c>
      <c r="D62" t="str">
        <f>VLOOKUP('Pool Schedules'!C5,'Women''s Master'!$A$3:$J$8, 8)</f>
        <v>DC MVP Bolts</v>
      </c>
      <c r="E62" t="str">
        <f>VLOOKUP('Pool Schedules'!D5,'Women''s Master'!$A$3:$J$8, 8)</f>
        <v>NY CASCSA</v>
      </c>
    </row>
    <row r="63" spans="1:5" x14ac:dyDescent="0.2">
      <c r="A63" t="str">
        <f>RIGHT('Women''s Master'!$H$3, 2)</f>
        <v>16</v>
      </c>
      <c r="B63" s="32">
        <v>2</v>
      </c>
      <c r="C63" t="str">
        <f>VLOOKUP('Pool Schedules'!B6,'Women''s Master'!$A$3:$J$8, 8)</f>
        <v>NY CASCSA</v>
      </c>
      <c r="D63" t="str">
        <f>VLOOKUP('Pool Schedules'!C6,'Women''s Master'!$A$3:$J$8, 8)</f>
        <v>Montreal Freemason</v>
      </c>
      <c r="E63" t="str">
        <f>VLOOKUP('Pool Schedules'!D6,'Women''s Master'!$A$3:$J$8, 8)</f>
        <v>DC MVP Bolts</v>
      </c>
    </row>
    <row r="64" spans="1:5" x14ac:dyDescent="0.2">
      <c r="A64" t="str">
        <f>RIGHT('Women''s Master'!$H$3, 2)</f>
        <v>16</v>
      </c>
      <c r="B64" s="32">
        <v>3</v>
      </c>
      <c r="C64" t="str">
        <f>VLOOKUP('Pool Schedules'!B7,'Women''s Master'!$A$3:$J$8, 8)</f>
        <v>Toronto Bats</v>
      </c>
      <c r="D64" t="str">
        <f>VLOOKUP('Pool Schedules'!C7,'Women''s Master'!$A$3:$J$8, 8)</f>
        <v>Boston Hurricanes Black</v>
      </c>
      <c r="E64" t="str">
        <f>VLOOKUP('Pool Schedules'!D7,'Women''s Master'!$A$3:$J$8, 8)</f>
        <v>Montreal Freemason</v>
      </c>
    </row>
    <row r="65" spans="1:5" x14ac:dyDescent="0.2">
      <c r="A65" t="str">
        <f>RIGHT('Women''s Master'!$H$3, 2)</f>
        <v>16</v>
      </c>
      <c r="B65" s="32">
        <v>4</v>
      </c>
      <c r="C65" t="str">
        <f>VLOOKUP('Pool Schedules'!B8,'Women''s Master'!$A$3:$J$8, 8)</f>
        <v>DC MVP Bolts</v>
      </c>
      <c r="D65" t="str">
        <f>VLOOKUP('Pool Schedules'!C8,'Women''s Master'!$A$3:$J$8, 8)</f>
        <v>NY CASCSA</v>
      </c>
      <c r="E65" t="str">
        <f>VLOOKUP('Pool Schedules'!D8,'Women''s Master'!$A$3:$J$8, 8)</f>
        <v>Toronto Bats</v>
      </c>
    </row>
    <row r="66" spans="1:5" x14ac:dyDescent="0.2">
      <c r="A66" t="str">
        <f>RIGHT('Women''s Master'!$H$3, 2)</f>
        <v>16</v>
      </c>
      <c r="B66" s="32">
        <v>5</v>
      </c>
      <c r="C66" t="str">
        <f>VLOOKUP('Pool Schedules'!B9,'Women''s Master'!$A$3:$J$8, 8)</f>
        <v>Montreal Freemason</v>
      </c>
      <c r="D66" t="str">
        <f>VLOOKUP('Pool Schedules'!C9,'Women''s Master'!$A$3:$J$8, 8)</f>
        <v>Boston Hurricanes Black</v>
      </c>
      <c r="E66" t="str">
        <f>VLOOKUP('Pool Schedules'!D9,'Women''s Master'!$A$3:$J$8, 8)</f>
        <v>NY CASCSA</v>
      </c>
    </row>
    <row r="67" spans="1:5" x14ac:dyDescent="0.2">
      <c r="A67" t="str">
        <f>RIGHT('Women''s Master'!$H$3, 2)</f>
        <v>16</v>
      </c>
      <c r="B67" s="32">
        <v>6</v>
      </c>
      <c r="C67" t="str">
        <f>VLOOKUP('Pool Schedules'!B10,'Women''s Master'!$A$3:$J$8, 8)</f>
        <v>Toronto Bats</v>
      </c>
      <c r="D67" t="str">
        <f>VLOOKUP('Pool Schedules'!C10,'Women''s Master'!$A$3:$J$8, 8)</f>
        <v>NY CASCSA</v>
      </c>
      <c r="E67" t="str">
        <f>VLOOKUP('Pool Schedules'!D10,'Women''s Master'!$A$3:$J$8, 8)</f>
        <v>Boston Hurricanes Black</v>
      </c>
    </row>
    <row r="68" spans="1:5" x14ac:dyDescent="0.2">
      <c r="A68" t="str">
        <f>RIGHT('Women''s Master'!$H$3, 2)</f>
        <v>16</v>
      </c>
      <c r="B68" s="32">
        <v>7</v>
      </c>
      <c r="C68" t="str">
        <f>VLOOKUP('Pool Schedules'!B11,'Women''s Master'!$A$3:$J$8, 8)</f>
        <v>DC MVP Bolts</v>
      </c>
      <c r="D68" t="str">
        <f>VLOOKUP('Pool Schedules'!C11,'Women''s Master'!$A$3:$J$8, 8)</f>
        <v>Montreal Freemason</v>
      </c>
      <c r="E68" t="str">
        <f>VLOOKUP('Pool Schedules'!D11,'Women''s Master'!$A$3:$J$8, 8)</f>
        <v>Toronto Bats</v>
      </c>
    </row>
    <row r="69" spans="1:5" x14ac:dyDescent="0.2">
      <c r="A69" t="str">
        <f>RIGHT('Women''s Master'!$H$3, 2)</f>
        <v>16</v>
      </c>
      <c r="B69" s="32">
        <v>8</v>
      </c>
      <c r="C69" t="str">
        <f>VLOOKUP('Pool Schedules'!B12,'Women''s Master'!$A$3:$J$8, 8)</f>
        <v>NY CASCSA</v>
      </c>
      <c r="D69" t="str">
        <f>VLOOKUP('Pool Schedules'!C12,'Women''s Master'!$A$3:$J$8, 8)</f>
        <v>Boston Hurricanes Black</v>
      </c>
      <c r="E69" t="str">
        <f>VLOOKUP('Pool Schedules'!D12,'Women''s Master'!$A$3:$J$8, 8)</f>
        <v>DC MVP Bolts</v>
      </c>
    </row>
    <row r="70" spans="1:5" x14ac:dyDescent="0.2">
      <c r="A70" t="str">
        <f>RIGHT('Women''s Master'!$H$3, 2)</f>
        <v>16</v>
      </c>
      <c r="B70" s="32">
        <v>9</v>
      </c>
      <c r="C70" t="str">
        <f>VLOOKUP('Pool Schedules'!B13,'Women''s Master'!$A$3:$J$8, 8)</f>
        <v>Toronto Bats</v>
      </c>
      <c r="D70" t="str">
        <f>VLOOKUP('Pool Schedules'!C13,'Women''s Master'!$A$3:$J$8, 8)</f>
        <v>Montreal Freemason</v>
      </c>
      <c r="E70" t="str">
        <f>VLOOKUP('Pool Schedules'!D13,'Women''s Master'!$A$3:$J$8, 8)</f>
        <v>Boston Hurricanes Black</v>
      </c>
    </row>
    <row r="71" spans="1:5" x14ac:dyDescent="0.2">
      <c r="A71" t="str">
        <f>RIGHT('Women''s Master'!$H$3, 2)</f>
        <v>16</v>
      </c>
      <c r="B71" s="32">
        <v>10</v>
      </c>
      <c r="C71" t="str">
        <f>VLOOKUP('Pool Schedules'!B14,'Women''s Master'!$A$3:$J$8, 8)</f>
        <v>DC MVP Bolts</v>
      </c>
      <c r="D71" t="str">
        <f>VLOOKUP('Pool Schedules'!C14,'Women''s Master'!$A$3:$J$8, 8)</f>
        <v>Boston Hurricanes Black</v>
      </c>
      <c r="E71" t="str">
        <f>VLOOKUP('Pool Schedules'!D14,'Women''s Master'!$A$3:$J$8, 8)</f>
        <v>Montreal Freemason</v>
      </c>
    </row>
    <row r="72" spans="1:5" x14ac:dyDescent="0.2">
      <c r="A72" t="str">
        <f>RIGHT('Women''s Master'!$I$3, 2)</f>
        <v>17</v>
      </c>
      <c r="B72" s="32">
        <v>1</v>
      </c>
      <c r="C72" t="str">
        <f>VLOOKUP('Pool Schedules'!B5,'Women''s Master'!$A$3:$J$8, 9)</f>
        <v>Toronto Thunder Blue</v>
      </c>
      <c r="D72" t="str">
        <f>VLOOKUP('Pool Schedules'!C5,'Women''s Master'!$A$3:$J$8, 9)</f>
        <v>NY Cranky Pandas</v>
      </c>
      <c r="E72" t="str">
        <f>VLOOKUP('Pool Schedules'!D5,'Women''s Master'!$A$3:$J$8, 9)</f>
        <v>Boston GHOTANE Black</v>
      </c>
    </row>
    <row r="73" spans="1:5" x14ac:dyDescent="0.2">
      <c r="A73" t="str">
        <f>RIGHT('Women''s Master'!$I$3, 2)</f>
        <v>17</v>
      </c>
      <c r="B73" s="32">
        <v>2</v>
      </c>
      <c r="C73" t="str">
        <f>VLOOKUP('Pool Schedules'!B6,'Women''s Master'!$A$3:$J$8, 9)</f>
        <v>Boston GHOTANE Black</v>
      </c>
      <c r="D73" t="str">
        <f>VLOOKUP('Pool Schedules'!C6,'Women''s Master'!$A$3:$J$8, 9)</f>
        <v>NJ FUNimania</v>
      </c>
      <c r="E73" t="str">
        <f>VLOOKUP('Pool Schedules'!D6,'Women''s Master'!$A$3:$J$8, 9)</f>
        <v>NY Cranky Pandas</v>
      </c>
    </row>
    <row r="74" spans="1:5" x14ac:dyDescent="0.2">
      <c r="A74" t="str">
        <f>RIGHT('Women''s Master'!$I$3, 2)</f>
        <v>17</v>
      </c>
      <c r="B74" s="32">
        <v>3</v>
      </c>
      <c r="C74" t="str">
        <f>VLOOKUP('Pool Schedules'!B7,'Women''s Master'!$A$3:$J$8, 9)</f>
        <v>Toronto Thunder Blue</v>
      </c>
      <c r="D74" t="str">
        <f>VLOOKUP('Pool Schedules'!C7,'Women''s Master'!$A$3:$J$8, 9)</f>
        <v>DC CYC A</v>
      </c>
      <c r="E74" t="str">
        <f>VLOOKUP('Pool Schedules'!D7,'Women''s Master'!$A$3:$J$8, 9)</f>
        <v>NJ FUNimania</v>
      </c>
    </row>
    <row r="75" spans="1:5" x14ac:dyDescent="0.2">
      <c r="A75" t="str">
        <f>RIGHT('Women''s Master'!$I$3, 2)</f>
        <v>17</v>
      </c>
      <c r="B75" s="32">
        <v>4</v>
      </c>
      <c r="C75" t="str">
        <f>VLOOKUP('Pool Schedules'!B8,'Women''s Master'!$A$3:$J$8, 9)</f>
        <v>NY Cranky Pandas</v>
      </c>
      <c r="D75" t="str">
        <f>VLOOKUP('Pool Schedules'!C8,'Women''s Master'!$A$3:$J$8, 9)</f>
        <v>Boston GHOTANE Black</v>
      </c>
      <c r="E75" t="str">
        <f>VLOOKUP('Pool Schedules'!D8,'Women''s Master'!$A$3:$J$8, 9)</f>
        <v>Toronto Thunder Blue</v>
      </c>
    </row>
    <row r="76" spans="1:5" x14ac:dyDescent="0.2">
      <c r="A76" t="str">
        <f>RIGHT('Women''s Master'!$I$3, 2)</f>
        <v>17</v>
      </c>
      <c r="B76" s="32">
        <v>5</v>
      </c>
      <c r="C76" t="str">
        <f>VLOOKUP('Pool Schedules'!B9,'Women''s Master'!$A$3:$J$8, 9)</f>
        <v>NJ FUNimania</v>
      </c>
      <c r="D76" t="str">
        <f>VLOOKUP('Pool Schedules'!C9,'Women''s Master'!$A$3:$J$8, 9)</f>
        <v>DC CYC A</v>
      </c>
      <c r="E76" t="str">
        <f>VLOOKUP('Pool Schedules'!D9,'Women''s Master'!$A$3:$J$8, 9)</f>
        <v>Boston GHOTANE Black</v>
      </c>
    </row>
    <row r="77" spans="1:5" x14ac:dyDescent="0.2">
      <c r="A77" t="str">
        <f>RIGHT('Women''s Master'!$I$3, 2)</f>
        <v>17</v>
      </c>
      <c r="B77" s="32">
        <v>6</v>
      </c>
      <c r="C77" t="str">
        <f>VLOOKUP('Pool Schedules'!B10,'Women''s Master'!$A$3:$J$8, 9)</f>
        <v>Toronto Thunder Blue</v>
      </c>
      <c r="D77" t="str">
        <f>VLOOKUP('Pool Schedules'!C10,'Women''s Master'!$A$3:$J$8, 9)</f>
        <v>Boston GHOTANE Black</v>
      </c>
      <c r="E77" t="str">
        <f>VLOOKUP('Pool Schedules'!D10,'Women''s Master'!$A$3:$J$8, 9)</f>
        <v>DC CYC A</v>
      </c>
    </row>
    <row r="78" spans="1:5" x14ac:dyDescent="0.2">
      <c r="A78" t="str">
        <f>RIGHT('Women''s Master'!$I$3, 2)</f>
        <v>17</v>
      </c>
      <c r="B78" s="32">
        <v>7</v>
      </c>
      <c r="C78" t="str">
        <f>VLOOKUP('Pool Schedules'!B11,'Women''s Master'!$A$3:$J$8, 9)</f>
        <v>NY Cranky Pandas</v>
      </c>
      <c r="D78" t="str">
        <f>VLOOKUP('Pool Schedules'!C11,'Women''s Master'!$A$3:$J$8, 9)</f>
        <v>NJ FUNimania</v>
      </c>
      <c r="E78" t="str">
        <f>VLOOKUP('Pool Schedules'!D11,'Women''s Master'!$A$3:$J$8, 9)</f>
        <v>Toronto Thunder Blue</v>
      </c>
    </row>
    <row r="79" spans="1:5" x14ac:dyDescent="0.2">
      <c r="A79" t="str">
        <f>RIGHT('Women''s Master'!$I$3, 2)</f>
        <v>17</v>
      </c>
      <c r="B79" s="32">
        <v>8</v>
      </c>
      <c r="C79" t="str">
        <f>VLOOKUP('Pool Schedules'!B12,'Women''s Master'!$A$3:$J$8, 9)</f>
        <v>Boston GHOTANE Black</v>
      </c>
      <c r="D79" t="str">
        <f>VLOOKUP('Pool Schedules'!C12,'Women''s Master'!$A$3:$J$8, 9)</f>
        <v>DC CYC A</v>
      </c>
      <c r="E79" t="str">
        <f>VLOOKUP('Pool Schedules'!D12,'Women''s Master'!$A$3:$J$8, 9)</f>
        <v>NY Cranky Pandas</v>
      </c>
    </row>
    <row r="80" spans="1:5" x14ac:dyDescent="0.2">
      <c r="A80" t="str">
        <f>RIGHT('Women''s Master'!$I$3, 2)</f>
        <v>17</v>
      </c>
      <c r="B80" s="32">
        <v>9</v>
      </c>
      <c r="C80" t="str">
        <f>VLOOKUP('Pool Schedules'!B13,'Women''s Master'!$A$3:$J$8, 9)</f>
        <v>Toronto Thunder Blue</v>
      </c>
      <c r="D80" t="str">
        <f>VLOOKUP('Pool Schedules'!C13,'Women''s Master'!$A$3:$J$8, 9)</f>
        <v>NJ FUNimania</v>
      </c>
      <c r="E80" t="str">
        <f>VLOOKUP('Pool Schedules'!D13,'Women''s Master'!$A$3:$J$8, 9)</f>
        <v>DC CYC A</v>
      </c>
    </row>
    <row r="81" spans="1:5" x14ac:dyDescent="0.2">
      <c r="A81" t="str">
        <f>RIGHT('Women''s Master'!$I$3, 2)</f>
        <v>17</v>
      </c>
      <c r="B81" s="32">
        <v>10</v>
      </c>
      <c r="C81" t="str">
        <f>VLOOKUP('Pool Schedules'!B14,'Women''s Master'!$A$3:$J$8, 9)</f>
        <v>NY Cranky Pandas</v>
      </c>
      <c r="D81" t="str">
        <f>VLOOKUP('Pool Schedules'!C14,'Women''s Master'!$A$3:$J$8, 9)</f>
        <v>DC CYC A</v>
      </c>
      <c r="E81" t="str">
        <f>VLOOKUP('Pool Schedules'!D14,'Women''s Master'!$A$3:$J$8, 9)</f>
        <v>NJ FUNimania</v>
      </c>
    </row>
    <row r="82" spans="1:5" x14ac:dyDescent="0.2">
      <c r="A82" t="str">
        <f>RIGHT('Women''s Master'!$J$3, 2)</f>
        <v>18</v>
      </c>
      <c r="B82" s="32">
        <v>1</v>
      </c>
      <c r="C82" t="str">
        <f>VLOOKUP('Pool Schedules'!B5,'Women''s Master'!$A$3:$J$8, 10)</f>
        <v>NY Fresh</v>
      </c>
      <c r="D82" t="str">
        <f>VLOOKUP('Pool Schedules'!C5,'Women''s Master'!$A$3:$J$8, 10)</f>
        <v>Philly CIA Agents</v>
      </c>
      <c r="E82" t="str">
        <f>VLOOKUP('Pool Schedules'!D5,'Women''s Master'!$A$3:$J$8, 10)</f>
        <v>NY BCVA</v>
      </c>
    </row>
    <row r="83" spans="1:5" x14ac:dyDescent="0.2">
      <c r="A83" t="str">
        <f>RIGHT('Women''s Master'!$J$3, 2)</f>
        <v>18</v>
      </c>
      <c r="B83" s="32">
        <v>2</v>
      </c>
      <c r="C83" t="str">
        <f>VLOOKUP('Pool Schedules'!B6,'Women''s Master'!$A$3:$J$8, 10)</f>
        <v>NY BCVA</v>
      </c>
      <c r="D83" t="str">
        <f>VLOOKUP('Pool Schedules'!C6,'Women''s Master'!$A$3:$J$8, 10)</f>
        <v>Boston Hurricanes Gold</v>
      </c>
      <c r="E83" t="str">
        <f>VLOOKUP('Pool Schedules'!D6,'Women''s Master'!$A$3:$J$8, 10)</f>
        <v>Philly CIA Agents</v>
      </c>
    </row>
    <row r="84" spans="1:5" x14ac:dyDescent="0.2">
      <c r="A84" t="str">
        <f>RIGHT('Women''s Master'!$J$3, 2)</f>
        <v>18</v>
      </c>
      <c r="B84" s="32">
        <v>3</v>
      </c>
      <c r="C84" t="str">
        <f>VLOOKUP('Pool Schedules'!B7,'Women''s Master'!$A$3:$J$8, 10)</f>
        <v>NY Fresh</v>
      </c>
      <c r="D84" t="str">
        <f>VLOOKUP('Pool Schedules'!C7,'Women''s Master'!$A$3:$J$8, 10)</f>
        <v>Toronto United</v>
      </c>
      <c r="E84" t="str">
        <f>VLOOKUP('Pool Schedules'!D7,'Women''s Master'!$A$3:$J$8, 10)</f>
        <v>Boston Hurricanes Gold</v>
      </c>
    </row>
    <row r="85" spans="1:5" x14ac:dyDescent="0.2">
      <c r="A85" t="str">
        <f>RIGHT('Women''s Master'!$J$3, 2)</f>
        <v>18</v>
      </c>
      <c r="B85" s="32">
        <v>4</v>
      </c>
      <c r="C85" t="str">
        <f>VLOOKUP('Pool Schedules'!B8,'Women''s Master'!$A$3:$J$8, 10)</f>
        <v>Philly CIA Agents</v>
      </c>
      <c r="D85" t="str">
        <f>VLOOKUP('Pool Schedules'!C8,'Women''s Master'!$A$3:$J$8, 10)</f>
        <v>NY BCVA</v>
      </c>
      <c r="E85" t="str">
        <f>VLOOKUP('Pool Schedules'!D8,'Women''s Master'!$A$3:$J$8, 10)</f>
        <v>NY Fresh</v>
      </c>
    </row>
    <row r="86" spans="1:5" x14ac:dyDescent="0.2">
      <c r="A86" t="str">
        <f>RIGHT('Women''s Master'!$J$3, 2)</f>
        <v>18</v>
      </c>
      <c r="B86" s="32">
        <v>5</v>
      </c>
      <c r="C86" t="str">
        <f>VLOOKUP('Pool Schedules'!B9,'Women''s Master'!$A$3:$J$8, 10)</f>
        <v>Boston Hurricanes Gold</v>
      </c>
      <c r="D86" t="str">
        <f>VLOOKUP('Pool Schedules'!C9,'Women''s Master'!$A$3:$J$8, 10)</f>
        <v>Toronto United</v>
      </c>
      <c r="E86" t="str">
        <f>VLOOKUP('Pool Schedules'!D9,'Women''s Master'!$A$3:$J$8, 10)</f>
        <v>NY BCVA</v>
      </c>
    </row>
    <row r="87" spans="1:5" x14ac:dyDescent="0.2">
      <c r="A87" t="str">
        <f>RIGHT('Women''s Master'!$J$3, 2)</f>
        <v>18</v>
      </c>
      <c r="B87" s="32">
        <v>6</v>
      </c>
      <c r="C87" t="str">
        <f>VLOOKUP('Pool Schedules'!B10,'Women''s Master'!$A$3:$J$8, 10)</f>
        <v>NY Fresh</v>
      </c>
      <c r="D87" t="str">
        <f>VLOOKUP('Pool Schedules'!C10,'Women''s Master'!$A$3:$J$8, 10)</f>
        <v>NY BCVA</v>
      </c>
      <c r="E87" t="str">
        <f>VLOOKUP('Pool Schedules'!D10,'Women''s Master'!$A$3:$J$8, 10)</f>
        <v>Toronto United</v>
      </c>
    </row>
    <row r="88" spans="1:5" x14ac:dyDescent="0.2">
      <c r="A88" t="str">
        <f>RIGHT('Women''s Master'!$J$3, 2)</f>
        <v>18</v>
      </c>
      <c r="B88" s="32">
        <v>7</v>
      </c>
      <c r="C88" t="str">
        <f>VLOOKUP('Pool Schedules'!B11,'Women''s Master'!$A$3:$J$8, 10)</f>
        <v>Philly CIA Agents</v>
      </c>
      <c r="D88" t="str">
        <f>VLOOKUP('Pool Schedules'!C11,'Women''s Master'!$A$3:$J$8, 10)</f>
        <v>Boston Hurricanes Gold</v>
      </c>
      <c r="E88" t="str">
        <f>VLOOKUP('Pool Schedules'!D11,'Women''s Master'!$A$3:$J$8, 10)</f>
        <v>NY Fresh</v>
      </c>
    </row>
    <row r="89" spans="1:5" x14ac:dyDescent="0.2">
      <c r="A89" t="str">
        <f>RIGHT('Women''s Master'!$J$3, 2)</f>
        <v>18</v>
      </c>
      <c r="B89" s="32">
        <v>8</v>
      </c>
      <c r="C89" t="str">
        <f>VLOOKUP('Pool Schedules'!B12,'Women''s Master'!$A$3:$J$8, 10)</f>
        <v>NY BCVA</v>
      </c>
      <c r="D89" t="str">
        <f>VLOOKUP('Pool Schedules'!C12,'Women''s Master'!$A$3:$J$8, 10)</f>
        <v>Toronto United</v>
      </c>
      <c r="E89" t="str">
        <f>VLOOKUP('Pool Schedules'!D12,'Women''s Master'!$A$3:$J$8, 10)</f>
        <v>Philly CIA Agents</v>
      </c>
    </row>
    <row r="90" spans="1:5" x14ac:dyDescent="0.2">
      <c r="A90" t="str">
        <f>RIGHT('Women''s Master'!$J$3, 2)</f>
        <v>18</v>
      </c>
      <c r="B90" s="32">
        <v>9</v>
      </c>
      <c r="C90" t="str">
        <f>VLOOKUP('Pool Schedules'!B13,'Women''s Master'!$A$3:$J$8, 10)</f>
        <v>NY Fresh</v>
      </c>
      <c r="D90" t="str">
        <f>VLOOKUP('Pool Schedules'!C13,'Women''s Master'!$A$3:$J$8, 10)</f>
        <v>Boston Hurricanes Gold</v>
      </c>
      <c r="E90" t="str">
        <f>VLOOKUP('Pool Schedules'!D13,'Women''s Master'!$A$3:$J$8, 10)</f>
        <v>Toronto United</v>
      </c>
    </row>
    <row r="91" spans="1:5" x14ac:dyDescent="0.2">
      <c r="A91" t="str">
        <f>RIGHT('Women''s Master'!$J$3, 2)</f>
        <v>18</v>
      </c>
      <c r="B91" s="32">
        <v>10</v>
      </c>
      <c r="C91" t="str">
        <f>VLOOKUP('Pool Schedules'!B14,'Women''s Master'!$A$3:$J$8, 10)</f>
        <v>Philly CIA Agents</v>
      </c>
      <c r="D91" t="str">
        <f>VLOOKUP('Pool Schedules'!C14,'Women''s Master'!$A$3:$J$8, 10)</f>
        <v>Toronto United</v>
      </c>
      <c r="E91" t="str">
        <f>VLOOKUP('Pool Schedules'!D14,'Women''s Master'!$A$3:$J$8, 10)</f>
        <v>Boston Hurricanes Gold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6"/>
  <sheetViews>
    <sheetView workbookViewId="0"/>
  </sheetViews>
  <sheetFormatPr baseColWidth="10" defaultColWidth="17.33203125" defaultRowHeight="15" customHeight="1" x14ac:dyDescent="0.2"/>
  <cols>
    <col min="1" max="1" width="9.5" customWidth="1"/>
    <col min="2" max="3" width="7.1640625" customWidth="1"/>
    <col min="4" max="4" width="5.5" customWidth="1"/>
    <col min="5" max="5" width="7.83203125" customWidth="1"/>
    <col min="6" max="6" width="6" customWidth="1"/>
    <col min="7" max="7" width="7.6640625" customWidth="1"/>
    <col min="8" max="8" width="7.1640625" customWidth="1"/>
    <col min="9" max="9" width="5.5" customWidth="1"/>
  </cols>
  <sheetData>
    <row r="1" spans="1:9" x14ac:dyDescent="0.2">
      <c r="A1" s="32" t="s">
        <v>148</v>
      </c>
    </row>
    <row r="3" spans="1:9" x14ac:dyDescent="0.2">
      <c r="A3" s="32" t="s">
        <v>149</v>
      </c>
      <c r="F3" s="32" t="s">
        <v>150</v>
      </c>
    </row>
    <row r="4" spans="1:9" x14ac:dyDescent="0.2">
      <c r="A4" s="32" t="s">
        <v>126</v>
      </c>
      <c r="B4" s="32" t="s">
        <v>127</v>
      </c>
      <c r="C4" s="32" t="s">
        <v>128</v>
      </c>
      <c r="D4" s="32" t="s">
        <v>151</v>
      </c>
      <c r="F4" s="32" t="s">
        <v>126</v>
      </c>
      <c r="G4" s="32" t="s">
        <v>127</v>
      </c>
      <c r="H4" s="32" t="s">
        <v>128</v>
      </c>
      <c r="I4" s="32" t="s">
        <v>151</v>
      </c>
    </row>
    <row r="5" spans="1:9" x14ac:dyDescent="0.2">
      <c r="A5" s="32">
        <v>1</v>
      </c>
      <c r="B5" s="32">
        <v>1</v>
      </c>
      <c r="C5" s="32">
        <v>2</v>
      </c>
      <c r="D5" s="32">
        <v>3</v>
      </c>
      <c r="F5" s="32">
        <v>1</v>
      </c>
      <c r="G5" s="32">
        <v>1</v>
      </c>
      <c r="H5" s="32">
        <v>2</v>
      </c>
      <c r="I5" s="32">
        <v>5</v>
      </c>
    </row>
    <row r="6" spans="1:9" x14ac:dyDescent="0.2">
      <c r="A6" s="32">
        <v>2</v>
      </c>
      <c r="B6" s="32">
        <v>3</v>
      </c>
      <c r="C6" s="32">
        <v>4</v>
      </c>
      <c r="D6" s="32">
        <v>2</v>
      </c>
      <c r="F6" s="32">
        <v>2</v>
      </c>
      <c r="G6" s="32">
        <v>5</v>
      </c>
      <c r="H6" s="32">
        <v>3</v>
      </c>
      <c r="I6" s="32">
        <v>1</v>
      </c>
    </row>
    <row r="7" spans="1:9" x14ac:dyDescent="0.2">
      <c r="A7" s="32">
        <v>3</v>
      </c>
      <c r="B7" s="32">
        <v>1</v>
      </c>
      <c r="C7" s="32">
        <v>5</v>
      </c>
      <c r="D7" s="32">
        <v>4</v>
      </c>
      <c r="F7" s="32">
        <v>3</v>
      </c>
      <c r="G7" s="32">
        <v>6</v>
      </c>
      <c r="H7" s="32">
        <v>4</v>
      </c>
      <c r="I7" s="32">
        <v>5</v>
      </c>
    </row>
    <row r="8" spans="1:9" x14ac:dyDescent="0.2">
      <c r="A8" s="32">
        <v>4</v>
      </c>
      <c r="B8" s="32">
        <v>2</v>
      </c>
      <c r="C8" s="32">
        <v>3</v>
      </c>
      <c r="D8" s="32">
        <v>1</v>
      </c>
      <c r="F8" s="32">
        <v>4</v>
      </c>
      <c r="G8" s="32">
        <v>1</v>
      </c>
      <c r="H8" s="32">
        <v>3</v>
      </c>
      <c r="I8" s="32">
        <v>6</v>
      </c>
    </row>
    <row r="9" spans="1:9" x14ac:dyDescent="0.2">
      <c r="A9" s="32">
        <v>5</v>
      </c>
      <c r="B9" s="32">
        <v>4</v>
      </c>
      <c r="C9" s="32">
        <v>5</v>
      </c>
      <c r="D9" s="32">
        <v>3</v>
      </c>
      <c r="F9" s="32">
        <v>5</v>
      </c>
      <c r="G9" s="32">
        <v>2</v>
      </c>
      <c r="H9" s="32">
        <v>4</v>
      </c>
      <c r="I9" s="32">
        <v>3</v>
      </c>
    </row>
    <row r="10" spans="1:9" x14ac:dyDescent="0.2">
      <c r="A10" s="32">
        <v>6</v>
      </c>
      <c r="B10" s="32">
        <v>1</v>
      </c>
      <c r="C10" s="32">
        <v>3</v>
      </c>
      <c r="D10" s="32">
        <v>5</v>
      </c>
      <c r="F10" s="32">
        <v>6</v>
      </c>
      <c r="G10" s="32">
        <v>6</v>
      </c>
      <c r="H10" s="32">
        <v>5</v>
      </c>
      <c r="I10" s="32">
        <v>2</v>
      </c>
    </row>
    <row r="11" spans="1:9" x14ac:dyDescent="0.2">
      <c r="A11" s="32">
        <v>7</v>
      </c>
      <c r="B11" s="32">
        <v>2</v>
      </c>
      <c r="C11" s="32">
        <v>4</v>
      </c>
      <c r="D11" s="32">
        <v>1</v>
      </c>
      <c r="F11" s="32">
        <v>7</v>
      </c>
      <c r="G11" s="32">
        <v>1</v>
      </c>
      <c r="H11" s="32">
        <v>4</v>
      </c>
      <c r="I11" s="32">
        <v>6</v>
      </c>
    </row>
    <row r="12" spans="1:9" x14ac:dyDescent="0.2">
      <c r="A12" s="32">
        <v>8</v>
      </c>
      <c r="B12" s="32">
        <v>3</v>
      </c>
      <c r="C12" s="32">
        <v>5</v>
      </c>
      <c r="D12" s="32">
        <v>2</v>
      </c>
      <c r="F12" s="32">
        <v>8</v>
      </c>
      <c r="G12" s="32">
        <v>2</v>
      </c>
      <c r="H12" s="32">
        <v>3</v>
      </c>
      <c r="I12" s="32">
        <v>1</v>
      </c>
    </row>
    <row r="13" spans="1:9" x14ac:dyDescent="0.2">
      <c r="A13" s="32">
        <v>9</v>
      </c>
      <c r="B13" s="32">
        <v>1</v>
      </c>
      <c r="C13" s="32">
        <v>4</v>
      </c>
      <c r="D13" s="32">
        <v>5</v>
      </c>
      <c r="F13" s="32">
        <v>9</v>
      </c>
      <c r="G13" s="32">
        <v>5</v>
      </c>
      <c r="H13" s="32">
        <v>4</v>
      </c>
      <c r="I13" s="32">
        <v>3</v>
      </c>
    </row>
    <row r="14" spans="1:9" x14ac:dyDescent="0.2">
      <c r="A14" s="32">
        <v>10</v>
      </c>
      <c r="B14" s="32">
        <v>2</v>
      </c>
      <c r="C14" s="32">
        <v>5</v>
      </c>
      <c r="D14" s="32">
        <v>4</v>
      </c>
      <c r="F14" s="32">
        <v>10</v>
      </c>
      <c r="G14" s="32">
        <v>6</v>
      </c>
      <c r="H14" s="32">
        <v>2</v>
      </c>
      <c r="I14" s="32">
        <v>4</v>
      </c>
    </row>
    <row r="15" spans="1:9" x14ac:dyDescent="0.2">
      <c r="F15" s="32">
        <v>11</v>
      </c>
      <c r="G15" s="32">
        <v>1</v>
      </c>
      <c r="H15" s="32">
        <v>5</v>
      </c>
      <c r="I15" s="32">
        <v>2</v>
      </c>
    </row>
    <row r="16" spans="1:9" x14ac:dyDescent="0.2">
      <c r="F16" s="32">
        <v>12</v>
      </c>
      <c r="G16" s="32">
        <v>6</v>
      </c>
      <c r="H16" s="32">
        <v>3</v>
      </c>
      <c r="I16" s="32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R31"/>
  <sheetViews>
    <sheetView showGridLines="0" workbookViewId="0"/>
  </sheetViews>
  <sheetFormatPr baseColWidth="10" defaultColWidth="17.33203125" defaultRowHeight="15" customHeight="1" x14ac:dyDescent="0.2"/>
  <cols>
    <col min="1" max="1" width="4.1640625" customWidth="1"/>
    <col min="2" max="2" width="3.5" customWidth="1"/>
    <col min="3" max="3" width="25.6640625" customWidth="1"/>
    <col min="4" max="4" width="4.5" customWidth="1"/>
    <col min="5" max="5" width="3.33203125" customWidth="1"/>
    <col min="6" max="6" width="10.33203125" customWidth="1"/>
    <col min="7" max="7" width="9.6640625" customWidth="1"/>
    <col min="8" max="9" width="3.33203125" hidden="1" customWidth="1"/>
    <col min="10" max="14" width="3.33203125" customWidth="1"/>
    <col min="15" max="15" width="13.33203125" customWidth="1"/>
    <col min="16" max="16" width="13.1640625" customWidth="1"/>
    <col min="17" max="19" width="4" customWidth="1"/>
    <col min="20" max="22" width="3.33203125" customWidth="1"/>
    <col min="23" max="23" width="4" customWidth="1"/>
    <col min="24" max="25" width="3.33203125" customWidth="1"/>
    <col min="26" max="27" width="4" customWidth="1"/>
    <col min="28" max="31" width="3.33203125" customWidth="1"/>
    <col min="32" max="32" width="4.5" customWidth="1"/>
    <col min="33" max="33" width="15.33203125" customWidth="1"/>
    <col min="34" max="34" width="12.1640625" customWidth="1"/>
    <col min="35" max="35" width="13.1640625" customWidth="1"/>
    <col min="36" max="36" width="4.1640625" customWidth="1"/>
    <col min="37" max="37" width="7.1640625" customWidth="1"/>
    <col min="38" max="38" width="2.1640625" customWidth="1"/>
    <col min="39" max="39" width="7.1640625" customWidth="1"/>
    <col min="40" max="40" width="6.5" customWidth="1"/>
    <col min="41" max="44" width="8.83203125" customWidth="1"/>
  </cols>
  <sheetData>
    <row r="1" spans="1:44" ht="30.75" customHeight="1" x14ac:dyDescent="0.35">
      <c r="A1" s="180" t="s">
        <v>152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38"/>
      <c r="AI1" s="39"/>
      <c r="AJ1" s="39"/>
      <c r="AK1" s="39"/>
      <c r="AL1" s="39"/>
      <c r="AM1" s="39"/>
      <c r="AN1" s="39"/>
      <c r="AO1" s="1"/>
      <c r="AP1" s="1"/>
      <c r="AQ1" s="1"/>
      <c r="AR1" s="1"/>
    </row>
    <row r="2" spans="1:44" ht="30.75" customHeight="1" x14ac:dyDescent="0.35">
      <c r="A2" s="180" t="str">
        <f>'Men''s Master'!B3</f>
        <v>CT01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38"/>
      <c r="AI2" s="39"/>
      <c r="AJ2" s="39"/>
      <c r="AK2" s="39"/>
      <c r="AL2" s="39"/>
      <c r="AM2" s="39"/>
      <c r="AN2" s="39"/>
      <c r="AO2" s="1"/>
      <c r="AP2" s="1"/>
      <c r="AQ2" s="1"/>
      <c r="AR2" s="1"/>
    </row>
    <row r="3" spans="1:44" ht="42.75" customHeight="1" x14ac:dyDescent="0.45">
      <c r="A3" s="181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40"/>
      <c r="AI3" s="41" t="s">
        <v>153</v>
      </c>
      <c r="AJ3" s="41"/>
      <c r="AK3" s="41"/>
      <c r="AL3" s="41"/>
      <c r="AM3" s="41"/>
      <c r="AN3" s="41"/>
      <c r="AO3" s="5"/>
      <c r="AP3" s="5"/>
      <c r="AQ3" s="5"/>
      <c r="AR3" s="5" t="s">
        <v>154</v>
      </c>
    </row>
    <row r="4" spans="1:44" ht="27" customHeight="1" x14ac:dyDescent="0.2">
      <c r="A4" s="42"/>
      <c r="B4" s="179" t="s">
        <v>102</v>
      </c>
      <c r="C4" s="173"/>
      <c r="D4" s="173"/>
      <c r="E4" s="155" t="s">
        <v>155</v>
      </c>
      <c r="F4" s="156"/>
      <c r="G4" s="156"/>
      <c r="H4" s="156"/>
      <c r="I4" s="157"/>
      <c r="J4" s="165" t="s">
        <v>156</v>
      </c>
      <c r="K4" s="156"/>
      <c r="L4" s="156"/>
      <c r="M4" s="156"/>
      <c r="N4" s="166"/>
      <c r="O4" s="43" t="s">
        <v>157</v>
      </c>
      <c r="P4" s="44" t="s">
        <v>158</v>
      </c>
      <c r="Q4" s="45"/>
      <c r="R4" s="194" t="s">
        <v>159</v>
      </c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53"/>
      <c r="AG4" s="46" t="s">
        <v>160</v>
      </c>
      <c r="AH4" s="47" t="s">
        <v>161</v>
      </c>
      <c r="AI4" s="47" t="s">
        <v>162</v>
      </c>
      <c r="AJ4" s="193" t="s">
        <v>163</v>
      </c>
      <c r="AK4" s="153"/>
      <c r="AL4" s="47" t="s">
        <v>164</v>
      </c>
      <c r="AM4" s="48"/>
      <c r="AN4" s="190" t="s">
        <v>165</v>
      </c>
      <c r="AO4" s="191"/>
      <c r="AP4" s="192" t="s">
        <v>166</v>
      </c>
      <c r="AQ4" s="191"/>
      <c r="AR4" s="50" t="s">
        <v>167</v>
      </c>
    </row>
    <row r="5" spans="1:44" ht="15.75" customHeight="1" x14ac:dyDescent="0.2">
      <c r="A5" s="51">
        <f t="shared" ref="A5:A9" si="0">AR5</f>
        <v>3</v>
      </c>
      <c r="B5" s="182" t="str">
        <f>'Men''s Master'!B4</f>
        <v>Boston Hurricanes Blue</v>
      </c>
      <c r="C5" s="173"/>
      <c r="D5" s="173"/>
      <c r="E5" s="171">
        <f>SUM(IF(AG14=B5,1,0),IF(AG16=C16,1,0),IF(AG19=C19,1,0),IF(AG22=C22,1,0))</f>
        <v>2</v>
      </c>
      <c r="F5" s="162"/>
      <c r="G5" s="162"/>
      <c r="H5" s="162"/>
      <c r="I5" s="153"/>
      <c r="J5" s="169">
        <f>SUM(IF(AG14=C14,0,1),IF(AG16=C16,0,1),IF(AG19=C19,0,1),IF(AG22=C22,0,1))</f>
        <v>2</v>
      </c>
      <c r="K5" s="162"/>
      <c r="L5" s="162"/>
      <c r="M5" s="162"/>
      <c r="N5" s="170"/>
      <c r="O5" s="53">
        <f>SUM(IF(AD5&gt;0,1,0),IF(AE5&gt;0,1,0),IF(AF5&gt;0,1,0),IF(U5&gt;0,1,0),IF(V5&gt;0,1,0),IF(W5&gt;0,1,0),IF(X5&gt;0,1,0),IF(Y5&gt;0,1,0),IF(Z5&gt;0,1,0),IF(AA5&gt;0,1,0),IF(AB5&gt;0,1,0),IF(AC5&gt;0,1,0))</f>
        <v>3</v>
      </c>
      <c r="P5" s="52">
        <f>SUM(IF(AD5&lt;0,1,0),IF(AE5&lt;0,1,0),IF(AF5&lt;0,1,0),IF(U5&lt;0,1,0),IF(V5&lt;0,1,0),IF(W5&lt;0,1,0),IF(X5&lt;0,1,0),IF(Y5&lt;0,1,0),IF(Z5&lt;0,1,0),IF(AA5&lt;0,1,0),IF(AB5&lt;0,1,0),IF(AC5&lt;0,1,0))</f>
        <v>5</v>
      </c>
      <c r="Q5" s="54">
        <f>1+SUM(IF(O5&lt;O6,1,0),IF(O5&lt;O7,1,0),IF(O5&lt;O8,1,0),IF(O5&lt;O9,1,0))</f>
        <v>3</v>
      </c>
      <c r="R5" s="55"/>
      <c r="S5" s="56"/>
      <c r="T5" s="56"/>
      <c r="U5" s="57">
        <f>Q14-T14</f>
        <v>10</v>
      </c>
      <c r="V5" s="57">
        <f>V14-Y14</f>
        <v>-7</v>
      </c>
      <c r="W5" s="57">
        <f>AA14-AD14</f>
        <v>0</v>
      </c>
      <c r="X5" s="57">
        <f>Q19-T19</f>
        <v>-6</v>
      </c>
      <c r="Y5" s="57">
        <f>V19-Y19</f>
        <v>-7</v>
      </c>
      <c r="Z5" s="57">
        <f>AA19-AD19</f>
        <v>0</v>
      </c>
      <c r="AA5" s="58">
        <f>Q22-T22</f>
        <v>-11</v>
      </c>
      <c r="AB5" s="58">
        <f>V22-Y22</f>
        <v>-15</v>
      </c>
      <c r="AC5" s="58">
        <f>AA22-AD22</f>
        <v>0</v>
      </c>
      <c r="AD5" s="58">
        <f>Q16-T16</f>
        <v>12</v>
      </c>
      <c r="AE5" s="58">
        <f>V16-Y16</f>
        <v>9</v>
      </c>
      <c r="AF5" s="58">
        <f>AA16-AD16</f>
        <v>0</v>
      </c>
      <c r="AG5" s="59" t="str">
        <f>IF(Q5=Q6,IF(SUM(U5:W5)&gt;0,B5,B6),  IF(Q5=Q7,IF(SUM(X5:Z5)&gt;0, B5,B7),IF(Q5=Q8,IF(SUM(AA5:AC5)&gt;0, B5,B8),IF(Q5=Q9,IF(SUM(AD5:AF5)&lt;0,B5,B9)))))</f>
        <v>Boston Hurricanes Blue</v>
      </c>
      <c r="AH5" s="58" t="str">
        <f>IF(Q5=Q6,IF(SUM(U5:W5)&lt;0,B5,B6),  IF(Q5=Q7,IF(SUM(X5:Z5)&lt;0, B5,B7),IF(Q5=Q8,IF(SUM(AA5:AC5)&lt;0, B5,B8),IF(Q5=Q9, IF(SUM(AD5:AF5)&lt;0,B5,B9)))))</f>
        <v>Philly Super CIA</v>
      </c>
      <c r="AI5" s="60">
        <f t="shared" ref="AI5:AI9" si="1">Q5+IF(COUNTIF($AG$5:$AG$9,B5)&gt;0,0, IF(COUNTIF($AH$5:$AH$9,B5)&gt;0,1,0))</f>
        <v>3</v>
      </c>
      <c r="AJ5" s="61">
        <f t="shared" ref="AJ5:AJ9" si="2">SUM(R5:AF5)</f>
        <v>-15</v>
      </c>
      <c r="AK5" s="62">
        <f>1+SUM(IF(AJ5&lt;AJ6,1,0),IF(AJ5&lt;AJ7,1,0),IF(AJ5&lt;AJ8,1,0),IF(AJ5&lt;AJ9,1,0))</f>
        <v>3</v>
      </c>
      <c r="AL5" s="63">
        <f t="shared" ref="AL5:AL9" si="3">IF(SUM(E5,J5)=0,0,E5/(E5+J5))</f>
        <v>0.5</v>
      </c>
      <c r="AM5" s="62">
        <f>1+SUM(IF(AL5&lt;AL6,1,0),IF(AL5&lt;AL7,1,0),IF(AL5&lt;AL8,1,0),IF(AL5&lt;AL9,1,0))</f>
        <v>3</v>
      </c>
      <c r="AN5" s="64">
        <f t="shared" ref="AN5:AN9" si="4">IF(SUM(O5+P5)=0,0,O5/(O5+P5))</f>
        <v>0.375</v>
      </c>
      <c r="AO5" s="65">
        <f>1+SUM(IF(AN5&lt;AN6,1,0),IF(AN5&lt;AN7,1,0),IF(AN5&lt;AN8,1,0),IF(AN5&lt;AN9,1,0))</f>
        <v>3</v>
      </c>
      <c r="AP5" s="66">
        <f t="shared" ref="AP5:AP9" si="5">AJ5/SUM(O5:P5)</f>
        <v>-1.875</v>
      </c>
      <c r="AQ5" s="67">
        <f>1+SUM(IF(AP5&lt;AP6,1,0),IF(AP5&lt;AP7,1,0),IF(AP5&lt;AP8,1,0),IF(AP5&lt;AP9,1,0))</f>
        <v>3</v>
      </c>
      <c r="AR5" s="68">
        <f>1+SUM(IF(Q5&gt;Q6,1,IF(AND(Q5=Q6,AK5&gt;AK6),1,IF(AND(Q5=Q6,AK5=AK6),1,0))),IF(Q5&gt;Q7,1,IF(AND(Q5=Q7,AK5&gt;AK7),1,IF(AND(Q5=Q7,AK5=AK7),1,0))),IF(Q5&gt;Q8,1,IF(AND(Q5=Q8,AK5&gt;AK8),1,IF(AND(Q5=Q8,AK5=AK8),1,0))),IF(Q5&gt;Q9,1,IF(AND(Q5=Q9,AK5&gt;AK9),1,IF(AND(Q5=Q9,AK5=AK9),1,0))))</f>
        <v>3</v>
      </c>
    </row>
    <row r="6" spans="1:44" ht="15.75" customHeight="1" x14ac:dyDescent="0.2">
      <c r="A6" s="51">
        <f t="shared" si="0"/>
        <v>4</v>
      </c>
      <c r="B6" s="172" t="str">
        <f>'Men''s Master'!B5</f>
        <v>Philly Super CIA</v>
      </c>
      <c r="C6" s="173"/>
      <c r="D6" s="173"/>
      <c r="E6" s="171">
        <f>SUM(IF(AG14=E14,1,0),IF(AG17=C17,1,0),IF(AG20=C20,1,0),IF(AG23=C23,1,0))</f>
        <v>1</v>
      </c>
      <c r="F6" s="162"/>
      <c r="G6" s="162"/>
      <c r="H6" s="162"/>
      <c r="I6" s="153"/>
      <c r="J6" s="169">
        <f>SUM(IF(AG14=E14,0,1),IF(AG17=C17,0,1),IF(AG20=C20,0,1),IF(AG23=C23,0,1))</f>
        <v>3</v>
      </c>
      <c r="K6" s="162"/>
      <c r="L6" s="162"/>
      <c r="M6" s="162"/>
      <c r="N6" s="170"/>
      <c r="O6" s="53">
        <f>SUM(IF(AD6&gt;0,1,0),IF(AE6&gt;0,1,0),IF(AF6&gt;0,1,0),IF(R6&gt;0,1,0),IF(S6&gt;0,1,0),IF(T6&gt;0,1,0),IF(X6&gt;0,1,0),IF(Y6&gt;0,1,0),IF(Z6&gt;0,1,0),IF(AA6&gt;0,1,0),IF(AB6&gt;0,1,0),IF(AC6&gt;0,1,0))</f>
        <v>3</v>
      </c>
      <c r="P6" s="52">
        <f>SUM(IF(AD6&lt;0,1,0),IF(AE6&lt;0,1,0),IF(AF6&lt;0,1,0),IF(R6&lt;0,1,0),IF(S6&lt;0,1,0),IF(T6&lt;0,1,0),IF(X6&lt;0,1,0),IF(Y6&lt;0,1,0),IF(Z6&lt;0,1,0),IF(AA6&lt;0,1,0),IF(AB6&lt;0,1,0),IF(AC6&lt;0,1,0))</f>
        <v>5</v>
      </c>
      <c r="Q6" s="54">
        <f>1+SUM(IF(O6&lt;O5,1,0),IF(O6&lt;O7,1,0),IF(O6&lt;O8,1,0),IF(O6&lt;O9,1,0))</f>
        <v>3</v>
      </c>
      <c r="R6" s="69">
        <f t="shared" ref="R6:T6" si="6">-U5</f>
        <v>-10</v>
      </c>
      <c r="S6" s="58">
        <f t="shared" si="6"/>
        <v>7</v>
      </c>
      <c r="T6" s="58">
        <f t="shared" si="6"/>
        <v>0</v>
      </c>
      <c r="U6" s="56"/>
      <c r="V6" s="56"/>
      <c r="W6" s="56"/>
      <c r="X6" s="57">
        <f>Q17-T17</f>
        <v>-9</v>
      </c>
      <c r="Y6" s="57">
        <f>V17-Y17</f>
        <v>-18</v>
      </c>
      <c r="Z6" s="57">
        <f>AA17-AD17</f>
        <v>0</v>
      </c>
      <c r="AA6" s="58">
        <f>Q20-T20</f>
        <v>-3</v>
      </c>
      <c r="AB6" s="58">
        <f>V20-Y20</f>
        <v>-14</v>
      </c>
      <c r="AC6" s="58">
        <f>AA20-AD20</f>
        <v>0</v>
      </c>
      <c r="AD6" s="58">
        <f>Q23-T23</f>
        <v>7</v>
      </c>
      <c r="AE6" s="58">
        <f>V23-Y23</f>
        <v>9</v>
      </c>
      <c r="AF6" s="58">
        <f>AA23-AD23</f>
        <v>0</v>
      </c>
      <c r="AG6" s="58" t="b">
        <f>IF(Q6=Q7,IF(SUM(X6:Z6)&gt;0,B6,B7),IF(Q6=Q8,IF(SUM(AA6:AC6)&gt;0,B6,B8),IF(Q6=Q9,IF(SUM(AD6:AF6)&gt;0, B6,B9))))</f>
        <v>0</v>
      </c>
      <c r="AH6" s="58" t="b">
        <f>IF(Q6=Q7,IF(SUM(X6:Z6)&lt;0,B6,B7),IF(Q6=Q8,IF(SUM(AA6:AC6)&lt;0,B6,B8),IF(Q6=Q9,IF(SUM(AD6:AF6)&lt;0, B6,B9))))</f>
        <v>0</v>
      </c>
      <c r="AI6" s="60">
        <f t="shared" si="1"/>
        <v>4</v>
      </c>
      <c r="AJ6" s="61">
        <f t="shared" si="2"/>
        <v>-31</v>
      </c>
      <c r="AK6" s="62">
        <f>1+SUM(IF(AJ6&lt;AJ5,1,0),IF(AJ6&lt;AJ7,1,0),IF(AJ6&lt;AJ8,1,0),IF(AJ6&lt;AJ9,1,0))</f>
        <v>4</v>
      </c>
      <c r="AL6" s="63">
        <f t="shared" si="3"/>
        <v>0.25</v>
      </c>
      <c r="AM6" s="62">
        <f>1+SUM(IF(AL6&lt;AL5,1,0),IF(AL6&lt;AL7,1,0),IF(AL6&lt;AL8,1,0),IF(AL6&lt;AL9,1,0))</f>
        <v>4</v>
      </c>
      <c r="AN6" s="64">
        <f t="shared" si="4"/>
        <v>0.375</v>
      </c>
      <c r="AO6" s="65">
        <f>1+SUM(IF(AN6&lt;AN5,1,0),IF(AN6&lt;AN7,1,0),IF(AN6&lt;AN8,1,0),IF(AN6&lt;AN9,1,0))</f>
        <v>3</v>
      </c>
      <c r="AP6" s="66">
        <f t="shared" si="5"/>
        <v>-3.875</v>
      </c>
      <c r="AQ6" s="70">
        <f>1+SUM(IF(AP6&lt;AP5,1,0),IF(AP6&lt;AP7,1,0),IF(AP6&lt;AP8,1,0),IF(AP6&lt;AP9,1,0))</f>
        <v>4</v>
      </c>
      <c r="AR6" s="68">
        <f>1+SUM(IF(Q6&gt;Q5,1,IF(AND(Q6=Q5,AK6&gt;AK5),1,IF(AND(Q6=Q5,AK6=AK5),1,0))),IF(Q6&gt;Q7,1,IF(AND(Q6=Q7,AK6&gt;AK7),1,IF(AND(Q6=Q7,AK6=AK7),1,0))),IF(Q6&gt;Q8,1,IF(AND(Q6=Q8,AK6&gt;AK8),1,IF(AND(Q6=Q8,AK6=AK8),1,0))),IF(Q6&gt;Q9,1,IF(AND(Q6=Q9,AK6&gt;AK9),1,IF(AND(Q6=Q9,AK6=AK9),1,0))))</f>
        <v>4</v>
      </c>
    </row>
    <row r="7" spans="1:44" ht="15.75" customHeight="1" x14ac:dyDescent="0.2">
      <c r="A7" s="51">
        <f t="shared" si="0"/>
        <v>2</v>
      </c>
      <c r="B7" s="172" t="str">
        <f>'Men''s Master'!B6</f>
        <v>NY Vikings SPA</v>
      </c>
      <c r="C7" s="173"/>
      <c r="D7" s="173"/>
      <c r="E7" s="171">
        <f>SUM(IF(AG15=C15,1,0),IF(AG17=E17,1,0),IF(AG19=E19,1,0),IF(AG21=C21,1,0))</f>
        <v>3</v>
      </c>
      <c r="F7" s="162"/>
      <c r="G7" s="162"/>
      <c r="H7" s="162"/>
      <c r="I7" s="153"/>
      <c r="J7" s="169">
        <f>SUM(IF(AG15=C15,0,1),IF(AG17=E17,0,1),IF(AG19=E19,0,1),IF(AG21=C21,0,1))</f>
        <v>1</v>
      </c>
      <c r="K7" s="162"/>
      <c r="L7" s="162"/>
      <c r="M7" s="162"/>
      <c r="N7" s="170"/>
      <c r="O7" s="53">
        <f>SUM(IF(AD7&gt;0,1,0),IF(AE7&gt;0,1,0),IF(AF7&gt;0,1,0),IF(U7&gt;0,1,0),IF(V7&gt;0,1,0),IF(W7&gt;0,1,0),IF(R7&gt;0,1,0),IF(S7&gt;0,1,0),IF(T7&gt;0,1,0),IF(AA7&gt;0,1,0),IF(AB7&gt;0,1,0),IF(AC7&gt;0,1,0))</f>
        <v>7</v>
      </c>
      <c r="P7" s="52">
        <f>SUM(IF(AD7&lt;0,1,0),IF(AE7&lt;0,1,0),IF(AF7&lt;0,1,0),IF(U7&lt;0,1,0),IF(V7&lt;0,1,0),IF(W7&lt;0,1,0),IF(R7&lt;0,1,0),IF(S7&lt;0,1,0),IF(T7&lt;0,1,0),IF(AA7&lt;0,1,0),IF(AB7&lt;0,1,0),IF(AC7&lt;0,1,0))</f>
        <v>1</v>
      </c>
      <c r="Q7" s="54">
        <f>1+SUM(IF(O7&lt;O6,1,0),IF(O7&lt;O5,1,0),IF(O7&lt;O8,1,0),IF(O7&lt;O9,1,0))</f>
        <v>1</v>
      </c>
      <c r="R7" s="69">
        <f t="shared" ref="R7:T7" si="7">-X5</f>
        <v>6</v>
      </c>
      <c r="S7" s="58">
        <f t="shared" si="7"/>
        <v>7</v>
      </c>
      <c r="T7" s="58">
        <f t="shared" si="7"/>
        <v>0</v>
      </c>
      <c r="U7" s="58">
        <f t="shared" ref="U7:W7" si="8">-X6</f>
        <v>9</v>
      </c>
      <c r="V7" s="58">
        <f t="shared" si="8"/>
        <v>18</v>
      </c>
      <c r="W7" s="58">
        <f t="shared" si="8"/>
        <v>0</v>
      </c>
      <c r="X7" s="71"/>
      <c r="Y7" s="71"/>
      <c r="Z7" s="71"/>
      <c r="AA7" s="58">
        <f>Q15-T15</f>
        <v>1</v>
      </c>
      <c r="AB7" s="58">
        <f>V15-Y15</f>
        <v>-9</v>
      </c>
      <c r="AC7" s="58">
        <f>AA15-AD15</f>
        <v>0</v>
      </c>
      <c r="AD7" s="58">
        <f>Q21-T21</f>
        <v>16</v>
      </c>
      <c r="AE7" s="58">
        <f>V21-Y21</f>
        <v>13</v>
      </c>
      <c r="AF7" s="58">
        <f>AA21-AD21</f>
        <v>0</v>
      </c>
      <c r="AG7" s="58" t="str">
        <f>IF(Q7=Q8,IF(SUM(AA7:AC7)&gt;0,B7,B8),IF(Q7=Q9,IF(SUM(AD7:AF7)&gt;0,B7,B9)))</f>
        <v>Toronto Connex A</v>
      </c>
      <c r="AH7" s="58" t="str">
        <f>IF(Q7=Q8,IF(SUM(AA7:AC7)&lt;0,B7,B8),IF(Q7=Q9,IF(SUM(AD7:AF7)&lt;0,B7,B9)))</f>
        <v>NY Vikings SPA</v>
      </c>
      <c r="AI7" s="60">
        <f t="shared" si="1"/>
        <v>2</v>
      </c>
      <c r="AJ7" s="61">
        <f t="shared" si="2"/>
        <v>61</v>
      </c>
      <c r="AK7" s="62">
        <f>1+SUM(IF(AJ7&lt;AJ6,1,0),IF(AJ7&lt;AJ5,1,0),IF(AJ7&lt;AJ8,1,0),IF(AJ7&lt;AJ9,1,0))</f>
        <v>2</v>
      </c>
      <c r="AL7" s="63">
        <f t="shared" si="3"/>
        <v>0.75</v>
      </c>
      <c r="AM7" s="62">
        <f>1+SUM(IF(AL7&lt;AL6,1,0),IF(AL7&lt;AL5,1,0),IF(AL7&lt;AL8,1,0),IF(AL7&lt;AL9,1,0))</f>
        <v>2</v>
      </c>
      <c r="AN7" s="64">
        <f t="shared" si="4"/>
        <v>0.875</v>
      </c>
      <c r="AO7" s="65">
        <f>1+SUM(IF(AN7&lt;AN6,1,0),IF(AN7&lt;AN5,1,0),IF(AN7&lt;AN8,1,0),IF(AN7&lt;AN9,1,0))</f>
        <v>1</v>
      </c>
      <c r="AP7" s="66">
        <f t="shared" si="5"/>
        <v>7.625</v>
      </c>
      <c r="AQ7" s="70">
        <f>1+SUM(IF(AP7&lt;AP6,1,0),IF(AP7&lt;AP5,1,0),IF(AP7&lt;AP8,1,0),IF(AP7&lt;AP9,1,0))</f>
        <v>2</v>
      </c>
      <c r="AR7" s="68">
        <f>1+SUM(IF(Q7&gt;Q5,1,IF(AND(Q7=Q5,AK7&gt;AK5),1,IF(AND(Q7=Q5,AK7=AK5),1,0))),IF(Q7&gt;Q6,1,IF(AND(Q7=Q6,AK7&gt;AK6),1,IF(AND(Q7=Q6,AK7=AK6),1,0))),IF(Q7&gt;Q8,1,IF(AND(Q7=Q8,AK7&gt;AK8),1,IF(AND(Q7=Q8,AK7=AK8),1,0))),IF(Q7&gt;Q9,1,IF(AND(Q7=Q9,AK7&gt;AK9),1,IF(AND(Q7=Q9,AK7=AK9),1,0))))</f>
        <v>2</v>
      </c>
    </row>
    <row r="8" spans="1:44" ht="15.75" customHeight="1" x14ac:dyDescent="0.2">
      <c r="A8" s="51">
        <f t="shared" si="0"/>
        <v>1</v>
      </c>
      <c r="B8" s="172" t="str">
        <f>'Men''s Master'!B7</f>
        <v>Toronto Connex A</v>
      </c>
      <c r="C8" s="173"/>
      <c r="D8" s="173"/>
      <c r="E8" s="171">
        <f>SUM(IF(AG15=E15,1,0),IF(AG18=C18,1,0),IF(AG20=E20,1,0),IF(AG22=E22,1,0))</f>
        <v>4</v>
      </c>
      <c r="F8" s="162"/>
      <c r="G8" s="162"/>
      <c r="H8" s="162"/>
      <c r="I8" s="153"/>
      <c r="J8" s="169">
        <f>SUM(IF(AG15=E15,0,1),IF(AG18=C18,0,1),IF(AG20=E20,0,1),IF(AG22=E22,0,1))</f>
        <v>0</v>
      </c>
      <c r="K8" s="162"/>
      <c r="L8" s="162"/>
      <c r="M8" s="162"/>
      <c r="N8" s="170"/>
      <c r="O8" s="53">
        <f>SUM(IF(AD8&gt;0,1,0),IF(AE8&gt;0,1,0),IF(AF8&gt;0,1,0),IF(U8&gt;0,1,0),IF(V8&gt;0,1,0),IF(W8&gt;0,1,0),IF(X8&gt;0,1,0),IF(Y8&gt;0,1,0),IF(Z8&gt;0,1,0),IF(R8&gt;0,1,0),IF(S8&gt;0,1,0),IF(T8&gt;0,1,0))</f>
        <v>7</v>
      </c>
      <c r="P8" s="52">
        <f>SUM(IF(AD8&lt;0,1,0),IF(AE8&lt;0,1,0),IF(AF8&lt;0,1,0),IF(U8&lt;0,1,0),IF(V8&lt;0,1,0),IF(W8&lt;0,1,0),IF(R8&lt;0,1,0),IF(S8&lt;0,1,0),IF(T8&lt;0,1,0),IF(X8&lt;0,1,0),IF(Y8&lt;0,1,0),IF(Z8&lt;0,1,0))</f>
        <v>1</v>
      </c>
      <c r="Q8" s="54">
        <f>1+SUM(IF(O8&lt;O6,1,0),IF(O8&lt;O7,1,0),IF(O8&lt;O5,1,0),IF(O8&lt;O9,1,0))</f>
        <v>1</v>
      </c>
      <c r="R8" s="69">
        <f t="shared" ref="R8:T8" si="9">-AA5</f>
        <v>11</v>
      </c>
      <c r="S8" s="58">
        <f t="shared" si="9"/>
        <v>15</v>
      </c>
      <c r="T8" s="58">
        <f t="shared" si="9"/>
        <v>0</v>
      </c>
      <c r="U8" s="58">
        <f t="shared" ref="U8:W8" si="10">-AA6</f>
        <v>3</v>
      </c>
      <c r="V8" s="58">
        <f t="shared" si="10"/>
        <v>14</v>
      </c>
      <c r="W8" s="58">
        <f t="shared" si="10"/>
        <v>0</v>
      </c>
      <c r="X8" s="58">
        <f t="shared" ref="X8:Z8" si="11">-AA7</f>
        <v>-1</v>
      </c>
      <c r="Y8" s="58">
        <f t="shared" si="11"/>
        <v>9</v>
      </c>
      <c r="Z8" s="58">
        <f t="shared" si="11"/>
        <v>0</v>
      </c>
      <c r="AA8" s="71"/>
      <c r="AB8" s="71"/>
      <c r="AC8" s="71"/>
      <c r="AD8" s="58">
        <f>Q18-T18</f>
        <v>17</v>
      </c>
      <c r="AE8" s="58">
        <f>V18-Y18</f>
        <v>19</v>
      </c>
      <c r="AF8" s="58">
        <f>AA18-AD18</f>
        <v>0</v>
      </c>
      <c r="AG8" s="58" t="b">
        <f>IF(Q8=Q9,IF(SUM(AD8:AF8)&gt;0,B8,B9))</f>
        <v>0</v>
      </c>
      <c r="AH8" s="58" t="b">
        <f>IF(R8=R9,IF(SUM(AE8:AG8)&lt;0,C8,C9))</f>
        <v>0</v>
      </c>
      <c r="AI8" s="60">
        <f t="shared" si="1"/>
        <v>1</v>
      </c>
      <c r="AJ8" s="61">
        <f t="shared" si="2"/>
        <v>87</v>
      </c>
      <c r="AK8" s="72">
        <f>1+SUM(IF(AJ8&lt;AJ6,1,0),IF(AJ8&lt;AJ7,1,0),IF(AJ8&lt;AJ5,1,0),IF(AJ8&lt;AJ9,1,0))</f>
        <v>1</v>
      </c>
      <c r="AL8" s="63">
        <f t="shared" si="3"/>
        <v>1</v>
      </c>
      <c r="AM8" s="72">
        <f>1+SUM(IF(AL8&lt;AL6,1,0),IF(AL8&lt;AL7,1,0),IF(AL8&lt;AL5,1,0),IF(AL8&lt;AL9,1,0))</f>
        <v>1</v>
      </c>
      <c r="AN8" s="64">
        <f t="shared" si="4"/>
        <v>0.875</v>
      </c>
      <c r="AO8" s="65">
        <f>1+SUM(IF(AN8&lt;AN6,1,0),IF(AN8&lt;AN7,1,0),IF(AN8&lt;AN5,1,0),IF(AN8&lt;AN9,1,0))</f>
        <v>1</v>
      </c>
      <c r="AP8" s="66">
        <f t="shared" si="5"/>
        <v>10.875</v>
      </c>
      <c r="AQ8" s="73">
        <f>1+SUM(IF(AP8&lt;AP6,1,0),IF(AP8&lt;AP7,1,0),IF(AP8&lt;AP5,1,0),IF(AP8&lt;AP9,1,0))</f>
        <v>1</v>
      </c>
      <c r="AR8" s="68">
        <f>1+SUM(IF(Q8&gt;Q5,1,IF(AND(Q8=Q5,AK8&gt;AK5),1,IF(AND(Q8=Q5,AK8=AK5),1,0))),IF(Q8&gt;Q6,1,IF(AND(Q8=Q6,AK8&gt;AK6),1,IF(AND(Q8=Q6,AK8=AK6),1,0))),IF(Q8&gt;Q7,1,IF(AND(Q8=Q7,AK8&gt;AK7),1,IF(AND(Q8=Q7,AK8=AK7),1,0))),IF(Q8&gt;Q9,1,IF(AND(Q8=Q9,AK8&gt;AK9),1,IF(AND(Q8=Q9,AK8=AK9),1,0))))</f>
        <v>1</v>
      </c>
    </row>
    <row r="9" spans="1:44" ht="15.75" customHeight="1" x14ac:dyDescent="0.2">
      <c r="A9" s="51">
        <f t="shared" si="0"/>
        <v>5</v>
      </c>
      <c r="B9" s="172" t="str">
        <f>'Men''s Master'!B8</f>
        <v>DC CYC B</v>
      </c>
      <c r="C9" s="173"/>
      <c r="D9" s="173"/>
      <c r="E9" s="171">
        <f>SUM(IF(AG16=E16,1,0),IF(AG18=E18,1,0),IF(AG21=E21,1,0),IF(AG23=E23,1,0))</f>
        <v>0</v>
      </c>
      <c r="F9" s="162"/>
      <c r="G9" s="162"/>
      <c r="H9" s="162"/>
      <c r="I9" s="153"/>
      <c r="J9" s="169">
        <f>SUM(IF(AG16=E16,0,1),IF(AG18=E18,0,1),IF(AG21=E21,0,1),IF(AG23=E23,0,1))</f>
        <v>4</v>
      </c>
      <c r="K9" s="162"/>
      <c r="L9" s="162"/>
      <c r="M9" s="162"/>
      <c r="N9" s="170"/>
      <c r="O9" s="53">
        <f>SUM(IF(R9&gt;0,1,0),IF(S9&gt;0,1,0),IF(T9&gt;0,1,0),IF(U9&gt;0,1,0),IF(V9&gt;0,1,0),IF(W9&gt;0,1,0),IF(X9&gt;0,1,0),IF(Y9&gt;0,1,0),IF(Z9&gt;0,1,0),IF(AA9&gt;0,1,0),IF(AB9&gt;0,1,0),IF(AC9&gt;0,1,0))</f>
        <v>0</v>
      </c>
      <c r="P9" s="52">
        <f>SUM(IF(R9&lt;0,1,0),IF(S9&lt;0,1,0),IF(T9&lt;0,1,0),IF(U9&lt;0,1,0),IF(V9&lt;0,1,0),IF(W9&lt;0,1,0),IF(X9&lt;0,1,0),IF(Y9&lt;0,1,0),IF(Z9&lt;0,1,0),IF(AA9&lt;0,1,0),IF(AB9&lt;0,1,0),IF(AC9&lt;0,1,0))</f>
        <v>8</v>
      </c>
      <c r="Q9" s="54">
        <f>1+SUM(IF(O9&lt;O6,1,0),IF(O9&lt;O7,1,0),IF(O9&lt;O8,1,0),IF(O9&lt;O5,1,0))</f>
        <v>5</v>
      </c>
      <c r="R9" s="74">
        <f t="shared" ref="R9:T9" si="12">-AD5</f>
        <v>-12</v>
      </c>
      <c r="S9" s="75">
        <f t="shared" si="12"/>
        <v>-9</v>
      </c>
      <c r="T9" s="75">
        <f t="shared" si="12"/>
        <v>0</v>
      </c>
      <c r="U9" s="75">
        <f t="shared" ref="U9:W9" si="13">-AD6</f>
        <v>-7</v>
      </c>
      <c r="V9" s="75">
        <f t="shared" si="13"/>
        <v>-9</v>
      </c>
      <c r="W9" s="75">
        <f t="shared" si="13"/>
        <v>0</v>
      </c>
      <c r="X9" s="75">
        <f t="shared" ref="X9:Z9" si="14">-AD7</f>
        <v>-16</v>
      </c>
      <c r="Y9" s="75">
        <f t="shared" si="14"/>
        <v>-13</v>
      </c>
      <c r="Z9" s="75">
        <f t="shared" si="14"/>
        <v>0</v>
      </c>
      <c r="AA9" s="75">
        <f t="shared" ref="AA9:AC9" si="15">-AD8</f>
        <v>-17</v>
      </c>
      <c r="AB9" s="75">
        <f t="shared" si="15"/>
        <v>-19</v>
      </c>
      <c r="AC9" s="75">
        <f t="shared" si="15"/>
        <v>0</v>
      </c>
      <c r="AD9" s="76"/>
      <c r="AE9" s="76"/>
      <c r="AF9" s="76"/>
      <c r="AG9" s="77" t="s">
        <v>168</v>
      </c>
      <c r="AH9" s="77" t="s">
        <v>168</v>
      </c>
      <c r="AI9" s="60">
        <f t="shared" si="1"/>
        <v>5</v>
      </c>
      <c r="AJ9" s="78">
        <f t="shared" si="2"/>
        <v>-102</v>
      </c>
      <c r="AK9" s="72">
        <f>1+SUM(IF(AJ9&lt;AJ6,1,0),IF(AJ9&lt;AJ7,1,0),IF(AJ9&lt;AJ8,1,0),IF(AJ9&lt;AJ5,1,0))</f>
        <v>5</v>
      </c>
      <c r="AL9" s="79">
        <f t="shared" si="3"/>
        <v>0</v>
      </c>
      <c r="AM9" s="72">
        <f>1+SUM(IF(AL9&lt;AL6,1,0),IF(AL9&lt;AL7,1,0),IF(AL9&lt;AL8,1,0),IF(AL9&lt;AL5,1,0))</f>
        <v>5</v>
      </c>
      <c r="AN9" s="64">
        <f t="shared" si="4"/>
        <v>0</v>
      </c>
      <c r="AO9" s="65">
        <f>1+SUM(IF(AN9&lt;AN6,1,0),IF(AN9&lt;AN7,1,0),IF(AN9&lt;AN8,1,0),IF(AN9&lt;AN5,1,0))</f>
        <v>5</v>
      </c>
      <c r="AP9" s="66">
        <f t="shared" si="5"/>
        <v>-12.75</v>
      </c>
      <c r="AQ9" s="73">
        <f>1+SUM(IF(AP9&lt;AP6,1,0),IF(AP9&lt;AP7,1,0),IF(AP9&lt;AP8,1,0),IF(AP9&lt;AP5,1,0))</f>
        <v>5</v>
      </c>
      <c r="AR9" s="68">
        <f>1+SUM(IF(Q9&gt;Q5,1,IF(AND(Q9=Q5,AK9&gt;AK5),1,IF(AND(Q9=Q5,AK9=AK5),1,0))),IF(Q9&gt;Q6,1,IF(AND(Q9=Q6,AK9&gt;AK6),1,IF(AND(Q9=Q6,AK9=AK6),1,0))),IF(Q9&gt;Q7,1,IF(AND(Q9=Q7,AK9&gt;AK7),1,IF(AND(Q9=Q7,AK9=AK7),1,0))),IF(Q9&gt;Q8,1,IF(AND(Q9=Q8,AK9&gt;AK8),1,IF(AND(Q9=Q8,AK9=AK8),1,0))))</f>
        <v>5</v>
      </c>
    </row>
    <row r="10" spans="1:44" ht="12.75" customHeight="1" x14ac:dyDescent="0.2">
      <c r="A10" s="174"/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80"/>
      <c r="AI10" s="41"/>
      <c r="AJ10" s="41"/>
      <c r="AK10" s="41"/>
      <c r="AL10" s="41"/>
      <c r="AM10" s="41"/>
      <c r="AN10" s="41"/>
      <c r="AO10" s="5"/>
      <c r="AP10" s="5"/>
      <c r="AQ10" s="5"/>
      <c r="AR10" s="5"/>
    </row>
    <row r="11" spans="1:44" ht="12.75" customHeight="1" x14ac:dyDescent="0.2">
      <c r="A11" s="136"/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80"/>
      <c r="AI11" s="41"/>
      <c r="AJ11" s="41"/>
      <c r="AK11" s="41"/>
      <c r="AL11" s="41"/>
      <c r="AM11" s="41"/>
      <c r="AN11" s="41"/>
      <c r="AO11" s="5"/>
      <c r="AP11" s="5"/>
      <c r="AQ11" s="5"/>
      <c r="AR11" s="5"/>
    </row>
    <row r="12" spans="1:44" ht="13.5" customHeight="1" x14ac:dyDescent="0.2">
      <c r="A12" s="136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80"/>
      <c r="AI12" s="41"/>
      <c r="AJ12" s="41"/>
      <c r="AK12" s="41"/>
      <c r="AL12" s="41"/>
      <c r="AM12" s="41"/>
      <c r="AN12" s="41"/>
      <c r="AO12" s="5"/>
      <c r="AP12" s="5"/>
      <c r="AQ12" s="5"/>
      <c r="AR12" s="5"/>
    </row>
    <row r="13" spans="1:44" ht="13.5" customHeight="1" x14ac:dyDescent="0.2">
      <c r="A13" s="167"/>
      <c r="B13" s="136"/>
      <c r="C13" s="81" t="s">
        <v>169</v>
      </c>
      <c r="D13" s="82" t="s">
        <v>170</v>
      </c>
      <c r="E13" s="165" t="s">
        <v>169</v>
      </c>
      <c r="F13" s="156"/>
      <c r="G13" s="156"/>
      <c r="H13" s="156"/>
      <c r="I13" s="156"/>
      <c r="J13" s="156"/>
      <c r="K13" s="156"/>
      <c r="L13" s="156"/>
      <c r="M13" s="166"/>
      <c r="N13" s="176" t="s">
        <v>171</v>
      </c>
      <c r="O13" s="177"/>
      <c r="P13" s="178"/>
      <c r="Q13" s="155" t="s">
        <v>172</v>
      </c>
      <c r="R13" s="156"/>
      <c r="S13" s="156"/>
      <c r="T13" s="156"/>
      <c r="U13" s="166"/>
      <c r="V13" s="175" t="s">
        <v>173</v>
      </c>
      <c r="W13" s="156"/>
      <c r="X13" s="156"/>
      <c r="Y13" s="156"/>
      <c r="Z13" s="166"/>
      <c r="AA13" s="155" t="s">
        <v>174</v>
      </c>
      <c r="AB13" s="156"/>
      <c r="AC13" s="156"/>
      <c r="AD13" s="156"/>
      <c r="AE13" s="157"/>
      <c r="AF13" s="83"/>
      <c r="AG13" s="84" t="s">
        <v>175</v>
      </c>
      <c r="AH13" s="49" t="s">
        <v>176</v>
      </c>
      <c r="AI13" s="158" t="s">
        <v>177</v>
      </c>
      <c r="AJ13" s="159"/>
      <c r="AK13" s="41"/>
      <c r="AL13" s="5"/>
      <c r="AM13" s="5"/>
      <c r="AN13" s="5"/>
      <c r="AO13" s="5"/>
      <c r="AP13" s="5"/>
      <c r="AQ13" s="5"/>
      <c r="AR13" s="5"/>
    </row>
    <row r="14" spans="1:44" ht="15.75" customHeight="1" x14ac:dyDescent="0.2">
      <c r="A14" s="85">
        <v>1</v>
      </c>
      <c r="B14" s="86">
        <v>1</v>
      </c>
      <c r="C14" s="87" t="str">
        <f>+B5</f>
        <v>Boston Hurricanes Blue</v>
      </c>
      <c r="D14" s="88">
        <v>2</v>
      </c>
      <c r="E14" s="161" t="str">
        <f>+B6</f>
        <v>Philly Super CIA</v>
      </c>
      <c r="F14" s="162"/>
      <c r="G14" s="162"/>
      <c r="H14" s="162"/>
      <c r="I14" s="162"/>
      <c r="J14" s="162"/>
      <c r="K14" s="162"/>
      <c r="L14" s="162"/>
      <c r="M14" s="153"/>
      <c r="N14" s="89">
        <v>3</v>
      </c>
      <c r="O14" s="160" t="str">
        <f>+B7</f>
        <v>NY Vikings SPA</v>
      </c>
      <c r="P14" s="153"/>
      <c r="Q14" s="151">
        <v>21</v>
      </c>
      <c r="R14" s="143"/>
      <c r="S14" s="91">
        <v>0</v>
      </c>
      <c r="T14" s="151">
        <v>11</v>
      </c>
      <c r="U14" s="143"/>
      <c r="V14" s="154">
        <v>14</v>
      </c>
      <c r="W14" s="143"/>
      <c r="X14" s="92">
        <v>0</v>
      </c>
      <c r="Y14" s="154">
        <v>21</v>
      </c>
      <c r="Z14" s="143"/>
      <c r="AA14" s="152"/>
      <c r="AB14" s="153"/>
      <c r="AC14" s="93" t="s">
        <v>178</v>
      </c>
      <c r="AD14" s="152"/>
      <c r="AE14" s="153"/>
      <c r="AF14" s="94"/>
      <c r="AG14" s="95" t="str">
        <f t="shared" ref="AG14:AG23" si="16">IF(AND(Q14&gt;T14,V14&gt;Y14),C14, IF(AND(T14&gt;Q14,Y14&gt;V14),E14, IF((Q14)+(V14)+(AA14)-(T14)-(Y14)-(AD14)&gt;0,C14,E14)))</f>
        <v>Boston Hurricanes Blue</v>
      </c>
      <c r="AH14" s="96">
        <f t="shared" ref="AH14:AH23" si="17">(Q14)+(V14)+(AA14)-(T14)-(Y14)-(AD14)</f>
        <v>3</v>
      </c>
      <c r="AI14" s="147">
        <v>0.375</v>
      </c>
      <c r="AJ14" s="148"/>
      <c r="AK14" s="5"/>
      <c r="AL14" s="5"/>
      <c r="AM14" s="5"/>
      <c r="AN14" s="5"/>
      <c r="AO14" s="5"/>
      <c r="AP14" s="5"/>
      <c r="AQ14" s="5"/>
      <c r="AR14" s="5"/>
    </row>
    <row r="15" spans="1:44" ht="15.75" customHeight="1" x14ac:dyDescent="0.2">
      <c r="A15" s="97">
        <v>2</v>
      </c>
      <c r="B15" s="98">
        <v>3</v>
      </c>
      <c r="C15" s="99" t="str">
        <f>+B7</f>
        <v>NY Vikings SPA</v>
      </c>
      <c r="D15" s="61">
        <v>4</v>
      </c>
      <c r="E15" s="163" t="str">
        <f t="shared" ref="E15:E16" si="18">+B8</f>
        <v>Toronto Connex A</v>
      </c>
      <c r="F15" s="164"/>
      <c r="G15" s="164"/>
      <c r="H15" s="164"/>
      <c r="I15" s="164"/>
      <c r="J15" s="164"/>
      <c r="K15" s="164"/>
      <c r="L15" s="164"/>
      <c r="M15" s="143"/>
      <c r="N15" s="100">
        <v>2</v>
      </c>
      <c r="O15" s="168" t="str">
        <f>+B6</f>
        <v>Philly Super CIA</v>
      </c>
      <c r="P15" s="143"/>
      <c r="Q15" s="144">
        <v>23</v>
      </c>
      <c r="R15" s="141"/>
      <c r="S15" s="101">
        <v>0</v>
      </c>
      <c r="T15" s="144">
        <v>22</v>
      </c>
      <c r="U15" s="141"/>
      <c r="V15" s="140">
        <v>12</v>
      </c>
      <c r="W15" s="141"/>
      <c r="X15" s="102">
        <v>0</v>
      </c>
      <c r="Y15" s="140">
        <v>21</v>
      </c>
      <c r="Z15" s="141"/>
      <c r="AA15" s="142"/>
      <c r="AB15" s="143"/>
      <c r="AC15" s="103" t="s">
        <v>178</v>
      </c>
      <c r="AD15" s="142"/>
      <c r="AE15" s="143"/>
      <c r="AF15" s="94"/>
      <c r="AG15" s="104" t="str">
        <f t="shared" si="16"/>
        <v>Toronto Connex A</v>
      </c>
      <c r="AH15" s="96">
        <f t="shared" si="17"/>
        <v>-8</v>
      </c>
      <c r="AI15" s="149">
        <v>0.40972222222222227</v>
      </c>
      <c r="AJ15" s="150"/>
      <c r="AK15" s="5"/>
      <c r="AL15" s="5"/>
      <c r="AM15" s="5"/>
      <c r="AN15" s="5"/>
      <c r="AO15" s="5"/>
      <c r="AP15" s="5"/>
      <c r="AQ15" s="5"/>
      <c r="AR15" s="5"/>
    </row>
    <row r="16" spans="1:44" ht="15.75" customHeight="1" x14ac:dyDescent="0.2">
      <c r="A16" s="97">
        <v>3</v>
      </c>
      <c r="B16" s="98">
        <v>1</v>
      </c>
      <c r="C16" s="105" t="str">
        <f t="shared" ref="C16:C17" si="19">+B5</f>
        <v>Boston Hurricanes Blue</v>
      </c>
      <c r="D16" s="61">
        <v>5</v>
      </c>
      <c r="E16" s="163" t="str">
        <f t="shared" si="18"/>
        <v>DC CYC B</v>
      </c>
      <c r="F16" s="164"/>
      <c r="G16" s="164"/>
      <c r="H16" s="164"/>
      <c r="I16" s="164"/>
      <c r="J16" s="164"/>
      <c r="K16" s="164"/>
      <c r="L16" s="164"/>
      <c r="M16" s="143"/>
      <c r="N16" s="100">
        <v>4</v>
      </c>
      <c r="O16" s="168" t="str">
        <f>+B8</f>
        <v>Toronto Connex A</v>
      </c>
      <c r="P16" s="143"/>
      <c r="Q16" s="144">
        <v>21</v>
      </c>
      <c r="R16" s="141"/>
      <c r="S16" s="101">
        <v>0</v>
      </c>
      <c r="T16" s="144">
        <v>9</v>
      </c>
      <c r="U16" s="141"/>
      <c r="V16" s="140">
        <v>21</v>
      </c>
      <c r="W16" s="141"/>
      <c r="X16" s="102">
        <v>0</v>
      </c>
      <c r="Y16" s="140">
        <v>12</v>
      </c>
      <c r="Z16" s="141"/>
      <c r="AA16" s="142"/>
      <c r="AB16" s="143"/>
      <c r="AC16" s="103" t="s">
        <v>178</v>
      </c>
      <c r="AD16" s="142"/>
      <c r="AE16" s="143"/>
      <c r="AF16" s="94"/>
      <c r="AG16" s="95" t="str">
        <f t="shared" si="16"/>
        <v>Boston Hurricanes Blue</v>
      </c>
      <c r="AH16" s="96">
        <f t="shared" si="17"/>
        <v>21</v>
      </c>
      <c r="AI16" s="149">
        <v>0.44444444444444442</v>
      </c>
      <c r="AJ16" s="150"/>
      <c r="AK16" s="5"/>
      <c r="AL16" s="5"/>
      <c r="AM16" s="5"/>
      <c r="AN16" s="5"/>
      <c r="AO16" s="5"/>
      <c r="AP16" s="5"/>
      <c r="AQ16" s="5"/>
      <c r="AR16" s="5"/>
    </row>
    <row r="17" spans="1:44" ht="15.75" customHeight="1" x14ac:dyDescent="0.2">
      <c r="A17" s="97">
        <v>4</v>
      </c>
      <c r="B17" s="98">
        <v>2</v>
      </c>
      <c r="C17" s="99" t="str">
        <f t="shared" si="19"/>
        <v>Philly Super CIA</v>
      </c>
      <c r="D17" s="61">
        <v>3</v>
      </c>
      <c r="E17" s="163" t="str">
        <f>+B7</f>
        <v>NY Vikings SPA</v>
      </c>
      <c r="F17" s="164"/>
      <c r="G17" s="164"/>
      <c r="H17" s="164"/>
      <c r="I17" s="164"/>
      <c r="J17" s="164"/>
      <c r="K17" s="164"/>
      <c r="L17" s="164"/>
      <c r="M17" s="143"/>
      <c r="N17" s="100">
        <v>1</v>
      </c>
      <c r="O17" s="186" t="str">
        <f>+B5</f>
        <v>Boston Hurricanes Blue</v>
      </c>
      <c r="P17" s="143"/>
      <c r="Q17" s="144">
        <v>12</v>
      </c>
      <c r="R17" s="141"/>
      <c r="S17" s="101">
        <v>0</v>
      </c>
      <c r="T17" s="144">
        <v>21</v>
      </c>
      <c r="U17" s="141"/>
      <c r="V17" s="140">
        <v>3</v>
      </c>
      <c r="W17" s="141"/>
      <c r="X17" s="102">
        <v>0</v>
      </c>
      <c r="Y17" s="140">
        <v>21</v>
      </c>
      <c r="Z17" s="141"/>
      <c r="AA17" s="142"/>
      <c r="AB17" s="143"/>
      <c r="AC17" s="103" t="s">
        <v>178</v>
      </c>
      <c r="AD17" s="142"/>
      <c r="AE17" s="143"/>
      <c r="AF17" s="94"/>
      <c r="AG17" s="104" t="str">
        <f t="shared" si="16"/>
        <v>NY Vikings SPA</v>
      </c>
      <c r="AH17" s="96">
        <f t="shared" si="17"/>
        <v>-27</v>
      </c>
      <c r="AI17" s="149">
        <v>0.47916666666666669</v>
      </c>
      <c r="AJ17" s="150"/>
      <c r="AK17" s="5"/>
      <c r="AL17" s="5"/>
      <c r="AM17" s="5"/>
      <c r="AN17" s="5"/>
      <c r="AO17" s="5"/>
      <c r="AP17" s="5"/>
      <c r="AQ17" s="5"/>
      <c r="AR17" s="5"/>
    </row>
    <row r="18" spans="1:44" ht="15.75" customHeight="1" x14ac:dyDescent="0.2">
      <c r="A18" s="97">
        <v>5</v>
      </c>
      <c r="B18" s="98">
        <v>4</v>
      </c>
      <c r="C18" s="99" t="str">
        <f>+B8</f>
        <v>Toronto Connex A</v>
      </c>
      <c r="D18" s="61">
        <v>5</v>
      </c>
      <c r="E18" s="163" t="str">
        <f>+B9</f>
        <v>DC CYC B</v>
      </c>
      <c r="F18" s="164"/>
      <c r="G18" s="164"/>
      <c r="H18" s="164"/>
      <c r="I18" s="164"/>
      <c r="J18" s="164"/>
      <c r="K18" s="164"/>
      <c r="L18" s="164"/>
      <c r="M18" s="143"/>
      <c r="N18" s="100">
        <v>3</v>
      </c>
      <c r="O18" s="168" t="str">
        <f>+B7</f>
        <v>NY Vikings SPA</v>
      </c>
      <c r="P18" s="143"/>
      <c r="Q18" s="144">
        <v>21</v>
      </c>
      <c r="R18" s="141"/>
      <c r="S18" s="101">
        <v>0</v>
      </c>
      <c r="T18" s="144">
        <v>4</v>
      </c>
      <c r="U18" s="141"/>
      <c r="V18" s="140">
        <v>21</v>
      </c>
      <c r="W18" s="141"/>
      <c r="X18" s="102">
        <v>0</v>
      </c>
      <c r="Y18" s="140">
        <v>2</v>
      </c>
      <c r="Z18" s="141"/>
      <c r="AA18" s="142"/>
      <c r="AB18" s="143"/>
      <c r="AC18" s="103" t="s">
        <v>178</v>
      </c>
      <c r="AD18" s="142"/>
      <c r="AE18" s="143"/>
      <c r="AF18" s="94"/>
      <c r="AG18" s="104" t="str">
        <f t="shared" si="16"/>
        <v>Toronto Connex A</v>
      </c>
      <c r="AH18" s="96">
        <f t="shared" si="17"/>
        <v>36</v>
      </c>
      <c r="AI18" s="149">
        <v>0.53472222222222221</v>
      </c>
      <c r="AJ18" s="150"/>
      <c r="AK18" s="5"/>
      <c r="AL18" s="5"/>
      <c r="AM18" s="5"/>
      <c r="AN18" s="5"/>
      <c r="AO18" s="5"/>
      <c r="AP18" s="5"/>
      <c r="AQ18" s="5"/>
      <c r="AR18" s="5"/>
    </row>
    <row r="19" spans="1:44" ht="15.75" customHeight="1" x14ac:dyDescent="0.2">
      <c r="A19" s="97">
        <v>6</v>
      </c>
      <c r="B19" s="98">
        <v>1</v>
      </c>
      <c r="C19" s="105" t="str">
        <f t="shared" ref="C19:C21" si="20">+B5</f>
        <v>Boston Hurricanes Blue</v>
      </c>
      <c r="D19" s="61">
        <v>3</v>
      </c>
      <c r="E19" s="163" t="str">
        <f t="shared" ref="E19:E21" si="21">+B7</f>
        <v>NY Vikings SPA</v>
      </c>
      <c r="F19" s="164"/>
      <c r="G19" s="164"/>
      <c r="H19" s="164"/>
      <c r="I19" s="164"/>
      <c r="J19" s="164"/>
      <c r="K19" s="164"/>
      <c r="L19" s="164"/>
      <c r="M19" s="143"/>
      <c r="N19" s="100">
        <v>5</v>
      </c>
      <c r="O19" s="168" t="str">
        <f>+B9</f>
        <v>DC CYC B</v>
      </c>
      <c r="P19" s="143"/>
      <c r="Q19" s="144">
        <v>15</v>
      </c>
      <c r="R19" s="141"/>
      <c r="S19" s="101">
        <v>0</v>
      </c>
      <c r="T19" s="144">
        <v>21</v>
      </c>
      <c r="U19" s="141"/>
      <c r="V19" s="140">
        <v>14</v>
      </c>
      <c r="W19" s="141"/>
      <c r="X19" s="102">
        <v>0</v>
      </c>
      <c r="Y19" s="140">
        <v>21</v>
      </c>
      <c r="Z19" s="141"/>
      <c r="AA19" s="142"/>
      <c r="AB19" s="143"/>
      <c r="AC19" s="103" t="s">
        <v>178</v>
      </c>
      <c r="AD19" s="142"/>
      <c r="AE19" s="143"/>
      <c r="AF19" s="94"/>
      <c r="AG19" s="104" t="str">
        <f t="shared" si="16"/>
        <v>NY Vikings SPA</v>
      </c>
      <c r="AH19" s="96">
        <f t="shared" si="17"/>
        <v>-13</v>
      </c>
      <c r="AI19" s="149">
        <v>6.9444444444444434E-2</v>
      </c>
      <c r="AJ19" s="150"/>
      <c r="AK19" s="5"/>
      <c r="AL19" s="5"/>
      <c r="AM19" s="5"/>
      <c r="AN19" s="5"/>
      <c r="AO19" s="5"/>
      <c r="AP19" s="5"/>
      <c r="AQ19" s="5"/>
      <c r="AR19" s="5"/>
    </row>
    <row r="20" spans="1:44" ht="15.75" customHeight="1" x14ac:dyDescent="0.2">
      <c r="A20" s="97">
        <v>7</v>
      </c>
      <c r="B20" s="98">
        <v>2</v>
      </c>
      <c r="C20" s="99" t="str">
        <f t="shared" si="20"/>
        <v>Philly Super CIA</v>
      </c>
      <c r="D20" s="61">
        <v>4</v>
      </c>
      <c r="E20" s="163" t="str">
        <f t="shared" si="21"/>
        <v>Toronto Connex A</v>
      </c>
      <c r="F20" s="164"/>
      <c r="G20" s="164"/>
      <c r="H20" s="164"/>
      <c r="I20" s="164"/>
      <c r="J20" s="164"/>
      <c r="K20" s="164"/>
      <c r="L20" s="164"/>
      <c r="M20" s="143"/>
      <c r="N20" s="100">
        <v>1</v>
      </c>
      <c r="O20" s="186" t="str">
        <f t="shared" ref="O20:O21" si="22">+B5</f>
        <v>Boston Hurricanes Blue</v>
      </c>
      <c r="P20" s="143"/>
      <c r="Q20" s="144">
        <v>18</v>
      </c>
      <c r="R20" s="141"/>
      <c r="S20" s="101">
        <v>0</v>
      </c>
      <c r="T20" s="144">
        <v>21</v>
      </c>
      <c r="U20" s="141"/>
      <c r="V20" s="140">
        <v>7</v>
      </c>
      <c r="W20" s="141"/>
      <c r="X20" s="102">
        <v>0</v>
      </c>
      <c r="Y20" s="140">
        <v>21</v>
      </c>
      <c r="Z20" s="141"/>
      <c r="AA20" s="142"/>
      <c r="AB20" s="143"/>
      <c r="AC20" s="103" t="s">
        <v>178</v>
      </c>
      <c r="AD20" s="142"/>
      <c r="AE20" s="143"/>
      <c r="AF20" s="94"/>
      <c r="AG20" s="104" t="str">
        <f t="shared" si="16"/>
        <v>Toronto Connex A</v>
      </c>
      <c r="AH20" s="96">
        <f t="shared" si="17"/>
        <v>-17</v>
      </c>
      <c r="AI20" s="149">
        <v>0.10416666666666667</v>
      </c>
      <c r="AJ20" s="150"/>
      <c r="AK20" s="5"/>
      <c r="AL20" s="5"/>
      <c r="AM20" s="5"/>
      <c r="AN20" s="5"/>
      <c r="AO20" s="5"/>
      <c r="AP20" s="5"/>
      <c r="AQ20" s="5"/>
      <c r="AR20" s="5"/>
    </row>
    <row r="21" spans="1:44" ht="15.75" customHeight="1" x14ac:dyDescent="0.2">
      <c r="A21" s="97">
        <v>8</v>
      </c>
      <c r="B21" s="98">
        <v>3</v>
      </c>
      <c r="C21" s="99" t="str">
        <f t="shared" si="20"/>
        <v>NY Vikings SPA</v>
      </c>
      <c r="D21" s="61">
        <v>5</v>
      </c>
      <c r="E21" s="163" t="str">
        <f t="shared" si="21"/>
        <v>DC CYC B</v>
      </c>
      <c r="F21" s="164"/>
      <c r="G21" s="164"/>
      <c r="H21" s="164"/>
      <c r="I21" s="164"/>
      <c r="J21" s="164"/>
      <c r="K21" s="164"/>
      <c r="L21" s="164"/>
      <c r="M21" s="143"/>
      <c r="N21" s="100">
        <v>2</v>
      </c>
      <c r="O21" s="168" t="str">
        <f t="shared" si="22"/>
        <v>Philly Super CIA</v>
      </c>
      <c r="P21" s="143"/>
      <c r="Q21" s="144">
        <v>21</v>
      </c>
      <c r="R21" s="141"/>
      <c r="S21" s="101">
        <v>0</v>
      </c>
      <c r="T21" s="144">
        <v>5</v>
      </c>
      <c r="U21" s="141"/>
      <c r="V21" s="140">
        <v>21</v>
      </c>
      <c r="W21" s="141"/>
      <c r="X21" s="102">
        <v>0</v>
      </c>
      <c r="Y21" s="140">
        <v>8</v>
      </c>
      <c r="Z21" s="141"/>
      <c r="AA21" s="142"/>
      <c r="AB21" s="143"/>
      <c r="AC21" s="103" t="s">
        <v>178</v>
      </c>
      <c r="AD21" s="142"/>
      <c r="AE21" s="143"/>
      <c r="AF21" s="94"/>
      <c r="AG21" s="104" t="str">
        <f t="shared" si="16"/>
        <v>NY Vikings SPA</v>
      </c>
      <c r="AH21" s="96">
        <f t="shared" si="17"/>
        <v>29</v>
      </c>
      <c r="AI21" s="149">
        <v>0.15972222222222224</v>
      </c>
      <c r="AJ21" s="150"/>
      <c r="AK21" s="5"/>
      <c r="AL21" s="5"/>
      <c r="AM21" s="5"/>
      <c r="AN21" s="5"/>
      <c r="AO21" s="5"/>
      <c r="AP21" s="5"/>
      <c r="AQ21" s="5"/>
      <c r="AR21" s="5"/>
    </row>
    <row r="22" spans="1:44" ht="15.75" customHeight="1" x14ac:dyDescent="0.2">
      <c r="A22" s="97">
        <v>9</v>
      </c>
      <c r="B22" s="98">
        <v>1</v>
      </c>
      <c r="C22" s="105" t="str">
        <f t="shared" ref="C22:C23" si="23">+B5</f>
        <v>Boston Hurricanes Blue</v>
      </c>
      <c r="D22" s="61">
        <v>4</v>
      </c>
      <c r="E22" s="163" t="str">
        <f t="shared" ref="E22:E23" si="24">+B8</f>
        <v>Toronto Connex A</v>
      </c>
      <c r="F22" s="164"/>
      <c r="G22" s="164"/>
      <c r="H22" s="164"/>
      <c r="I22" s="164"/>
      <c r="J22" s="164"/>
      <c r="K22" s="164"/>
      <c r="L22" s="164"/>
      <c r="M22" s="143"/>
      <c r="N22" s="100">
        <v>5</v>
      </c>
      <c r="O22" s="168" t="str">
        <f>+B9</f>
        <v>DC CYC B</v>
      </c>
      <c r="P22" s="143"/>
      <c r="Q22" s="144">
        <v>10</v>
      </c>
      <c r="R22" s="141"/>
      <c r="S22" s="107"/>
      <c r="T22" s="144">
        <v>21</v>
      </c>
      <c r="U22" s="141"/>
      <c r="V22" s="140">
        <v>6</v>
      </c>
      <c r="W22" s="141"/>
      <c r="X22" s="108"/>
      <c r="Y22" s="140">
        <v>21</v>
      </c>
      <c r="Z22" s="141"/>
      <c r="AA22" s="142"/>
      <c r="AB22" s="143"/>
      <c r="AC22" s="103" t="s">
        <v>178</v>
      </c>
      <c r="AD22" s="142"/>
      <c r="AE22" s="143"/>
      <c r="AF22" s="94"/>
      <c r="AG22" s="104" t="str">
        <f t="shared" si="16"/>
        <v>Toronto Connex A</v>
      </c>
      <c r="AH22" s="96">
        <f t="shared" si="17"/>
        <v>-26</v>
      </c>
      <c r="AI22" s="149">
        <v>0.19444444444444445</v>
      </c>
      <c r="AJ22" s="150"/>
      <c r="AK22" s="5"/>
      <c r="AL22" s="5"/>
      <c r="AM22" s="5"/>
      <c r="AN22" s="5"/>
      <c r="AO22" s="5"/>
      <c r="AP22" s="5"/>
      <c r="AQ22" s="5"/>
      <c r="AR22" s="5"/>
    </row>
    <row r="23" spans="1:44" ht="15.75" customHeight="1" x14ac:dyDescent="0.2">
      <c r="A23" s="109">
        <v>10</v>
      </c>
      <c r="B23" s="110">
        <v>2</v>
      </c>
      <c r="C23" s="111" t="str">
        <f t="shared" si="23"/>
        <v>Philly Super CIA</v>
      </c>
      <c r="D23" s="78">
        <v>5</v>
      </c>
      <c r="E23" s="188" t="str">
        <f t="shared" si="24"/>
        <v>DC CYC B</v>
      </c>
      <c r="F23" s="189"/>
      <c r="G23" s="189"/>
      <c r="H23" s="189"/>
      <c r="I23" s="189"/>
      <c r="J23" s="189"/>
      <c r="K23" s="189"/>
      <c r="L23" s="189"/>
      <c r="M23" s="146"/>
      <c r="N23" s="112">
        <v>4</v>
      </c>
      <c r="O23" s="187" t="str">
        <f>+B8</f>
        <v>Toronto Connex A</v>
      </c>
      <c r="P23" s="146"/>
      <c r="Q23" s="144">
        <v>21</v>
      </c>
      <c r="R23" s="141"/>
      <c r="S23" s="101">
        <v>0</v>
      </c>
      <c r="T23" s="144">
        <v>14</v>
      </c>
      <c r="U23" s="141"/>
      <c r="V23" s="140">
        <v>21</v>
      </c>
      <c r="W23" s="141"/>
      <c r="X23" s="102">
        <v>0</v>
      </c>
      <c r="Y23" s="140">
        <v>12</v>
      </c>
      <c r="Z23" s="141"/>
      <c r="AA23" s="145"/>
      <c r="AB23" s="146"/>
      <c r="AC23" s="113" t="s">
        <v>178</v>
      </c>
      <c r="AD23" s="145"/>
      <c r="AE23" s="146"/>
      <c r="AF23" s="94"/>
      <c r="AG23" s="104" t="str">
        <f t="shared" si="16"/>
        <v>Philly Super CIA</v>
      </c>
      <c r="AH23" s="96">
        <f t="shared" si="17"/>
        <v>16</v>
      </c>
      <c r="AI23" s="184">
        <v>0.22916666666666666</v>
      </c>
      <c r="AJ23" s="185"/>
      <c r="AK23" s="5"/>
      <c r="AL23" s="5"/>
      <c r="AM23" s="5"/>
      <c r="AN23" s="5"/>
      <c r="AO23" s="5"/>
      <c r="AP23" s="5"/>
      <c r="AQ23" s="5"/>
      <c r="AR23" s="5"/>
    </row>
    <row r="24" spans="1:44" ht="12.75" customHeight="1" x14ac:dyDescent="0.2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5"/>
      <c r="AM24" s="5"/>
      <c r="AN24" s="5"/>
      <c r="AO24" s="5"/>
      <c r="AP24" s="5"/>
      <c r="AQ24" s="5"/>
      <c r="AR24" s="5"/>
    </row>
    <row r="25" spans="1:44" ht="12.75" customHeight="1" x14ac:dyDescent="0.2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5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5"/>
      <c r="AM25" s="5"/>
      <c r="AN25" s="5"/>
      <c r="AO25" s="5"/>
      <c r="AP25" s="5"/>
      <c r="AQ25" s="5"/>
      <c r="AR25" s="5"/>
    </row>
    <row r="26" spans="1:44" ht="12.75" customHeight="1" x14ac:dyDescent="0.2">
      <c r="A26" s="41"/>
      <c r="B26" s="57"/>
      <c r="C26" s="57" t="s">
        <v>179</v>
      </c>
      <c r="D26" s="57" t="s">
        <v>157</v>
      </c>
      <c r="E26" s="57" t="s">
        <v>180</v>
      </c>
      <c r="F26" s="57" t="s">
        <v>165</v>
      </c>
      <c r="G26" s="57" t="s">
        <v>166</v>
      </c>
      <c r="H26" s="41"/>
      <c r="I26" s="41"/>
      <c r="J26" s="41"/>
      <c r="K26" s="41"/>
      <c r="L26" s="41"/>
      <c r="M26" s="41"/>
      <c r="N26" s="41"/>
      <c r="O26" s="41"/>
      <c r="P26" s="41"/>
      <c r="Q26" s="5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5"/>
      <c r="AM26" s="5"/>
      <c r="AN26" s="5"/>
      <c r="AO26" s="5"/>
      <c r="AP26" s="5"/>
      <c r="AQ26" s="5"/>
      <c r="AR26" s="5"/>
    </row>
    <row r="27" spans="1:44" ht="12.75" customHeight="1" x14ac:dyDescent="0.2">
      <c r="A27" s="41"/>
      <c r="B27" s="57">
        <v>1</v>
      </c>
      <c r="C27" s="57" t="str">
        <f t="shared" ref="C27:C31" si="25">VLOOKUP(B27,$A$5:$AR$9,2,FALSE)</f>
        <v>Toronto Connex A</v>
      </c>
      <c r="D27" s="57">
        <f t="shared" ref="D27:D31" si="26">VLOOKUP(B27,$A$5:$AR$9,15,FALSE)</f>
        <v>7</v>
      </c>
      <c r="E27" s="57">
        <f t="shared" ref="E27:E31" si="27">VLOOKUP(B27,$A$5:$AR$9,36,FALSE)</f>
        <v>87</v>
      </c>
      <c r="F27" s="114">
        <f t="shared" ref="F27:F31" si="28">VLOOKUP(B27,$A$5:$AR$9,40,FALSE)</f>
        <v>0.875</v>
      </c>
      <c r="G27" s="114">
        <f t="shared" ref="G27:G31" si="29">VLOOKUP(B27,$A$5:$AR$9,42,FALSE)</f>
        <v>10.875</v>
      </c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5"/>
      <c r="AM27" s="5"/>
      <c r="AN27" s="5"/>
      <c r="AO27" s="5"/>
      <c r="AP27" s="5"/>
      <c r="AQ27" s="5"/>
      <c r="AR27" s="5"/>
    </row>
    <row r="28" spans="1:44" ht="12.75" customHeight="1" x14ac:dyDescent="0.2">
      <c r="A28" s="41"/>
      <c r="B28" s="57">
        <v>2</v>
      </c>
      <c r="C28" s="57" t="str">
        <f t="shared" si="25"/>
        <v>NY Vikings SPA</v>
      </c>
      <c r="D28" s="57">
        <f t="shared" si="26"/>
        <v>7</v>
      </c>
      <c r="E28" s="57">
        <f t="shared" si="27"/>
        <v>61</v>
      </c>
      <c r="F28" s="114">
        <f t="shared" si="28"/>
        <v>0.875</v>
      </c>
      <c r="G28" s="114">
        <f t="shared" si="29"/>
        <v>7.625</v>
      </c>
      <c r="H28" s="41"/>
      <c r="I28" s="41"/>
      <c r="J28" s="41"/>
      <c r="K28" s="41"/>
      <c r="L28" s="41"/>
      <c r="M28" s="41"/>
      <c r="N28" s="41"/>
      <c r="O28" s="41"/>
      <c r="P28" s="5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183"/>
      <c r="AK28" s="136"/>
      <c r="AL28" s="5"/>
      <c r="AM28" s="5"/>
      <c r="AN28" s="5"/>
      <c r="AO28" s="5"/>
      <c r="AP28" s="5"/>
      <c r="AQ28" s="5"/>
      <c r="AR28" s="5"/>
    </row>
    <row r="29" spans="1:44" ht="12.75" customHeight="1" x14ac:dyDescent="0.2">
      <c r="A29" s="5"/>
      <c r="B29" s="14">
        <v>3</v>
      </c>
      <c r="C29" s="116" t="str">
        <f t="shared" si="25"/>
        <v>Boston Hurricanes Blue</v>
      </c>
      <c r="D29" s="57">
        <f t="shared" si="26"/>
        <v>3</v>
      </c>
      <c r="E29" s="57">
        <f t="shared" si="27"/>
        <v>-15</v>
      </c>
      <c r="F29" s="114">
        <f t="shared" si="28"/>
        <v>0.375</v>
      </c>
      <c r="G29" s="114">
        <f t="shared" si="29"/>
        <v>-1.875</v>
      </c>
      <c r="H29" s="41"/>
      <c r="I29" s="41"/>
      <c r="J29" s="41"/>
      <c r="K29" s="41"/>
      <c r="L29" s="41"/>
      <c r="M29" s="41"/>
      <c r="N29" s="41"/>
      <c r="O29" s="41"/>
      <c r="P29" s="5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115"/>
      <c r="AK29" s="41"/>
      <c r="AL29" s="5"/>
      <c r="AM29" s="5"/>
      <c r="AN29" s="5"/>
      <c r="AO29" s="5"/>
      <c r="AP29" s="5"/>
      <c r="AQ29" s="5"/>
      <c r="AR29" s="5"/>
    </row>
    <row r="30" spans="1:44" ht="12.75" customHeight="1" x14ac:dyDescent="0.2">
      <c r="A30" s="5"/>
      <c r="B30" s="14">
        <v>4</v>
      </c>
      <c r="C30" s="57" t="str">
        <f t="shared" si="25"/>
        <v>Philly Super CIA</v>
      </c>
      <c r="D30" s="57">
        <f t="shared" si="26"/>
        <v>3</v>
      </c>
      <c r="E30" s="57">
        <f t="shared" si="27"/>
        <v>-31</v>
      </c>
      <c r="F30" s="114">
        <f t="shared" si="28"/>
        <v>0.375</v>
      </c>
      <c r="G30" s="114">
        <f t="shared" si="29"/>
        <v>-3.875</v>
      </c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115"/>
      <c r="AK30" s="41"/>
      <c r="AL30" s="5"/>
      <c r="AM30" s="5"/>
      <c r="AN30" s="5"/>
      <c r="AO30" s="5"/>
      <c r="AP30" s="5"/>
      <c r="AQ30" s="5"/>
      <c r="AR30" s="5"/>
    </row>
    <row r="31" spans="1:44" ht="12.75" customHeight="1" x14ac:dyDescent="0.2">
      <c r="A31" s="5"/>
      <c r="B31" s="14">
        <v>5</v>
      </c>
      <c r="C31" s="57" t="str">
        <f t="shared" si="25"/>
        <v>DC CYC B</v>
      </c>
      <c r="D31" s="57">
        <f t="shared" si="26"/>
        <v>0</v>
      </c>
      <c r="E31" s="57">
        <f t="shared" si="27"/>
        <v>-102</v>
      </c>
      <c r="F31" s="114">
        <f t="shared" si="28"/>
        <v>0</v>
      </c>
      <c r="G31" s="114">
        <f t="shared" si="29"/>
        <v>-12.75</v>
      </c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115"/>
      <c r="AK31" s="41"/>
      <c r="AL31" s="5"/>
      <c r="AM31" s="5"/>
      <c r="AN31" s="5"/>
      <c r="AO31" s="5"/>
      <c r="AP31" s="5"/>
      <c r="AQ31" s="5"/>
      <c r="AR31" s="5"/>
    </row>
  </sheetData>
  <mergeCells count="124">
    <mergeCell ref="AN4:AO4"/>
    <mergeCell ref="AP4:AQ4"/>
    <mergeCell ref="AJ4:AK4"/>
    <mergeCell ref="R4:AF4"/>
    <mergeCell ref="E18:M18"/>
    <mergeCell ref="E19:M19"/>
    <mergeCell ref="T17:U17"/>
    <mergeCell ref="E17:M17"/>
    <mergeCell ref="O16:P16"/>
    <mergeCell ref="Q17:R17"/>
    <mergeCell ref="Q16:R16"/>
    <mergeCell ref="E16:M16"/>
    <mergeCell ref="O18:P18"/>
    <mergeCell ref="O17:P17"/>
    <mergeCell ref="O19:P19"/>
    <mergeCell ref="V19:W19"/>
    <mergeCell ref="Y19:Z19"/>
    <mergeCell ref="O20:P20"/>
    <mergeCell ref="V23:W23"/>
    <mergeCell ref="T23:U23"/>
    <mergeCell ref="O23:P23"/>
    <mergeCell ref="E23:M23"/>
    <mergeCell ref="T22:U22"/>
    <mergeCell ref="V22:W22"/>
    <mergeCell ref="O22:P22"/>
    <mergeCell ref="E21:M21"/>
    <mergeCell ref="O21:P21"/>
    <mergeCell ref="E22:M22"/>
    <mergeCell ref="E20:M20"/>
    <mergeCell ref="AI22:AJ22"/>
    <mergeCell ref="AI21:AJ21"/>
    <mergeCell ref="AJ28:AK28"/>
    <mergeCell ref="AD14:AE14"/>
    <mergeCell ref="AD15:AE15"/>
    <mergeCell ref="AI23:AJ23"/>
    <mergeCell ref="AI19:AJ19"/>
    <mergeCell ref="AD23:AE23"/>
    <mergeCell ref="AD22:AE22"/>
    <mergeCell ref="AD19:AE19"/>
    <mergeCell ref="AI20:AJ20"/>
    <mergeCell ref="AD21:AE21"/>
    <mergeCell ref="AD20:AE20"/>
    <mergeCell ref="B6:D6"/>
    <mergeCell ref="B7:D7"/>
    <mergeCell ref="B4:D4"/>
    <mergeCell ref="A2:AG2"/>
    <mergeCell ref="A1:AG1"/>
    <mergeCell ref="A3:AG3"/>
    <mergeCell ref="E7:I7"/>
    <mergeCell ref="E5:I5"/>
    <mergeCell ref="J5:N5"/>
    <mergeCell ref="J6:N6"/>
    <mergeCell ref="E6:I6"/>
    <mergeCell ref="B5:D5"/>
    <mergeCell ref="J7:N7"/>
    <mergeCell ref="E4:I4"/>
    <mergeCell ref="J4:N4"/>
    <mergeCell ref="E14:M14"/>
    <mergeCell ref="E15:M15"/>
    <mergeCell ref="E13:M13"/>
    <mergeCell ref="A13:B13"/>
    <mergeCell ref="Q15:R15"/>
    <mergeCell ref="O15:P15"/>
    <mergeCell ref="J8:N8"/>
    <mergeCell ref="E9:I9"/>
    <mergeCell ref="B9:D9"/>
    <mergeCell ref="A10:AG12"/>
    <mergeCell ref="J9:N9"/>
    <mergeCell ref="B8:D8"/>
    <mergeCell ref="E8:I8"/>
    <mergeCell ref="Y15:Z15"/>
    <mergeCell ref="AA15:AB15"/>
    <mergeCell ref="V14:W14"/>
    <mergeCell ref="V15:W15"/>
    <mergeCell ref="V13:Z13"/>
    <mergeCell ref="N13:P13"/>
    <mergeCell ref="Q13:U13"/>
    <mergeCell ref="Y16:Z16"/>
    <mergeCell ref="AA14:AB14"/>
    <mergeCell ref="Y14:Z14"/>
    <mergeCell ref="AA13:AE13"/>
    <mergeCell ref="AI13:AJ13"/>
    <mergeCell ref="AI18:AJ18"/>
    <mergeCell ref="AD18:AE18"/>
    <mergeCell ref="O14:P14"/>
    <mergeCell ref="Q14:R14"/>
    <mergeCell ref="Q23:R23"/>
    <mergeCell ref="Y23:Z23"/>
    <mergeCell ref="Q22:R22"/>
    <mergeCell ref="V20:W20"/>
    <mergeCell ref="AA23:AB23"/>
    <mergeCell ref="Q21:R21"/>
    <mergeCell ref="Q20:R20"/>
    <mergeCell ref="V21:W21"/>
    <mergeCell ref="AI14:AJ14"/>
    <mergeCell ref="AI15:AJ15"/>
    <mergeCell ref="AI17:AJ17"/>
    <mergeCell ref="AI16:AJ16"/>
    <mergeCell ref="T15:U15"/>
    <mergeCell ref="T14:U14"/>
    <mergeCell ref="AA17:AB17"/>
    <mergeCell ref="T16:U16"/>
    <mergeCell ref="V17:W17"/>
    <mergeCell ref="AA18:AB18"/>
    <mergeCell ref="Y18:Z18"/>
    <mergeCell ref="AA16:AB16"/>
    <mergeCell ref="V16:W16"/>
    <mergeCell ref="AD17:AE17"/>
    <mergeCell ref="AD16:AE16"/>
    <mergeCell ref="Y17:Z17"/>
    <mergeCell ref="Y22:Z22"/>
    <mergeCell ref="AA22:AB22"/>
    <mergeCell ref="T18:U18"/>
    <mergeCell ref="T19:U19"/>
    <mergeCell ref="V18:W18"/>
    <mergeCell ref="Q18:R18"/>
    <mergeCell ref="T21:U21"/>
    <mergeCell ref="T20:U20"/>
    <mergeCell ref="Y21:Z21"/>
    <mergeCell ref="AA21:AB21"/>
    <mergeCell ref="Y20:Z20"/>
    <mergeCell ref="AA20:AB20"/>
    <mergeCell ref="AA19:AB19"/>
    <mergeCell ref="Q19:R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R31"/>
  <sheetViews>
    <sheetView showGridLines="0" workbookViewId="0"/>
  </sheetViews>
  <sheetFormatPr baseColWidth="10" defaultColWidth="17.33203125" defaultRowHeight="15" customHeight="1" x14ac:dyDescent="0.2"/>
  <cols>
    <col min="1" max="1" width="4.1640625" customWidth="1"/>
    <col min="2" max="2" width="3.5" customWidth="1"/>
    <col min="3" max="3" width="25.6640625" customWidth="1"/>
    <col min="4" max="4" width="4.5" customWidth="1"/>
    <col min="5" max="5" width="3.33203125" customWidth="1"/>
    <col min="6" max="6" width="10.33203125" customWidth="1"/>
    <col min="7" max="7" width="9.6640625" customWidth="1"/>
    <col min="8" max="9" width="3.33203125" hidden="1" customWidth="1"/>
    <col min="10" max="14" width="3.33203125" customWidth="1"/>
    <col min="15" max="15" width="13.33203125" customWidth="1"/>
    <col min="16" max="16" width="13.1640625" customWidth="1"/>
    <col min="17" max="19" width="4" customWidth="1"/>
    <col min="20" max="22" width="3.33203125" customWidth="1"/>
    <col min="23" max="23" width="4" customWidth="1"/>
    <col min="24" max="25" width="3.33203125" customWidth="1"/>
    <col min="26" max="27" width="4" customWidth="1"/>
    <col min="28" max="31" width="3.33203125" customWidth="1"/>
    <col min="32" max="32" width="4.5" customWidth="1"/>
    <col min="33" max="33" width="15.33203125" customWidth="1"/>
    <col min="34" max="34" width="12.1640625" customWidth="1"/>
    <col min="35" max="35" width="13.1640625" customWidth="1"/>
    <col min="36" max="36" width="4.1640625" customWidth="1"/>
    <col min="37" max="37" width="7.1640625" customWidth="1"/>
    <col min="38" max="38" width="2.1640625" customWidth="1"/>
    <col min="39" max="39" width="7.1640625" customWidth="1"/>
    <col min="40" max="40" width="6.5" customWidth="1"/>
    <col min="41" max="44" width="8.83203125" customWidth="1"/>
  </cols>
  <sheetData>
    <row r="1" spans="1:44" ht="30.75" customHeight="1" x14ac:dyDescent="0.35">
      <c r="A1" s="180" t="s">
        <v>152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38"/>
      <c r="AI1" s="39"/>
      <c r="AJ1" s="39"/>
      <c r="AK1" s="39"/>
      <c r="AL1" s="39"/>
      <c r="AM1" s="39"/>
      <c r="AN1" s="39"/>
      <c r="AO1" s="1"/>
      <c r="AP1" s="1"/>
      <c r="AQ1" s="1"/>
      <c r="AR1" s="1"/>
    </row>
    <row r="2" spans="1:44" ht="30.75" customHeight="1" x14ac:dyDescent="0.35">
      <c r="A2" s="180" t="str">
        <f>'Men''s Master'!C3</f>
        <v>CT02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38"/>
      <c r="AI2" s="39"/>
      <c r="AJ2" s="39"/>
      <c r="AK2" s="39"/>
      <c r="AL2" s="39"/>
      <c r="AM2" s="39"/>
      <c r="AN2" s="39"/>
      <c r="AO2" s="1"/>
      <c r="AP2" s="1"/>
      <c r="AQ2" s="1"/>
      <c r="AR2" s="1"/>
    </row>
    <row r="3" spans="1:44" ht="42.75" customHeight="1" x14ac:dyDescent="0.45">
      <c r="A3" s="197" t="str">
        <f>RIGHT(A2,2)</f>
        <v>02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40"/>
      <c r="AI3" s="41" t="s">
        <v>153</v>
      </c>
      <c r="AJ3" s="41"/>
      <c r="AK3" s="41"/>
      <c r="AL3" s="41"/>
      <c r="AM3" s="41"/>
      <c r="AN3" s="41"/>
      <c r="AO3" s="5"/>
      <c r="AP3" s="5"/>
      <c r="AQ3" s="5"/>
      <c r="AR3" s="5" t="s">
        <v>154</v>
      </c>
    </row>
    <row r="4" spans="1:44" ht="27" customHeight="1" x14ac:dyDescent="0.2">
      <c r="A4" s="42"/>
      <c r="B4" s="179" t="s">
        <v>102</v>
      </c>
      <c r="C4" s="173"/>
      <c r="D4" s="173"/>
      <c r="E4" s="155" t="s">
        <v>155</v>
      </c>
      <c r="F4" s="156"/>
      <c r="G4" s="156"/>
      <c r="H4" s="156"/>
      <c r="I4" s="157"/>
      <c r="J4" s="165" t="s">
        <v>156</v>
      </c>
      <c r="K4" s="156"/>
      <c r="L4" s="156"/>
      <c r="M4" s="156"/>
      <c r="N4" s="166"/>
      <c r="O4" s="43" t="s">
        <v>157</v>
      </c>
      <c r="P4" s="44" t="s">
        <v>158</v>
      </c>
      <c r="Q4" s="45"/>
      <c r="R4" s="194" t="s">
        <v>159</v>
      </c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53"/>
      <c r="AG4" s="46" t="s">
        <v>160</v>
      </c>
      <c r="AH4" s="47" t="s">
        <v>161</v>
      </c>
      <c r="AI4" s="47" t="s">
        <v>162</v>
      </c>
      <c r="AJ4" s="193" t="s">
        <v>163</v>
      </c>
      <c r="AK4" s="153"/>
      <c r="AL4" s="47" t="s">
        <v>164</v>
      </c>
      <c r="AM4" s="48"/>
      <c r="AN4" s="190" t="s">
        <v>165</v>
      </c>
      <c r="AO4" s="191"/>
      <c r="AP4" s="192" t="s">
        <v>166</v>
      </c>
      <c r="AQ4" s="191"/>
      <c r="AR4" s="50" t="s">
        <v>167</v>
      </c>
    </row>
    <row r="5" spans="1:44" ht="15.75" customHeight="1" x14ac:dyDescent="0.2">
      <c r="A5" s="51">
        <f t="shared" ref="A5:A9" si="0">AR5</f>
        <v>4</v>
      </c>
      <c r="B5" s="172" t="str">
        <f>+'Men''s Master'!C4</f>
        <v>Boston Knights X</v>
      </c>
      <c r="C5" s="173"/>
      <c r="D5" s="173"/>
      <c r="E5" s="171">
        <f>SUM(IF(AG14=B5,1,0),IF(AG16=C16,1,0),IF(AG19=C19,1,0),IF(AG22=C22,1,0))</f>
        <v>2</v>
      </c>
      <c r="F5" s="162"/>
      <c r="G5" s="162"/>
      <c r="H5" s="162"/>
      <c r="I5" s="153"/>
      <c r="J5" s="169">
        <f>SUM(IF(AG14=C14,0,1),IF(AG16=C16,0,1),IF(AG19=C19,0,1),IF(AG22=C22,0,1))</f>
        <v>2</v>
      </c>
      <c r="K5" s="162"/>
      <c r="L5" s="162"/>
      <c r="M5" s="162"/>
      <c r="N5" s="170"/>
      <c r="O5" s="53">
        <f>SUM(IF(AD5&gt;0,1,0),IF(AE5&gt;0,1,0),IF(AF5&gt;0,1,0),IF(U5&gt;0,1,0),IF(V5&gt;0,1,0),IF(W5&gt;0,1,0),IF(X5&gt;0,1,0),IF(Y5&gt;0,1,0),IF(Z5&gt;0,1,0),IF(AA5&gt;0,1,0),IF(AB5&gt;0,1,0),IF(AC5&gt;0,1,0))</f>
        <v>3</v>
      </c>
      <c r="P5" s="52">
        <f>SUM(IF(AD5&lt;0,1,0),IF(AE5&lt;0,1,0),IF(AF5&lt;0,1,0),IF(U5&lt;0,1,0),IF(V5&lt;0,1,0),IF(W5&lt;0,1,0),IF(X5&lt;0,1,0),IF(Y5&lt;0,1,0),IF(Z5&lt;0,1,0),IF(AA5&lt;0,1,0),IF(AB5&lt;0,1,0),IF(AC5&lt;0,1,0))</f>
        <v>5</v>
      </c>
      <c r="Q5" s="54">
        <f>1+SUM(IF(O5&lt;O6,1,0),IF(O5&lt;O7,1,0),IF(O5&lt;O8,1,0),IF(O5&lt;O9,1,0))</f>
        <v>4</v>
      </c>
      <c r="R5" s="55"/>
      <c r="S5" s="56"/>
      <c r="T5" s="56"/>
      <c r="U5" s="57">
        <f>Q14-T14</f>
        <v>-9</v>
      </c>
      <c r="V5" s="57">
        <f>V14-Y14</f>
        <v>-5</v>
      </c>
      <c r="W5" s="57">
        <f>AA14-AD14</f>
        <v>0</v>
      </c>
      <c r="X5" s="57">
        <f>Q19-T19</f>
        <v>2</v>
      </c>
      <c r="Y5" s="57">
        <f>V19-Y19</f>
        <v>2</v>
      </c>
      <c r="Z5" s="57">
        <f>AA19-AD19</f>
        <v>0</v>
      </c>
      <c r="AA5" s="58">
        <f>Q22-T22</f>
        <v>-1</v>
      </c>
      <c r="AB5" s="58">
        <f>V22-Y22</f>
        <v>2</v>
      </c>
      <c r="AC5" s="58">
        <f>AA22-AD22</f>
        <v>0</v>
      </c>
      <c r="AD5" s="58">
        <f>Q16-T16</f>
        <v>-9</v>
      </c>
      <c r="AE5" s="58">
        <f>V16-Y16</f>
        <v>-7</v>
      </c>
      <c r="AF5" s="58">
        <f>AA16-AD16</f>
        <v>0</v>
      </c>
      <c r="AG5" s="58" t="b">
        <f>IF(Q5=Q6,IF(SUM(U5:W5)&gt;0,B5,B6),  IF(Q5=Q7,IF(SUM(X5:Z5)&gt;0, B5,B7),IF(Q5=Q8,IF(SUM(AA5:AC5)&gt;0, B5,B8),IF(Q5=Q9,IF(SUM(AD5:AF5)&lt;0,B5,B9)))))</f>
        <v>0</v>
      </c>
      <c r="AH5" s="58" t="b">
        <f>IF(Q5=Q6,IF(SUM(U5:W5)&lt;0,B5,B6),  IF(Q5=Q7,IF(SUM(X5:Z5)&lt;0, B5,B7),IF(Q5=Q8,IF(SUM(AA5:AC5)&lt;0, B5,B8),IF(Q5=Q9, IF(SUM(AD5:AF5)&lt;0,B5,B9)))))</f>
        <v>0</v>
      </c>
      <c r="AI5" s="60">
        <f t="shared" ref="AI5:AI9" si="1">Q5+IF(COUNTIF($AG$5:$AG$9,B5)&gt;0,0, IF(COUNTIF($AH$5:$AH$9,B5)&gt;0,1,0))</f>
        <v>4</v>
      </c>
      <c r="AJ5" s="61">
        <f t="shared" ref="AJ5:AJ9" si="2">SUM(R5:AF5)</f>
        <v>-25</v>
      </c>
      <c r="AK5" s="62">
        <f>1+SUM(IF(AJ5&lt;AJ6,1,0),IF(AJ5&lt;AJ7,1,0),IF(AJ5&lt;AJ8,1,0),IF(AJ5&lt;AJ9,1,0))</f>
        <v>4</v>
      </c>
      <c r="AL5" s="63">
        <f t="shared" ref="AL5:AL9" si="3">IF(SUM(E5,J5)=0,0,E5/(E5+J5))</f>
        <v>0.5</v>
      </c>
      <c r="AM5" s="62">
        <f>1+SUM(IF(AL5&lt;AL6,1,0),IF(AL5&lt;AL7,1,0),IF(AL5&lt;AL8,1,0),IF(AL5&lt;AL9,1,0))</f>
        <v>2</v>
      </c>
      <c r="AN5" s="64">
        <f t="shared" ref="AN5:AN9" si="4">IF(SUM(O5+P5)=0,0,O5/(O5+P5))</f>
        <v>0.375</v>
      </c>
      <c r="AO5" s="65">
        <f>1+SUM(IF(AN5&lt;AN6,1,0),IF(AN5&lt;AN7,1,0),IF(AN5&lt;AN8,1,0),IF(AN5&lt;AN9,1,0))</f>
        <v>4</v>
      </c>
      <c r="AP5" s="66">
        <f t="shared" ref="AP5:AP9" si="5">AJ5/SUM(O5:P5)</f>
        <v>-3.125</v>
      </c>
      <c r="AQ5" s="67">
        <f>1+SUM(IF(AP5&lt;AP6,1,0),IF(AP5&lt;AP7,1,0),IF(AP5&lt;AP8,1,0),IF(AP5&lt;AP9,1,0))</f>
        <v>4</v>
      </c>
      <c r="AR5" s="68">
        <f>1+SUM(IF(Q5&gt;Q6,1,IF(AND(Q5=Q6,AK5&gt;AK6),1,IF(AND(Q5=Q6,AK5=AK6),1,0))),IF(Q5&gt;Q7,1,IF(AND(Q5=Q7,AK5&gt;AK7),1,IF(AND(Q5=Q7,AK5=AK7),1,0))),IF(Q5&gt;Q8,1,IF(AND(Q5=Q8,AK5&gt;AK8),1,IF(AND(Q5=Q8,AK5=AK8),1,0))),IF(Q5&gt;Q9,1,IF(AND(Q5=Q9,AK5&gt;AK9),1,IF(AND(Q5=Q9,AK5=AK9),1,0))))</f>
        <v>4</v>
      </c>
    </row>
    <row r="6" spans="1:44" ht="15.75" customHeight="1" x14ac:dyDescent="0.2">
      <c r="A6" s="51">
        <f t="shared" si="0"/>
        <v>3</v>
      </c>
      <c r="B6" s="172" t="str">
        <f>+'Men''s Master'!C5</f>
        <v>DC Yee Fung Toy Thunder A</v>
      </c>
      <c r="C6" s="173"/>
      <c r="D6" s="173"/>
      <c r="E6" s="171">
        <f>SUM(IF(AG14=E14,1,0),IF(AG17=C17,1,0),IF(AG20=C20,1,0),IF(AG23=C23,1,0))</f>
        <v>2</v>
      </c>
      <c r="F6" s="162"/>
      <c r="G6" s="162"/>
      <c r="H6" s="162"/>
      <c r="I6" s="153"/>
      <c r="J6" s="169">
        <f>SUM(IF(AG14=E14,0,1),IF(AG17=C17,0,1),IF(AG20=C20,0,1),IF(AG23=C23,0,1))</f>
        <v>2</v>
      </c>
      <c r="K6" s="162"/>
      <c r="L6" s="162"/>
      <c r="M6" s="162"/>
      <c r="N6" s="170"/>
      <c r="O6" s="53">
        <f>SUM(IF(AD6&gt;0,1,0),IF(AE6&gt;0,1,0),IF(AF6&gt;0,1,0),IF(R6&gt;0,1,0),IF(S6&gt;0,1,0),IF(T6&gt;0,1,0),IF(X6&gt;0,1,0),IF(Y6&gt;0,1,0),IF(Z6&gt;0,1,0),IF(AA6&gt;0,1,0),IF(AB6&gt;0,1,0),IF(AC6&gt;0,1,0))</f>
        <v>4</v>
      </c>
      <c r="P6" s="52">
        <f>SUM(IF(AD6&lt;0,1,0),IF(AE6&lt;0,1,0),IF(AF6&lt;0,1,0),IF(R6&lt;0,1,0),IF(S6&lt;0,1,0),IF(T6&lt;0,1,0),IF(X6&lt;0,1,0),IF(Y6&lt;0,1,0),IF(Z6&lt;0,1,0),IF(AA6&lt;0,1,0),IF(AB6&lt;0,1,0),IF(AC6&lt;0,1,0))</f>
        <v>4</v>
      </c>
      <c r="Q6" s="54">
        <f>1+SUM(IF(O6&lt;O5,1,0),IF(O6&lt;O7,1,0),IF(O6&lt;O8,1,0),IF(O6&lt;O9,1,0))</f>
        <v>3</v>
      </c>
      <c r="R6" s="69">
        <f t="shared" ref="R6:T6" si="6">-U5</f>
        <v>9</v>
      </c>
      <c r="S6" s="58">
        <f t="shared" si="6"/>
        <v>5</v>
      </c>
      <c r="T6" s="58">
        <f t="shared" si="6"/>
        <v>0</v>
      </c>
      <c r="U6" s="56"/>
      <c r="V6" s="56"/>
      <c r="W6" s="56"/>
      <c r="X6" s="57">
        <f>Q17-T17</f>
        <v>8</v>
      </c>
      <c r="Y6" s="57">
        <f>V17-Y17</f>
        <v>2</v>
      </c>
      <c r="Z6" s="57">
        <f>AA17-AD17</f>
        <v>0</v>
      </c>
      <c r="AA6" s="58">
        <f>Q20-T20</f>
        <v>-2</v>
      </c>
      <c r="AB6" s="58">
        <f>V20-Y20</f>
        <v>-3</v>
      </c>
      <c r="AC6" s="58">
        <f>AA20-AD20</f>
        <v>0</v>
      </c>
      <c r="AD6" s="58">
        <f>Q23-T23</f>
        <v>-8</v>
      </c>
      <c r="AE6" s="58">
        <f>V23-Y23</f>
        <v>-10</v>
      </c>
      <c r="AF6" s="58">
        <f>AA23-AD23</f>
        <v>0</v>
      </c>
      <c r="AG6" s="58" t="b">
        <f>IF(Q6=Q7,IF(SUM(X6:Z6)&gt;0,B6,B7),IF(Q6=Q8,IF(SUM(AA6:AC6)&gt;0,B6,B8),IF(Q6=Q9,IF(SUM(AD6:AF6)&gt;0, B6,B9))))</f>
        <v>0</v>
      </c>
      <c r="AH6" s="58" t="b">
        <f>IF(Q6=Q7,IF(SUM(X6:Z6)&lt;0,B6,B7),IF(Q6=Q8,IF(SUM(AA6:AC6)&lt;0,B6,B8),IF(Q6=Q9,IF(SUM(AD6:AF6)&lt;0, B6,B9))))</f>
        <v>0</v>
      </c>
      <c r="AI6" s="60">
        <f t="shared" si="1"/>
        <v>3</v>
      </c>
      <c r="AJ6" s="61">
        <f t="shared" si="2"/>
        <v>1</v>
      </c>
      <c r="AK6" s="62">
        <f>1+SUM(IF(AJ6&lt;AJ5,1,0),IF(AJ6&lt;AJ7,1,0),IF(AJ6&lt;AJ8,1,0),IF(AJ6&lt;AJ9,1,0))</f>
        <v>2</v>
      </c>
      <c r="AL6" s="63">
        <f t="shared" si="3"/>
        <v>0.5</v>
      </c>
      <c r="AM6" s="62">
        <f>1+SUM(IF(AL6&lt;AL5,1,0),IF(AL6&lt;AL7,1,0),IF(AL6&lt;AL8,1,0),IF(AL6&lt;AL9,1,0))</f>
        <v>2</v>
      </c>
      <c r="AN6" s="64">
        <f t="shared" si="4"/>
        <v>0.5</v>
      </c>
      <c r="AO6" s="65">
        <f>1+SUM(IF(AN6&lt;AN5,1,0),IF(AN6&lt;AN7,1,0),IF(AN6&lt;AN8,1,0),IF(AN6&lt;AN9,1,0))</f>
        <v>3</v>
      </c>
      <c r="AP6" s="66">
        <f t="shared" si="5"/>
        <v>0.125</v>
      </c>
      <c r="AQ6" s="70">
        <f>1+SUM(IF(AP6&lt;AP5,1,0),IF(AP6&lt;AP7,1,0),IF(AP6&lt;AP8,1,0),IF(AP6&lt;AP9,1,0))</f>
        <v>2</v>
      </c>
      <c r="AR6" s="68">
        <f>1+SUM(IF(Q6&gt;Q5,1,IF(AND(Q6=Q5,AK6&gt;AK5),1,IF(AND(Q6=Q5,AK6=AK5),1,0))),IF(Q6&gt;Q7,1,IF(AND(Q6=Q7,AK6&gt;AK7),1,IF(AND(Q6=Q7,AK6=AK7),1,0))),IF(Q6&gt;Q8,1,IF(AND(Q6=Q8,AK6&gt;AK8),1,IF(AND(Q6=Q8,AK6=AK8),1,0))),IF(Q6&gt;Q9,1,IF(AND(Q6=Q9,AK6&gt;AK9),1,IF(AND(Q6=Q9,AK6=AK9),1,0))))</f>
        <v>3</v>
      </c>
    </row>
    <row r="7" spans="1:44" ht="15.75" customHeight="1" x14ac:dyDescent="0.2">
      <c r="A7" s="51">
        <f t="shared" si="0"/>
        <v>5</v>
      </c>
      <c r="B7" s="172" t="str">
        <f>+'Men''s Master'!C6</f>
        <v>NY Impact</v>
      </c>
      <c r="C7" s="173"/>
      <c r="D7" s="173"/>
      <c r="E7" s="171">
        <f>SUM(IF(AG15=C15,1,0),IF(AG17=E17,1,0),IF(AG19=E19,1,0),IF(AG21=C21,1,0))</f>
        <v>0</v>
      </c>
      <c r="F7" s="162"/>
      <c r="G7" s="162"/>
      <c r="H7" s="162"/>
      <c r="I7" s="153"/>
      <c r="J7" s="169">
        <f>SUM(IF(AG15=C15,0,1),IF(AG17=E17,0,1),IF(AG19=E19,0,1),IF(AG21=C21,0,1))</f>
        <v>4</v>
      </c>
      <c r="K7" s="162"/>
      <c r="L7" s="162"/>
      <c r="M7" s="162"/>
      <c r="N7" s="170"/>
      <c r="O7" s="53">
        <f>SUM(IF(AD7&gt;0,1,0),IF(AE7&gt;0,1,0),IF(AF7&gt;0,1,0),IF(U7&gt;0,1,0),IF(V7&gt;0,1,0),IF(W7&gt;0,1,0),IF(R7&gt;0,1,0),IF(S7&gt;0,1,0),IF(T7&gt;0,1,0),IF(AA7&gt;0,1,0),IF(AB7&gt;0,1,0),IF(AC7&gt;0,1,0))</f>
        <v>0</v>
      </c>
      <c r="P7" s="52">
        <f>SUM(IF(AD7&lt;0,1,0),IF(AE7&lt;0,1,0),IF(AF7&lt;0,1,0),IF(U7&lt;0,1,0),IF(V7&lt;0,1,0),IF(W7&lt;0,1,0),IF(R7&lt;0,1,0),IF(S7&lt;0,1,0),IF(T7&lt;0,1,0),IF(AA7&lt;0,1,0),IF(AB7&lt;0,1,0),IF(AC7&lt;0,1,0))</f>
        <v>8</v>
      </c>
      <c r="Q7" s="54">
        <f>1+SUM(IF(O7&lt;O6,1,0),IF(O7&lt;O5,1,0),IF(O7&lt;O8,1,0),IF(O7&lt;O9,1,0))</f>
        <v>5</v>
      </c>
      <c r="R7" s="69">
        <f t="shared" ref="R7:T7" si="7">-X5</f>
        <v>-2</v>
      </c>
      <c r="S7" s="58">
        <f t="shared" si="7"/>
        <v>-2</v>
      </c>
      <c r="T7" s="58">
        <f t="shared" si="7"/>
        <v>0</v>
      </c>
      <c r="U7" s="58">
        <f t="shared" ref="U7:W7" si="8">-X6</f>
        <v>-8</v>
      </c>
      <c r="V7" s="58">
        <f t="shared" si="8"/>
        <v>-2</v>
      </c>
      <c r="W7" s="58">
        <f t="shared" si="8"/>
        <v>0</v>
      </c>
      <c r="X7" s="71"/>
      <c r="Y7" s="71"/>
      <c r="Z7" s="71"/>
      <c r="AA7" s="58">
        <f>Q15-T15</f>
        <v>-3</v>
      </c>
      <c r="AB7" s="58">
        <f>V15-Y15</f>
        <v>-5</v>
      </c>
      <c r="AC7" s="58">
        <f>AA15-AD15</f>
        <v>0</v>
      </c>
      <c r="AD7" s="58">
        <f>Q21-T21</f>
        <v>-16</v>
      </c>
      <c r="AE7" s="58">
        <f>V21-Y21</f>
        <v>-14</v>
      </c>
      <c r="AF7" s="58">
        <f>AA21-AD21</f>
        <v>0</v>
      </c>
      <c r="AG7" s="58" t="b">
        <f>IF(Q7=Q8,IF(SUM(AA7:AC7)&gt;0,B7,B8),IF(Q7=Q9,IF(SUM(AD7:AF7)&gt;0,B7,B9)))</f>
        <v>0</v>
      </c>
      <c r="AH7" s="58" t="b">
        <f>IF(Q7=Q8,IF(SUM(AA7:AC7)&lt;0,B7,B8),IF(Q7=Q9,IF(SUM(AD7:AF7)&lt;0,B7,B9)))</f>
        <v>0</v>
      </c>
      <c r="AI7" s="60">
        <f t="shared" si="1"/>
        <v>5</v>
      </c>
      <c r="AJ7" s="61">
        <f t="shared" si="2"/>
        <v>-52</v>
      </c>
      <c r="AK7" s="62">
        <f>1+SUM(IF(AJ7&lt;AJ6,1,0),IF(AJ7&lt;AJ5,1,0),IF(AJ7&lt;AJ8,1,0),IF(AJ7&lt;AJ9,1,0))</f>
        <v>5</v>
      </c>
      <c r="AL7" s="63">
        <f t="shared" si="3"/>
        <v>0</v>
      </c>
      <c r="AM7" s="62">
        <f>1+SUM(IF(AL7&lt;AL6,1,0),IF(AL7&lt;AL5,1,0),IF(AL7&lt;AL8,1,0),IF(AL7&lt;AL9,1,0))</f>
        <v>5</v>
      </c>
      <c r="AN7" s="64">
        <f t="shared" si="4"/>
        <v>0</v>
      </c>
      <c r="AO7" s="65">
        <f>1+SUM(IF(AN7&lt;AN6,1,0),IF(AN7&lt;AN5,1,0),IF(AN7&lt;AN8,1,0),IF(AN7&lt;AN9,1,0))</f>
        <v>5</v>
      </c>
      <c r="AP7" s="66">
        <f t="shared" si="5"/>
        <v>-6.5</v>
      </c>
      <c r="AQ7" s="70">
        <f>1+SUM(IF(AP7&lt;AP6,1,0),IF(AP7&lt;AP5,1,0),IF(AP7&lt;AP8,1,0),IF(AP7&lt;AP9,1,0))</f>
        <v>5</v>
      </c>
      <c r="AR7" s="68">
        <f>1+SUM(IF(Q7&gt;Q5,1,IF(AND(Q7=Q5,AK7&gt;AK5),1,IF(AND(Q7=Q5,AK7=AK5),1,0))),IF(Q7&gt;Q6,1,IF(AND(Q7=Q6,AK7&gt;AK6),1,IF(AND(Q7=Q6,AK7=AK6),1,0))),IF(Q7&gt;Q8,1,IF(AND(Q7=Q8,AK7&gt;AK8),1,IF(AND(Q7=Q8,AK7=AK8),1,0))),IF(Q7&gt;Q9,1,IF(AND(Q7=Q9,AK7&gt;AK9),1,IF(AND(Q7=Q9,AK7=AK9),1,0))))</f>
        <v>5</v>
      </c>
    </row>
    <row r="8" spans="1:44" ht="15.75" customHeight="1" x14ac:dyDescent="0.2">
      <c r="A8" s="51">
        <f t="shared" si="0"/>
        <v>2</v>
      </c>
      <c r="B8" s="172" t="str">
        <f>+'Men''s Master'!C7</f>
        <v>NY Panda Glass</v>
      </c>
      <c r="C8" s="173"/>
      <c r="D8" s="173"/>
      <c r="E8" s="171">
        <f>SUM(IF(AG15=E15,1,0),IF(AG18=C18,1,0),IF(AG20=E20,1,0),IF(AG22=E22,1,0))</f>
        <v>2</v>
      </c>
      <c r="F8" s="162"/>
      <c r="G8" s="162"/>
      <c r="H8" s="162"/>
      <c r="I8" s="153"/>
      <c r="J8" s="169">
        <f>SUM(IF(AG15=E15,0,1),IF(AG18=C18,0,1),IF(AG20=E20,0,1),IF(AG22=E22,0,1))</f>
        <v>2</v>
      </c>
      <c r="K8" s="162"/>
      <c r="L8" s="162"/>
      <c r="M8" s="162"/>
      <c r="N8" s="170"/>
      <c r="O8" s="53">
        <f>SUM(IF(AD8&gt;0,1,0),IF(AE8&gt;0,1,0),IF(AF8&gt;0,1,0),IF(U8&gt;0,1,0),IF(V8&gt;0,1,0),IF(W8&gt;0,1,0),IF(X8&gt;0,1,0),IF(Y8&gt;0,1,0),IF(Z8&gt;0,1,0),IF(R8&gt;0,1,0),IF(S8&gt;0,1,0),IF(T8&gt;0,1,0))</f>
        <v>5</v>
      </c>
      <c r="P8" s="52">
        <f>SUM(IF(AD8&lt;0,1,0),IF(AE8&lt;0,1,0),IF(AF8&lt;0,1,0),IF(U8&lt;0,1,0),IF(V8&lt;0,1,0),IF(W8&lt;0,1,0),IF(R8&lt;0,1,0),IF(S8&lt;0,1,0),IF(T8&lt;0,1,0),IF(X8&lt;0,1,0),IF(Y8&lt;0,1,0),IF(Z8&lt;0,1,0))</f>
        <v>3</v>
      </c>
      <c r="Q8" s="54">
        <f>1+SUM(IF(O8&lt;O6,1,0),IF(O8&lt;O7,1,0),IF(O8&lt;O5,1,0),IF(O8&lt;O9,1,0))</f>
        <v>2</v>
      </c>
      <c r="R8" s="69">
        <f t="shared" ref="R8:T8" si="9">-AA5</f>
        <v>1</v>
      </c>
      <c r="S8" s="58">
        <f t="shared" si="9"/>
        <v>-2</v>
      </c>
      <c r="T8" s="58">
        <f t="shared" si="9"/>
        <v>0</v>
      </c>
      <c r="U8" s="58">
        <f t="shared" ref="U8:W8" si="10">-AA6</f>
        <v>2</v>
      </c>
      <c r="V8" s="58">
        <f t="shared" si="10"/>
        <v>3</v>
      </c>
      <c r="W8" s="58">
        <f t="shared" si="10"/>
        <v>0</v>
      </c>
      <c r="X8" s="58">
        <f t="shared" ref="X8:Z8" si="11">-AA7</f>
        <v>3</v>
      </c>
      <c r="Y8" s="58">
        <f t="shared" si="11"/>
        <v>5</v>
      </c>
      <c r="Z8" s="58">
        <f t="shared" si="11"/>
        <v>0</v>
      </c>
      <c r="AA8" s="71"/>
      <c r="AB8" s="71"/>
      <c r="AC8" s="71"/>
      <c r="AD8" s="58">
        <f>Q18-T18</f>
        <v>-8</v>
      </c>
      <c r="AE8" s="58">
        <f>V18-Y18</f>
        <v>-9</v>
      </c>
      <c r="AF8" s="58">
        <f>AA18-AD18</f>
        <v>0</v>
      </c>
      <c r="AG8" s="58" t="b">
        <f>IF(Q8=Q9,IF(SUM(AD8:AF8)&gt;0,B8,B9))</f>
        <v>0</v>
      </c>
      <c r="AH8" s="58" t="b">
        <f>IF(R8=R9,IF(SUM(AE8:AG8)&lt;0,C8,C9))</f>
        <v>0</v>
      </c>
      <c r="AI8" s="60">
        <f t="shared" si="1"/>
        <v>2</v>
      </c>
      <c r="AJ8" s="61">
        <f t="shared" si="2"/>
        <v>-5</v>
      </c>
      <c r="AK8" s="72">
        <f>1+SUM(IF(AJ8&lt;AJ6,1,0),IF(AJ8&lt;AJ7,1,0),IF(AJ8&lt;AJ5,1,0),IF(AJ8&lt;AJ9,1,0))</f>
        <v>3</v>
      </c>
      <c r="AL8" s="63">
        <f t="shared" si="3"/>
        <v>0.5</v>
      </c>
      <c r="AM8" s="72">
        <f>1+SUM(IF(AL8&lt;AL6,1,0),IF(AL8&lt;AL7,1,0),IF(AL8&lt;AL5,1,0),IF(AL8&lt;AL9,1,0))</f>
        <v>2</v>
      </c>
      <c r="AN8" s="64">
        <f t="shared" si="4"/>
        <v>0.625</v>
      </c>
      <c r="AO8" s="65">
        <f>1+SUM(IF(AN8&lt;AN6,1,0),IF(AN8&lt;AN7,1,0),IF(AN8&lt;AN5,1,0),IF(AN8&lt;AN9,1,0))</f>
        <v>2</v>
      </c>
      <c r="AP8" s="66">
        <f t="shared" si="5"/>
        <v>-0.625</v>
      </c>
      <c r="AQ8" s="73">
        <f>1+SUM(IF(AP8&lt;AP6,1,0),IF(AP8&lt;AP7,1,0),IF(AP8&lt;AP5,1,0),IF(AP8&lt;AP9,1,0))</f>
        <v>3</v>
      </c>
      <c r="AR8" s="68">
        <f>1+SUM(IF(Q8&gt;Q5,1,IF(AND(Q8=Q5,AK8&gt;AK5),1,IF(AND(Q8=Q5,AK8=AK5),1,0))),IF(Q8&gt;Q6,1,IF(AND(Q8=Q6,AK8&gt;AK6),1,IF(AND(Q8=Q6,AK8=AK6),1,0))),IF(Q8&gt;Q7,1,IF(AND(Q8=Q7,AK8&gt;AK7),1,IF(AND(Q8=Q7,AK8=AK7),1,0))),IF(Q8&gt;Q9,1,IF(AND(Q8=Q9,AK8&gt;AK9),1,IF(AND(Q8=Q9,AK8=AK9),1,0))))</f>
        <v>2</v>
      </c>
    </row>
    <row r="9" spans="1:44" ht="15.75" customHeight="1" x14ac:dyDescent="0.2">
      <c r="A9" s="51">
        <f t="shared" si="0"/>
        <v>1</v>
      </c>
      <c r="B9" s="172" t="str">
        <f>+'Men''s Master'!C8</f>
        <v>Toronto Ngun Lam Red</v>
      </c>
      <c r="C9" s="173"/>
      <c r="D9" s="173"/>
      <c r="E9" s="171">
        <f>SUM(IF(AG16=E16,1,0),IF(AG18=E18,1,0),IF(AG21=E21,1,0),IF(AG23=E23,1,0))</f>
        <v>4</v>
      </c>
      <c r="F9" s="162"/>
      <c r="G9" s="162"/>
      <c r="H9" s="162"/>
      <c r="I9" s="153"/>
      <c r="J9" s="169">
        <f>SUM(IF(AG16=E16,0,1),IF(AG18=E18,0,1),IF(AG21=E21,0,1),IF(AG23=E23,0,1))</f>
        <v>0</v>
      </c>
      <c r="K9" s="162"/>
      <c r="L9" s="162"/>
      <c r="M9" s="162"/>
      <c r="N9" s="170"/>
      <c r="O9" s="53">
        <f>SUM(IF(R9&gt;0,1,0),IF(S9&gt;0,1,0),IF(T9&gt;0,1,0),IF(U9&gt;0,1,0),IF(V9&gt;0,1,0),IF(W9&gt;0,1,0),IF(X9&gt;0,1,0),IF(Y9&gt;0,1,0),IF(Z9&gt;0,1,0),IF(AA9&gt;0,1,0),IF(AB9&gt;0,1,0),IF(AC9&gt;0,1,0))</f>
        <v>8</v>
      </c>
      <c r="P9" s="52">
        <f>SUM(IF(R9&lt;0,1,0),IF(S9&lt;0,1,0),IF(T9&lt;0,1,0),IF(U9&lt;0,1,0),IF(V9&lt;0,1,0),IF(W9&lt;0,1,0),IF(X9&lt;0,1,0),IF(Y9&lt;0,1,0),IF(Z9&lt;0,1,0),IF(AA9&lt;0,1,0),IF(AB9&lt;0,1,0),IF(AC9&lt;0,1,0))</f>
        <v>0</v>
      </c>
      <c r="Q9" s="54">
        <f>1+SUM(IF(O9&lt;O6,1,0),IF(O9&lt;O7,1,0),IF(O9&lt;O8,1,0),IF(O9&lt;O5,1,0))</f>
        <v>1</v>
      </c>
      <c r="R9" s="74">
        <f t="shared" ref="R9:T9" si="12">-AD5</f>
        <v>9</v>
      </c>
      <c r="S9" s="75">
        <f t="shared" si="12"/>
        <v>7</v>
      </c>
      <c r="T9" s="75">
        <f t="shared" si="12"/>
        <v>0</v>
      </c>
      <c r="U9" s="75">
        <f t="shared" ref="U9:W9" si="13">-AD6</f>
        <v>8</v>
      </c>
      <c r="V9" s="75">
        <f t="shared" si="13"/>
        <v>10</v>
      </c>
      <c r="W9" s="75">
        <f t="shared" si="13"/>
        <v>0</v>
      </c>
      <c r="X9" s="75">
        <f t="shared" ref="X9:Z9" si="14">-AD7</f>
        <v>16</v>
      </c>
      <c r="Y9" s="75">
        <f t="shared" si="14"/>
        <v>14</v>
      </c>
      <c r="Z9" s="75">
        <f t="shared" si="14"/>
        <v>0</v>
      </c>
      <c r="AA9" s="75">
        <f t="shared" ref="AA9:AC9" si="15">-AD8</f>
        <v>8</v>
      </c>
      <c r="AB9" s="75">
        <f t="shared" si="15"/>
        <v>9</v>
      </c>
      <c r="AC9" s="75">
        <f t="shared" si="15"/>
        <v>0</v>
      </c>
      <c r="AD9" s="76"/>
      <c r="AE9" s="76"/>
      <c r="AF9" s="76"/>
      <c r="AG9" s="77" t="s">
        <v>168</v>
      </c>
      <c r="AH9" s="77" t="s">
        <v>168</v>
      </c>
      <c r="AI9" s="60">
        <f t="shared" si="1"/>
        <v>1</v>
      </c>
      <c r="AJ9" s="78">
        <f t="shared" si="2"/>
        <v>81</v>
      </c>
      <c r="AK9" s="72">
        <f>1+SUM(IF(AJ9&lt;AJ6,1,0),IF(AJ9&lt;AJ7,1,0),IF(AJ9&lt;AJ8,1,0),IF(AJ9&lt;AJ5,1,0))</f>
        <v>1</v>
      </c>
      <c r="AL9" s="79">
        <f t="shared" si="3"/>
        <v>1</v>
      </c>
      <c r="AM9" s="72">
        <f>1+SUM(IF(AL9&lt;AL6,1,0),IF(AL9&lt;AL7,1,0),IF(AL9&lt;AL8,1,0),IF(AL9&lt;AL5,1,0))</f>
        <v>1</v>
      </c>
      <c r="AN9" s="64">
        <f t="shared" si="4"/>
        <v>1</v>
      </c>
      <c r="AO9" s="65">
        <f>1+SUM(IF(AN9&lt;AN6,1,0),IF(AN9&lt;AN7,1,0),IF(AN9&lt;AN8,1,0),IF(AN9&lt;AN5,1,0))</f>
        <v>1</v>
      </c>
      <c r="AP9" s="66">
        <f t="shared" si="5"/>
        <v>10.125</v>
      </c>
      <c r="AQ9" s="73">
        <f>1+SUM(IF(AP9&lt;AP6,1,0),IF(AP9&lt;AP7,1,0),IF(AP9&lt;AP8,1,0),IF(AP9&lt;AP5,1,0))</f>
        <v>1</v>
      </c>
      <c r="AR9" s="68">
        <f>1+SUM(IF(Q9&gt;Q5,1,IF(AND(Q9=Q5,AK9&gt;AK5),1,IF(AND(Q9=Q5,AK9=AK5),1,0))),IF(Q9&gt;Q6,1,IF(AND(Q9=Q6,AK9&gt;AK6),1,IF(AND(Q9=Q6,AK9=AK6),1,0))),IF(Q9&gt;Q7,1,IF(AND(Q9=Q7,AK9&gt;AK7),1,IF(AND(Q9=Q7,AK9=AK7),1,0))),IF(Q9&gt;Q8,1,IF(AND(Q9=Q8,AK9&gt;AK8),1,IF(AND(Q9=Q8,AK9=AK8),1,0))))</f>
        <v>1</v>
      </c>
    </row>
    <row r="10" spans="1:44" ht="12.75" customHeight="1" x14ac:dyDescent="0.2">
      <c r="A10" s="174"/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80"/>
      <c r="AI10" s="41"/>
      <c r="AJ10" s="41"/>
      <c r="AK10" s="41"/>
      <c r="AL10" s="41"/>
      <c r="AM10" s="41"/>
      <c r="AN10" s="41"/>
      <c r="AO10" s="5"/>
      <c r="AP10" s="5"/>
      <c r="AQ10" s="5"/>
      <c r="AR10" s="5"/>
    </row>
    <row r="11" spans="1:44" ht="12.75" customHeight="1" x14ac:dyDescent="0.2">
      <c r="A11" s="136"/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80"/>
      <c r="AI11" s="41"/>
      <c r="AJ11" s="41"/>
      <c r="AK11" s="41"/>
      <c r="AL11" s="41"/>
      <c r="AM11" s="41"/>
      <c r="AN11" s="41"/>
      <c r="AO11" s="5"/>
      <c r="AP11" s="5"/>
      <c r="AQ11" s="5"/>
      <c r="AR11" s="5"/>
    </row>
    <row r="12" spans="1:44" ht="13.5" customHeight="1" x14ac:dyDescent="0.2">
      <c r="A12" s="136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80"/>
      <c r="AI12" s="41"/>
      <c r="AJ12" s="41"/>
      <c r="AK12" s="41"/>
      <c r="AL12" s="41"/>
      <c r="AM12" s="41"/>
      <c r="AN12" s="41"/>
      <c r="AO12" s="5"/>
      <c r="AP12" s="5"/>
      <c r="AQ12" s="5"/>
      <c r="AR12" s="5"/>
    </row>
    <row r="13" spans="1:44" ht="13.5" customHeight="1" x14ac:dyDescent="0.2">
      <c r="A13" s="167"/>
      <c r="B13" s="136"/>
      <c r="C13" s="81" t="s">
        <v>169</v>
      </c>
      <c r="D13" s="82" t="s">
        <v>170</v>
      </c>
      <c r="E13" s="165" t="s">
        <v>169</v>
      </c>
      <c r="F13" s="156"/>
      <c r="G13" s="156"/>
      <c r="H13" s="156"/>
      <c r="I13" s="156"/>
      <c r="J13" s="156"/>
      <c r="K13" s="156"/>
      <c r="L13" s="156"/>
      <c r="M13" s="166"/>
      <c r="N13" s="176" t="s">
        <v>171</v>
      </c>
      <c r="O13" s="177"/>
      <c r="P13" s="178"/>
      <c r="Q13" s="155" t="s">
        <v>172</v>
      </c>
      <c r="R13" s="156"/>
      <c r="S13" s="156"/>
      <c r="T13" s="156"/>
      <c r="U13" s="166"/>
      <c r="V13" s="175" t="s">
        <v>173</v>
      </c>
      <c r="W13" s="156"/>
      <c r="X13" s="156"/>
      <c r="Y13" s="156"/>
      <c r="Z13" s="166"/>
      <c r="AA13" s="155" t="s">
        <v>174</v>
      </c>
      <c r="AB13" s="156"/>
      <c r="AC13" s="156"/>
      <c r="AD13" s="156"/>
      <c r="AE13" s="157"/>
      <c r="AF13" s="83"/>
      <c r="AG13" s="84" t="s">
        <v>175</v>
      </c>
      <c r="AH13" s="49" t="s">
        <v>176</v>
      </c>
      <c r="AI13" s="158" t="s">
        <v>177</v>
      </c>
      <c r="AJ13" s="159"/>
      <c r="AK13" s="41"/>
      <c r="AL13" s="5"/>
      <c r="AM13" s="5"/>
      <c r="AN13" s="5"/>
      <c r="AO13" s="5"/>
      <c r="AP13" s="5"/>
      <c r="AQ13" s="5"/>
      <c r="AR13" s="5"/>
    </row>
    <row r="14" spans="1:44" ht="15.75" customHeight="1" x14ac:dyDescent="0.2">
      <c r="A14" s="85">
        <v>1</v>
      </c>
      <c r="B14" s="86">
        <v>1</v>
      </c>
      <c r="C14" s="117" t="str">
        <f>+B5</f>
        <v>Boston Knights X</v>
      </c>
      <c r="D14" s="88">
        <v>2</v>
      </c>
      <c r="E14" s="161" t="str">
        <f>+B6</f>
        <v>DC Yee Fung Toy Thunder A</v>
      </c>
      <c r="F14" s="162"/>
      <c r="G14" s="162"/>
      <c r="H14" s="162"/>
      <c r="I14" s="162"/>
      <c r="J14" s="162"/>
      <c r="K14" s="162"/>
      <c r="L14" s="162"/>
      <c r="M14" s="153"/>
      <c r="N14" s="89">
        <v>3</v>
      </c>
      <c r="O14" s="160" t="str">
        <f>+B7</f>
        <v>NY Impact</v>
      </c>
      <c r="P14" s="153"/>
      <c r="Q14" s="196">
        <v>12</v>
      </c>
      <c r="R14" s="143"/>
      <c r="S14" s="91">
        <v>0</v>
      </c>
      <c r="T14" s="151">
        <v>21</v>
      </c>
      <c r="U14" s="143"/>
      <c r="V14" s="154">
        <v>16</v>
      </c>
      <c r="W14" s="143"/>
      <c r="X14" s="92">
        <v>0</v>
      </c>
      <c r="Y14" s="154">
        <v>21</v>
      </c>
      <c r="Z14" s="143"/>
      <c r="AA14" s="152"/>
      <c r="AB14" s="153"/>
      <c r="AC14" s="93" t="s">
        <v>178</v>
      </c>
      <c r="AD14" s="152"/>
      <c r="AE14" s="153"/>
      <c r="AF14" s="94"/>
      <c r="AG14" s="104" t="str">
        <f t="shared" ref="AG14:AG23" si="16">IF(AND(Q14&gt;T14,V14&gt;Y14),C14, IF(AND(T14&gt;Q14,Y14&gt;V14),E14, IF((Q14)+(V14)+(AA14)-(T14)-(Y14)-(AD14)&gt;0,C14,E14)))</f>
        <v>DC Yee Fung Toy Thunder A</v>
      </c>
      <c r="AH14" s="96">
        <f t="shared" ref="AH14:AH23" si="17">(Q14)+(V14)+(AA14)-(T14)-(Y14)-(AD14)</f>
        <v>-14</v>
      </c>
      <c r="AI14" s="147">
        <v>0.375</v>
      </c>
      <c r="AJ14" s="148"/>
      <c r="AK14" s="5"/>
      <c r="AL14" s="5"/>
      <c r="AM14" s="5"/>
      <c r="AN14" s="5"/>
      <c r="AO14" s="5"/>
      <c r="AP14" s="5"/>
      <c r="AQ14" s="5"/>
      <c r="AR14" s="5"/>
    </row>
    <row r="15" spans="1:44" ht="15.75" customHeight="1" x14ac:dyDescent="0.2">
      <c r="A15" s="97">
        <v>2</v>
      </c>
      <c r="B15" s="98">
        <v>3</v>
      </c>
      <c r="C15" s="99" t="str">
        <f>+B7</f>
        <v>NY Impact</v>
      </c>
      <c r="D15" s="61">
        <v>4</v>
      </c>
      <c r="E15" s="163" t="str">
        <f t="shared" ref="E15:E16" si="18">+B8</f>
        <v>NY Panda Glass</v>
      </c>
      <c r="F15" s="164"/>
      <c r="G15" s="164"/>
      <c r="H15" s="164"/>
      <c r="I15" s="164"/>
      <c r="J15" s="164"/>
      <c r="K15" s="164"/>
      <c r="L15" s="164"/>
      <c r="M15" s="143"/>
      <c r="N15" s="100">
        <v>2</v>
      </c>
      <c r="O15" s="168" t="str">
        <f>+B6</f>
        <v>DC Yee Fung Toy Thunder A</v>
      </c>
      <c r="P15" s="143"/>
      <c r="Q15" s="195">
        <v>18</v>
      </c>
      <c r="R15" s="141"/>
      <c r="S15" s="101">
        <v>0</v>
      </c>
      <c r="T15" s="144">
        <v>21</v>
      </c>
      <c r="U15" s="141"/>
      <c r="V15" s="140">
        <v>16</v>
      </c>
      <c r="W15" s="141"/>
      <c r="X15" s="102">
        <v>0</v>
      </c>
      <c r="Y15" s="140">
        <v>21</v>
      </c>
      <c r="Z15" s="141"/>
      <c r="AA15" s="142"/>
      <c r="AB15" s="143"/>
      <c r="AC15" s="103" t="s">
        <v>178</v>
      </c>
      <c r="AD15" s="142"/>
      <c r="AE15" s="143"/>
      <c r="AF15" s="94"/>
      <c r="AG15" s="104" t="str">
        <f t="shared" si="16"/>
        <v>NY Panda Glass</v>
      </c>
      <c r="AH15" s="96">
        <f t="shared" si="17"/>
        <v>-8</v>
      </c>
      <c r="AI15" s="149">
        <v>0.40972222222222227</v>
      </c>
      <c r="AJ15" s="150"/>
      <c r="AK15" s="5"/>
      <c r="AL15" s="5"/>
      <c r="AM15" s="5"/>
      <c r="AN15" s="5"/>
      <c r="AO15" s="5"/>
      <c r="AP15" s="5"/>
      <c r="AQ15" s="5"/>
      <c r="AR15" s="5"/>
    </row>
    <row r="16" spans="1:44" ht="15.75" customHeight="1" x14ac:dyDescent="0.2">
      <c r="A16" s="97">
        <v>3</v>
      </c>
      <c r="B16" s="98">
        <v>1</v>
      </c>
      <c r="C16" s="99" t="str">
        <f t="shared" ref="C16:C17" si="19">+B5</f>
        <v>Boston Knights X</v>
      </c>
      <c r="D16" s="61">
        <v>5</v>
      </c>
      <c r="E16" s="163" t="str">
        <f t="shared" si="18"/>
        <v>Toronto Ngun Lam Red</v>
      </c>
      <c r="F16" s="164"/>
      <c r="G16" s="164"/>
      <c r="H16" s="164"/>
      <c r="I16" s="164"/>
      <c r="J16" s="164"/>
      <c r="K16" s="164"/>
      <c r="L16" s="164"/>
      <c r="M16" s="143"/>
      <c r="N16" s="100">
        <v>4</v>
      </c>
      <c r="O16" s="168" t="str">
        <f>+B8</f>
        <v>NY Panda Glass</v>
      </c>
      <c r="P16" s="143"/>
      <c r="Q16" s="195">
        <v>12</v>
      </c>
      <c r="R16" s="141"/>
      <c r="S16" s="101">
        <v>0</v>
      </c>
      <c r="T16" s="144">
        <v>21</v>
      </c>
      <c r="U16" s="141"/>
      <c r="V16" s="140">
        <v>14</v>
      </c>
      <c r="W16" s="141"/>
      <c r="X16" s="102">
        <v>0</v>
      </c>
      <c r="Y16" s="140">
        <v>21</v>
      </c>
      <c r="Z16" s="141"/>
      <c r="AA16" s="142"/>
      <c r="AB16" s="143"/>
      <c r="AC16" s="103" t="s">
        <v>178</v>
      </c>
      <c r="AD16" s="142"/>
      <c r="AE16" s="143"/>
      <c r="AF16" s="94"/>
      <c r="AG16" s="104" t="str">
        <f t="shared" si="16"/>
        <v>Toronto Ngun Lam Red</v>
      </c>
      <c r="AH16" s="96">
        <f t="shared" si="17"/>
        <v>-16</v>
      </c>
      <c r="AI16" s="149">
        <v>0.44444444444444442</v>
      </c>
      <c r="AJ16" s="150"/>
      <c r="AK16" s="5"/>
      <c r="AL16" s="5"/>
      <c r="AM16" s="5"/>
      <c r="AN16" s="5"/>
      <c r="AO16" s="5"/>
      <c r="AP16" s="5"/>
      <c r="AQ16" s="5"/>
      <c r="AR16" s="5"/>
    </row>
    <row r="17" spans="1:44" ht="15.75" customHeight="1" x14ac:dyDescent="0.2">
      <c r="A17" s="97">
        <v>4</v>
      </c>
      <c r="B17" s="98">
        <v>2</v>
      </c>
      <c r="C17" s="99" t="str">
        <f t="shared" si="19"/>
        <v>DC Yee Fung Toy Thunder A</v>
      </c>
      <c r="D17" s="61">
        <v>3</v>
      </c>
      <c r="E17" s="163" t="str">
        <f>+B7</f>
        <v>NY Impact</v>
      </c>
      <c r="F17" s="164"/>
      <c r="G17" s="164"/>
      <c r="H17" s="164"/>
      <c r="I17" s="164"/>
      <c r="J17" s="164"/>
      <c r="K17" s="164"/>
      <c r="L17" s="164"/>
      <c r="M17" s="143"/>
      <c r="N17" s="100">
        <v>1</v>
      </c>
      <c r="O17" s="168" t="str">
        <f>+B5</f>
        <v>Boston Knights X</v>
      </c>
      <c r="P17" s="143"/>
      <c r="Q17" s="195">
        <v>21</v>
      </c>
      <c r="R17" s="141"/>
      <c r="S17" s="101">
        <v>0</v>
      </c>
      <c r="T17" s="144">
        <v>13</v>
      </c>
      <c r="U17" s="141"/>
      <c r="V17" s="140">
        <v>21</v>
      </c>
      <c r="W17" s="141"/>
      <c r="X17" s="102">
        <v>0</v>
      </c>
      <c r="Y17" s="140">
        <v>19</v>
      </c>
      <c r="Z17" s="141"/>
      <c r="AA17" s="142"/>
      <c r="AB17" s="143"/>
      <c r="AC17" s="103" t="s">
        <v>178</v>
      </c>
      <c r="AD17" s="142"/>
      <c r="AE17" s="143"/>
      <c r="AF17" s="94"/>
      <c r="AG17" s="104" t="str">
        <f t="shared" si="16"/>
        <v>DC Yee Fung Toy Thunder A</v>
      </c>
      <c r="AH17" s="96">
        <f t="shared" si="17"/>
        <v>10</v>
      </c>
      <c r="AI17" s="149">
        <v>0.47916666666666669</v>
      </c>
      <c r="AJ17" s="150"/>
      <c r="AK17" s="5"/>
      <c r="AL17" s="5"/>
      <c r="AM17" s="5"/>
      <c r="AN17" s="5"/>
      <c r="AO17" s="5"/>
      <c r="AP17" s="5"/>
      <c r="AQ17" s="5"/>
      <c r="AR17" s="5"/>
    </row>
    <row r="18" spans="1:44" ht="15.75" customHeight="1" x14ac:dyDescent="0.2">
      <c r="A18" s="97">
        <v>5</v>
      </c>
      <c r="B18" s="98">
        <v>4</v>
      </c>
      <c r="C18" s="99" t="str">
        <f>+B8</f>
        <v>NY Panda Glass</v>
      </c>
      <c r="D18" s="61">
        <v>5</v>
      </c>
      <c r="E18" s="163" t="str">
        <f>+B9</f>
        <v>Toronto Ngun Lam Red</v>
      </c>
      <c r="F18" s="164"/>
      <c r="G18" s="164"/>
      <c r="H18" s="164"/>
      <c r="I18" s="164"/>
      <c r="J18" s="164"/>
      <c r="K18" s="164"/>
      <c r="L18" s="164"/>
      <c r="M18" s="143"/>
      <c r="N18" s="100">
        <v>3</v>
      </c>
      <c r="O18" s="168" t="str">
        <f>+B7</f>
        <v>NY Impact</v>
      </c>
      <c r="P18" s="143"/>
      <c r="Q18" s="195">
        <v>13</v>
      </c>
      <c r="R18" s="141"/>
      <c r="S18" s="101">
        <v>0</v>
      </c>
      <c r="T18" s="144">
        <v>21</v>
      </c>
      <c r="U18" s="141"/>
      <c r="V18" s="140">
        <v>12</v>
      </c>
      <c r="W18" s="141"/>
      <c r="X18" s="102">
        <v>0</v>
      </c>
      <c r="Y18" s="140">
        <v>21</v>
      </c>
      <c r="Z18" s="141"/>
      <c r="AA18" s="142"/>
      <c r="AB18" s="143"/>
      <c r="AC18" s="103" t="s">
        <v>178</v>
      </c>
      <c r="AD18" s="142"/>
      <c r="AE18" s="143"/>
      <c r="AF18" s="94"/>
      <c r="AG18" s="104" t="str">
        <f t="shared" si="16"/>
        <v>Toronto Ngun Lam Red</v>
      </c>
      <c r="AH18" s="96">
        <f t="shared" si="17"/>
        <v>-17</v>
      </c>
      <c r="AI18" s="149">
        <v>0.53472222222222221</v>
      </c>
      <c r="AJ18" s="150"/>
      <c r="AK18" s="5"/>
      <c r="AL18" s="5"/>
      <c r="AM18" s="5"/>
      <c r="AN18" s="5"/>
      <c r="AO18" s="5"/>
      <c r="AP18" s="5"/>
      <c r="AQ18" s="5"/>
      <c r="AR18" s="5"/>
    </row>
    <row r="19" spans="1:44" ht="15.75" customHeight="1" x14ac:dyDescent="0.2">
      <c r="A19" s="97">
        <v>6</v>
      </c>
      <c r="B19" s="98">
        <v>1</v>
      </c>
      <c r="C19" s="99" t="str">
        <f t="shared" ref="C19:C21" si="20">+B5</f>
        <v>Boston Knights X</v>
      </c>
      <c r="D19" s="61">
        <v>3</v>
      </c>
      <c r="E19" s="163" t="str">
        <f t="shared" ref="E19:E21" si="21">+B7</f>
        <v>NY Impact</v>
      </c>
      <c r="F19" s="164"/>
      <c r="G19" s="164"/>
      <c r="H19" s="164"/>
      <c r="I19" s="164"/>
      <c r="J19" s="164"/>
      <c r="K19" s="164"/>
      <c r="L19" s="164"/>
      <c r="M19" s="143"/>
      <c r="N19" s="100">
        <v>5</v>
      </c>
      <c r="O19" s="168" t="str">
        <f>+B9</f>
        <v>Toronto Ngun Lam Red</v>
      </c>
      <c r="P19" s="143"/>
      <c r="Q19" s="195">
        <v>22</v>
      </c>
      <c r="R19" s="141"/>
      <c r="S19" s="101">
        <v>0</v>
      </c>
      <c r="T19" s="144">
        <v>20</v>
      </c>
      <c r="U19" s="141"/>
      <c r="V19" s="140">
        <v>22</v>
      </c>
      <c r="W19" s="141"/>
      <c r="X19" s="102">
        <v>0</v>
      </c>
      <c r="Y19" s="140">
        <v>20</v>
      </c>
      <c r="Z19" s="141"/>
      <c r="AA19" s="142"/>
      <c r="AB19" s="143"/>
      <c r="AC19" s="103" t="s">
        <v>178</v>
      </c>
      <c r="AD19" s="142"/>
      <c r="AE19" s="143"/>
      <c r="AF19" s="94"/>
      <c r="AG19" s="104" t="str">
        <f t="shared" si="16"/>
        <v>Boston Knights X</v>
      </c>
      <c r="AH19" s="96">
        <f t="shared" si="17"/>
        <v>4</v>
      </c>
      <c r="AI19" s="149">
        <v>6.9444444444444434E-2</v>
      </c>
      <c r="AJ19" s="150"/>
      <c r="AK19" s="5"/>
      <c r="AL19" s="5"/>
      <c r="AM19" s="5"/>
      <c r="AN19" s="5"/>
      <c r="AO19" s="5"/>
      <c r="AP19" s="5"/>
      <c r="AQ19" s="5"/>
      <c r="AR19" s="5"/>
    </row>
    <row r="20" spans="1:44" ht="15.75" customHeight="1" x14ac:dyDescent="0.2">
      <c r="A20" s="97">
        <v>7</v>
      </c>
      <c r="B20" s="98">
        <v>2</v>
      </c>
      <c r="C20" s="99" t="str">
        <f t="shared" si="20"/>
        <v>DC Yee Fung Toy Thunder A</v>
      </c>
      <c r="D20" s="61">
        <v>4</v>
      </c>
      <c r="E20" s="163" t="str">
        <f t="shared" si="21"/>
        <v>NY Panda Glass</v>
      </c>
      <c r="F20" s="164"/>
      <c r="G20" s="164"/>
      <c r="H20" s="164"/>
      <c r="I20" s="164"/>
      <c r="J20" s="164"/>
      <c r="K20" s="164"/>
      <c r="L20" s="164"/>
      <c r="M20" s="143"/>
      <c r="N20" s="100">
        <v>1</v>
      </c>
      <c r="O20" s="168" t="str">
        <f t="shared" ref="O20:O21" si="22">+B5</f>
        <v>Boston Knights X</v>
      </c>
      <c r="P20" s="143"/>
      <c r="Q20" s="195">
        <v>21</v>
      </c>
      <c r="R20" s="141"/>
      <c r="S20" s="101">
        <v>0</v>
      </c>
      <c r="T20" s="144">
        <v>23</v>
      </c>
      <c r="U20" s="141"/>
      <c r="V20" s="140">
        <v>18</v>
      </c>
      <c r="W20" s="141"/>
      <c r="X20" s="102">
        <v>0</v>
      </c>
      <c r="Y20" s="140">
        <v>21</v>
      </c>
      <c r="Z20" s="141"/>
      <c r="AA20" s="142"/>
      <c r="AB20" s="143"/>
      <c r="AC20" s="103" t="s">
        <v>178</v>
      </c>
      <c r="AD20" s="142"/>
      <c r="AE20" s="143"/>
      <c r="AF20" s="94"/>
      <c r="AG20" s="104" t="str">
        <f t="shared" si="16"/>
        <v>NY Panda Glass</v>
      </c>
      <c r="AH20" s="96">
        <f t="shared" si="17"/>
        <v>-5</v>
      </c>
      <c r="AI20" s="149">
        <v>0.10416666666666667</v>
      </c>
      <c r="AJ20" s="150"/>
      <c r="AK20" s="5"/>
      <c r="AL20" s="5"/>
      <c r="AM20" s="5"/>
      <c r="AN20" s="5"/>
      <c r="AO20" s="5"/>
      <c r="AP20" s="5"/>
      <c r="AQ20" s="5"/>
      <c r="AR20" s="5"/>
    </row>
    <row r="21" spans="1:44" ht="15.75" customHeight="1" x14ac:dyDescent="0.2">
      <c r="A21" s="97">
        <v>8</v>
      </c>
      <c r="B21" s="98">
        <v>3</v>
      </c>
      <c r="C21" s="99" t="str">
        <f t="shared" si="20"/>
        <v>NY Impact</v>
      </c>
      <c r="D21" s="61">
        <v>5</v>
      </c>
      <c r="E21" s="163" t="str">
        <f t="shared" si="21"/>
        <v>Toronto Ngun Lam Red</v>
      </c>
      <c r="F21" s="164"/>
      <c r="G21" s="164"/>
      <c r="H21" s="164"/>
      <c r="I21" s="164"/>
      <c r="J21" s="164"/>
      <c r="K21" s="164"/>
      <c r="L21" s="164"/>
      <c r="M21" s="143"/>
      <c r="N21" s="100">
        <v>2</v>
      </c>
      <c r="O21" s="168" t="str">
        <f t="shared" si="22"/>
        <v>DC Yee Fung Toy Thunder A</v>
      </c>
      <c r="P21" s="143"/>
      <c r="Q21" s="195">
        <v>5</v>
      </c>
      <c r="R21" s="141"/>
      <c r="S21" s="101">
        <v>0</v>
      </c>
      <c r="T21" s="144">
        <v>21</v>
      </c>
      <c r="U21" s="141"/>
      <c r="V21" s="140">
        <v>7</v>
      </c>
      <c r="W21" s="141"/>
      <c r="X21" s="102">
        <v>0</v>
      </c>
      <c r="Y21" s="140">
        <v>21</v>
      </c>
      <c r="Z21" s="141"/>
      <c r="AA21" s="142"/>
      <c r="AB21" s="143"/>
      <c r="AC21" s="103" t="s">
        <v>178</v>
      </c>
      <c r="AD21" s="142"/>
      <c r="AE21" s="143"/>
      <c r="AF21" s="94"/>
      <c r="AG21" s="104" t="str">
        <f t="shared" si="16"/>
        <v>Toronto Ngun Lam Red</v>
      </c>
      <c r="AH21" s="96">
        <f t="shared" si="17"/>
        <v>-30</v>
      </c>
      <c r="AI21" s="149">
        <v>0.15972222222222224</v>
      </c>
      <c r="AJ21" s="150"/>
      <c r="AK21" s="5"/>
      <c r="AL21" s="5"/>
      <c r="AM21" s="5"/>
      <c r="AN21" s="5"/>
      <c r="AO21" s="5"/>
      <c r="AP21" s="5"/>
      <c r="AQ21" s="5"/>
      <c r="AR21" s="5"/>
    </row>
    <row r="22" spans="1:44" ht="15.75" customHeight="1" x14ac:dyDescent="0.2">
      <c r="A22" s="122">
        <v>9</v>
      </c>
      <c r="B22" s="98">
        <v>1</v>
      </c>
      <c r="C22" s="99" t="str">
        <f t="shared" ref="C22:C23" si="23">+B5</f>
        <v>Boston Knights X</v>
      </c>
      <c r="D22" s="61">
        <v>4</v>
      </c>
      <c r="E22" s="163" t="str">
        <f t="shared" ref="E22:E23" si="24">+B8</f>
        <v>NY Panda Glass</v>
      </c>
      <c r="F22" s="164"/>
      <c r="G22" s="164"/>
      <c r="H22" s="164"/>
      <c r="I22" s="164"/>
      <c r="J22" s="164"/>
      <c r="K22" s="164"/>
      <c r="L22" s="164"/>
      <c r="M22" s="143"/>
      <c r="N22" s="100">
        <v>5</v>
      </c>
      <c r="O22" s="168" t="str">
        <f>+B9</f>
        <v>Toronto Ngun Lam Red</v>
      </c>
      <c r="P22" s="143"/>
      <c r="Q22" s="195">
        <v>22</v>
      </c>
      <c r="R22" s="141"/>
      <c r="S22" s="101">
        <v>0</v>
      </c>
      <c r="T22" s="144">
        <v>23</v>
      </c>
      <c r="U22" s="141"/>
      <c r="V22" s="140">
        <v>21</v>
      </c>
      <c r="W22" s="141"/>
      <c r="X22" s="102">
        <v>0</v>
      </c>
      <c r="Y22" s="140">
        <v>19</v>
      </c>
      <c r="Z22" s="141"/>
      <c r="AA22" s="142"/>
      <c r="AB22" s="143"/>
      <c r="AC22" s="103"/>
      <c r="AD22" s="142"/>
      <c r="AE22" s="143"/>
      <c r="AF22" s="94"/>
      <c r="AG22" s="104" t="str">
        <f t="shared" si="16"/>
        <v>Boston Knights X</v>
      </c>
      <c r="AH22" s="96">
        <f t="shared" si="17"/>
        <v>1</v>
      </c>
      <c r="AI22" s="149">
        <v>0.19444444444444445</v>
      </c>
      <c r="AJ22" s="150"/>
      <c r="AK22" s="5"/>
      <c r="AL22" s="5"/>
      <c r="AM22" s="5"/>
      <c r="AN22" s="5"/>
      <c r="AO22" s="5"/>
      <c r="AP22" s="5"/>
      <c r="AQ22" s="5"/>
      <c r="AR22" s="5"/>
    </row>
    <row r="23" spans="1:44" ht="15.75" customHeight="1" x14ac:dyDescent="0.2">
      <c r="A23" s="109">
        <v>10</v>
      </c>
      <c r="B23" s="110">
        <v>2</v>
      </c>
      <c r="C23" s="111" t="str">
        <f t="shared" si="23"/>
        <v>DC Yee Fung Toy Thunder A</v>
      </c>
      <c r="D23" s="78">
        <v>5</v>
      </c>
      <c r="E23" s="188" t="str">
        <f t="shared" si="24"/>
        <v>Toronto Ngun Lam Red</v>
      </c>
      <c r="F23" s="189"/>
      <c r="G23" s="189"/>
      <c r="H23" s="189"/>
      <c r="I23" s="189"/>
      <c r="J23" s="189"/>
      <c r="K23" s="189"/>
      <c r="L23" s="189"/>
      <c r="M23" s="146"/>
      <c r="N23" s="112">
        <v>4</v>
      </c>
      <c r="O23" s="187" t="str">
        <f>+B8</f>
        <v>NY Panda Glass</v>
      </c>
      <c r="P23" s="146"/>
      <c r="Q23" s="195">
        <v>13</v>
      </c>
      <c r="R23" s="141"/>
      <c r="S23" s="101">
        <v>0</v>
      </c>
      <c r="T23" s="144">
        <v>21</v>
      </c>
      <c r="U23" s="141"/>
      <c r="V23" s="140">
        <v>11</v>
      </c>
      <c r="W23" s="141"/>
      <c r="X23" s="102">
        <v>0</v>
      </c>
      <c r="Y23" s="140">
        <v>21</v>
      </c>
      <c r="Z23" s="141"/>
      <c r="AA23" s="145"/>
      <c r="AB23" s="146"/>
      <c r="AC23" s="113" t="s">
        <v>178</v>
      </c>
      <c r="AD23" s="145"/>
      <c r="AE23" s="146"/>
      <c r="AF23" s="94"/>
      <c r="AG23" s="104" t="str">
        <f t="shared" si="16"/>
        <v>Toronto Ngun Lam Red</v>
      </c>
      <c r="AH23" s="96">
        <f t="shared" si="17"/>
        <v>-18</v>
      </c>
      <c r="AI23" s="184">
        <v>0.22916666666666666</v>
      </c>
      <c r="AJ23" s="185"/>
      <c r="AK23" s="5"/>
      <c r="AL23" s="5"/>
      <c r="AM23" s="5"/>
      <c r="AN23" s="5"/>
      <c r="AO23" s="5"/>
      <c r="AP23" s="5"/>
      <c r="AQ23" s="5"/>
      <c r="AR23" s="5"/>
    </row>
    <row r="24" spans="1:44" ht="12.75" customHeight="1" x14ac:dyDescent="0.2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5"/>
      <c r="AM24" s="5"/>
      <c r="AN24" s="5"/>
      <c r="AO24" s="5"/>
      <c r="AP24" s="5"/>
      <c r="AQ24" s="5"/>
      <c r="AR24" s="5"/>
    </row>
    <row r="25" spans="1:44" ht="12.75" customHeight="1" x14ac:dyDescent="0.2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5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5"/>
      <c r="AM25" s="5"/>
      <c r="AN25" s="5"/>
      <c r="AO25" s="5"/>
      <c r="AP25" s="5"/>
      <c r="AQ25" s="5"/>
      <c r="AR25" s="5"/>
    </row>
    <row r="26" spans="1:44" ht="12.75" customHeight="1" x14ac:dyDescent="0.2">
      <c r="A26" s="41"/>
      <c r="B26" s="57"/>
      <c r="C26" s="57" t="s">
        <v>179</v>
      </c>
      <c r="D26" s="57" t="s">
        <v>157</v>
      </c>
      <c r="E26" s="57" t="s">
        <v>180</v>
      </c>
      <c r="F26" s="57" t="s">
        <v>165</v>
      </c>
      <c r="G26" s="57" t="s">
        <v>166</v>
      </c>
      <c r="H26" s="41"/>
      <c r="I26" s="41"/>
      <c r="J26" s="41"/>
      <c r="K26" s="41"/>
      <c r="L26" s="41"/>
      <c r="M26" s="41"/>
      <c r="N26" s="41"/>
      <c r="O26" s="41"/>
      <c r="P26" s="41"/>
      <c r="Q26" s="5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5"/>
      <c r="AM26" s="5"/>
      <c r="AN26" s="5"/>
      <c r="AO26" s="5"/>
      <c r="AP26" s="5"/>
      <c r="AQ26" s="5"/>
      <c r="AR26" s="5"/>
    </row>
    <row r="27" spans="1:44" ht="12.75" customHeight="1" x14ac:dyDescent="0.2">
      <c r="A27" s="41"/>
      <c r="B27" s="57">
        <v>1</v>
      </c>
      <c r="C27" s="57" t="str">
        <f t="shared" ref="C27:C31" si="25">VLOOKUP(B27,$A$5:$AR$9,2,FALSE)</f>
        <v>Toronto Ngun Lam Red</v>
      </c>
      <c r="D27" s="57">
        <f t="shared" ref="D27:D31" si="26">VLOOKUP(B27,$A$5:$AR$9,15,FALSE)</f>
        <v>8</v>
      </c>
      <c r="E27" s="57">
        <f t="shared" ref="E27:E31" si="27">VLOOKUP(B27,$A$5:$AR$9,36,FALSE)</f>
        <v>81</v>
      </c>
      <c r="F27" s="114">
        <f t="shared" ref="F27:F31" si="28">VLOOKUP(B27,$A$5:$AR$9,40,FALSE)</f>
        <v>1</v>
      </c>
      <c r="G27" s="114">
        <f t="shared" ref="G27:G31" si="29">VLOOKUP(B27,$A$5:$AR$9,42,FALSE)</f>
        <v>10.125</v>
      </c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5"/>
      <c r="AM27" s="5"/>
      <c r="AN27" s="5"/>
      <c r="AO27" s="5"/>
      <c r="AP27" s="5"/>
      <c r="AQ27" s="5"/>
      <c r="AR27" s="5"/>
    </row>
    <row r="28" spans="1:44" ht="12.75" customHeight="1" x14ac:dyDescent="0.2">
      <c r="A28" s="41"/>
      <c r="B28" s="57">
        <v>2</v>
      </c>
      <c r="C28" s="57" t="str">
        <f t="shared" si="25"/>
        <v>NY Panda Glass</v>
      </c>
      <c r="D28" s="57">
        <f t="shared" si="26"/>
        <v>5</v>
      </c>
      <c r="E28" s="57">
        <f t="shared" si="27"/>
        <v>-5</v>
      </c>
      <c r="F28" s="114">
        <f t="shared" si="28"/>
        <v>0.625</v>
      </c>
      <c r="G28" s="114">
        <f t="shared" si="29"/>
        <v>-0.625</v>
      </c>
      <c r="H28" s="41"/>
      <c r="I28" s="41"/>
      <c r="J28" s="41"/>
      <c r="K28" s="41"/>
      <c r="L28" s="41"/>
      <c r="M28" s="41"/>
      <c r="N28" s="41"/>
      <c r="O28" s="41"/>
      <c r="P28" s="5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183"/>
      <c r="AK28" s="136"/>
      <c r="AL28" s="5"/>
      <c r="AM28" s="5"/>
      <c r="AN28" s="5"/>
      <c r="AO28" s="5"/>
      <c r="AP28" s="5"/>
      <c r="AQ28" s="5"/>
      <c r="AR28" s="5"/>
    </row>
    <row r="29" spans="1:44" ht="12.75" customHeight="1" x14ac:dyDescent="0.2">
      <c r="A29" s="5"/>
      <c r="B29" s="14">
        <v>3</v>
      </c>
      <c r="C29" s="57" t="str">
        <f t="shared" si="25"/>
        <v>DC Yee Fung Toy Thunder A</v>
      </c>
      <c r="D29" s="57">
        <f t="shared" si="26"/>
        <v>4</v>
      </c>
      <c r="E29" s="57">
        <f t="shared" si="27"/>
        <v>1</v>
      </c>
      <c r="F29" s="114">
        <f t="shared" si="28"/>
        <v>0.5</v>
      </c>
      <c r="G29" s="114">
        <f t="shared" si="29"/>
        <v>0.125</v>
      </c>
      <c r="H29" s="41"/>
      <c r="I29" s="41"/>
      <c r="J29" s="41"/>
      <c r="K29" s="41"/>
      <c r="L29" s="41"/>
      <c r="M29" s="41"/>
      <c r="N29" s="41"/>
      <c r="O29" s="41"/>
      <c r="P29" s="5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115"/>
      <c r="AK29" s="41"/>
      <c r="AL29" s="5"/>
      <c r="AM29" s="5"/>
      <c r="AN29" s="5"/>
      <c r="AO29" s="5"/>
      <c r="AP29" s="5"/>
      <c r="AQ29" s="5"/>
      <c r="AR29" s="5"/>
    </row>
    <row r="30" spans="1:44" ht="12.75" customHeight="1" x14ac:dyDescent="0.2">
      <c r="A30" s="5"/>
      <c r="B30" s="14">
        <v>4</v>
      </c>
      <c r="C30" s="57" t="str">
        <f t="shared" si="25"/>
        <v>Boston Knights X</v>
      </c>
      <c r="D30" s="57">
        <f t="shared" si="26"/>
        <v>3</v>
      </c>
      <c r="E30" s="57">
        <f t="shared" si="27"/>
        <v>-25</v>
      </c>
      <c r="F30" s="114">
        <f t="shared" si="28"/>
        <v>0.375</v>
      </c>
      <c r="G30" s="114">
        <f t="shared" si="29"/>
        <v>-3.125</v>
      </c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115"/>
      <c r="AK30" s="41"/>
      <c r="AL30" s="5"/>
      <c r="AM30" s="5"/>
      <c r="AN30" s="5"/>
      <c r="AO30" s="5"/>
      <c r="AP30" s="5"/>
      <c r="AQ30" s="5"/>
      <c r="AR30" s="5"/>
    </row>
    <row r="31" spans="1:44" ht="12.75" customHeight="1" x14ac:dyDescent="0.2">
      <c r="A31" s="5"/>
      <c r="B31" s="14">
        <v>5</v>
      </c>
      <c r="C31" s="57" t="str">
        <f t="shared" si="25"/>
        <v>NY Impact</v>
      </c>
      <c r="D31" s="57">
        <f t="shared" si="26"/>
        <v>0</v>
      </c>
      <c r="E31" s="57">
        <f t="shared" si="27"/>
        <v>-52</v>
      </c>
      <c r="F31" s="114">
        <f t="shared" si="28"/>
        <v>0</v>
      </c>
      <c r="G31" s="114">
        <f t="shared" si="29"/>
        <v>-6.5</v>
      </c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115"/>
      <c r="AK31" s="41"/>
      <c r="AL31" s="5"/>
      <c r="AM31" s="5"/>
      <c r="AN31" s="5"/>
      <c r="AO31" s="5"/>
      <c r="AP31" s="5"/>
      <c r="AQ31" s="5"/>
      <c r="AR31" s="5"/>
    </row>
  </sheetData>
  <mergeCells count="124">
    <mergeCell ref="AP4:AQ4"/>
    <mergeCell ref="V23:W23"/>
    <mergeCell ref="V14:W14"/>
    <mergeCell ref="AD14:AE14"/>
    <mergeCell ref="AA19:AB19"/>
    <mergeCell ref="Y17:Z17"/>
    <mergeCell ref="Y23:Z23"/>
    <mergeCell ref="AA22:AB22"/>
    <mergeCell ref="Y22:Z22"/>
    <mergeCell ref="Y20:Z20"/>
    <mergeCell ref="V20:W20"/>
    <mergeCell ref="Y21:Z21"/>
    <mergeCell ref="V21:W21"/>
    <mergeCell ref="AD16:AE16"/>
    <mergeCell ref="AD17:AE17"/>
    <mergeCell ref="AI19:AJ19"/>
    <mergeCell ref="AI17:AJ17"/>
    <mergeCell ref="AI18:AJ18"/>
    <mergeCell ref="AA18:AB18"/>
    <mergeCell ref="AA17:AB17"/>
    <mergeCell ref="AA16:AB16"/>
    <mergeCell ref="AA15:AB15"/>
    <mergeCell ref="A3:AG3"/>
    <mergeCell ref="A2:AG2"/>
    <mergeCell ref="A1:AG1"/>
    <mergeCell ref="J4:N4"/>
    <mergeCell ref="E5:I5"/>
    <mergeCell ref="E6:I6"/>
    <mergeCell ref="AI20:AJ20"/>
    <mergeCell ref="AI16:AJ16"/>
    <mergeCell ref="AN4:AO4"/>
    <mergeCell ref="B4:D4"/>
    <mergeCell ref="AA21:AB21"/>
    <mergeCell ref="AD22:AE22"/>
    <mergeCell ref="AA20:AB20"/>
    <mergeCell ref="AD20:AE20"/>
    <mergeCell ref="Q14:R14"/>
    <mergeCell ref="O14:P14"/>
    <mergeCell ref="AA13:AE13"/>
    <mergeCell ref="V13:Z13"/>
    <mergeCell ref="AA14:AB14"/>
    <mergeCell ref="A13:B13"/>
    <mergeCell ref="A10:AG12"/>
    <mergeCell ref="Q19:R19"/>
    <mergeCell ref="Q21:R21"/>
    <mergeCell ref="B6:D6"/>
    <mergeCell ref="B5:D5"/>
    <mergeCell ref="B9:D9"/>
    <mergeCell ref="B8:D8"/>
    <mergeCell ref="B7:D7"/>
    <mergeCell ref="R4:AF4"/>
    <mergeCell ref="J5:N5"/>
    <mergeCell ref="J6:N6"/>
    <mergeCell ref="J7:N7"/>
    <mergeCell ref="E7:I7"/>
    <mergeCell ref="E9:I9"/>
    <mergeCell ref="J9:N9"/>
    <mergeCell ref="E8:I8"/>
    <mergeCell ref="J8:N8"/>
    <mergeCell ref="E4:I4"/>
    <mergeCell ref="T21:U21"/>
    <mergeCell ref="T22:U22"/>
    <mergeCell ref="T20:U20"/>
    <mergeCell ref="T19:U19"/>
    <mergeCell ref="V22:W22"/>
    <mergeCell ref="V19:W19"/>
    <mergeCell ref="Q23:R23"/>
    <mergeCell ref="E23:M23"/>
    <mergeCell ref="O23:P23"/>
    <mergeCell ref="E19:M19"/>
    <mergeCell ref="T23:U23"/>
    <mergeCell ref="E22:M22"/>
    <mergeCell ref="E20:M20"/>
    <mergeCell ref="E21:M21"/>
    <mergeCell ref="Q20:R20"/>
    <mergeCell ref="O20:P20"/>
    <mergeCell ref="O19:P19"/>
    <mergeCell ref="O21:P21"/>
    <mergeCell ref="O22:P22"/>
    <mergeCell ref="Q22:R22"/>
    <mergeCell ref="AJ4:AK4"/>
    <mergeCell ref="AI15:AJ15"/>
    <mergeCell ref="AJ28:AK28"/>
    <mergeCell ref="AI21:AJ21"/>
    <mergeCell ref="AI22:AJ22"/>
    <mergeCell ref="AI23:AJ23"/>
    <mergeCell ref="AI14:AJ14"/>
    <mergeCell ref="AI13:AJ13"/>
    <mergeCell ref="V18:W18"/>
    <mergeCell ref="V17:W17"/>
    <mergeCell ref="Y19:Z19"/>
    <mergeCell ref="Y16:Z16"/>
    <mergeCell ref="Y18:Z18"/>
    <mergeCell ref="AD19:AE19"/>
    <mergeCell ref="AD21:AE21"/>
    <mergeCell ref="AD18:AE18"/>
    <mergeCell ref="AD15:AE15"/>
    <mergeCell ref="AD23:AE23"/>
    <mergeCell ref="AA23:AB23"/>
    <mergeCell ref="Y15:Z15"/>
    <mergeCell ref="Y14:Z14"/>
    <mergeCell ref="T14:U14"/>
    <mergeCell ref="Q13:U13"/>
    <mergeCell ref="T18:U18"/>
    <mergeCell ref="T17:U17"/>
    <mergeCell ref="T16:U16"/>
    <mergeCell ref="T15:U15"/>
    <mergeCell ref="V15:W15"/>
    <mergeCell ref="V16:W16"/>
    <mergeCell ref="E18:M18"/>
    <mergeCell ref="E16:M16"/>
    <mergeCell ref="E17:M17"/>
    <mergeCell ref="Q18:R18"/>
    <mergeCell ref="O18:P18"/>
    <mergeCell ref="E15:M15"/>
    <mergeCell ref="Q15:R15"/>
    <mergeCell ref="O15:P15"/>
    <mergeCell ref="Q16:R16"/>
    <mergeCell ref="Q17:R17"/>
    <mergeCell ref="O16:P16"/>
    <mergeCell ref="O17:P17"/>
    <mergeCell ref="N13:P13"/>
    <mergeCell ref="E13:M13"/>
    <mergeCell ref="E14:M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R31"/>
  <sheetViews>
    <sheetView showGridLines="0" workbookViewId="0"/>
  </sheetViews>
  <sheetFormatPr baseColWidth="10" defaultColWidth="17.33203125" defaultRowHeight="15" customHeight="1" x14ac:dyDescent="0.2"/>
  <cols>
    <col min="1" max="1" width="4.1640625" customWidth="1"/>
    <col min="2" max="2" width="3.5" customWidth="1"/>
    <col min="3" max="3" width="25.6640625" customWidth="1"/>
    <col min="4" max="4" width="4.5" customWidth="1"/>
    <col min="5" max="5" width="3.33203125" customWidth="1"/>
    <col min="6" max="6" width="10.33203125" customWidth="1"/>
    <col min="7" max="7" width="9.6640625" customWidth="1"/>
    <col min="8" max="9" width="3.33203125" hidden="1" customWidth="1"/>
    <col min="10" max="14" width="3.33203125" customWidth="1"/>
    <col min="15" max="15" width="13.33203125" customWidth="1"/>
    <col min="16" max="16" width="13.1640625" customWidth="1"/>
    <col min="17" max="19" width="4" customWidth="1"/>
    <col min="20" max="22" width="3.33203125" customWidth="1"/>
    <col min="23" max="23" width="4" customWidth="1"/>
    <col min="24" max="25" width="3.33203125" customWidth="1"/>
    <col min="26" max="27" width="4" customWidth="1"/>
    <col min="28" max="31" width="3.33203125" customWidth="1"/>
    <col min="32" max="32" width="4.5" customWidth="1"/>
    <col min="33" max="33" width="15.33203125" customWidth="1"/>
    <col min="34" max="34" width="12.1640625" customWidth="1"/>
    <col min="35" max="35" width="13.1640625" customWidth="1"/>
    <col min="36" max="36" width="4.1640625" customWidth="1"/>
    <col min="37" max="37" width="7.1640625" customWidth="1"/>
    <col min="38" max="38" width="2.1640625" customWidth="1"/>
    <col min="39" max="39" width="7.1640625" customWidth="1"/>
    <col min="40" max="40" width="6.5" customWidth="1"/>
    <col min="41" max="44" width="8.83203125" customWidth="1"/>
  </cols>
  <sheetData>
    <row r="1" spans="1:44" ht="30.75" customHeight="1" x14ac:dyDescent="0.35">
      <c r="A1" s="180" t="s">
        <v>152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38"/>
      <c r="AI1" s="39"/>
      <c r="AJ1" s="39"/>
      <c r="AK1" s="39"/>
      <c r="AL1" s="39"/>
      <c r="AM1" s="39"/>
      <c r="AN1" s="39"/>
      <c r="AO1" s="1"/>
      <c r="AP1" s="1"/>
      <c r="AQ1" s="1"/>
      <c r="AR1" s="1"/>
    </row>
    <row r="2" spans="1:44" ht="30.75" customHeight="1" x14ac:dyDescent="0.35">
      <c r="A2" s="180" t="str">
        <f>+'Men''s Master'!D3</f>
        <v>CT03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38"/>
      <c r="AI2" s="39"/>
      <c r="AJ2" s="39"/>
      <c r="AK2" s="39"/>
      <c r="AL2" s="39"/>
      <c r="AM2" s="39"/>
      <c r="AN2" s="39"/>
      <c r="AO2" s="1"/>
      <c r="AP2" s="1"/>
      <c r="AQ2" s="1"/>
      <c r="AR2" s="1"/>
    </row>
    <row r="3" spans="1:44" ht="42.75" customHeight="1" x14ac:dyDescent="0.45">
      <c r="A3" s="199" t="str">
        <f>RIGHT(A2,2)</f>
        <v>03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40"/>
      <c r="AI3" s="41" t="s">
        <v>153</v>
      </c>
      <c r="AJ3" s="41"/>
      <c r="AK3" s="41"/>
      <c r="AL3" s="41"/>
      <c r="AM3" s="41"/>
      <c r="AN3" s="41"/>
      <c r="AO3" s="5"/>
      <c r="AP3" s="5"/>
      <c r="AQ3" s="5"/>
      <c r="AR3" s="5" t="s">
        <v>154</v>
      </c>
    </row>
    <row r="4" spans="1:44" ht="27" customHeight="1" x14ac:dyDescent="0.2">
      <c r="A4" s="42"/>
      <c r="B4" s="179" t="s">
        <v>102</v>
      </c>
      <c r="C4" s="173"/>
      <c r="D4" s="173"/>
      <c r="E4" s="155" t="s">
        <v>155</v>
      </c>
      <c r="F4" s="156"/>
      <c r="G4" s="156"/>
      <c r="H4" s="156"/>
      <c r="I4" s="157"/>
      <c r="J4" s="165" t="s">
        <v>156</v>
      </c>
      <c r="K4" s="156"/>
      <c r="L4" s="156"/>
      <c r="M4" s="156"/>
      <c r="N4" s="166"/>
      <c r="O4" s="43" t="s">
        <v>157</v>
      </c>
      <c r="P4" s="44" t="s">
        <v>158</v>
      </c>
      <c r="Q4" s="45"/>
      <c r="R4" s="194" t="s">
        <v>159</v>
      </c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53"/>
      <c r="AG4" s="46" t="s">
        <v>160</v>
      </c>
      <c r="AH4" s="47" t="s">
        <v>161</v>
      </c>
      <c r="AI4" s="47" t="s">
        <v>162</v>
      </c>
      <c r="AJ4" s="193" t="s">
        <v>163</v>
      </c>
      <c r="AK4" s="153"/>
      <c r="AL4" s="47" t="s">
        <v>164</v>
      </c>
      <c r="AM4" s="48"/>
      <c r="AN4" s="190" t="s">
        <v>165</v>
      </c>
      <c r="AO4" s="191"/>
      <c r="AP4" s="192" t="s">
        <v>166</v>
      </c>
      <c r="AQ4" s="191"/>
      <c r="AR4" s="50" t="s">
        <v>167</v>
      </c>
    </row>
    <row r="5" spans="1:44" ht="15.75" customHeight="1" x14ac:dyDescent="0.2">
      <c r="A5" s="51">
        <f t="shared" ref="A5:A9" si="0">AR5</f>
        <v>1</v>
      </c>
      <c r="B5" s="172" t="str">
        <f>+'Men''s Master'!D4</f>
        <v>Toronto Phoenix</v>
      </c>
      <c r="C5" s="173"/>
      <c r="D5" s="173"/>
      <c r="E5" s="171">
        <f>SUM(IF(AG14=B5,1,0),IF(AG16=C16,1,0),IF(AG19=C19,1,0),IF(AG22=C22,1,0))</f>
        <v>4</v>
      </c>
      <c r="F5" s="162"/>
      <c r="G5" s="162"/>
      <c r="H5" s="162"/>
      <c r="I5" s="153"/>
      <c r="J5" s="169">
        <f>SUM(IF(AG14=C14,0,1),IF(AG16=C16,0,1),IF(AG19=C19,0,1),IF(AG22=C22,0,1))</f>
        <v>0</v>
      </c>
      <c r="K5" s="162"/>
      <c r="L5" s="162"/>
      <c r="M5" s="162"/>
      <c r="N5" s="170"/>
      <c r="O5" s="53">
        <f>SUM(IF(AD5&gt;0,1,0),IF(AE5&gt;0,1,0),IF(AF5&gt;0,1,0),IF(U5&gt;0,1,0),IF(V5&gt;0,1,0),IF(W5&gt;0,1,0),IF(X5&gt;0,1,0),IF(Y5&gt;0,1,0),IF(Z5&gt;0,1,0),IF(AA5&gt;0,1,0),IF(AB5&gt;0,1,0),IF(AC5&gt;0,1,0))</f>
        <v>8</v>
      </c>
      <c r="P5" s="52">
        <f>SUM(IF(AD5&lt;0,1,0),IF(AE5&lt;0,1,0),IF(AF5&lt;0,1,0),IF(U5&lt;0,1,0),IF(V5&lt;0,1,0),IF(W5&lt;0,1,0),IF(X5&lt;0,1,0),IF(Y5&lt;0,1,0),IF(Z5&lt;0,1,0),IF(AA5&lt;0,1,0),IF(AB5&lt;0,1,0),IF(AC5&lt;0,1,0))</f>
        <v>0</v>
      </c>
      <c r="Q5" s="54">
        <f>1+SUM(IF(O5&lt;O6,1,0),IF(O5&lt;O7,1,0),IF(O5&lt;O8,1,0),IF(O5&lt;O9,1,0))</f>
        <v>1</v>
      </c>
      <c r="R5" s="55"/>
      <c r="S5" s="56"/>
      <c r="T5" s="56"/>
      <c r="U5" s="57">
        <f>Q14-T14</f>
        <v>14</v>
      </c>
      <c r="V5" s="57">
        <f>V14-Y14</f>
        <v>11</v>
      </c>
      <c r="W5" s="57">
        <f>AA14-AD14</f>
        <v>0</v>
      </c>
      <c r="X5" s="57">
        <f>Q19-T19</f>
        <v>5</v>
      </c>
      <c r="Y5" s="57">
        <f>V19-Y19</f>
        <v>1</v>
      </c>
      <c r="Z5" s="57">
        <f>AA19-AD19</f>
        <v>0</v>
      </c>
      <c r="AA5" s="58">
        <f>Q22-T22</f>
        <v>11</v>
      </c>
      <c r="AB5" s="58">
        <f>V22-Y22</f>
        <v>12</v>
      </c>
      <c r="AC5" s="58">
        <f>AA22-AD22</f>
        <v>0</v>
      </c>
      <c r="AD5" s="58">
        <f>Q16-T16</f>
        <v>12</v>
      </c>
      <c r="AE5" s="58">
        <f>V16-Y16</f>
        <v>3</v>
      </c>
      <c r="AF5" s="58">
        <f>AA16-AD16</f>
        <v>0</v>
      </c>
      <c r="AG5" s="58" t="b">
        <f>IF(Q5=Q6,IF(SUM(U5:W5)&gt;0,B5,B6),  IF(Q5=Q7,IF(SUM(X5:Z5)&gt;0, B5,B7),IF(Q5=Q8,IF(SUM(AA5:AC5)&gt;0, B5,B8),IF(Q5=Q9,IF(SUM(AD5:AF5)&lt;0,B5,B9)))))</f>
        <v>0</v>
      </c>
      <c r="AH5" s="58" t="b">
        <f>IF(Q5=Q6,IF(SUM(U5:W5)&lt;0,B5,B6),  IF(Q5=Q7,IF(SUM(X5:Z5)&lt;0, B5,B7),IF(Q5=Q8,IF(SUM(AA5:AC5)&lt;0, B5,B8),IF(Q5=Q9, IF(SUM(AD5:AF5)&lt;0,B5,B9)))))</f>
        <v>0</v>
      </c>
      <c r="AI5" s="60">
        <f t="shared" ref="AI5:AI9" si="1">Q5+IF(COUNTIF($AG$5:$AG$9,B5)&gt;0,0, IF(COUNTIF($AH$5:$AH$9,B5)&gt;0,1,0))</f>
        <v>1</v>
      </c>
      <c r="AJ5" s="61">
        <f t="shared" ref="AJ5:AJ9" si="2">SUM(R5:AF5)</f>
        <v>69</v>
      </c>
      <c r="AK5" s="62">
        <f>1+SUM(IF(AJ5&lt;AJ6,1,0),IF(AJ5&lt;AJ7,1,0),IF(AJ5&lt;AJ8,1,0),IF(AJ5&lt;AJ9,1,0))</f>
        <v>1</v>
      </c>
      <c r="AL5" s="63">
        <f t="shared" ref="AL5:AL9" si="3">IF(SUM(E5,J5)=0,0,E5/(E5+J5))</f>
        <v>1</v>
      </c>
      <c r="AM5" s="62">
        <f>1+SUM(IF(AL5&lt;AL6,1,0),IF(AL5&lt;AL7,1,0),IF(AL5&lt;AL8,1,0),IF(AL5&lt;AL9,1,0))</f>
        <v>1</v>
      </c>
      <c r="AN5" s="64">
        <f t="shared" ref="AN5:AN9" si="4">IF(SUM(O5+P5)=0,0,O5/(O5+P5))</f>
        <v>1</v>
      </c>
      <c r="AO5" s="65">
        <f>1+SUM(IF(AN5&lt;AN6,1,0),IF(AN5&lt;AN7,1,0),IF(AN5&lt;AN8,1,0),IF(AN5&lt;AN9,1,0))</f>
        <v>1</v>
      </c>
      <c r="AP5" s="106">
        <f t="shared" ref="AP5:AP9" si="5">AJ5/SUM(O5:P5)</f>
        <v>8.625</v>
      </c>
      <c r="AQ5" s="67">
        <f>1+SUM(IF(AP5&lt;AP6,1,0),IF(AP5&lt;AP7,1,0),IF(AP5&lt;AP8,1,0),IF(AP5&lt;AP9,1,0))</f>
        <v>1</v>
      </c>
      <c r="AR5" s="68">
        <f>1+SUM(IF(Q5&gt;Q6,1,IF(AND(Q5=Q6,AK5&gt;AK6),1,IF(AND(Q5=Q6,AK5=AK6),1,0))),IF(Q5&gt;Q7,1,IF(AND(Q5=Q7,AK5&gt;AK7),1,IF(AND(Q5=Q7,AK5=AK7),1,0))),IF(Q5&gt;Q8,1,IF(AND(Q5=Q8,AK5&gt;AK8),1,IF(AND(Q5=Q8,AK5=AK8),1,0))),IF(Q5&gt;Q9,1,IF(AND(Q5=Q9,AK5&gt;AK9),1,IF(AND(Q5=Q9,AK5=AK9),1,0))))</f>
        <v>1</v>
      </c>
    </row>
    <row r="6" spans="1:44" ht="15.75" customHeight="1" x14ac:dyDescent="0.2">
      <c r="A6" s="51">
        <f t="shared" si="0"/>
        <v>3</v>
      </c>
      <c r="B6" s="172" t="str">
        <f>+'Men''s Master'!D5</f>
        <v>NY BCVA</v>
      </c>
      <c r="C6" s="173"/>
      <c r="D6" s="173"/>
      <c r="E6" s="171">
        <f>SUM(IF(AG14=E14,1,0),IF(AG17=C17,1,0),IF(AG20=C20,1,0),IF(AG23=C23,1,0))</f>
        <v>1</v>
      </c>
      <c r="F6" s="162"/>
      <c r="G6" s="162"/>
      <c r="H6" s="162"/>
      <c r="I6" s="153"/>
      <c r="J6" s="169">
        <f>SUM(IF(AG14=E14,0,1),IF(AG17=C17,0,1),IF(AG20=C20,0,1),IF(AG23=C23,0,1))</f>
        <v>3</v>
      </c>
      <c r="K6" s="162"/>
      <c r="L6" s="162"/>
      <c r="M6" s="162"/>
      <c r="N6" s="170"/>
      <c r="O6" s="53">
        <f>SUM(IF(AD6&gt;0,1,0),IF(AE6&gt;0,1,0),IF(AF6&gt;0,1,0),IF(R6&gt;0,1,0),IF(S6&gt;0,1,0),IF(T6&gt;0,1,0),IF(X6&gt;0,1,0),IF(Y6&gt;0,1,0),IF(Z6&gt;0,1,0),IF(AA6&gt;0,1,0),IF(AB6&gt;0,1,0),IF(AC6&gt;0,1,0))</f>
        <v>3</v>
      </c>
      <c r="P6" s="52">
        <f>SUM(IF(AD6&lt;0,1,0),IF(AE6&lt;0,1,0),IF(AF6&lt;0,1,0),IF(R6&lt;0,1,0),IF(S6&lt;0,1,0),IF(T6&lt;0,1,0),IF(X6&lt;0,1,0),IF(Y6&lt;0,1,0),IF(Z6&lt;0,1,0),IF(AA6&lt;0,1,0),IF(AB6&lt;0,1,0),IF(AC6&lt;0,1,0))</f>
        <v>5</v>
      </c>
      <c r="Q6" s="54">
        <f>1+SUM(IF(O6&lt;O5,1,0),IF(O6&lt;O7,1,0),IF(O6&lt;O8,1,0),IF(O6&lt;O9,1,0))</f>
        <v>3</v>
      </c>
      <c r="R6" s="69">
        <f t="shared" ref="R6:T6" si="6">-U5</f>
        <v>-14</v>
      </c>
      <c r="S6" s="58">
        <f t="shared" si="6"/>
        <v>-11</v>
      </c>
      <c r="T6" s="58">
        <f t="shared" si="6"/>
        <v>0</v>
      </c>
      <c r="U6" s="56"/>
      <c r="V6" s="56"/>
      <c r="W6" s="56"/>
      <c r="X6" s="57">
        <f>Q17-T17</f>
        <v>-12</v>
      </c>
      <c r="Y6" s="57">
        <f>V17-Y17</f>
        <v>-8</v>
      </c>
      <c r="Z6" s="57">
        <f>AA17-AD17</f>
        <v>0</v>
      </c>
      <c r="AA6" s="58">
        <f>Q20-T20</f>
        <v>2</v>
      </c>
      <c r="AB6" s="58">
        <f>V20-Y20</f>
        <v>-2</v>
      </c>
      <c r="AC6" s="58">
        <f>AA20-AD20</f>
        <v>0</v>
      </c>
      <c r="AD6" s="58">
        <f>Q23-T23</f>
        <v>8</v>
      </c>
      <c r="AE6" s="58">
        <f>V23-Y23</f>
        <v>4</v>
      </c>
      <c r="AF6" s="58">
        <f>AA23-AD23</f>
        <v>0</v>
      </c>
      <c r="AG6" s="58" t="b">
        <f>IF(Q6=Q7,IF(SUM(X6:Z6)&gt;0,B6,B7),IF(Q6=Q8,IF(SUM(AA6:AC6)&gt;0,B6,B8),IF(Q6=Q9,IF(SUM(AD6:AF6)&gt;0, B6,B9))))</f>
        <v>0</v>
      </c>
      <c r="AH6" s="58" t="b">
        <f>IF(Q6=Q7,IF(SUM(X6:Z6)&lt;0,B6,B7),IF(Q6=Q8,IF(SUM(AA6:AC6)&lt;0,B6,B8),IF(Q6=Q9,IF(SUM(AD6:AF6)&lt;0, B6,B9))))</f>
        <v>0</v>
      </c>
      <c r="AI6" s="60">
        <f t="shared" si="1"/>
        <v>3</v>
      </c>
      <c r="AJ6" s="61">
        <f t="shared" si="2"/>
        <v>-33</v>
      </c>
      <c r="AK6" s="62">
        <f>1+SUM(IF(AJ6&lt;AJ5,1,0),IF(AJ6&lt;AJ7,1,0),IF(AJ6&lt;AJ8,1,0),IF(AJ6&lt;AJ9,1,0))</f>
        <v>3</v>
      </c>
      <c r="AL6" s="63">
        <f t="shared" si="3"/>
        <v>0.25</v>
      </c>
      <c r="AM6" s="62">
        <f>1+SUM(IF(AL6&lt;AL5,1,0),IF(AL6&lt;AL7,1,0),IF(AL6&lt;AL8,1,0),IF(AL6&lt;AL9,1,0))</f>
        <v>3</v>
      </c>
      <c r="AN6" s="64">
        <f t="shared" si="4"/>
        <v>0.375</v>
      </c>
      <c r="AO6" s="65">
        <f>1+SUM(IF(AN6&lt;AN5,1,0),IF(AN6&lt;AN7,1,0),IF(AN6&lt;AN8,1,0),IF(AN6&lt;AN9,1,0))</f>
        <v>3</v>
      </c>
      <c r="AP6" s="106">
        <f t="shared" si="5"/>
        <v>-4.125</v>
      </c>
      <c r="AQ6" s="70">
        <f>1+SUM(IF(AP6&lt;AP5,1,0),IF(AP6&lt;AP7,1,0),IF(AP6&lt;AP8,1,0),IF(AP6&lt;AP9,1,0))</f>
        <v>3</v>
      </c>
      <c r="AR6" s="68">
        <f>1+SUM(IF(Q6&gt;Q5,1,IF(AND(Q6=Q5,AK6&gt;AK5),1,IF(AND(Q6=Q5,AK6=AK5),1,0))),IF(Q6&gt;Q7,1,IF(AND(Q6=Q7,AK6&gt;AK7),1,IF(AND(Q6=Q7,AK6=AK7),1,0))),IF(Q6&gt;Q8,1,IF(AND(Q6=Q8,AK6&gt;AK8),1,IF(AND(Q6=Q8,AK6=AK8),1,0))),IF(Q6&gt;Q9,1,IF(AND(Q6=Q9,AK6&gt;AK9),1,IF(AND(Q6=Q9,AK6=AK9),1,0))))</f>
        <v>3</v>
      </c>
    </row>
    <row r="7" spans="1:44" ht="15.75" customHeight="1" x14ac:dyDescent="0.2">
      <c r="A7" s="51">
        <f t="shared" si="0"/>
        <v>2</v>
      </c>
      <c r="B7" s="182" t="str">
        <f>+'Men''s Master'!D6</f>
        <v>NJ Ronin</v>
      </c>
      <c r="C7" s="173"/>
      <c r="D7" s="173"/>
      <c r="E7" s="171">
        <f>SUM(IF(AG15=C15,1,0),IF(AG17=E17,1,0),IF(AG19=E19,1,0),IF(AG21=C21,1,0))</f>
        <v>3</v>
      </c>
      <c r="F7" s="162"/>
      <c r="G7" s="162"/>
      <c r="H7" s="162"/>
      <c r="I7" s="153"/>
      <c r="J7" s="169">
        <f>SUM(IF(AG15=C15,0,1),IF(AG17=E17,0,1),IF(AG19=E19,0,1),IF(AG21=C21,0,1))</f>
        <v>1</v>
      </c>
      <c r="K7" s="162"/>
      <c r="L7" s="162"/>
      <c r="M7" s="162"/>
      <c r="N7" s="170"/>
      <c r="O7" s="53">
        <f>SUM(IF(AD7&gt;0,1,0),IF(AE7&gt;0,1,0),IF(AF7&gt;0,1,0),IF(U7&gt;0,1,0),IF(V7&gt;0,1,0),IF(W7&gt;0,1,0),IF(R7&gt;0,1,0),IF(S7&gt;0,1,0),IF(T7&gt;0,1,0),IF(AA7&gt;0,1,0),IF(AB7&gt;0,1,0),IF(AC7&gt;0,1,0))</f>
        <v>6</v>
      </c>
      <c r="P7" s="52">
        <f>SUM(IF(AD7&lt;0,1,0),IF(AE7&lt;0,1,0),IF(AF7&lt;0,1,0),IF(U7&lt;0,1,0),IF(V7&lt;0,1,0),IF(W7&lt;0,1,0),IF(R7&lt;0,1,0),IF(S7&lt;0,1,0),IF(T7&lt;0,1,0),IF(AA7&lt;0,1,0),IF(AB7&lt;0,1,0),IF(AC7&lt;0,1,0))</f>
        <v>2</v>
      </c>
      <c r="Q7" s="54">
        <f>1+SUM(IF(O7&lt;O6,1,0),IF(O7&lt;O5,1,0),IF(O7&lt;O8,1,0),IF(O7&lt;O9,1,0))</f>
        <v>2</v>
      </c>
      <c r="R7" s="69">
        <f t="shared" ref="R7:T7" si="7">-X5</f>
        <v>-5</v>
      </c>
      <c r="S7" s="58">
        <f t="shared" si="7"/>
        <v>-1</v>
      </c>
      <c r="T7" s="58">
        <f t="shared" si="7"/>
        <v>0</v>
      </c>
      <c r="U7" s="58">
        <f t="shared" ref="U7:W7" si="8">-X6</f>
        <v>12</v>
      </c>
      <c r="V7" s="58">
        <f t="shared" si="8"/>
        <v>8</v>
      </c>
      <c r="W7" s="58">
        <f t="shared" si="8"/>
        <v>0</v>
      </c>
      <c r="X7" s="71"/>
      <c r="Y7" s="71"/>
      <c r="Z7" s="71"/>
      <c r="AA7" s="58">
        <f>Q15-T15</f>
        <v>5</v>
      </c>
      <c r="AB7" s="58">
        <f>V15-Y15</f>
        <v>11</v>
      </c>
      <c r="AC7" s="58">
        <f>AA15-AD15</f>
        <v>0</v>
      </c>
      <c r="AD7" s="58">
        <f>Q21-T21</f>
        <v>14</v>
      </c>
      <c r="AE7" s="58">
        <f>V21-Y21</f>
        <v>9</v>
      </c>
      <c r="AF7" s="58">
        <f>AA21-AD21</f>
        <v>0</v>
      </c>
      <c r="AG7" s="58" t="b">
        <f>IF(Q7=Q8,IF(SUM(AA7:AC7)&gt;0,B7,B8),IF(Q7=Q9,IF(SUM(AD7:AF7)&gt;0,B7,B9)))</f>
        <v>0</v>
      </c>
      <c r="AH7" s="58" t="b">
        <f>IF(Q7=Q8,IF(SUM(AA7:AC7)&lt;0,B7,B8),IF(Q7=Q9,IF(SUM(AD7:AF7)&lt;0,B7,B9)))</f>
        <v>0</v>
      </c>
      <c r="AI7" s="60">
        <f t="shared" si="1"/>
        <v>2</v>
      </c>
      <c r="AJ7" s="61">
        <f t="shared" si="2"/>
        <v>53</v>
      </c>
      <c r="AK7" s="62">
        <f>1+SUM(IF(AJ7&lt;AJ6,1,0),IF(AJ7&lt;AJ5,1,0),IF(AJ7&lt;AJ8,1,0),IF(AJ7&lt;AJ9,1,0))</f>
        <v>2</v>
      </c>
      <c r="AL7" s="63">
        <f t="shared" si="3"/>
        <v>0.75</v>
      </c>
      <c r="AM7" s="62">
        <f>1+SUM(IF(AL7&lt;AL6,1,0),IF(AL7&lt;AL5,1,0),IF(AL7&lt;AL8,1,0),IF(AL7&lt;AL9,1,0))</f>
        <v>2</v>
      </c>
      <c r="AN7" s="64">
        <f t="shared" si="4"/>
        <v>0.75</v>
      </c>
      <c r="AO7" s="65">
        <f>1+SUM(IF(AN7&lt;AN6,1,0),IF(AN7&lt;AN5,1,0),IF(AN7&lt;AN8,1,0),IF(AN7&lt;AN9,1,0))</f>
        <v>2</v>
      </c>
      <c r="AP7" s="106">
        <f t="shared" si="5"/>
        <v>6.625</v>
      </c>
      <c r="AQ7" s="70">
        <f>1+SUM(IF(AP7&lt;AP6,1,0),IF(AP7&lt;AP5,1,0),IF(AP7&lt;AP8,1,0),IF(AP7&lt;AP9,1,0))</f>
        <v>2</v>
      </c>
      <c r="AR7" s="68">
        <f>1+SUM(IF(Q7&gt;Q5,1,IF(AND(Q7=Q5,AK7&gt;AK5),1,IF(AND(Q7=Q5,AK7=AK5),1,0))),IF(Q7&gt;Q6,1,IF(AND(Q7=Q6,AK7&gt;AK6),1,IF(AND(Q7=Q6,AK7=AK6),1,0))),IF(Q7&gt;Q8,1,IF(AND(Q7=Q8,AK7&gt;AK8),1,IF(AND(Q7=Q8,AK7=AK8),1,0))),IF(Q7&gt;Q9,1,IF(AND(Q7=Q9,AK7&gt;AK9),1,IF(AND(Q7=Q9,AK7=AK9),1,0))))</f>
        <v>2</v>
      </c>
    </row>
    <row r="8" spans="1:44" ht="15.75" customHeight="1" x14ac:dyDescent="0.2">
      <c r="A8" s="51">
        <f t="shared" si="0"/>
        <v>5</v>
      </c>
      <c r="B8" s="172" t="str">
        <f>+'Men''s Master'!D7</f>
        <v>Boston Knights A</v>
      </c>
      <c r="C8" s="173"/>
      <c r="D8" s="173"/>
      <c r="E8" s="171">
        <f>SUM(IF(AG15=E15,1,0),IF(AG18=C18,1,0),IF(AG20=E20,1,0),IF(AG22=E22,1,0))</f>
        <v>1</v>
      </c>
      <c r="F8" s="162"/>
      <c r="G8" s="162"/>
      <c r="H8" s="162"/>
      <c r="I8" s="153"/>
      <c r="J8" s="169">
        <f>SUM(IF(AG15=E15,0,1),IF(AG18=C18,0,1),IF(AG20=E20,0,1),IF(AG22=E22,0,1))</f>
        <v>3</v>
      </c>
      <c r="K8" s="162"/>
      <c r="L8" s="162"/>
      <c r="M8" s="162"/>
      <c r="N8" s="170"/>
      <c r="O8" s="53">
        <f>SUM(IF(AD8&gt;0,1,0),IF(AE8&gt;0,1,0),IF(AF8&gt;0,1,0),IF(U8&gt;0,1,0),IF(V8&gt;0,1,0),IF(W8&gt;0,1,0),IF(X8&gt;0,1,0),IF(Y8&gt;0,1,0),IF(Z8&gt;0,1,0),IF(R8&gt;0,1,0),IF(S8&gt;0,1,0),IF(T8&gt;0,1,0))</f>
        <v>1</v>
      </c>
      <c r="P8" s="52">
        <f>SUM(IF(AD8&lt;0,1,0),IF(AE8&lt;0,1,0),IF(AF8&lt;0,1,0),IF(U8&lt;0,1,0),IF(V8&lt;0,1,0),IF(W8&lt;0,1,0),IF(R8&lt;0,1,0),IF(S8&lt;0,1,0),IF(T8&lt;0,1,0),IF(X8&lt;0,1,0),IF(Y8&lt;0,1,0),IF(Z8&lt;0,1,0))</f>
        <v>7</v>
      </c>
      <c r="Q8" s="54">
        <f>1+SUM(IF(O8&lt;O6,1,0),IF(O8&lt;O7,1,0),IF(O8&lt;O5,1,0),IF(O8&lt;O9,1,0))</f>
        <v>5</v>
      </c>
      <c r="R8" s="69">
        <f t="shared" ref="R8:T8" si="9">-AA5</f>
        <v>-11</v>
      </c>
      <c r="S8" s="58">
        <f t="shared" si="9"/>
        <v>-12</v>
      </c>
      <c r="T8" s="58">
        <f t="shared" si="9"/>
        <v>0</v>
      </c>
      <c r="U8" s="58">
        <f t="shared" ref="U8:W8" si="10">-AA6</f>
        <v>-2</v>
      </c>
      <c r="V8" s="58">
        <f t="shared" si="10"/>
        <v>2</v>
      </c>
      <c r="W8" s="58">
        <f t="shared" si="10"/>
        <v>0</v>
      </c>
      <c r="X8" s="58">
        <f t="shared" ref="X8:Z8" si="11">-AA7</f>
        <v>-5</v>
      </c>
      <c r="Y8" s="58">
        <f t="shared" si="11"/>
        <v>-11</v>
      </c>
      <c r="Z8" s="58">
        <f t="shared" si="11"/>
        <v>0</v>
      </c>
      <c r="AA8" s="71"/>
      <c r="AB8" s="71"/>
      <c r="AC8" s="71"/>
      <c r="AD8" s="58">
        <f>Q18-T18</f>
        <v>-7</v>
      </c>
      <c r="AE8" s="58">
        <f>V18-Y18</f>
        <v>-7</v>
      </c>
      <c r="AF8" s="58">
        <f>AA18-AD18</f>
        <v>0</v>
      </c>
      <c r="AG8" s="58" t="b">
        <f>IF(Q8=Q9,IF(SUM(AD8:AF8)&gt;0,B8,B9))</f>
        <v>0</v>
      </c>
      <c r="AH8" s="58" t="b">
        <f>IF(R8=R9,IF(SUM(AE8:AG8)&lt;0,C8,C9))</f>
        <v>0</v>
      </c>
      <c r="AI8" s="60">
        <f t="shared" si="1"/>
        <v>5</v>
      </c>
      <c r="AJ8" s="61">
        <f t="shared" si="2"/>
        <v>-53</v>
      </c>
      <c r="AK8" s="72">
        <f>1+SUM(IF(AJ8&lt;AJ6,1,0),IF(AJ8&lt;AJ7,1,0),IF(AJ8&lt;AJ5,1,0),IF(AJ8&lt;AJ9,1,0))</f>
        <v>5</v>
      </c>
      <c r="AL8" s="63">
        <f t="shared" si="3"/>
        <v>0.25</v>
      </c>
      <c r="AM8" s="72">
        <f>1+SUM(IF(AL8&lt;AL6,1,0),IF(AL8&lt;AL7,1,0),IF(AL8&lt;AL5,1,0),IF(AL8&lt;AL9,1,0))</f>
        <v>3</v>
      </c>
      <c r="AN8" s="64">
        <f t="shared" si="4"/>
        <v>0.125</v>
      </c>
      <c r="AO8" s="65">
        <f>1+SUM(IF(AN8&lt;AN6,1,0),IF(AN8&lt;AN7,1,0),IF(AN8&lt;AN5,1,0),IF(AN8&lt;AN9,1,0))</f>
        <v>5</v>
      </c>
      <c r="AP8" s="106">
        <f t="shared" si="5"/>
        <v>-6.625</v>
      </c>
      <c r="AQ8" s="73">
        <f>1+SUM(IF(AP8&lt;AP6,1,0),IF(AP8&lt;AP7,1,0),IF(AP8&lt;AP5,1,0),IF(AP8&lt;AP9,1,0))</f>
        <v>5</v>
      </c>
      <c r="AR8" s="68">
        <f>1+SUM(IF(Q8&gt;Q5,1,IF(AND(Q8=Q5,AK8&gt;AK5),1,IF(AND(Q8=Q5,AK8=AK5),1,0))),IF(Q8&gt;Q6,1,IF(AND(Q8=Q6,AK8&gt;AK6),1,IF(AND(Q8=Q6,AK8=AK6),1,0))),IF(Q8&gt;Q7,1,IF(AND(Q8=Q7,AK8&gt;AK7),1,IF(AND(Q8=Q7,AK8=AK7),1,0))),IF(Q8&gt;Q9,1,IF(AND(Q8=Q9,AK8&gt;AK9),1,IF(AND(Q8=Q9,AK8=AK9),1,0))))</f>
        <v>5</v>
      </c>
    </row>
    <row r="9" spans="1:44" ht="15.75" customHeight="1" x14ac:dyDescent="0.2">
      <c r="A9" s="51">
        <f t="shared" si="0"/>
        <v>4</v>
      </c>
      <c r="B9" s="172" t="str">
        <f>+'Men''s Master'!D8</f>
        <v>Philly CIA Red</v>
      </c>
      <c r="C9" s="173"/>
      <c r="D9" s="173"/>
      <c r="E9" s="171">
        <f>SUM(IF(AG16=E16,1,0),IF(AG18=E18,1,0),IF(AG21=E21,1,0),IF(AG23=E23,1,0))</f>
        <v>1</v>
      </c>
      <c r="F9" s="162"/>
      <c r="G9" s="162"/>
      <c r="H9" s="162"/>
      <c r="I9" s="153"/>
      <c r="J9" s="169">
        <f>SUM(IF(AG16=E16,0,1),IF(AG18=E18,0,1),IF(AG21=E21,0,1),IF(AG23=E23,0,1))</f>
        <v>3</v>
      </c>
      <c r="K9" s="162"/>
      <c r="L9" s="162"/>
      <c r="M9" s="162"/>
      <c r="N9" s="170"/>
      <c r="O9" s="53">
        <f>SUM(IF(R9&gt;0,1,0),IF(S9&gt;0,1,0),IF(T9&gt;0,1,0),IF(U9&gt;0,1,0),IF(V9&gt;0,1,0),IF(W9&gt;0,1,0),IF(X9&gt;0,1,0),IF(Y9&gt;0,1,0),IF(Z9&gt;0,1,0),IF(AA9&gt;0,1,0),IF(AB9&gt;0,1,0),IF(AC9&gt;0,1,0))</f>
        <v>2</v>
      </c>
      <c r="P9" s="52">
        <f>SUM(IF(R9&lt;0,1,0),IF(S9&lt;0,1,0),IF(T9&lt;0,1,0),IF(U9&lt;0,1,0),IF(V9&lt;0,1,0),IF(W9&lt;0,1,0),IF(X9&lt;0,1,0),IF(Y9&lt;0,1,0),IF(Z9&lt;0,1,0),IF(AA9&lt;0,1,0),IF(AB9&lt;0,1,0),IF(AC9&lt;0,1,0))</f>
        <v>6</v>
      </c>
      <c r="Q9" s="54">
        <f>1+SUM(IF(O9&lt;O6,1,0),IF(O9&lt;O7,1,0),IF(O9&lt;O8,1,0),IF(O9&lt;O5,1,0))</f>
        <v>4</v>
      </c>
      <c r="R9" s="74">
        <f t="shared" ref="R9:T9" si="12">-AD5</f>
        <v>-12</v>
      </c>
      <c r="S9" s="75">
        <f t="shared" si="12"/>
        <v>-3</v>
      </c>
      <c r="T9" s="75">
        <f t="shared" si="12"/>
        <v>0</v>
      </c>
      <c r="U9" s="75">
        <f t="shared" ref="U9:W9" si="13">-AD6</f>
        <v>-8</v>
      </c>
      <c r="V9" s="75">
        <f t="shared" si="13"/>
        <v>-4</v>
      </c>
      <c r="W9" s="75">
        <f t="shared" si="13"/>
        <v>0</v>
      </c>
      <c r="X9" s="75">
        <f t="shared" ref="X9:Z9" si="14">-AD7</f>
        <v>-14</v>
      </c>
      <c r="Y9" s="75">
        <f t="shared" si="14"/>
        <v>-9</v>
      </c>
      <c r="Z9" s="75">
        <f t="shared" si="14"/>
        <v>0</v>
      </c>
      <c r="AA9" s="75">
        <f t="shared" ref="AA9:AC9" si="15">-AD8</f>
        <v>7</v>
      </c>
      <c r="AB9" s="75">
        <f t="shared" si="15"/>
        <v>7</v>
      </c>
      <c r="AC9" s="75">
        <f t="shared" si="15"/>
        <v>0</v>
      </c>
      <c r="AD9" s="76"/>
      <c r="AE9" s="76"/>
      <c r="AF9" s="76"/>
      <c r="AG9" s="77" t="s">
        <v>168</v>
      </c>
      <c r="AH9" s="77" t="s">
        <v>168</v>
      </c>
      <c r="AI9" s="60">
        <f t="shared" si="1"/>
        <v>4</v>
      </c>
      <c r="AJ9" s="78">
        <f t="shared" si="2"/>
        <v>-36</v>
      </c>
      <c r="AK9" s="72">
        <f>1+SUM(IF(AJ9&lt;AJ6,1,0),IF(AJ9&lt;AJ7,1,0),IF(AJ9&lt;AJ8,1,0),IF(AJ9&lt;AJ5,1,0))</f>
        <v>4</v>
      </c>
      <c r="AL9" s="79">
        <f t="shared" si="3"/>
        <v>0.25</v>
      </c>
      <c r="AM9" s="72">
        <f>1+SUM(IF(AL9&lt;AL6,1,0),IF(AL9&lt;AL7,1,0),IF(AL9&lt;AL8,1,0),IF(AL9&lt;AL5,1,0))</f>
        <v>3</v>
      </c>
      <c r="AN9" s="64">
        <f t="shared" si="4"/>
        <v>0.25</v>
      </c>
      <c r="AO9" s="65">
        <f>1+SUM(IF(AN9&lt;AN6,1,0),IF(AN9&lt;AN7,1,0),IF(AN9&lt;AN8,1,0),IF(AN9&lt;AN5,1,0))</f>
        <v>4</v>
      </c>
      <c r="AP9" s="106">
        <f t="shared" si="5"/>
        <v>-4.5</v>
      </c>
      <c r="AQ9" s="73">
        <f>1+SUM(IF(AP9&lt;AP6,1,0),IF(AP9&lt;AP7,1,0),IF(AP9&lt;AP8,1,0),IF(AP9&lt;AP5,1,0))</f>
        <v>4</v>
      </c>
      <c r="AR9" s="68">
        <f>1+SUM(IF(Q9&gt;Q5,1,IF(AND(Q9=Q5,AK9&gt;AK5),1,IF(AND(Q9=Q5,AK9=AK5),1,0))),IF(Q9&gt;Q6,1,IF(AND(Q9=Q6,AK9&gt;AK6),1,IF(AND(Q9=Q6,AK9=AK6),1,0))),IF(Q9&gt;Q7,1,IF(AND(Q9=Q7,AK9&gt;AK7),1,IF(AND(Q9=Q7,AK9=AK7),1,0))),IF(Q9&gt;Q8,1,IF(AND(Q9=Q8,AK9&gt;AK8),1,IF(AND(Q9=Q8,AK9=AK8),1,0))))</f>
        <v>4</v>
      </c>
    </row>
    <row r="10" spans="1:44" ht="12.75" customHeight="1" x14ac:dyDescent="0.2">
      <c r="A10" s="174"/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80"/>
      <c r="AI10" s="41"/>
      <c r="AJ10" s="41"/>
      <c r="AK10" s="41"/>
      <c r="AL10" s="41"/>
      <c r="AM10" s="41"/>
      <c r="AN10" s="41"/>
      <c r="AO10" s="5"/>
      <c r="AP10" s="5"/>
      <c r="AQ10" s="5"/>
      <c r="AR10" s="5"/>
    </row>
    <row r="11" spans="1:44" ht="12.75" customHeight="1" x14ac:dyDescent="0.2">
      <c r="A11" s="136"/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80"/>
      <c r="AI11" s="41"/>
      <c r="AJ11" s="41"/>
      <c r="AK11" s="41"/>
      <c r="AL11" s="41"/>
      <c r="AM11" s="41"/>
      <c r="AN11" s="41"/>
      <c r="AO11" s="5"/>
      <c r="AP11" s="5"/>
      <c r="AQ11" s="5"/>
      <c r="AR11" s="5"/>
    </row>
    <row r="12" spans="1:44" ht="13.5" customHeight="1" x14ac:dyDescent="0.2">
      <c r="A12" s="136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80"/>
      <c r="AI12" s="41"/>
      <c r="AJ12" s="41"/>
      <c r="AK12" s="41"/>
      <c r="AL12" s="41"/>
      <c r="AM12" s="41"/>
      <c r="AN12" s="41"/>
      <c r="AO12" s="5"/>
      <c r="AP12" s="5"/>
      <c r="AQ12" s="5"/>
      <c r="AR12" s="5"/>
    </row>
    <row r="13" spans="1:44" ht="13.5" customHeight="1" x14ac:dyDescent="0.2">
      <c r="A13" s="167"/>
      <c r="B13" s="136"/>
      <c r="C13" s="81" t="s">
        <v>169</v>
      </c>
      <c r="D13" s="82" t="s">
        <v>170</v>
      </c>
      <c r="E13" s="165" t="s">
        <v>169</v>
      </c>
      <c r="F13" s="156"/>
      <c r="G13" s="156"/>
      <c r="H13" s="156"/>
      <c r="I13" s="156"/>
      <c r="J13" s="156"/>
      <c r="K13" s="156"/>
      <c r="L13" s="156"/>
      <c r="M13" s="166"/>
      <c r="N13" s="176" t="s">
        <v>171</v>
      </c>
      <c r="O13" s="177"/>
      <c r="P13" s="178"/>
      <c r="Q13" s="155" t="s">
        <v>172</v>
      </c>
      <c r="R13" s="156"/>
      <c r="S13" s="156"/>
      <c r="T13" s="156"/>
      <c r="U13" s="166"/>
      <c r="V13" s="175" t="s">
        <v>173</v>
      </c>
      <c r="W13" s="156"/>
      <c r="X13" s="156"/>
      <c r="Y13" s="156"/>
      <c r="Z13" s="166"/>
      <c r="AA13" s="155" t="s">
        <v>174</v>
      </c>
      <c r="AB13" s="156"/>
      <c r="AC13" s="156"/>
      <c r="AD13" s="156"/>
      <c r="AE13" s="157"/>
      <c r="AF13" s="83"/>
      <c r="AG13" s="84" t="s">
        <v>175</v>
      </c>
      <c r="AH13" s="49" t="s">
        <v>176</v>
      </c>
      <c r="AI13" s="158" t="s">
        <v>177</v>
      </c>
      <c r="AJ13" s="159"/>
      <c r="AK13" s="41"/>
      <c r="AL13" s="5"/>
      <c r="AM13" s="5"/>
      <c r="AN13" s="5"/>
      <c r="AO13" s="5"/>
      <c r="AP13" s="5"/>
      <c r="AQ13" s="5"/>
      <c r="AR13" s="5"/>
    </row>
    <row r="14" spans="1:44" ht="15.75" customHeight="1" x14ac:dyDescent="0.2">
      <c r="A14" s="85">
        <v>1</v>
      </c>
      <c r="B14" s="86">
        <v>1</v>
      </c>
      <c r="C14" s="117" t="str">
        <f>+B5</f>
        <v>Toronto Phoenix</v>
      </c>
      <c r="D14" s="88">
        <v>2</v>
      </c>
      <c r="E14" s="161" t="str">
        <f>+B6</f>
        <v>NY BCVA</v>
      </c>
      <c r="F14" s="162"/>
      <c r="G14" s="162"/>
      <c r="H14" s="162"/>
      <c r="I14" s="162"/>
      <c r="J14" s="162"/>
      <c r="K14" s="162"/>
      <c r="L14" s="162"/>
      <c r="M14" s="153"/>
      <c r="N14" s="89">
        <v>3</v>
      </c>
      <c r="O14" s="198" t="str">
        <f>+B7</f>
        <v>NJ Ronin</v>
      </c>
      <c r="P14" s="153"/>
      <c r="Q14" s="151">
        <v>21</v>
      </c>
      <c r="R14" s="143"/>
      <c r="S14" s="91">
        <v>0</v>
      </c>
      <c r="T14" s="151">
        <v>7</v>
      </c>
      <c r="U14" s="143"/>
      <c r="V14" s="154">
        <v>21</v>
      </c>
      <c r="W14" s="143"/>
      <c r="X14" s="92">
        <v>0</v>
      </c>
      <c r="Y14" s="154">
        <v>10</v>
      </c>
      <c r="Z14" s="143"/>
      <c r="AA14" s="200"/>
      <c r="AB14" s="164"/>
      <c r="AC14" s="118"/>
      <c r="AD14" s="200"/>
      <c r="AE14" s="164"/>
      <c r="AF14" s="94"/>
      <c r="AG14" s="104" t="str">
        <f t="shared" ref="AG14:AG23" si="16">IF(AND(Q14&gt;T14,V14&gt;Y14),C14, IF(AND(T14&gt;Q14,Y14&gt;V14),E14, IF((Q14)+(V14)+(AA14)-(T14)-(Y14)-(AD14)&gt;0,C14,E14)))</f>
        <v>Toronto Phoenix</v>
      </c>
      <c r="AH14" s="96">
        <f t="shared" ref="AH14:AH23" si="17">(Q14)+(V14)+(AA14)-(T14)-(Y14)-(AD14)</f>
        <v>25</v>
      </c>
      <c r="AI14" s="147">
        <v>0.375</v>
      </c>
      <c r="AJ14" s="148"/>
      <c r="AK14" s="5"/>
      <c r="AL14" s="5"/>
      <c r="AM14" s="5"/>
      <c r="AN14" s="5"/>
      <c r="AO14" s="5"/>
      <c r="AP14" s="5"/>
      <c r="AQ14" s="5"/>
      <c r="AR14" s="5"/>
    </row>
    <row r="15" spans="1:44" ht="15.75" customHeight="1" x14ac:dyDescent="0.2">
      <c r="A15" s="97">
        <v>2</v>
      </c>
      <c r="B15" s="98">
        <v>3</v>
      </c>
      <c r="C15" s="105" t="str">
        <f>+B7</f>
        <v>NJ Ronin</v>
      </c>
      <c r="D15" s="61">
        <v>4</v>
      </c>
      <c r="E15" s="163" t="str">
        <f t="shared" ref="E15:E16" si="18">+B8</f>
        <v>Boston Knights A</v>
      </c>
      <c r="F15" s="164"/>
      <c r="G15" s="164"/>
      <c r="H15" s="164"/>
      <c r="I15" s="164"/>
      <c r="J15" s="164"/>
      <c r="K15" s="164"/>
      <c r="L15" s="164"/>
      <c r="M15" s="143"/>
      <c r="N15" s="100">
        <v>2</v>
      </c>
      <c r="O15" s="168" t="str">
        <f>+B6</f>
        <v>NY BCVA</v>
      </c>
      <c r="P15" s="143"/>
      <c r="Q15" s="144">
        <v>21</v>
      </c>
      <c r="R15" s="141"/>
      <c r="S15" s="101">
        <v>0</v>
      </c>
      <c r="T15" s="144">
        <v>16</v>
      </c>
      <c r="U15" s="141"/>
      <c r="V15" s="140">
        <v>21</v>
      </c>
      <c r="W15" s="141"/>
      <c r="X15" s="102">
        <v>0</v>
      </c>
      <c r="Y15" s="140">
        <v>10</v>
      </c>
      <c r="Z15" s="141"/>
      <c r="AA15" s="200"/>
      <c r="AB15" s="164"/>
      <c r="AC15" s="118"/>
      <c r="AD15" s="200"/>
      <c r="AE15" s="164"/>
      <c r="AF15" s="94"/>
      <c r="AG15" s="95" t="str">
        <f t="shared" si="16"/>
        <v>NJ Ronin</v>
      </c>
      <c r="AH15" s="96">
        <f t="shared" si="17"/>
        <v>16</v>
      </c>
      <c r="AI15" s="149">
        <v>0.40972222222222227</v>
      </c>
      <c r="AJ15" s="150"/>
      <c r="AK15" s="5"/>
      <c r="AL15" s="5"/>
      <c r="AM15" s="5"/>
      <c r="AN15" s="5"/>
      <c r="AO15" s="5"/>
      <c r="AP15" s="5"/>
      <c r="AQ15" s="5"/>
      <c r="AR15" s="5"/>
    </row>
    <row r="16" spans="1:44" ht="15.75" customHeight="1" x14ac:dyDescent="0.2">
      <c r="A16" s="97">
        <v>3</v>
      </c>
      <c r="B16" s="98">
        <v>1</v>
      </c>
      <c r="C16" s="99" t="str">
        <f t="shared" ref="C16:C17" si="19">+B5</f>
        <v>Toronto Phoenix</v>
      </c>
      <c r="D16" s="61">
        <v>5</v>
      </c>
      <c r="E16" s="163" t="str">
        <f t="shared" si="18"/>
        <v>Philly CIA Red</v>
      </c>
      <c r="F16" s="164"/>
      <c r="G16" s="164"/>
      <c r="H16" s="164"/>
      <c r="I16" s="164"/>
      <c r="J16" s="164"/>
      <c r="K16" s="164"/>
      <c r="L16" s="164"/>
      <c r="M16" s="143"/>
      <c r="N16" s="100">
        <v>4</v>
      </c>
      <c r="O16" s="168" t="str">
        <f>+B8</f>
        <v>Boston Knights A</v>
      </c>
      <c r="P16" s="143"/>
      <c r="Q16" s="144">
        <v>21</v>
      </c>
      <c r="R16" s="141"/>
      <c r="S16" s="101">
        <v>0</v>
      </c>
      <c r="T16" s="144">
        <v>9</v>
      </c>
      <c r="U16" s="141"/>
      <c r="V16" s="140">
        <v>21</v>
      </c>
      <c r="W16" s="141"/>
      <c r="X16" s="102">
        <v>0</v>
      </c>
      <c r="Y16" s="140">
        <v>18</v>
      </c>
      <c r="Z16" s="141"/>
      <c r="AA16" s="200"/>
      <c r="AB16" s="164"/>
      <c r="AC16" s="118"/>
      <c r="AD16" s="200"/>
      <c r="AE16" s="164"/>
      <c r="AF16" s="94"/>
      <c r="AG16" s="104" t="str">
        <f t="shared" si="16"/>
        <v>Toronto Phoenix</v>
      </c>
      <c r="AH16" s="96">
        <f t="shared" si="17"/>
        <v>15</v>
      </c>
      <c r="AI16" s="149">
        <v>0.44444444444444442</v>
      </c>
      <c r="AJ16" s="150"/>
      <c r="AK16" s="5"/>
      <c r="AL16" s="5"/>
      <c r="AM16" s="5"/>
      <c r="AN16" s="5"/>
      <c r="AO16" s="5"/>
      <c r="AP16" s="5"/>
      <c r="AQ16" s="5"/>
      <c r="AR16" s="5"/>
    </row>
    <row r="17" spans="1:44" ht="15.75" customHeight="1" x14ac:dyDescent="0.2">
      <c r="A17" s="97">
        <v>4</v>
      </c>
      <c r="B17" s="98">
        <v>2</v>
      </c>
      <c r="C17" s="99" t="str">
        <f t="shared" si="19"/>
        <v>NY BCVA</v>
      </c>
      <c r="D17" s="61">
        <v>3</v>
      </c>
      <c r="E17" s="201" t="str">
        <f>+B7</f>
        <v>NJ Ronin</v>
      </c>
      <c r="F17" s="164"/>
      <c r="G17" s="164"/>
      <c r="H17" s="164"/>
      <c r="I17" s="164"/>
      <c r="J17" s="164"/>
      <c r="K17" s="164"/>
      <c r="L17" s="164"/>
      <c r="M17" s="143"/>
      <c r="N17" s="100">
        <v>1</v>
      </c>
      <c r="O17" s="168" t="str">
        <f>+B5</f>
        <v>Toronto Phoenix</v>
      </c>
      <c r="P17" s="143"/>
      <c r="Q17" s="144">
        <v>9</v>
      </c>
      <c r="R17" s="141"/>
      <c r="S17" s="101">
        <v>0</v>
      </c>
      <c r="T17" s="144">
        <v>21</v>
      </c>
      <c r="U17" s="141"/>
      <c r="V17" s="140">
        <v>13</v>
      </c>
      <c r="W17" s="141"/>
      <c r="X17" s="102">
        <v>0</v>
      </c>
      <c r="Y17" s="140">
        <v>21</v>
      </c>
      <c r="Z17" s="141"/>
      <c r="AA17" s="200"/>
      <c r="AB17" s="164"/>
      <c r="AC17" s="118"/>
      <c r="AD17" s="200"/>
      <c r="AE17" s="164"/>
      <c r="AF17" s="94"/>
      <c r="AG17" s="95" t="str">
        <f t="shared" si="16"/>
        <v>NJ Ronin</v>
      </c>
      <c r="AH17" s="96">
        <f t="shared" si="17"/>
        <v>-20</v>
      </c>
      <c r="AI17" s="149">
        <v>0.47916666666666669</v>
      </c>
      <c r="AJ17" s="150"/>
      <c r="AK17" s="5"/>
      <c r="AL17" s="5"/>
      <c r="AM17" s="5"/>
      <c r="AN17" s="5"/>
      <c r="AO17" s="5"/>
      <c r="AP17" s="5"/>
      <c r="AQ17" s="5"/>
      <c r="AR17" s="5"/>
    </row>
    <row r="18" spans="1:44" ht="15.75" customHeight="1" x14ac:dyDescent="0.2">
      <c r="A18" s="97">
        <v>5</v>
      </c>
      <c r="B18" s="98">
        <v>4</v>
      </c>
      <c r="C18" s="99" t="str">
        <f>+B8</f>
        <v>Boston Knights A</v>
      </c>
      <c r="D18" s="61">
        <v>5</v>
      </c>
      <c r="E18" s="163" t="str">
        <f>+B9</f>
        <v>Philly CIA Red</v>
      </c>
      <c r="F18" s="164"/>
      <c r="G18" s="164"/>
      <c r="H18" s="164"/>
      <c r="I18" s="164"/>
      <c r="J18" s="164"/>
      <c r="K18" s="164"/>
      <c r="L18" s="164"/>
      <c r="M18" s="143"/>
      <c r="N18" s="100">
        <v>3</v>
      </c>
      <c r="O18" s="186" t="str">
        <f>+B7</f>
        <v>NJ Ronin</v>
      </c>
      <c r="P18" s="143"/>
      <c r="Q18" s="144">
        <v>14</v>
      </c>
      <c r="R18" s="141"/>
      <c r="S18" s="101">
        <v>0</v>
      </c>
      <c r="T18" s="144">
        <v>21</v>
      </c>
      <c r="U18" s="141"/>
      <c r="V18" s="140">
        <v>14</v>
      </c>
      <c r="W18" s="141"/>
      <c r="X18" s="102">
        <v>0</v>
      </c>
      <c r="Y18" s="140">
        <v>21</v>
      </c>
      <c r="Z18" s="141"/>
      <c r="AA18" s="200"/>
      <c r="AB18" s="164"/>
      <c r="AC18" s="118"/>
      <c r="AD18" s="200"/>
      <c r="AE18" s="164"/>
      <c r="AF18" s="94"/>
      <c r="AG18" s="104" t="str">
        <f t="shared" si="16"/>
        <v>Philly CIA Red</v>
      </c>
      <c r="AH18" s="96">
        <f t="shared" si="17"/>
        <v>-14</v>
      </c>
      <c r="AI18" s="149">
        <v>0.53472222222222221</v>
      </c>
      <c r="AJ18" s="150"/>
      <c r="AK18" s="5"/>
      <c r="AL18" s="5"/>
      <c r="AM18" s="5"/>
      <c r="AN18" s="5"/>
      <c r="AO18" s="5"/>
      <c r="AP18" s="5"/>
      <c r="AQ18" s="5"/>
      <c r="AR18" s="5"/>
    </row>
    <row r="19" spans="1:44" ht="15.75" customHeight="1" x14ac:dyDescent="0.2">
      <c r="A19" s="97">
        <v>6</v>
      </c>
      <c r="B19" s="98">
        <v>1</v>
      </c>
      <c r="C19" s="99" t="str">
        <f t="shared" ref="C19:C21" si="20">+B5</f>
        <v>Toronto Phoenix</v>
      </c>
      <c r="D19" s="61">
        <v>3</v>
      </c>
      <c r="E19" s="201" t="str">
        <f t="shared" ref="E19:E21" si="21">+B7</f>
        <v>NJ Ronin</v>
      </c>
      <c r="F19" s="164"/>
      <c r="G19" s="164"/>
      <c r="H19" s="164"/>
      <c r="I19" s="164"/>
      <c r="J19" s="164"/>
      <c r="K19" s="164"/>
      <c r="L19" s="164"/>
      <c r="M19" s="143"/>
      <c r="N19" s="100">
        <v>5</v>
      </c>
      <c r="O19" s="168" t="str">
        <f>+B9</f>
        <v>Philly CIA Red</v>
      </c>
      <c r="P19" s="143"/>
      <c r="Q19" s="144">
        <v>21</v>
      </c>
      <c r="R19" s="141"/>
      <c r="S19" s="101">
        <v>0</v>
      </c>
      <c r="T19" s="144">
        <v>16</v>
      </c>
      <c r="U19" s="141"/>
      <c r="V19" s="140">
        <v>23</v>
      </c>
      <c r="W19" s="141"/>
      <c r="X19" s="102">
        <v>0</v>
      </c>
      <c r="Y19" s="140">
        <v>22</v>
      </c>
      <c r="Z19" s="141"/>
      <c r="AA19" s="200"/>
      <c r="AB19" s="164"/>
      <c r="AC19" s="119"/>
      <c r="AD19" s="200"/>
      <c r="AE19" s="164"/>
      <c r="AF19" s="120"/>
      <c r="AG19" s="104" t="str">
        <f t="shared" si="16"/>
        <v>Toronto Phoenix</v>
      </c>
      <c r="AH19" s="96">
        <f t="shared" si="17"/>
        <v>6</v>
      </c>
      <c r="AI19" s="149">
        <v>6.9444444444444434E-2</v>
      </c>
      <c r="AJ19" s="150"/>
      <c r="AK19" s="121">
        <v>16</v>
      </c>
      <c r="AL19" s="5"/>
      <c r="AM19" s="5"/>
      <c r="AN19" s="5"/>
      <c r="AO19" s="5"/>
      <c r="AP19" s="121">
        <v>0</v>
      </c>
      <c r="AQ19" s="5"/>
      <c r="AR19" s="5"/>
    </row>
    <row r="20" spans="1:44" ht="15.75" customHeight="1" x14ac:dyDescent="0.2">
      <c r="A20" s="97">
        <v>7</v>
      </c>
      <c r="B20" s="98">
        <v>2</v>
      </c>
      <c r="C20" s="99" t="str">
        <f t="shared" si="20"/>
        <v>NY BCVA</v>
      </c>
      <c r="D20" s="61">
        <v>4</v>
      </c>
      <c r="E20" s="163" t="str">
        <f t="shared" si="21"/>
        <v>Boston Knights A</v>
      </c>
      <c r="F20" s="164"/>
      <c r="G20" s="164"/>
      <c r="H20" s="164"/>
      <c r="I20" s="164"/>
      <c r="J20" s="164"/>
      <c r="K20" s="164"/>
      <c r="L20" s="164"/>
      <c r="M20" s="143"/>
      <c r="N20" s="100">
        <v>1</v>
      </c>
      <c r="O20" s="168" t="str">
        <f t="shared" ref="O20:O21" si="22">+B5</f>
        <v>Toronto Phoenix</v>
      </c>
      <c r="P20" s="143"/>
      <c r="Q20" s="144">
        <v>21</v>
      </c>
      <c r="R20" s="141"/>
      <c r="S20" s="101">
        <v>0</v>
      </c>
      <c r="T20" s="144">
        <v>19</v>
      </c>
      <c r="U20" s="141"/>
      <c r="V20" s="140">
        <v>19</v>
      </c>
      <c r="W20" s="141"/>
      <c r="X20" s="102">
        <v>0</v>
      </c>
      <c r="Y20" s="140">
        <v>21</v>
      </c>
      <c r="Z20" s="141"/>
      <c r="AA20" s="200"/>
      <c r="AB20" s="164"/>
      <c r="AC20" s="119"/>
      <c r="AD20" s="200"/>
      <c r="AE20" s="164"/>
      <c r="AF20" s="94"/>
      <c r="AG20" s="104" t="str">
        <f t="shared" si="16"/>
        <v>Boston Knights A</v>
      </c>
      <c r="AH20" s="96">
        <f t="shared" si="17"/>
        <v>0</v>
      </c>
      <c r="AI20" s="149">
        <v>0.10416666666666667</v>
      </c>
      <c r="AJ20" s="150"/>
      <c r="AK20" s="5"/>
      <c r="AL20" s="5"/>
      <c r="AM20" s="5"/>
      <c r="AN20" s="5"/>
      <c r="AO20" s="5"/>
      <c r="AP20" s="5"/>
      <c r="AQ20" s="5"/>
      <c r="AR20" s="5"/>
    </row>
    <row r="21" spans="1:44" ht="15.75" customHeight="1" x14ac:dyDescent="0.2">
      <c r="A21" s="97">
        <v>8</v>
      </c>
      <c r="B21" s="98">
        <v>3</v>
      </c>
      <c r="C21" s="105" t="str">
        <f t="shared" si="20"/>
        <v>NJ Ronin</v>
      </c>
      <c r="D21" s="61">
        <v>5</v>
      </c>
      <c r="E21" s="163" t="str">
        <f t="shared" si="21"/>
        <v>Philly CIA Red</v>
      </c>
      <c r="F21" s="164"/>
      <c r="G21" s="164"/>
      <c r="H21" s="164"/>
      <c r="I21" s="164"/>
      <c r="J21" s="164"/>
      <c r="K21" s="164"/>
      <c r="L21" s="164"/>
      <c r="M21" s="143"/>
      <c r="N21" s="100">
        <v>2</v>
      </c>
      <c r="O21" s="168" t="str">
        <f t="shared" si="22"/>
        <v>NY BCVA</v>
      </c>
      <c r="P21" s="143"/>
      <c r="Q21" s="144">
        <v>21</v>
      </c>
      <c r="R21" s="141"/>
      <c r="S21" s="101">
        <v>0</v>
      </c>
      <c r="T21" s="144">
        <v>7</v>
      </c>
      <c r="U21" s="141"/>
      <c r="V21" s="140">
        <v>21</v>
      </c>
      <c r="W21" s="141"/>
      <c r="X21" s="102">
        <v>0</v>
      </c>
      <c r="Y21" s="140">
        <v>12</v>
      </c>
      <c r="Z21" s="141"/>
      <c r="AA21" s="200"/>
      <c r="AB21" s="164"/>
      <c r="AC21" s="119"/>
      <c r="AD21" s="200"/>
      <c r="AE21" s="164"/>
      <c r="AF21" s="94"/>
      <c r="AG21" s="95" t="str">
        <f t="shared" si="16"/>
        <v>NJ Ronin</v>
      </c>
      <c r="AH21" s="96">
        <f t="shared" si="17"/>
        <v>23</v>
      </c>
      <c r="AI21" s="149">
        <v>0.15972222222222224</v>
      </c>
      <c r="AJ21" s="150"/>
      <c r="AK21" s="5"/>
      <c r="AL21" s="5"/>
      <c r="AM21" s="5"/>
      <c r="AN21" s="5"/>
      <c r="AO21" s="5"/>
      <c r="AP21" s="5"/>
      <c r="AQ21" s="5"/>
      <c r="AR21" s="5"/>
    </row>
    <row r="22" spans="1:44" ht="15.75" customHeight="1" x14ac:dyDescent="0.2">
      <c r="A22" s="97">
        <v>9</v>
      </c>
      <c r="B22" s="98">
        <v>1</v>
      </c>
      <c r="C22" s="99" t="str">
        <f t="shared" ref="C22:C23" si="23">+B5</f>
        <v>Toronto Phoenix</v>
      </c>
      <c r="D22" s="61">
        <v>4</v>
      </c>
      <c r="E22" s="163" t="str">
        <f t="shared" ref="E22:E23" si="24">+B8</f>
        <v>Boston Knights A</v>
      </c>
      <c r="F22" s="164"/>
      <c r="G22" s="164"/>
      <c r="H22" s="164"/>
      <c r="I22" s="164"/>
      <c r="J22" s="164"/>
      <c r="K22" s="164"/>
      <c r="L22" s="164"/>
      <c r="M22" s="143"/>
      <c r="N22" s="100">
        <v>5</v>
      </c>
      <c r="O22" s="168" t="str">
        <f>+B9</f>
        <v>Philly CIA Red</v>
      </c>
      <c r="P22" s="143"/>
      <c r="Q22" s="144">
        <v>21</v>
      </c>
      <c r="R22" s="141"/>
      <c r="S22" s="101">
        <v>0</v>
      </c>
      <c r="T22" s="144">
        <v>10</v>
      </c>
      <c r="U22" s="141"/>
      <c r="V22" s="140">
        <v>21</v>
      </c>
      <c r="W22" s="141"/>
      <c r="X22" s="102">
        <v>0</v>
      </c>
      <c r="Y22" s="140">
        <v>9</v>
      </c>
      <c r="Z22" s="141"/>
      <c r="AA22" s="200"/>
      <c r="AB22" s="164"/>
      <c r="AC22" s="118"/>
      <c r="AD22" s="200"/>
      <c r="AE22" s="164"/>
      <c r="AF22" s="94"/>
      <c r="AG22" s="104" t="str">
        <f t="shared" si="16"/>
        <v>Toronto Phoenix</v>
      </c>
      <c r="AH22" s="96">
        <f t="shared" si="17"/>
        <v>23</v>
      </c>
      <c r="AI22" s="149">
        <v>0.19444444444444445</v>
      </c>
      <c r="AJ22" s="150"/>
      <c r="AK22" s="5"/>
      <c r="AL22" s="5"/>
      <c r="AM22" s="5"/>
      <c r="AN22" s="5"/>
      <c r="AO22" s="5"/>
      <c r="AP22" s="5"/>
      <c r="AQ22" s="5"/>
      <c r="AR22" s="5"/>
    </row>
    <row r="23" spans="1:44" ht="15.75" customHeight="1" x14ac:dyDescent="0.2">
      <c r="A23" s="109">
        <v>10</v>
      </c>
      <c r="B23" s="110">
        <v>2</v>
      </c>
      <c r="C23" s="111" t="str">
        <f t="shared" si="23"/>
        <v>NY BCVA</v>
      </c>
      <c r="D23" s="78">
        <v>5</v>
      </c>
      <c r="E23" s="188" t="str">
        <f t="shared" si="24"/>
        <v>Philly CIA Red</v>
      </c>
      <c r="F23" s="189"/>
      <c r="G23" s="189"/>
      <c r="H23" s="189"/>
      <c r="I23" s="189"/>
      <c r="J23" s="189"/>
      <c r="K23" s="189"/>
      <c r="L23" s="189"/>
      <c r="M23" s="146"/>
      <c r="N23" s="112">
        <v>4</v>
      </c>
      <c r="O23" s="187" t="str">
        <f>+B8</f>
        <v>Boston Knights A</v>
      </c>
      <c r="P23" s="146"/>
      <c r="Q23" s="144">
        <v>21</v>
      </c>
      <c r="R23" s="141"/>
      <c r="S23" s="101">
        <v>0</v>
      </c>
      <c r="T23" s="144">
        <v>13</v>
      </c>
      <c r="U23" s="141"/>
      <c r="V23" s="140">
        <v>21</v>
      </c>
      <c r="W23" s="141"/>
      <c r="X23" s="102">
        <v>0</v>
      </c>
      <c r="Y23" s="140">
        <v>17</v>
      </c>
      <c r="Z23" s="141"/>
      <c r="AA23" s="200"/>
      <c r="AB23" s="164"/>
      <c r="AC23" s="118"/>
      <c r="AD23" s="200"/>
      <c r="AE23" s="164"/>
      <c r="AF23" s="94"/>
      <c r="AG23" s="104" t="str">
        <f t="shared" si="16"/>
        <v>NY BCVA</v>
      </c>
      <c r="AH23" s="96">
        <f t="shared" si="17"/>
        <v>12</v>
      </c>
      <c r="AI23" s="184">
        <v>0.22916666666666666</v>
      </c>
      <c r="AJ23" s="185"/>
      <c r="AK23" s="5"/>
      <c r="AL23" s="5"/>
      <c r="AM23" s="5"/>
      <c r="AN23" s="5"/>
      <c r="AO23" s="5"/>
      <c r="AP23" s="5"/>
      <c r="AQ23" s="5"/>
      <c r="AR23" s="5"/>
    </row>
    <row r="24" spans="1:44" ht="12.75" customHeight="1" x14ac:dyDescent="0.2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123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5"/>
      <c r="AM24" s="5"/>
      <c r="AN24" s="5"/>
      <c r="AO24" s="5"/>
      <c r="AP24" s="5"/>
      <c r="AQ24" s="5"/>
      <c r="AR24" s="5"/>
    </row>
    <row r="25" spans="1:44" ht="12.75" customHeight="1" x14ac:dyDescent="0.2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12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5"/>
      <c r="AM25" s="5"/>
      <c r="AN25" s="5"/>
      <c r="AO25" s="5"/>
      <c r="AP25" s="5"/>
      <c r="AQ25" s="5"/>
      <c r="AR25" s="5"/>
    </row>
    <row r="26" spans="1:44" ht="12.75" customHeight="1" x14ac:dyDescent="0.2">
      <c r="A26" s="41"/>
      <c r="B26" s="57"/>
      <c r="C26" s="57" t="s">
        <v>179</v>
      </c>
      <c r="D26" s="57" t="s">
        <v>157</v>
      </c>
      <c r="E26" s="57" t="s">
        <v>180</v>
      </c>
      <c r="F26" s="57" t="s">
        <v>165</v>
      </c>
      <c r="G26" s="57" t="s">
        <v>166</v>
      </c>
      <c r="H26" s="41"/>
      <c r="I26" s="41"/>
      <c r="J26" s="41"/>
      <c r="K26" s="41"/>
      <c r="L26" s="41"/>
      <c r="M26" s="41"/>
      <c r="N26" s="41"/>
      <c r="O26" s="41"/>
      <c r="P26" s="41"/>
      <c r="Q26" s="121"/>
      <c r="R26" s="123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5"/>
      <c r="AM26" s="5"/>
      <c r="AN26" s="5"/>
      <c r="AO26" s="5"/>
      <c r="AP26" s="5"/>
      <c r="AQ26" s="5"/>
      <c r="AR26" s="5"/>
    </row>
    <row r="27" spans="1:44" ht="12.75" customHeight="1" x14ac:dyDescent="0.2">
      <c r="A27" s="41"/>
      <c r="B27" s="57">
        <v>1</v>
      </c>
      <c r="C27" s="57" t="str">
        <f t="shared" ref="C27:C31" si="25">VLOOKUP(B27,$A$5:$AR$9,2,FALSE)</f>
        <v>Toronto Phoenix</v>
      </c>
      <c r="D27" s="57">
        <f t="shared" ref="D27:D31" si="26">VLOOKUP(B27,$A$5:$AR$9,15,FALSE)</f>
        <v>8</v>
      </c>
      <c r="E27" s="57">
        <f t="shared" ref="E27:E31" si="27">VLOOKUP(B27,$A$5:$AR$9,36,FALSE)</f>
        <v>69</v>
      </c>
      <c r="F27" s="114">
        <f t="shared" ref="F27:F31" si="28">VLOOKUP(B27,$A$5:$AR$9,40,FALSE)</f>
        <v>1</v>
      </c>
      <c r="G27" s="114">
        <f t="shared" ref="G27:G31" si="29">VLOOKUP(B27,$A$5:$AR$9,42,FALSE)</f>
        <v>8.625</v>
      </c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5"/>
      <c r="AM27" s="5"/>
      <c r="AN27" s="5"/>
      <c r="AO27" s="5"/>
      <c r="AP27" s="5"/>
      <c r="AQ27" s="5"/>
      <c r="AR27" s="5"/>
    </row>
    <row r="28" spans="1:44" ht="12.75" customHeight="1" x14ac:dyDescent="0.2">
      <c r="A28" s="41"/>
      <c r="B28" s="57">
        <v>2</v>
      </c>
      <c r="C28" s="116" t="str">
        <f t="shared" si="25"/>
        <v>NJ Ronin</v>
      </c>
      <c r="D28" s="57">
        <f t="shared" si="26"/>
        <v>6</v>
      </c>
      <c r="E28" s="57">
        <f t="shared" si="27"/>
        <v>53</v>
      </c>
      <c r="F28" s="114">
        <f t="shared" si="28"/>
        <v>0.75</v>
      </c>
      <c r="G28" s="114">
        <f t="shared" si="29"/>
        <v>6.625</v>
      </c>
      <c r="H28" s="41"/>
      <c r="I28" s="41"/>
      <c r="J28" s="41"/>
      <c r="K28" s="41"/>
      <c r="L28" s="41"/>
      <c r="M28" s="41"/>
      <c r="N28" s="41"/>
      <c r="O28" s="41"/>
      <c r="P28" s="5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183"/>
      <c r="AK28" s="136"/>
      <c r="AL28" s="5"/>
      <c r="AM28" s="5"/>
      <c r="AN28" s="5"/>
      <c r="AO28" s="5"/>
      <c r="AP28" s="5"/>
      <c r="AQ28" s="5"/>
      <c r="AR28" s="5"/>
    </row>
    <row r="29" spans="1:44" ht="12.75" customHeight="1" x14ac:dyDescent="0.2">
      <c r="A29" s="5"/>
      <c r="B29" s="14">
        <v>3</v>
      </c>
      <c r="C29" s="57" t="str">
        <f t="shared" si="25"/>
        <v>NY BCVA</v>
      </c>
      <c r="D29" s="57">
        <f t="shared" si="26"/>
        <v>3</v>
      </c>
      <c r="E29" s="57">
        <f t="shared" si="27"/>
        <v>-33</v>
      </c>
      <c r="F29" s="114">
        <f t="shared" si="28"/>
        <v>0.375</v>
      </c>
      <c r="G29" s="114">
        <f t="shared" si="29"/>
        <v>-4.125</v>
      </c>
      <c r="H29" s="41"/>
      <c r="I29" s="41"/>
      <c r="J29" s="41"/>
      <c r="K29" s="41"/>
      <c r="L29" s="41"/>
      <c r="M29" s="41"/>
      <c r="N29" s="41"/>
      <c r="O29" s="41"/>
      <c r="P29" s="5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115"/>
      <c r="AK29" s="41"/>
      <c r="AL29" s="5"/>
      <c r="AM29" s="5"/>
      <c r="AN29" s="5"/>
      <c r="AO29" s="5"/>
      <c r="AP29" s="5"/>
      <c r="AQ29" s="5"/>
      <c r="AR29" s="5"/>
    </row>
    <row r="30" spans="1:44" ht="12.75" customHeight="1" x14ac:dyDescent="0.2">
      <c r="A30" s="5"/>
      <c r="B30" s="14">
        <v>4</v>
      </c>
      <c r="C30" s="57" t="str">
        <f t="shared" si="25"/>
        <v>Philly CIA Red</v>
      </c>
      <c r="D30" s="57">
        <f t="shared" si="26"/>
        <v>2</v>
      </c>
      <c r="E30" s="57">
        <f t="shared" si="27"/>
        <v>-36</v>
      </c>
      <c r="F30" s="114">
        <f t="shared" si="28"/>
        <v>0.25</v>
      </c>
      <c r="G30" s="114">
        <f t="shared" si="29"/>
        <v>-4.5</v>
      </c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115"/>
      <c r="AK30" s="41"/>
      <c r="AL30" s="5"/>
      <c r="AM30" s="5"/>
      <c r="AN30" s="5"/>
      <c r="AO30" s="5"/>
      <c r="AP30" s="5"/>
      <c r="AQ30" s="5"/>
      <c r="AR30" s="5"/>
    </row>
    <row r="31" spans="1:44" ht="12.75" customHeight="1" x14ac:dyDescent="0.2">
      <c r="A31" s="5"/>
      <c r="B31" s="14">
        <v>5</v>
      </c>
      <c r="C31" s="57" t="str">
        <f t="shared" si="25"/>
        <v>Boston Knights A</v>
      </c>
      <c r="D31" s="57">
        <f t="shared" si="26"/>
        <v>1</v>
      </c>
      <c r="E31" s="57">
        <f t="shared" si="27"/>
        <v>-53</v>
      </c>
      <c r="F31" s="114">
        <f t="shared" si="28"/>
        <v>0.125</v>
      </c>
      <c r="G31" s="114">
        <f t="shared" si="29"/>
        <v>-6.625</v>
      </c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115"/>
      <c r="AK31" s="41"/>
      <c r="AL31" s="5"/>
      <c r="AM31" s="5"/>
      <c r="AN31" s="5"/>
      <c r="AO31" s="5"/>
      <c r="AP31" s="5"/>
      <c r="AQ31" s="5"/>
      <c r="AR31" s="5"/>
    </row>
  </sheetData>
  <mergeCells count="124">
    <mergeCell ref="V20:W20"/>
    <mergeCell ref="V19:W19"/>
    <mergeCell ref="Y19:Z19"/>
    <mergeCell ref="V23:W23"/>
    <mergeCell ref="Y23:Z23"/>
    <mergeCell ref="Y21:Z21"/>
    <mergeCell ref="Y20:Z20"/>
    <mergeCell ref="V21:W21"/>
    <mergeCell ref="V22:W22"/>
    <mergeCell ref="Y22:Z22"/>
    <mergeCell ref="AA15:AB15"/>
    <mergeCell ref="AD15:AE15"/>
    <mergeCell ref="AD14:AE14"/>
    <mergeCell ref="AA14:AB14"/>
    <mergeCell ref="AA16:AB16"/>
    <mergeCell ref="AI13:AJ13"/>
    <mergeCell ref="AA13:AE13"/>
    <mergeCell ref="AI16:AJ16"/>
    <mergeCell ref="AI17:AJ17"/>
    <mergeCell ref="AI18:AJ18"/>
    <mergeCell ref="AI19:AJ19"/>
    <mergeCell ref="AI20:AJ20"/>
    <mergeCell ref="AI21:AJ21"/>
    <mergeCell ref="AI15:AJ15"/>
    <mergeCell ref="AI14:AJ14"/>
    <mergeCell ref="AI22:AJ22"/>
    <mergeCell ref="AJ28:AK28"/>
    <mergeCell ref="AI23:AJ23"/>
    <mergeCell ref="E23:M23"/>
    <mergeCell ref="E22:M22"/>
    <mergeCell ref="E20:M20"/>
    <mergeCell ref="E8:I8"/>
    <mergeCell ref="E13:M13"/>
    <mergeCell ref="E14:M14"/>
    <mergeCell ref="J9:N9"/>
    <mergeCell ref="A10:AG12"/>
    <mergeCell ref="AA17:AB17"/>
    <mergeCell ref="AD22:AE22"/>
    <mergeCell ref="AD23:AE23"/>
    <mergeCell ref="AA21:AB21"/>
    <mergeCell ref="AA22:AB22"/>
    <mergeCell ref="AA23:AB23"/>
    <mergeCell ref="AA19:AB19"/>
    <mergeCell ref="Q20:R20"/>
    <mergeCell ref="T17:U17"/>
    <mergeCell ref="V17:W17"/>
    <mergeCell ref="T18:U18"/>
    <mergeCell ref="T19:U19"/>
    <mergeCell ref="Q19:R19"/>
    <mergeCell ref="V18:W18"/>
    <mergeCell ref="T20:U20"/>
    <mergeCell ref="Y15:Z15"/>
    <mergeCell ref="E18:M18"/>
    <mergeCell ref="E17:M17"/>
    <mergeCell ref="E16:M16"/>
    <mergeCell ref="E15:M15"/>
    <mergeCell ref="N13:P13"/>
    <mergeCell ref="Q13:U13"/>
    <mergeCell ref="A13:B13"/>
    <mergeCell ref="E19:M19"/>
    <mergeCell ref="E21:M21"/>
    <mergeCell ref="Q21:R21"/>
    <mergeCell ref="T21:U21"/>
    <mergeCell ref="O21:P21"/>
    <mergeCell ref="Q22:R22"/>
    <mergeCell ref="Q23:R23"/>
    <mergeCell ref="O23:P23"/>
    <mergeCell ref="O22:P22"/>
    <mergeCell ref="O20:P20"/>
    <mergeCell ref="T23:U23"/>
    <mergeCell ref="T22:U22"/>
    <mergeCell ref="AD19:AE19"/>
    <mergeCell ref="AD20:AE20"/>
    <mergeCell ref="Y17:Z17"/>
    <mergeCell ref="AD18:AE18"/>
    <mergeCell ref="AA18:AB18"/>
    <mergeCell ref="Y18:Z18"/>
    <mergeCell ref="AD17:AE17"/>
    <mergeCell ref="AD16:AE16"/>
    <mergeCell ref="AD21:AE21"/>
    <mergeCell ref="AA20:AB20"/>
    <mergeCell ref="Y16:Z16"/>
    <mergeCell ref="T14:U14"/>
    <mergeCell ref="O16:P16"/>
    <mergeCell ref="Q16:R16"/>
    <mergeCell ref="T16:U16"/>
    <mergeCell ref="T15:U15"/>
    <mergeCell ref="AN4:AO4"/>
    <mergeCell ref="AP4:AQ4"/>
    <mergeCell ref="A2:AG2"/>
    <mergeCell ref="A1:AG1"/>
    <mergeCell ref="A3:AG3"/>
    <mergeCell ref="J6:N6"/>
    <mergeCell ref="J8:N8"/>
    <mergeCell ref="AJ4:AK4"/>
    <mergeCell ref="R4:AF4"/>
    <mergeCell ref="J4:N4"/>
    <mergeCell ref="J7:N7"/>
    <mergeCell ref="J5:N5"/>
    <mergeCell ref="B8:D8"/>
    <mergeCell ref="B7:D7"/>
    <mergeCell ref="V15:W15"/>
    <mergeCell ref="V14:W14"/>
    <mergeCell ref="Y14:Z14"/>
    <mergeCell ref="V16:W16"/>
    <mergeCell ref="V13:Z13"/>
    <mergeCell ref="Q14:R14"/>
    <mergeCell ref="O14:P14"/>
    <mergeCell ref="O18:P18"/>
    <mergeCell ref="O17:P17"/>
    <mergeCell ref="Q17:R17"/>
    <mergeCell ref="Q18:R18"/>
    <mergeCell ref="O19:P19"/>
    <mergeCell ref="O15:P15"/>
    <mergeCell ref="Q15:R15"/>
    <mergeCell ref="B5:D5"/>
    <mergeCell ref="B6:D6"/>
    <mergeCell ref="E9:I9"/>
    <mergeCell ref="B9:D9"/>
    <mergeCell ref="E4:I4"/>
    <mergeCell ref="E5:I5"/>
    <mergeCell ref="E6:I6"/>
    <mergeCell ref="B4:D4"/>
    <mergeCell ref="E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ScoreDisp</vt:lpstr>
      <vt:lpstr>Men's Master</vt:lpstr>
      <vt:lpstr>Women's Master</vt:lpstr>
      <vt:lpstr>M_Scoresheets</vt:lpstr>
      <vt:lpstr>W_Scoresheets</vt:lpstr>
      <vt:lpstr>Pool Schedules</vt:lpstr>
      <vt:lpstr>CT01 (M)</vt:lpstr>
      <vt:lpstr>CT02 (M)</vt:lpstr>
      <vt:lpstr>CT03 (M)</vt:lpstr>
      <vt:lpstr>CT04 (M)</vt:lpstr>
      <vt:lpstr>CT07 (M)</vt:lpstr>
      <vt:lpstr>CT08 (M)</vt:lpstr>
      <vt:lpstr>CT12 (M)</vt:lpstr>
      <vt:lpstr>CT13 (M)</vt:lpstr>
      <vt:lpstr>CT14 (M)</vt:lpstr>
      <vt:lpstr>CT05 (W)</vt:lpstr>
      <vt:lpstr>CT06 (W)</vt:lpstr>
      <vt:lpstr>CT09 (W)</vt:lpstr>
      <vt:lpstr>CT10 (W)</vt:lpstr>
      <vt:lpstr>CT11 (W)</vt:lpstr>
      <vt:lpstr>CT15 (W)</vt:lpstr>
      <vt:lpstr>CT16 (W)</vt:lpstr>
      <vt:lpstr>CT17 (W)</vt:lpstr>
      <vt:lpstr>CT18 (W)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Laura Ye</cp:lastModifiedBy>
  <dcterms:modified xsi:type="dcterms:W3CDTF">2019-07-19T04:52:48Z</dcterms:modified>
</cp:coreProperties>
</file>