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035e141180baf6d/Рабочий стол/"/>
    </mc:Choice>
  </mc:AlternateContent>
  <xr:revisionPtr revIDLastSave="0" documentId="8_{B8666826-6667-4536-9A9F-2AF40922B731}" xr6:coauthVersionLast="47" xr6:coauthVersionMax="47" xr10:uidLastSave="{00000000-0000-0000-0000-000000000000}"/>
  <bookViews>
    <workbookView xWindow="-98" yWindow="-98" windowWidth="28996" windowHeight="15675" tabRatio="741" xr2:uid="{00000000-000D-0000-FFFF-FFFF00000000}"/>
  </bookViews>
  <sheets>
    <sheet name="Моделирование" sheetId="24" r:id="rId1"/>
    <sheet name="Лист1" sheetId="31" r:id="rId2"/>
    <sheet name="Модель рынка" sheetId="19" r:id="rId3"/>
    <sheet name="План по персоналу" sheetId="2" r:id="rId4"/>
    <sheet name="План закупок" sheetId="12" r:id="rId5"/>
    <sheet name="Запросы" sheetId="30" r:id="rId6"/>
    <sheet name="Модель Хаба Федеральные трассы" sheetId="21" r:id="rId7"/>
    <sheet name="БДР" sheetId="28" r:id="rId8"/>
    <sheet name="Амортизация и РБП" sheetId="27" r:id="rId9"/>
    <sheet name="Лист2" sheetId="3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9" l="1"/>
  <c r="A10" i="31"/>
  <c r="A9" i="31"/>
  <c r="A5" i="31"/>
  <c r="A4" i="31"/>
  <c r="D30" i="19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D10" i="19"/>
  <c r="E52" i="19"/>
  <c r="F52" i="19" s="1"/>
  <c r="G52" i="19" s="1"/>
  <c r="H52" i="19" s="1"/>
  <c r="I52" i="19" s="1"/>
  <c r="J52" i="19" s="1"/>
  <c r="K52" i="19" s="1"/>
  <c r="L52" i="19" s="1"/>
  <c r="M52" i="19" s="1"/>
  <c r="N52" i="19" s="1"/>
  <c r="B16" i="30"/>
  <c r="B15" i="30"/>
  <c r="A16" i="30"/>
  <c r="A15" i="30"/>
  <c r="D50" i="28"/>
  <c r="E50" i="28"/>
  <c r="F50" i="28"/>
  <c r="G50" i="28"/>
  <c r="H50" i="28"/>
  <c r="I50" i="28"/>
  <c r="J50" i="28"/>
  <c r="K50" i="28"/>
  <c r="L50" i="28"/>
  <c r="C50" i="28"/>
  <c r="A42" i="19"/>
  <c r="A59" i="2" s="1"/>
  <c r="A39" i="12" s="1" a="1"/>
  <c r="A39" i="12" s="1"/>
  <c r="A4" i="19"/>
  <c r="A3" i="2" s="1"/>
  <c r="A2" i="12" s="1" a="1"/>
  <c r="A2" i="12" s="1"/>
  <c r="D1" i="30"/>
  <c r="E1" i="30"/>
  <c r="F1" i="30"/>
  <c r="G1" i="30"/>
  <c r="H1" i="30" s="1"/>
  <c r="I1" i="30" s="1"/>
  <c r="J1" i="30" s="1"/>
  <c r="K1" i="30" s="1"/>
  <c r="C1" i="30"/>
  <c r="J5" i="30"/>
  <c r="J8" i="30" s="1"/>
  <c r="J14" i="30" s="1"/>
  <c r="K5" i="30"/>
  <c r="K8" i="30" s="1"/>
  <c r="K14" i="30" s="1"/>
  <c r="A6" i="30"/>
  <c r="A9" i="30" s="1"/>
  <c r="A4" i="30"/>
  <c r="A7" i="30" s="1"/>
  <c r="A10" i="30" s="1"/>
  <c r="A3" i="30"/>
  <c r="F48" i="19"/>
  <c r="G48" i="19"/>
  <c r="H48" i="19"/>
  <c r="I48" i="19"/>
  <c r="J48" i="19"/>
  <c r="K48" i="19"/>
  <c r="L48" i="19"/>
  <c r="M48" i="19"/>
  <c r="N48" i="19"/>
  <c r="E48" i="19"/>
  <c r="E49" i="19" s="1"/>
  <c r="G112" i="2"/>
  <c r="H112" i="2"/>
  <c r="I112" i="2"/>
  <c r="J112" i="2"/>
  <c r="K112" i="2"/>
  <c r="L112" i="2"/>
  <c r="M112" i="2"/>
  <c r="N112" i="2"/>
  <c r="O112" i="2"/>
  <c r="P112" i="2"/>
  <c r="F112" i="2"/>
  <c r="C70" i="12"/>
  <c r="E85" i="2"/>
  <c r="E56" i="2"/>
  <c r="G56" i="2" s="1"/>
  <c r="E29" i="2"/>
  <c r="E49" i="2"/>
  <c r="E44" i="2"/>
  <c r="E39" i="2"/>
  <c r="E34" i="2"/>
  <c r="E14" i="2"/>
  <c r="E8" i="2"/>
  <c r="F83" i="2"/>
  <c r="F25" i="2"/>
  <c r="F27" i="2" s="1"/>
  <c r="E19" i="2"/>
  <c r="E75" i="2"/>
  <c r="F75" i="2" s="1"/>
  <c r="D53" i="19"/>
  <c r="H63" i="2"/>
  <c r="I63" i="2"/>
  <c r="J63" i="2" s="1"/>
  <c r="G63" i="2"/>
  <c r="G7" i="2"/>
  <c r="D33" i="21"/>
  <c r="A79" i="19"/>
  <c r="A78" i="19"/>
  <c r="C19" i="12"/>
  <c r="D41" i="19" s="1"/>
  <c r="D39" i="19" s="1"/>
  <c r="C30" i="12" s="1"/>
  <c r="D48" i="19"/>
  <c r="D18" i="21"/>
  <c r="F43" i="19"/>
  <c r="G43" i="19"/>
  <c r="H43" i="19"/>
  <c r="I43" i="19"/>
  <c r="B71" i="28"/>
  <c r="B75" i="28" s="1"/>
  <c r="B79" i="28" s="1"/>
  <c r="B70" i="28"/>
  <c r="B74" i="28" s="1"/>
  <c r="B78" i="28" s="1"/>
  <c r="A3" i="28"/>
  <c r="A34" i="28"/>
  <c r="B61" i="28"/>
  <c r="B60" i="28"/>
  <c r="F81" i="2"/>
  <c r="D52" i="28"/>
  <c r="E52" i="28"/>
  <c r="F52" i="28"/>
  <c r="G52" i="28"/>
  <c r="H52" i="28"/>
  <c r="I52" i="28"/>
  <c r="J52" i="28"/>
  <c r="K52" i="28"/>
  <c r="L52" i="28"/>
  <c r="C52" i="28"/>
  <c r="D65" i="12"/>
  <c r="D68" i="12" s="1"/>
  <c r="E65" i="12"/>
  <c r="E68" i="12" s="1"/>
  <c r="F65" i="12"/>
  <c r="F68" i="12" s="1"/>
  <c r="G65" i="12"/>
  <c r="G68" i="12" s="1"/>
  <c r="H65" i="12"/>
  <c r="H68" i="12" s="1"/>
  <c r="I65" i="12"/>
  <c r="I68" i="12" s="1"/>
  <c r="J65" i="12"/>
  <c r="J68" i="12" s="1"/>
  <c r="K65" i="12"/>
  <c r="K68" i="12" s="1"/>
  <c r="L65" i="12"/>
  <c r="L68" i="12" s="1"/>
  <c r="M65" i="12"/>
  <c r="C65" i="12"/>
  <c r="C58" i="12"/>
  <c r="C62" i="12" s="1"/>
  <c r="C56" i="12"/>
  <c r="C67" i="12" s="1"/>
  <c r="A56" i="12"/>
  <c r="C50" i="12"/>
  <c r="C52" i="12" s="1"/>
  <c r="C53" i="12" s="1"/>
  <c r="D72" i="12"/>
  <c r="E72" i="12" s="1"/>
  <c r="F67" i="2"/>
  <c r="D73" i="19"/>
  <c r="E73" i="19" s="1"/>
  <c r="F73" i="19" s="1"/>
  <c r="G73" i="19" s="1"/>
  <c r="H73" i="19" s="1"/>
  <c r="I73" i="19" s="1"/>
  <c r="J73" i="19" s="1"/>
  <c r="K73" i="19" s="1"/>
  <c r="L73" i="19" s="1"/>
  <c r="M73" i="19" s="1"/>
  <c r="N73" i="19" s="1"/>
  <c r="D66" i="19"/>
  <c r="D74" i="19" s="1"/>
  <c r="D68" i="19"/>
  <c r="D69" i="19" s="1"/>
  <c r="D52" i="19"/>
  <c r="D51" i="19"/>
  <c r="E51" i="19" s="1"/>
  <c r="F51" i="19" s="1"/>
  <c r="G51" i="19" s="1"/>
  <c r="H51" i="19" s="1"/>
  <c r="I51" i="19" s="1"/>
  <c r="J51" i="19" s="1"/>
  <c r="K51" i="19" s="1"/>
  <c r="L51" i="19" s="1"/>
  <c r="M51" i="19" s="1"/>
  <c r="N51" i="19" s="1"/>
  <c r="E43" i="19"/>
  <c r="J43" i="19"/>
  <c r="K43" i="19"/>
  <c r="L43" i="19"/>
  <c r="M43" i="19"/>
  <c r="N43" i="19"/>
  <c r="E72" i="19"/>
  <c r="F72" i="19" s="1"/>
  <c r="G72" i="19" s="1"/>
  <c r="H72" i="19" s="1"/>
  <c r="I72" i="19" s="1"/>
  <c r="J72" i="19" s="1"/>
  <c r="K72" i="19" s="1"/>
  <c r="L72" i="19" s="1"/>
  <c r="M72" i="19" s="1"/>
  <c r="N72" i="19" s="1"/>
  <c r="E67" i="19"/>
  <c r="F67" i="19" s="1"/>
  <c r="G67" i="19" s="1"/>
  <c r="H67" i="19" s="1"/>
  <c r="I67" i="19" s="1"/>
  <c r="J67" i="19" s="1"/>
  <c r="K67" i="19" s="1"/>
  <c r="L67" i="19" s="1"/>
  <c r="M67" i="19" s="1"/>
  <c r="N67" i="19" s="1"/>
  <c r="E65" i="19"/>
  <c r="F65" i="19" s="1"/>
  <c r="G65" i="19" s="1"/>
  <c r="H65" i="19" s="1"/>
  <c r="I65" i="19" s="1"/>
  <c r="J65" i="19" s="1"/>
  <c r="K65" i="19" s="1"/>
  <c r="L65" i="19" s="1"/>
  <c r="M65" i="19" s="1"/>
  <c r="N65" i="19" s="1"/>
  <c r="E64" i="19"/>
  <c r="F64" i="19" s="1"/>
  <c r="G64" i="19" s="1"/>
  <c r="H64" i="19" s="1"/>
  <c r="I64" i="19" s="1"/>
  <c r="J64" i="19" s="1"/>
  <c r="K64" i="19" s="1"/>
  <c r="L64" i="19" s="1"/>
  <c r="M64" i="19" s="1"/>
  <c r="N64" i="19" s="1"/>
  <c r="E63" i="19"/>
  <c r="F63" i="19" s="1"/>
  <c r="G63" i="19" s="1"/>
  <c r="H63" i="19" s="1"/>
  <c r="I63" i="19" s="1"/>
  <c r="J63" i="19" s="1"/>
  <c r="K63" i="19" s="1"/>
  <c r="L63" i="19" s="1"/>
  <c r="M63" i="19" s="1"/>
  <c r="N63" i="19" s="1"/>
  <c r="E62" i="19"/>
  <c r="F62" i="19" s="1"/>
  <c r="D60" i="19"/>
  <c r="D59" i="19"/>
  <c r="D61" i="19" s="1"/>
  <c r="E58" i="19"/>
  <c r="F58" i="19" s="1"/>
  <c r="G58" i="19" s="1"/>
  <c r="H58" i="19" s="1"/>
  <c r="I58" i="19" s="1"/>
  <c r="J58" i="19" s="1"/>
  <c r="K58" i="19" s="1"/>
  <c r="L58" i="19" s="1"/>
  <c r="M58" i="19" s="1"/>
  <c r="N58" i="19" s="1"/>
  <c r="E57" i="19"/>
  <c r="F57" i="19" s="1"/>
  <c r="G57" i="19" s="1"/>
  <c r="E56" i="19"/>
  <c r="D46" i="19"/>
  <c r="E45" i="19" s="1"/>
  <c r="C16" i="30" s="1"/>
  <c r="D44" i="19"/>
  <c r="D47" i="19" s="1"/>
  <c r="J2" i="30"/>
  <c r="K2" i="30"/>
  <c r="H2" i="30"/>
  <c r="H5" i="30" s="1"/>
  <c r="H8" i="30" s="1"/>
  <c r="H14" i="30" s="1"/>
  <c r="I2" i="30"/>
  <c r="I5" i="30" s="1"/>
  <c r="I8" i="30" s="1"/>
  <c r="I14" i="30" s="1"/>
  <c r="C2" i="30"/>
  <c r="C5" i="30" s="1"/>
  <c r="C8" i="30" s="1"/>
  <c r="C14" i="30" s="1"/>
  <c r="D2" i="30"/>
  <c r="D5" i="30" s="1"/>
  <c r="D8" i="30" s="1"/>
  <c r="D14" i="30" s="1"/>
  <c r="E2" i="30"/>
  <c r="E5" i="30" s="1"/>
  <c r="E8" i="30" s="1"/>
  <c r="E14" i="30" s="1"/>
  <c r="F2" i="30"/>
  <c r="F5" i="30" s="1"/>
  <c r="F8" i="30" s="1"/>
  <c r="F14" i="30" s="1"/>
  <c r="G2" i="30"/>
  <c r="G5" i="30" s="1"/>
  <c r="G8" i="30" s="1"/>
  <c r="G14" i="30" s="1"/>
  <c r="B2" i="30"/>
  <c r="B5" i="30" s="1"/>
  <c r="B8" i="30" s="1"/>
  <c r="B14" i="30" s="1"/>
  <c r="B30" i="28"/>
  <c r="B29" i="28"/>
  <c r="E5" i="19"/>
  <c r="F5" i="19"/>
  <c r="G5" i="19"/>
  <c r="H5" i="19"/>
  <c r="I5" i="19"/>
  <c r="J5" i="19"/>
  <c r="K5" i="19"/>
  <c r="L5" i="19"/>
  <c r="M5" i="19"/>
  <c r="N5" i="19"/>
  <c r="D5" i="19"/>
  <c r="C33" i="12"/>
  <c r="D11" i="21"/>
  <c r="D9" i="19"/>
  <c r="D8" i="19"/>
  <c r="E8" i="19" s="1"/>
  <c r="F8" i="19" s="1"/>
  <c r="G8" i="19" s="1"/>
  <c r="H8" i="19" s="1"/>
  <c r="I8" i="19" s="1"/>
  <c r="J8" i="19" s="1"/>
  <c r="K8" i="19" s="1"/>
  <c r="L8" i="19" s="1"/>
  <c r="M8" i="19" s="1"/>
  <c r="N8" i="19" s="1"/>
  <c r="D79" i="19" l="1"/>
  <c r="D77" i="19" s="1"/>
  <c r="F56" i="19"/>
  <c r="F60" i="19" s="1"/>
  <c r="E54" i="19"/>
  <c r="J56" i="2"/>
  <c r="J54" i="2" s="1"/>
  <c r="L56" i="2"/>
  <c r="L54" i="2" s="1"/>
  <c r="F56" i="2"/>
  <c r="F54" i="2" s="1"/>
  <c r="F58" i="2" s="1"/>
  <c r="P56" i="2"/>
  <c r="P54" i="2" s="1"/>
  <c r="O56" i="2"/>
  <c r="O54" i="2" s="1"/>
  <c r="N56" i="2"/>
  <c r="N54" i="2" s="1"/>
  <c r="M56" i="2"/>
  <c r="M54" i="2" s="1"/>
  <c r="K56" i="2"/>
  <c r="K54" i="2" s="1"/>
  <c r="I56" i="2"/>
  <c r="I54" i="2" s="1"/>
  <c r="H56" i="2"/>
  <c r="H54" i="2" s="1"/>
  <c r="G54" i="2"/>
  <c r="F19" i="2"/>
  <c r="F24" i="2" s="1"/>
  <c r="K63" i="2"/>
  <c r="H7" i="2"/>
  <c r="E60" i="19"/>
  <c r="C51" i="12"/>
  <c r="D43" i="19"/>
  <c r="D74" i="12"/>
  <c r="E74" i="12" s="1"/>
  <c r="F74" i="12" s="1"/>
  <c r="G74" i="12" s="1"/>
  <c r="H74" i="12" s="1"/>
  <c r="I74" i="12" s="1"/>
  <c r="J74" i="12" s="1"/>
  <c r="K74" i="12" s="1"/>
  <c r="L74" i="12" s="1"/>
  <c r="M74" i="12" s="1"/>
  <c r="C68" i="12"/>
  <c r="C54" i="12"/>
  <c r="C55" i="12" s="1"/>
  <c r="C60" i="12"/>
  <c r="D70" i="12"/>
  <c r="D58" i="12"/>
  <c r="F72" i="12"/>
  <c r="M68" i="12"/>
  <c r="D70" i="19"/>
  <c r="D71" i="19" s="1"/>
  <c r="G62" i="19"/>
  <c r="E59" i="19"/>
  <c r="D75" i="19"/>
  <c r="E46" i="19"/>
  <c r="F46" i="19" s="1"/>
  <c r="G46" i="19" s="1"/>
  <c r="H46" i="19" s="1"/>
  <c r="I46" i="19" s="1"/>
  <c r="J46" i="19" s="1"/>
  <c r="K46" i="19" s="1"/>
  <c r="L46" i="19" s="1"/>
  <c r="M46" i="19" s="1"/>
  <c r="N46" i="19" s="1"/>
  <c r="D37" i="12"/>
  <c r="E37" i="12" s="1"/>
  <c r="F37" i="12" s="1"/>
  <c r="D7" i="28"/>
  <c r="E7" i="28"/>
  <c r="F7" i="28"/>
  <c r="G7" i="28"/>
  <c r="H7" i="28"/>
  <c r="I7" i="28"/>
  <c r="J7" i="28"/>
  <c r="K7" i="28"/>
  <c r="L7" i="28"/>
  <c r="C7" i="28"/>
  <c r="A9" i="21"/>
  <c r="A8" i="21"/>
  <c r="C21" i="12"/>
  <c r="C13" i="12"/>
  <c r="D28" i="12"/>
  <c r="D31" i="12" s="1"/>
  <c r="E28" i="12"/>
  <c r="E31" i="12" s="1"/>
  <c r="F28" i="12"/>
  <c r="F31" i="12" s="1"/>
  <c r="G28" i="12"/>
  <c r="G31" i="12" s="1"/>
  <c r="H28" i="12"/>
  <c r="H31" i="12" s="1"/>
  <c r="I28" i="12"/>
  <c r="I31" i="12" s="1"/>
  <c r="J28" i="12"/>
  <c r="J31" i="12" s="1"/>
  <c r="K28" i="12"/>
  <c r="K31" i="12" s="1"/>
  <c r="L28" i="12"/>
  <c r="L31" i="12" s="1"/>
  <c r="M28" i="12"/>
  <c r="M31" i="12" s="1"/>
  <c r="C28" i="12"/>
  <c r="C31" i="12" s="1"/>
  <c r="D35" i="19"/>
  <c r="D28" i="19"/>
  <c r="D14" i="19"/>
  <c r="E14" i="19" s="1"/>
  <c r="D13" i="19"/>
  <c r="D35" i="12"/>
  <c r="E35" i="12" s="1"/>
  <c r="F35" i="12" s="1"/>
  <c r="G35" i="12" s="1"/>
  <c r="H35" i="12" s="1"/>
  <c r="I35" i="12" s="1"/>
  <c r="J35" i="12" s="1"/>
  <c r="K35" i="12" s="1"/>
  <c r="L35" i="12" s="1"/>
  <c r="M35" i="12" s="1"/>
  <c r="D33" i="12"/>
  <c r="E34" i="21"/>
  <c r="C27" i="27" s="1"/>
  <c r="D27" i="27" s="1"/>
  <c r="E27" i="27" s="1"/>
  <c r="F27" i="27" s="1"/>
  <c r="G27" i="27" s="1"/>
  <c r="F34" i="21"/>
  <c r="G34" i="21"/>
  <c r="F30" i="27" s="1"/>
  <c r="G30" i="27" s="1"/>
  <c r="H30" i="27" s="1"/>
  <c r="I30" i="27" s="1"/>
  <c r="J30" i="27" s="1"/>
  <c r="H34" i="21"/>
  <c r="G31" i="27" s="1"/>
  <c r="H31" i="27" s="1"/>
  <c r="I31" i="27" s="1"/>
  <c r="J31" i="27" s="1"/>
  <c r="K31" i="27" s="1"/>
  <c r="J34" i="21"/>
  <c r="I33" i="27" s="1"/>
  <c r="J33" i="27" s="1"/>
  <c r="K33" i="27" s="1"/>
  <c r="L33" i="27" s="1"/>
  <c r="K34" i="21"/>
  <c r="J34" i="27" s="1"/>
  <c r="K34" i="27" s="1"/>
  <c r="L34" i="27" s="1"/>
  <c r="L34" i="21"/>
  <c r="K35" i="27" s="1"/>
  <c r="L35" i="27" s="1"/>
  <c r="M34" i="21"/>
  <c r="L36" i="27" s="1"/>
  <c r="E33" i="21"/>
  <c r="F33" i="21" s="1"/>
  <c r="G33" i="21" s="1"/>
  <c r="H33" i="21" s="1"/>
  <c r="I33" i="21" s="1"/>
  <c r="J33" i="21" s="1"/>
  <c r="K33" i="21" s="1"/>
  <c r="L33" i="21" s="1"/>
  <c r="M33" i="21" s="1"/>
  <c r="N33" i="21" s="1"/>
  <c r="E29" i="19"/>
  <c r="F29" i="19" s="1"/>
  <c r="G29" i="19" s="1"/>
  <c r="H29" i="19" s="1"/>
  <c r="E34" i="19"/>
  <c r="F34" i="19" s="1"/>
  <c r="G34" i="19" s="1"/>
  <c r="H34" i="19" s="1"/>
  <c r="I34" i="19" s="1"/>
  <c r="J34" i="19" s="1"/>
  <c r="K34" i="19" s="1"/>
  <c r="L34" i="19" s="1"/>
  <c r="M34" i="19" s="1"/>
  <c r="N34" i="19" s="1"/>
  <c r="E24" i="21"/>
  <c r="F24" i="21" s="1"/>
  <c r="G24" i="21" s="1"/>
  <c r="H24" i="21" s="1"/>
  <c r="I24" i="21" s="1"/>
  <c r="D26" i="21" s="1"/>
  <c r="D17" i="21"/>
  <c r="E16" i="21"/>
  <c r="F16" i="21" s="1"/>
  <c r="G16" i="21" s="1"/>
  <c r="H16" i="21" s="1"/>
  <c r="I16" i="21" s="1"/>
  <c r="J16" i="21" s="1"/>
  <c r="K16" i="21" s="1"/>
  <c r="L16" i="21" s="1"/>
  <c r="M16" i="21" s="1"/>
  <c r="N16" i="21" s="1"/>
  <c r="E18" i="21"/>
  <c r="F18" i="21" s="1"/>
  <c r="G18" i="21" s="1"/>
  <c r="H18" i="21" s="1"/>
  <c r="I18" i="21" s="1"/>
  <c r="J18" i="21" s="1"/>
  <c r="K18" i="21" s="1"/>
  <c r="L18" i="21" s="1"/>
  <c r="M18" i="21" s="1"/>
  <c r="N18" i="21" s="1"/>
  <c r="D23" i="19"/>
  <c r="D12" i="21"/>
  <c r="D15" i="21" s="1"/>
  <c r="E18" i="19"/>
  <c r="E22" i="19" s="1"/>
  <c r="D22" i="19"/>
  <c r="E7" i="19"/>
  <c r="C15" i="30" s="1"/>
  <c r="G57" i="2"/>
  <c r="H57" i="2" s="1"/>
  <c r="I57" i="2" s="1"/>
  <c r="J57" i="2" s="1"/>
  <c r="K57" i="2" s="1"/>
  <c r="L57" i="2" s="1"/>
  <c r="M57" i="2" s="1"/>
  <c r="N57" i="2" s="1"/>
  <c r="O57" i="2" s="1"/>
  <c r="P57" i="2" s="1"/>
  <c r="G55" i="2"/>
  <c r="H55" i="2" s="1"/>
  <c r="I55" i="2" s="1"/>
  <c r="G52" i="2"/>
  <c r="H52" i="2" s="1"/>
  <c r="I52" i="2" s="1"/>
  <c r="J52" i="2" s="1"/>
  <c r="K52" i="2" s="1"/>
  <c r="L52" i="2" s="1"/>
  <c r="M52" i="2" s="1"/>
  <c r="N52" i="2" s="1"/>
  <c r="O52" i="2" s="1"/>
  <c r="P52" i="2" s="1"/>
  <c r="G50" i="2"/>
  <c r="G42" i="2"/>
  <c r="H42" i="2" s="1"/>
  <c r="I42" i="2" s="1"/>
  <c r="J42" i="2" s="1"/>
  <c r="K42" i="2" s="1"/>
  <c r="L42" i="2" s="1"/>
  <c r="M42" i="2" s="1"/>
  <c r="N42" i="2" s="1"/>
  <c r="O42" i="2" s="1"/>
  <c r="P42" i="2" s="1"/>
  <c r="G40" i="2"/>
  <c r="H40" i="2" s="1"/>
  <c r="I40" i="2" s="1"/>
  <c r="J40" i="2" s="1"/>
  <c r="K40" i="2" s="1"/>
  <c r="L40" i="2" s="1"/>
  <c r="M40" i="2" s="1"/>
  <c r="N40" i="2" s="1"/>
  <c r="G37" i="2"/>
  <c r="H37" i="2" s="1"/>
  <c r="I37" i="2" s="1"/>
  <c r="J37" i="2" s="1"/>
  <c r="K37" i="2" s="1"/>
  <c r="L37" i="2" s="1"/>
  <c r="M37" i="2" s="1"/>
  <c r="N37" i="2" s="1"/>
  <c r="O37" i="2" s="1"/>
  <c r="P37" i="2" s="1"/>
  <c r="G35" i="2"/>
  <c r="H35" i="2" s="1"/>
  <c r="I35" i="2" s="1"/>
  <c r="J35" i="2" s="1"/>
  <c r="K35" i="2" s="1"/>
  <c r="L35" i="2" s="1"/>
  <c r="G30" i="2"/>
  <c r="G47" i="2"/>
  <c r="H47" i="2" s="1"/>
  <c r="I47" i="2" s="1"/>
  <c r="J47" i="2" s="1"/>
  <c r="K47" i="2" s="1"/>
  <c r="L47" i="2" s="1"/>
  <c r="M47" i="2" s="1"/>
  <c r="N47" i="2" s="1"/>
  <c r="O47" i="2" s="1"/>
  <c r="P47" i="2" s="1"/>
  <c r="G45" i="2"/>
  <c r="H45" i="2" s="1"/>
  <c r="I45" i="2" s="1"/>
  <c r="G32" i="2"/>
  <c r="H32" i="2" s="1"/>
  <c r="I32" i="2" s="1"/>
  <c r="J32" i="2" s="1"/>
  <c r="K32" i="2" s="1"/>
  <c r="L32" i="2" s="1"/>
  <c r="M32" i="2" s="1"/>
  <c r="N32" i="2" s="1"/>
  <c r="O32" i="2" s="1"/>
  <c r="P32" i="2" s="1"/>
  <c r="E13" i="21"/>
  <c r="F13" i="21" s="1"/>
  <c r="E14" i="21"/>
  <c r="F14" i="21" s="1"/>
  <c r="D9" i="12"/>
  <c r="E9" i="12" s="1"/>
  <c r="F9" i="12" s="1"/>
  <c r="G9" i="12" s="1"/>
  <c r="H9" i="12" s="1"/>
  <c r="I9" i="12" s="1"/>
  <c r="L1" i="12"/>
  <c r="M1" i="12"/>
  <c r="D1" i="12"/>
  <c r="E1" i="12"/>
  <c r="F1" i="12"/>
  <c r="G1" i="12"/>
  <c r="H1" i="12"/>
  <c r="I1" i="12"/>
  <c r="J1" i="12"/>
  <c r="K1" i="12"/>
  <c r="C1" i="12"/>
  <c r="G22" i="2"/>
  <c r="H22" i="2" s="1"/>
  <c r="I22" i="2" s="1"/>
  <c r="J22" i="2" s="1"/>
  <c r="K22" i="2" s="1"/>
  <c r="L22" i="2" s="1"/>
  <c r="M22" i="2" s="1"/>
  <c r="N22" i="2" s="1"/>
  <c r="O22" i="2" s="1"/>
  <c r="P22" i="2" s="1"/>
  <c r="G20" i="2"/>
  <c r="G15" i="2"/>
  <c r="H15" i="2" s="1"/>
  <c r="I15" i="2" s="1"/>
  <c r="J15" i="2" s="1"/>
  <c r="K15" i="2" s="1"/>
  <c r="L15" i="2" s="1"/>
  <c r="M15" i="2" s="1"/>
  <c r="N15" i="2" s="1"/>
  <c r="O15" i="2" s="1"/>
  <c r="P15" i="2" s="1"/>
  <c r="P17" i="2" s="1"/>
  <c r="G9" i="2"/>
  <c r="H9" i="2" s="1"/>
  <c r="F11" i="2"/>
  <c r="O2" i="2"/>
  <c r="P2" i="2"/>
  <c r="G2" i="2"/>
  <c r="H2" i="2"/>
  <c r="I2" i="2"/>
  <c r="J2" i="2"/>
  <c r="K2" i="2"/>
  <c r="L2" i="2"/>
  <c r="M2" i="2"/>
  <c r="N2" i="2"/>
  <c r="F2" i="2"/>
  <c r="E21" i="21"/>
  <c r="F21" i="21" s="1"/>
  <c r="G21" i="21" s="1"/>
  <c r="H21" i="21" s="1"/>
  <c r="I21" i="21" s="1"/>
  <c r="J21" i="21" s="1"/>
  <c r="E3" i="21"/>
  <c r="F3" i="21"/>
  <c r="G3" i="21"/>
  <c r="H3" i="21"/>
  <c r="I3" i="21"/>
  <c r="J3" i="21"/>
  <c r="K3" i="21"/>
  <c r="L3" i="21"/>
  <c r="M3" i="21"/>
  <c r="N3" i="21"/>
  <c r="D3" i="21"/>
  <c r="E27" i="19"/>
  <c r="F27" i="19" s="1"/>
  <c r="G27" i="19" s="1"/>
  <c r="H27" i="19" s="1"/>
  <c r="I27" i="19" s="1"/>
  <c r="J27" i="19" s="1"/>
  <c r="K27" i="19" s="1"/>
  <c r="L27" i="19" s="1"/>
  <c r="M27" i="19" s="1"/>
  <c r="N27" i="19" s="1"/>
  <c r="E26" i="19"/>
  <c r="F26" i="19" s="1"/>
  <c r="G26" i="19" s="1"/>
  <c r="H26" i="19" s="1"/>
  <c r="I26" i="19" s="1"/>
  <c r="J26" i="19" s="1"/>
  <c r="K26" i="19" s="1"/>
  <c r="L26" i="19" s="1"/>
  <c r="M26" i="19" s="1"/>
  <c r="N26" i="19" s="1"/>
  <c r="E25" i="19"/>
  <c r="F25" i="19" s="1"/>
  <c r="G25" i="19" s="1"/>
  <c r="H25" i="19" s="1"/>
  <c r="I25" i="19" s="1"/>
  <c r="J25" i="19" s="1"/>
  <c r="K25" i="19" s="1"/>
  <c r="L25" i="19" s="1"/>
  <c r="M25" i="19" s="1"/>
  <c r="N25" i="19" s="1"/>
  <c r="E24" i="19"/>
  <c r="F24" i="19" s="1"/>
  <c r="G24" i="19" s="1"/>
  <c r="H24" i="19" s="1"/>
  <c r="I24" i="19" s="1"/>
  <c r="J24" i="19" s="1"/>
  <c r="K24" i="19" s="1"/>
  <c r="L24" i="19" s="1"/>
  <c r="M24" i="19" s="1"/>
  <c r="N24" i="19" s="1"/>
  <c r="E20" i="19"/>
  <c r="E19" i="19"/>
  <c r="E6" i="19"/>
  <c r="E44" i="19" s="1"/>
  <c r="G56" i="19" l="1"/>
  <c r="H56" i="19" s="1"/>
  <c r="F39" i="2"/>
  <c r="F41" i="2" s="1"/>
  <c r="F43" i="2" s="1"/>
  <c r="E10" i="19"/>
  <c r="E11" i="19" s="1"/>
  <c r="F49" i="2"/>
  <c r="F51" i="2" s="1"/>
  <c r="F53" i="2" s="1"/>
  <c r="F29" i="2"/>
  <c r="F31" i="2" s="1"/>
  <c r="F33" i="2" s="1"/>
  <c r="F44" i="2"/>
  <c r="F46" i="2" s="1"/>
  <c r="F34" i="2"/>
  <c r="F36" i="2" s="1"/>
  <c r="F38" i="2" s="1"/>
  <c r="G106" i="2"/>
  <c r="H106" i="2" s="1"/>
  <c r="I106" i="2" s="1"/>
  <c r="J106" i="2" s="1"/>
  <c r="K106" i="2" s="1"/>
  <c r="L106" i="2" s="1"/>
  <c r="M106" i="2" s="1"/>
  <c r="N106" i="2" s="1"/>
  <c r="O106" i="2" s="1"/>
  <c r="P106" i="2" s="1"/>
  <c r="D46" i="12"/>
  <c r="E46" i="12" s="1"/>
  <c r="F46" i="12" s="1"/>
  <c r="G46" i="12" s="1"/>
  <c r="H46" i="12" s="1"/>
  <c r="I46" i="12" s="1"/>
  <c r="J46" i="12" s="1"/>
  <c r="K46" i="12" s="1"/>
  <c r="L46" i="12" s="1"/>
  <c r="M46" i="12" s="1"/>
  <c r="I58" i="2"/>
  <c r="G58" i="2"/>
  <c r="H58" i="2"/>
  <c r="F26" i="2"/>
  <c r="F28" i="2" s="1"/>
  <c r="G19" i="2"/>
  <c r="F21" i="2"/>
  <c r="F23" i="2" s="1"/>
  <c r="G75" i="2"/>
  <c r="H75" i="2" s="1"/>
  <c r="I75" i="2" s="1"/>
  <c r="J75" i="2" s="1"/>
  <c r="K75" i="2" s="1"/>
  <c r="L75" i="2" s="1"/>
  <c r="M75" i="2" s="1"/>
  <c r="N75" i="2" s="1"/>
  <c r="O75" i="2" s="1"/>
  <c r="P75" i="2" s="1"/>
  <c r="F77" i="2"/>
  <c r="F79" i="2" s="1"/>
  <c r="F80" i="2"/>
  <c r="L63" i="2"/>
  <c r="I7" i="2"/>
  <c r="C57" i="12"/>
  <c r="C59" i="12" s="1"/>
  <c r="G60" i="19"/>
  <c r="C69" i="12"/>
  <c r="G88" i="2"/>
  <c r="H88" i="2" s="1"/>
  <c r="I88" i="2" s="1"/>
  <c r="G86" i="2"/>
  <c r="H86" i="2" s="1"/>
  <c r="I86" i="2" s="1"/>
  <c r="J86" i="2" s="1"/>
  <c r="K86" i="2" s="1"/>
  <c r="L86" i="2" s="1"/>
  <c r="M86" i="2" s="1"/>
  <c r="N86" i="2" s="1"/>
  <c r="O86" i="2" s="1"/>
  <c r="P86" i="2" s="1"/>
  <c r="G111" i="2"/>
  <c r="H111" i="2" s="1"/>
  <c r="I111" i="2" s="1"/>
  <c r="J111" i="2" s="1"/>
  <c r="K111" i="2" s="1"/>
  <c r="L111" i="2" s="1"/>
  <c r="M111" i="2" s="1"/>
  <c r="N111" i="2" s="1"/>
  <c r="O111" i="2" s="1"/>
  <c r="P111" i="2" s="1"/>
  <c r="G78" i="2"/>
  <c r="H78" i="2" s="1"/>
  <c r="I78" i="2" s="1"/>
  <c r="J78" i="2" s="1"/>
  <c r="K78" i="2" s="1"/>
  <c r="L78" i="2" s="1"/>
  <c r="M78" i="2" s="1"/>
  <c r="N78" i="2" s="1"/>
  <c r="O78" i="2" s="1"/>
  <c r="P78" i="2" s="1"/>
  <c r="G91" i="2"/>
  <c r="H91" i="2" s="1"/>
  <c r="I91" i="2" s="1"/>
  <c r="J91" i="2" s="1"/>
  <c r="K91" i="2" s="1"/>
  <c r="L91" i="2" s="1"/>
  <c r="M91" i="2" s="1"/>
  <c r="N91" i="2" s="1"/>
  <c r="O91" i="2" s="1"/>
  <c r="P91" i="2" s="1"/>
  <c r="G96" i="2"/>
  <c r="H96" i="2" s="1"/>
  <c r="G101" i="2"/>
  <c r="H101" i="2" s="1"/>
  <c r="G108" i="2"/>
  <c r="G93" i="2"/>
  <c r="H93" i="2" s="1"/>
  <c r="I93" i="2" s="1"/>
  <c r="J93" i="2" s="1"/>
  <c r="K93" i="2" s="1"/>
  <c r="L93" i="2" s="1"/>
  <c r="M93" i="2" s="1"/>
  <c r="N93" i="2" s="1"/>
  <c r="O93" i="2" s="1"/>
  <c r="P93" i="2" s="1"/>
  <c r="G65" i="2"/>
  <c r="G76" i="2"/>
  <c r="H76" i="2" s="1"/>
  <c r="D50" i="12"/>
  <c r="E50" i="12" s="1"/>
  <c r="E66" i="19"/>
  <c r="E74" i="19" s="1"/>
  <c r="E70" i="19" s="1"/>
  <c r="E68" i="19" s="1"/>
  <c r="G98" i="2"/>
  <c r="H98" i="2" s="1"/>
  <c r="I98" i="2" s="1"/>
  <c r="J98" i="2" s="1"/>
  <c r="K98" i="2" s="1"/>
  <c r="L98" i="2" s="1"/>
  <c r="M98" i="2" s="1"/>
  <c r="N98" i="2" s="1"/>
  <c r="O98" i="2" s="1"/>
  <c r="P98" i="2" s="1"/>
  <c r="G103" i="2"/>
  <c r="H103" i="2" s="1"/>
  <c r="I103" i="2" s="1"/>
  <c r="J103" i="2" s="1"/>
  <c r="K103" i="2" s="1"/>
  <c r="L103" i="2" s="1"/>
  <c r="M103" i="2" s="1"/>
  <c r="N103" i="2" s="1"/>
  <c r="O103" i="2" s="1"/>
  <c r="P103" i="2" s="1"/>
  <c r="G71" i="2"/>
  <c r="G113" i="2"/>
  <c r="C25" i="28"/>
  <c r="C28" i="28" s="1"/>
  <c r="C31" i="28" s="1"/>
  <c r="C38" i="28"/>
  <c r="L25" i="28"/>
  <c r="L28" i="28" s="1"/>
  <c r="L38" i="28"/>
  <c r="L69" i="28" s="1"/>
  <c r="L73" i="28" s="1"/>
  <c r="L77" i="28" s="1"/>
  <c r="G25" i="28"/>
  <c r="G28" i="28" s="1"/>
  <c r="G38" i="28"/>
  <c r="D25" i="28"/>
  <c r="D28" i="28" s="1"/>
  <c r="D38" i="28"/>
  <c r="K25" i="28"/>
  <c r="K28" i="28" s="1"/>
  <c r="K38" i="28"/>
  <c r="H25" i="28"/>
  <c r="H28" i="28" s="1"/>
  <c r="H38" i="28"/>
  <c r="J25" i="28"/>
  <c r="J28" i="28" s="1"/>
  <c r="J38" i="28"/>
  <c r="I25" i="28"/>
  <c r="I28" i="28" s="1"/>
  <c r="I38" i="28"/>
  <c r="F25" i="28"/>
  <c r="F28" i="28" s="1"/>
  <c r="F38" i="28"/>
  <c r="E25" i="28"/>
  <c r="E28" i="28" s="1"/>
  <c r="E38" i="28"/>
  <c r="E58" i="12"/>
  <c r="D62" i="12"/>
  <c r="D60" i="12"/>
  <c r="E47" i="19"/>
  <c r="F45" i="19"/>
  <c r="D16" i="30" s="1"/>
  <c r="D21" i="12"/>
  <c r="C25" i="12"/>
  <c r="C23" i="12"/>
  <c r="C15" i="12"/>
  <c r="C17" i="12"/>
  <c r="E70" i="12"/>
  <c r="G72" i="12"/>
  <c r="H60" i="19"/>
  <c r="I56" i="19"/>
  <c r="H62" i="19"/>
  <c r="F59" i="19"/>
  <c r="E61" i="19"/>
  <c r="E50" i="19"/>
  <c r="E55" i="19" s="1"/>
  <c r="E53" i="19" s="1"/>
  <c r="D36" i="19"/>
  <c r="D32" i="19" s="1"/>
  <c r="D33" i="19" s="1"/>
  <c r="D28" i="27"/>
  <c r="E28" i="27" s="1"/>
  <c r="F28" i="27" s="1"/>
  <c r="G28" i="27" s="1"/>
  <c r="H28" i="27" s="1"/>
  <c r="E29" i="27"/>
  <c r="F29" i="27" s="1"/>
  <c r="G29" i="27" s="1"/>
  <c r="H29" i="27" s="1"/>
  <c r="I29" i="27" s="1"/>
  <c r="E35" i="19"/>
  <c r="H20" i="2"/>
  <c r="I20" i="2" s="1"/>
  <c r="D13" i="12"/>
  <c r="E30" i="21" s="1"/>
  <c r="C16" i="27" s="1"/>
  <c r="D16" i="27" s="1"/>
  <c r="E16" i="27" s="1"/>
  <c r="F16" i="27" s="1"/>
  <c r="G16" i="27" s="1"/>
  <c r="H16" i="27" s="1"/>
  <c r="I16" i="27" s="1"/>
  <c r="J16" i="27" s="1"/>
  <c r="K16" i="27" s="1"/>
  <c r="L16" i="27" s="1"/>
  <c r="E13" i="19"/>
  <c r="F13" i="19" s="1"/>
  <c r="G13" i="19" s="1"/>
  <c r="G37" i="12"/>
  <c r="E11" i="21"/>
  <c r="E12" i="21" s="1"/>
  <c r="E28" i="19"/>
  <c r="C14" i="12"/>
  <c r="E33" i="12"/>
  <c r="E17" i="21"/>
  <c r="N17" i="21"/>
  <c r="H17" i="21"/>
  <c r="G17" i="21"/>
  <c r="F17" i="21"/>
  <c r="M17" i="21"/>
  <c r="J17" i="21"/>
  <c r="I17" i="21"/>
  <c r="L17" i="21"/>
  <c r="K17" i="21"/>
  <c r="F14" i="19"/>
  <c r="G14" i="19" s="1"/>
  <c r="H14" i="19" s="1"/>
  <c r="I14" i="19" s="1"/>
  <c r="J14" i="19" s="1"/>
  <c r="K14" i="19" s="1"/>
  <c r="L14" i="19" s="1"/>
  <c r="E21" i="19"/>
  <c r="E19" i="21" s="1"/>
  <c r="D19" i="21"/>
  <c r="D20" i="21" s="1"/>
  <c r="I29" i="19"/>
  <c r="J29" i="19" s="1"/>
  <c r="K29" i="19" s="1"/>
  <c r="L29" i="19" s="1"/>
  <c r="M29" i="19" s="1"/>
  <c r="N29" i="19" s="1"/>
  <c r="H50" i="2"/>
  <c r="J55" i="2"/>
  <c r="J58" i="2" s="1"/>
  <c r="O40" i="2"/>
  <c r="M35" i="2"/>
  <c r="H30" i="2"/>
  <c r="G25" i="2"/>
  <c r="G27" i="2" s="1"/>
  <c r="J45" i="2"/>
  <c r="G13" i="21"/>
  <c r="H13" i="21" s="1"/>
  <c r="I13" i="21" s="1"/>
  <c r="J13" i="21" s="1"/>
  <c r="K13" i="21" s="1"/>
  <c r="L13" i="21" s="1"/>
  <c r="M13" i="21" s="1"/>
  <c r="N13" i="21" s="1"/>
  <c r="G14" i="21"/>
  <c r="J9" i="12"/>
  <c r="M17" i="2"/>
  <c r="K17" i="2"/>
  <c r="H17" i="2"/>
  <c r="G17" i="2"/>
  <c r="N17" i="2"/>
  <c r="J17" i="2"/>
  <c r="I17" i="2"/>
  <c r="O17" i="2"/>
  <c r="L17" i="2"/>
  <c r="I9" i="2"/>
  <c r="H11" i="2"/>
  <c r="G11" i="2"/>
  <c r="K21" i="21"/>
  <c r="F18" i="19"/>
  <c r="F19" i="19"/>
  <c r="G19" i="19" s="1"/>
  <c r="F20" i="19"/>
  <c r="G20" i="19" s="1"/>
  <c r="H20" i="19" s="1"/>
  <c r="I20" i="19" s="1"/>
  <c r="J20" i="19" s="1"/>
  <c r="K20" i="19" s="1"/>
  <c r="L20" i="19" s="1"/>
  <c r="M20" i="19" s="1"/>
  <c r="N20" i="19" s="1"/>
  <c r="F6" i="19"/>
  <c r="F44" i="19" s="1"/>
  <c r="E9" i="19"/>
  <c r="F7" i="19"/>
  <c r="D15" i="30" s="1"/>
  <c r="M14" i="19" l="1"/>
  <c r="N14" i="19" s="1"/>
  <c r="H13" i="19"/>
  <c r="I13" i="19" s="1"/>
  <c r="J13" i="19" s="1"/>
  <c r="K13" i="19" s="1"/>
  <c r="L13" i="19" s="1"/>
  <c r="M13" i="19" s="1"/>
  <c r="N13" i="19" s="1"/>
  <c r="F10" i="19"/>
  <c r="F11" i="19" s="1"/>
  <c r="E16" i="19"/>
  <c r="F48" i="2"/>
  <c r="F4" i="2" s="1"/>
  <c r="C63" i="12"/>
  <c r="C61" i="12"/>
  <c r="C42" i="12"/>
  <c r="B10" i="30" s="1"/>
  <c r="G24" i="2"/>
  <c r="G26" i="2" s="1"/>
  <c r="H19" i="2"/>
  <c r="I19" i="2" s="1"/>
  <c r="J19" i="2" s="1"/>
  <c r="K19" i="2" s="1"/>
  <c r="L19" i="2" s="1"/>
  <c r="M19" i="2" s="1"/>
  <c r="N19" i="2" s="1"/>
  <c r="O19" i="2" s="1"/>
  <c r="P19" i="2" s="1"/>
  <c r="G21" i="2"/>
  <c r="G23" i="2" s="1"/>
  <c r="G80" i="2"/>
  <c r="G77" i="2"/>
  <c r="G79" i="2" s="1"/>
  <c r="F82" i="2"/>
  <c r="F84" i="2" s="1"/>
  <c r="M63" i="2"/>
  <c r="J7" i="2"/>
  <c r="D56" i="12"/>
  <c r="C75" i="12"/>
  <c r="D52" i="12"/>
  <c r="E56" i="28"/>
  <c r="E59" i="28" s="1"/>
  <c r="E62" i="28" s="1"/>
  <c r="E69" i="28"/>
  <c r="E73" i="28" s="1"/>
  <c r="E77" i="28" s="1"/>
  <c r="F56" i="28"/>
  <c r="F59" i="28" s="1"/>
  <c r="F62" i="28" s="1"/>
  <c r="F69" i="28"/>
  <c r="F73" i="28" s="1"/>
  <c r="F77" i="28" s="1"/>
  <c r="C56" i="28"/>
  <c r="C59" i="28" s="1"/>
  <c r="C62" i="28" s="1"/>
  <c r="C69" i="28"/>
  <c r="C73" i="28" s="1"/>
  <c r="C77" i="28" s="1"/>
  <c r="I56" i="28"/>
  <c r="I59" i="28" s="1"/>
  <c r="I62" i="28" s="1"/>
  <c r="I69" i="28"/>
  <c r="I73" i="28" s="1"/>
  <c r="I77" i="28" s="1"/>
  <c r="J56" i="28"/>
  <c r="J59" i="28" s="1"/>
  <c r="J62" i="28" s="1"/>
  <c r="J69" i="28"/>
  <c r="J73" i="28" s="1"/>
  <c r="J77" i="28" s="1"/>
  <c r="L56" i="28"/>
  <c r="L59" i="28" s="1"/>
  <c r="L62" i="28" s="1"/>
  <c r="K56" i="28"/>
  <c r="K59" i="28" s="1"/>
  <c r="K62" i="28" s="1"/>
  <c r="K69" i="28"/>
  <c r="K73" i="28" s="1"/>
  <c r="K77" i="28" s="1"/>
  <c r="G56" i="28"/>
  <c r="G59" i="28" s="1"/>
  <c r="G62" i="28" s="1"/>
  <c r="G69" i="28"/>
  <c r="G73" i="28" s="1"/>
  <c r="G77" i="28" s="1"/>
  <c r="H56" i="28"/>
  <c r="H59" i="28" s="1"/>
  <c r="H62" i="28" s="1"/>
  <c r="H69" i="28"/>
  <c r="H73" i="28" s="1"/>
  <c r="H77" i="28" s="1"/>
  <c r="D56" i="28"/>
  <c r="D59" i="28" s="1"/>
  <c r="D62" i="28" s="1"/>
  <c r="D69" i="28"/>
  <c r="D73" i="28" s="1"/>
  <c r="D77" i="28" s="1"/>
  <c r="D54" i="12"/>
  <c r="E54" i="12"/>
  <c r="F50" i="12"/>
  <c r="G81" i="2"/>
  <c r="G83" i="2" s="1"/>
  <c r="E52" i="12"/>
  <c r="H71" i="2"/>
  <c r="G73" i="2"/>
  <c r="H113" i="2"/>
  <c r="H65" i="2"/>
  <c r="G67" i="2"/>
  <c r="H108" i="2"/>
  <c r="F66" i="19"/>
  <c r="G66" i="19" s="1"/>
  <c r="H66" i="19" s="1"/>
  <c r="I96" i="2"/>
  <c r="E31" i="28"/>
  <c r="D31" i="28"/>
  <c r="H31" i="28"/>
  <c r="F31" i="28"/>
  <c r="G31" i="28"/>
  <c r="K31" i="28"/>
  <c r="I31" i="28"/>
  <c r="L31" i="28"/>
  <c r="J31" i="28"/>
  <c r="I76" i="2"/>
  <c r="H81" i="2"/>
  <c r="H83" i="2" s="1"/>
  <c r="I101" i="2"/>
  <c r="G45" i="19"/>
  <c r="E16" i="30" s="1"/>
  <c r="F47" i="19"/>
  <c r="J88" i="2"/>
  <c r="F58" i="12"/>
  <c r="E62" i="12"/>
  <c r="E60" i="12"/>
  <c r="E21" i="12"/>
  <c r="D23" i="12"/>
  <c r="D25" i="12"/>
  <c r="E13" i="12"/>
  <c r="F30" i="21" s="1"/>
  <c r="D17" i="12"/>
  <c r="D15" i="12"/>
  <c r="F70" i="12"/>
  <c r="H72" i="12"/>
  <c r="E69" i="19"/>
  <c r="E71" i="19"/>
  <c r="J56" i="19"/>
  <c r="I60" i="19"/>
  <c r="G59" i="19"/>
  <c r="F61" i="19"/>
  <c r="E75" i="19"/>
  <c r="I62" i="19"/>
  <c r="F28" i="19"/>
  <c r="F36" i="19" s="1"/>
  <c r="F35" i="19"/>
  <c r="I25" i="2"/>
  <c r="I27" i="2" s="1"/>
  <c r="H25" i="2"/>
  <c r="H27" i="2" s="1"/>
  <c r="F33" i="12"/>
  <c r="E12" i="19"/>
  <c r="E17" i="19" s="1"/>
  <c r="D19" i="12" s="1"/>
  <c r="E41" i="19" s="1"/>
  <c r="E36" i="19"/>
  <c r="E32" i="19" s="1"/>
  <c r="H37" i="12"/>
  <c r="F21" i="19"/>
  <c r="F19" i="21" s="1"/>
  <c r="F11" i="21"/>
  <c r="F12" i="21" s="1"/>
  <c r="F15" i="21" s="1"/>
  <c r="E15" i="21"/>
  <c r="E20" i="21" s="1"/>
  <c r="I50" i="2"/>
  <c r="K55" i="2"/>
  <c r="K58" i="2" s="1"/>
  <c r="P40" i="2"/>
  <c r="N35" i="2"/>
  <c r="I30" i="2"/>
  <c r="K45" i="2"/>
  <c r="H14" i="21"/>
  <c r="E23" i="19"/>
  <c r="K9" i="12"/>
  <c r="J20" i="2"/>
  <c r="J9" i="2"/>
  <c r="I11" i="2"/>
  <c r="L21" i="21"/>
  <c r="G18" i="19"/>
  <c r="F22" i="19"/>
  <c r="G6" i="19"/>
  <c r="G44" i="19" s="1"/>
  <c r="F9" i="19"/>
  <c r="G7" i="19"/>
  <c r="E15" i="30" l="1"/>
  <c r="G10" i="19"/>
  <c r="G11" i="19" s="1"/>
  <c r="G16" i="19" s="1"/>
  <c r="G29" i="2"/>
  <c r="G49" i="2"/>
  <c r="G39" i="2"/>
  <c r="G44" i="2"/>
  <c r="G46" i="2" s="1"/>
  <c r="G48" i="2" s="1"/>
  <c r="G34" i="2"/>
  <c r="H24" i="2"/>
  <c r="H26" i="2" s="1"/>
  <c r="H28" i="2" s="1"/>
  <c r="G82" i="2"/>
  <c r="G84" i="2" s="1"/>
  <c r="G28" i="2"/>
  <c r="I24" i="2"/>
  <c r="H21" i="2"/>
  <c r="H23" i="2" s="1"/>
  <c r="H80" i="2"/>
  <c r="H77" i="2"/>
  <c r="H79" i="2" s="1"/>
  <c r="N63" i="2"/>
  <c r="K7" i="2"/>
  <c r="E79" i="19"/>
  <c r="E77" i="19" s="1"/>
  <c r="D67" i="12"/>
  <c r="D69" i="12" s="1"/>
  <c r="C47" i="28"/>
  <c r="C60" i="28" s="1"/>
  <c r="E39" i="19"/>
  <c r="E33" i="19"/>
  <c r="D47" i="28"/>
  <c r="F52" i="12"/>
  <c r="F54" i="12"/>
  <c r="G50" i="12"/>
  <c r="G74" i="19"/>
  <c r="G70" i="19" s="1"/>
  <c r="J96" i="2"/>
  <c r="F74" i="19"/>
  <c r="F70" i="19" s="1"/>
  <c r="F68" i="19" s="1"/>
  <c r="I108" i="2"/>
  <c r="I65" i="2"/>
  <c r="H67" i="2"/>
  <c r="I113" i="2"/>
  <c r="I71" i="2"/>
  <c r="H73" i="2"/>
  <c r="H45" i="19"/>
  <c r="F16" i="30" s="1"/>
  <c r="G47" i="19"/>
  <c r="G58" i="12"/>
  <c r="F62" i="12"/>
  <c r="F60" i="12"/>
  <c r="E18" i="27"/>
  <c r="F18" i="27" s="1"/>
  <c r="G18" i="27" s="1"/>
  <c r="H18" i="27" s="1"/>
  <c r="I18" i="27" s="1"/>
  <c r="J18" i="27" s="1"/>
  <c r="K18" i="27" s="1"/>
  <c r="L18" i="27" s="1"/>
  <c r="D17" i="27"/>
  <c r="E17" i="27" s="1"/>
  <c r="F17" i="27" s="1"/>
  <c r="G17" i="27" s="1"/>
  <c r="H17" i="27" s="1"/>
  <c r="I17" i="27" s="1"/>
  <c r="J17" i="27" s="1"/>
  <c r="K17" i="27" s="1"/>
  <c r="L17" i="27" s="1"/>
  <c r="J101" i="2"/>
  <c r="K88" i="2"/>
  <c r="F49" i="19"/>
  <c r="F54" i="19" s="1"/>
  <c r="J76" i="2"/>
  <c r="I81" i="2"/>
  <c r="I83" i="2" s="1"/>
  <c r="D12" i="12"/>
  <c r="F21" i="12"/>
  <c r="E23" i="12"/>
  <c r="E25" i="12"/>
  <c r="F13" i="12"/>
  <c r="G30" i="21" s="1"/>
  <c r="F19" i="27" s="1"/>
  <c r="G19" i="27" s="1"/>
  <c r="H19" i="27" s="1"/>
  <c r="I19" i="27" s="1"/>
  <c r="J19" i="27" s="1"/>
  <c r="K19" i="27" s="1"/>
  <c r="L19" i="27" s="1"/>
  <c r="E15" i="12"/>
  <c r="E17" i="12"/>
  <c r="G70" i="12"/>
  <c r="I72" i="12"/>
  <c r="K56" i="19"/>
  <c r="J60" i="19"/>
  <c r="H74" i="19"/>
  <c r="I66" i="19"/>
  <c r="J62" i="19"/>
  <c r="H59" i="19"/>
  <c r="G61" i="19"/>
  <c r="G28" i="19"/>
  <c r="G35" i="19"/>
  <c r="H35" i="19" s="1"/>
  <c r="I35" i="19" s="1"/>
  <c r="J35" i="19" s="1"/>
  <c r="K35" i="19" s="1"/>
  <c r="L35" i="19" s="1"/>
  <c r="M35" i="19" s="1"/>
  <c r="N35" i="19" s="1"/>
  <c r="F32" i="19"/>
  <c r="J25" i="2"/>
  <c r="J27" i="2" s="1"/>
  <c r="G33" i="12"/>
  <c r="I37" i="12"/>
  <c r="J37" i="12" s="1"/>
  <c r="K37" i="12" s="1"/>
  <c r="L37" i="12" s="1"/>
  <c r="M37" i="12" s="1"/>
  <c r="D23" i="21"/>
  <c r="G21" i="19"/>
  <c r="D28" i="21"/>
  <c r="G11" i="21"/>
  <c r="G12" i="21" s="1"/>
  <c r="G15" i="21" s="1"/>
  <c r="E28" i="21"/>
  <c r="E23" i="21"/>
  <c r="F20" i="21"/>
  <c r="J50" i="2"/>
  <c r="L55" i="2"/>
  <c r="L58" i="2" s="1"/>
  <c r="O35" i="2"/>
  <c r="J30" i="2"/>
  <c r="L45" i="2"/>
  <c r="I14" i="21"/>
  <c r="F23" i="19"/>
  <c r="L9" i="12"/>
  <c r="K20" i="2"/>
  <c r="K9" i="2"/>
  <c r="J11" i="2"/>
  <c r="M21" i="21"/>
  <c r="F12" i="19"/>
  <c r="F17" i="19" s="1"/>
  <c r="F16" i="19"/>
  <c r="H18" i="19"/>
  <c r="G22" i="19"/>
  <c r="G9" i="19"/>
  <c r="H7" i="19"/>
  <c r="F15" i="30" s="1"/>
  <c r="H6" i="19"/>
  <c r="H44" i="19" s="1"/>
  <c r="H10" i="19" l="1"/>
  <c r="H11" i="19" s="1"/>
  <c r="G31" i="2"/>
  <c r="G33" i="2" s="1"/>
  <c r="H39" i="2"/>
  <c r="H44" i="2"/>
  <c r="H49" i="2"/>
  <c r="H34" i="2"/>
  <c r="H36" i="2" s="1"/>
  <c r="H38" i="2" s="1"/>
  <c r="H29" i="2"/>
  <c r="H31" i="2" s="1"/>
  <c r="H33" i="2" s="1"/>
  <c r="G41" i="2"/>
  <c r="G43" i="2" s="1"/>
  <c r="G51" i="2"/>
  <c r="G53" i="2"/>
  <c r="H82" i="2"/>
  <c r="H84" i="2" s="1"/>
  <c r="J24" i="2"/>
  <c r="I21" i="2"/>
  <c r="I23" i="2" s="1"/>
  <c r="I80" i="2"/>
  <c r="I77" i="2"/>
  <c r="I79" i="2" s="1"/>
  <c r="O63" i="2"/>
  <c r="L7" i="2"/>
  <c r="D60" i="28"/>
  <c r="E19" i="12"/>
  <c r="F41" i="19" s="1"/>
  <c r="G52" i="12"/>
  <c r="D14" i="12"/>
  <c r="H50" i="12"/>
  <c r="H54" i="12" s="1"/>
  <c r="G54" i="12"/>
  <c r="J71" i="2"/>
  <c r="I73" i="2"/>
  <c r="F71" i="19"/>
  <c r="J113" i="2"/>
  <c r="F69" i="19"/>
  <c r="J65" i="2"/>
  <c r="I67" i="2"/>
  <c r="F75" i="19"/>
  <c r="G68" i="19"/>
  <c r="J108" i="2"/>
  <c r="K96" i="2"/>
  <c r="F50" i="19"/>
  <c r="F55" i="19" s="1"/>
  <c r="D49" i="12"/>
  <c r="D57" i="12"/>
  <c r="H58" i="12"/>
  <c r="G62" i="12"/>
  <c r="G60" i="12"/>
  <c r="G49" i="19"/>
  <c r="G54" i="19" s="1"/>
  <c r="K76" i="2"/>
  <c r="J81" i="2"/>
  <c r="K101" i="2"/>
  <c r="L88" i="2"/>
  <c r="I45" i="19"/>
  <c r="G16" i="30" s="1"/>
  <c r="H47" i="19"/>
  <c r="H49" i="19"/>
  <c r="E12" i="12"/>
  <c r="E9" i="21"/>
  <c r="G21" i="12"/>
  <c r="F25" i="12"/>
  <c r="F23" i="12"/>
  <c r="F15" i="12"/>
  <c r="F17" i="12"/>
  <c r="G13" i="12"/>
  <c r="H30" i="21" s="1"/>
  <c r="G20" i="27" s="1"/>
  <c r="H20" i="27" s="1"/>
  <c r="I20" i="27" s="1"/>
  <c r="J20" i="27" s="1"/>
  <c r="K20" i="27" s="1"/>
  <c r="L20" i="27" s="1"/>
  <c r="H70" i="12"/>
  <c r="J72" i="12"/>
  <c r="I59" i="19"/>
  <c r="H61" i="19"/>
  <c r="J66" i="19"/>
  <c r="I74" i="19"/>
  <c r="H70" i="19"/>
  <c r="K62" i="19"/>
  <c r="L56" i="19"/>
  <c r="K60" i="19"/>
  <c r="H28" i="19"/>
  <c r="G36" i="19"/>
  <c r="G32" i="19" s="1"/>
  <c r="K25" i="2"/>
  <c r="K27" i="2" s="1"/>
  <c r="H33" i="12"/>
  <c r="G19" i="21"/>
  <c r="G20" i="21" s="1"/>
  <c r="H21" i="19"/>
  <c r="H23" i="19" s="1"/>
  <c r="G23" i="19"/>
  <c r="H11" i="21"/>
  <c r="H12" i="21" s="1"/>
  <c r="H15" i="21" s="1"/>
  <c r="F28" i="21"/>
  <c r="F9" i="21" s="1"/>
  <c r="K50" i="2"/>
  <c r="M55" i="2"/>
  <c r="M58" i="2" s="1"/>
  <c r="P35" i="2"/>
  <c r="K30" i="2"/>
  <c r="L30" i="2" s="1"/>
  <c r="M45" i="2"/>
  <c r="J14" i="21"/>
  <c r="F23" i="21"/>
  <c r="E15" i="19"/>
  <c r="C38" i="12"/>
  <c r="M9" i="12"/>
  <c r="L20" i="2"/>
  <c r="L9" i="2"/>
  <c r="K11" i="2"/>
  <c r="N21" i="21"/>
  <c r="G12" i="19"/>
  <c r="G17" i="19" s="1"/>
  <c r="F15" i="19"/>
  <c r="I18" i="19"/>
  <c r="H22" i="19"/>
  <c r="I6" i="19"/>
  <c r="I44" i="19" s="1"/>
  <c r="I7" i="19"/>
  <c r="G15" i="30" s="1"/>
  <c r="H9" i="19"/>
  <c r="I10" i="19" l="1"/>
  <c r="J44" i="2"/>
  <c r="J39" i="2"/>
  <c r="J34" i="2"/>
  <c r="J36" i="2" s="1"/>
  <c r="J38" i="2" s="1"/>
  <c r="J29" i="2"/>
  <c r="J31" i="2" s="1"/>
  <c r="J33" i="2" s="1"/>
  <c r="J49" i="2"/>
  <c r="H41" i="2"/>
  <c r="H43" i="2" s="1"/>
  <c r="I29" i="2"/>
  <c r="I31" i="2" s="1"/>
  <c r="I33" i="2" s="1"/>
  <c r="I44" i="2"/>
  <c r="I39" i="2"/>
  <c r="I34" i="2"/>
  <c r="I36" i="2" s="1"/>
  <c r="I38" i="2" s="1"/>
  <c r="I49" i="2"/>
  <c r="H51" i="2"/>
  <c r="H53" i="2" s="1"/>
  <c r="H46" i="2"/>
  <c r="H48" i="2" s="1"/>
  <c r="D49" i="19"/>
  <c r="D50" i="19" s="1"/>
  <c r="I82" i="2"/>
  <c r="I84" i="2" s="1"/>
  <c r="I26" i="2"/>
  <c r="I28" i="2" s="1"/>
  <c r="J21" i="2"/>
  <c r="J23" i="2" s="1"/>
  <c r="K24" i="2"/>
  <c r="J77" i="2"/>
  <c r="J79" i="2" s="1"/>
  <c r="J80" i="2"/>
  <c r="P63" i="2"/>
  <c r="M7" i="2"/>
  <c r="E56" i="12"/>
  <c r="F53" i="19"/>
  <c r="F19" i="12"/>
  <c r="G41" i="19" s="1"/>
  <c r="H52" i="12"/>
  <c r="I50" i="12"/>
  <c r="G69" i="19"/>
  <c r="E47" i="28"/>
  <c r="F47" i="28"/>
  <c r="G75" i="19"/>
  <c r="G71" i="19"/>
  <c r="K65" i="2"/>
  <c r="J67" i="2"/>
  <c r="K113" i="2"/>
  <c r="L96" i="2"/>
  <c r="K108" i="2"/>
  <c r="K71" i="2"/>
  <c r="J73" i="2"/>
  <c r="G50" i="19"/>
  <c r="G55" i="19" s="1"/>
  <c r="J45" i="19"/>
  <c r="H16" i="30" s="1"/>
  <c r="I47" i="19"/>
  <c r="L101" i="2"/>
  <c r="I58" i="12"/>
  <c r="H62" i="12"/>
  <c r="H60" i="12"/>
  <c r="H50" i="19"/>
  <c r="H55" i="19" s="1"/>
  <c r="H54" i="19"/>
  <c r="J83" i="2"/>
  <c r="D63" i="12"/>
  <c r="D59" i="12"/>
  <c r="D75" i="12"/>
  <c r="D61" i="12"/>
  <c r="L76" i="2"/>
  <c r="K81" i="2"/>
  <c r="K83" i="2" s="1"/>
  <c r="D53" i="12"/>
  <c r="D55" i="12"/>
  <c r="D51" i="12"/>
  <c r="E49" i="12"/>
  <c r="E57" i="12"/>
  <c r="M88" i="2"/>
  <c r="F12" i="12"/>
  <c r="H21" i="12"/>
  <c r="G25" i="12"/>
  <c r="G23" i="12"/>
  <c r="G17" i="12"/>
  <c r="G15" i="12"/>
  <c r="H13" i="12"/>
  <c r="I70" i="12"/>
  <c r="K72" i="12"/>
  <c r="M56" i="19"/>
  <c r="L60" i="19"/>
  <c r="J59" i="19"/>
  <c r="I61" i="19"/>
  <c r="L62" i="19"/>
  <c r="I70" i="19"/>
  <c r="K66" i="19"/>
  <c r="J74" i="19"/>
  <c r="H68" i="19"/>
  <c r="H19" i="21"/>
  <c r="H20" i="21" s="1"/>
  <c r="I21" i="19"/>
  <c r="I19" i="21" s="1"/>
  <c r="H16" i="19"/>
  <c r="I28" i="19"/>
  <c r="H36" i="19"/>
  <c r="H32" i="19" s="1"/>
  <c r="L25" i="2"/>
  <c r="L27" i="2" s="1"/>
  <c r="I33" i="12"/>
  <c r="D20" i="12"/>
  <c r="D38" i="12" s="1"/>
  <c r="C22" i="12"/>
  <c r="I11" i="21"/>
  <c r="I12" i="21" s="1"/>
  <c r="G28" i="21"/>
  <c r="G9" i="21" s="1"/>
  <c r="L50" i="2"/>
  <c r="N55" i="2"/>
  <c r="N58" i="2" s="1"/>
  <c r="N45" i="2"/>
  <c r="M30" i="2"/>
  <c r="K14" i="21"/>
  <c r="G23" i="21"/>
  <c r="C26" i="12"/>
  <c r="C24" i="12"/>
  <c r="M20" i="2"/>
  <c r="M9" i="2"/>
  <c r="L11" i="2"/>
  <c r="H12" i="19"/>
  <c r="H17" i="19" s="1"/>
  <c r="G15" i="19"/>
  <c r="J18" i="19"/>
  <c r="I22" i="19"/>
  <c r="I9" i="19"/>
  <c r="J6" i="19"/>
  <c r="J44" i="19" s="1"/>
  <c r="J7" i="19"/>
  <c r="H15" i="30" s="1"/>
  <c r="H4" i="2" l="1"/>
  <c r="J10" i="19"/>
  <c r="J11" i="19" s="1"/>
  <c r="J41" i="2"/>
  <c r="J43" i="2" s="1"/>
  <c r="J46" i="2"/>
  <c r="J48" i="2" s="1"/>
  <c r="I51" i="2"/>
  <c r="I53" i="2" s="1"/>
  <c r="I41" i="2"/>
  <c r="I43" i="2" s="1"/>
  <c r="I46" i="2"/>
  <c r="I48" i="2" s="1"/>
  <c r="J51" i="2"/>
  <c r="J53" i="2" s="1"/>
  <c r="D42" i="12"/>
  <c r="C10" i="30" s="1"/>
  <c r="B5" i="27"/>
  <c r="J82" i="2"/>
  <c r="J84" i="2" s="1"/>
  <c r="K21" i="2"/>
  <c r="K23" i="2" s="1"/>
  <c r="J26" i="2"/>
  <c r="J28" i="2" s="1"/>
  <c r="L24" i="2"/>
  <c r="K80" i="2"/>
  <c r="K77" i="2"/>
  <c r="K79" i="2" s="1"/>
  <c r="N7" i="2"/>
  <c r="F79" i="19"/>
  <c r="F77" i="19" s="1"/>
  <c r="E67" i="12"/>
  <c r="E69" i="12" s="1"/>
  <c r="C48" i="12"/>
  <c r="F56" i="12"/>
  <c r="G53" i="19"/>
  <c r="G19" i="12"/>
  <c r="H41" i="19" s="1"/>
  <c r="E60" i="28"/>
  <c r="I23" i="19"/>
  <c r="J21" i="19"/>
  <c r="J23" i="19" s="1"/>
  <c r="I54" i="12"/>
  <c r="I52" i="12"/>
  <c r="J50" i="12"/>
  <c r="L71" i="2"/>
  <c r="K73" i="2"/>
  <c r="L108" i="2"/>
  <c r="M96" i="2"/>
  <c r="L113" i="2"/>
  <c r="L65" i="2"/>
  <c r="K67" i="2"/>
  <c r="F60" i="28"/>
  <c r="M101" i="2"/>
  <c r="H53" i="19"/>
  <c r="F57" i="12"/>
  <c r="F49" i="12"/>
  <c r="E63" i="12"/>
  <c r="E61" i="12"/>
  <c r="E59" i="12"/>
  <c r="E75" i="12"/>
  <c r="H71" i="19"/>
  <c r="M76" i="2"/>
  <c r="L81" i="2"/>
  <c r="N88" i="2"/>
  <c r="E51" i="12"/>
  <c r="E55" i="12"/>
  <c r="E53" i="12"/>
  <c r="K45" i="19"/>
  <c r="I16" i="30" s="1"/>
  <c r="J47" i="19"/>
  <c r="J58" i="12"/>
  <c r="I62" i="12"/>
  <c r="I60" i="12"/>
  <c r="G12" i="12"/>
  <c r="I21" i="12"/>
  <c r="H23" i="12"/>
  <c r="H25" i="12"/>
  <c r="H17" i="12"/>
  <c r="H15" i="12"/>
  <c r="I13" i="12"/>
  <c r="J30" i="21" s="1"/>
  <c r="I22" i="27" s="1"/>
  <c r="J22" i="27" s="1"/>
  <c r="K22" i="27" s="1"/>
  <c r="L22" i="27" s="1"/>
  <c r="J70" i="12"/>
  <c r="L72" i="12"/>
  <c r="I68" i="19"/>
  <c r="H69" i="19"/>
  <c r="H75" i="19"/>
  <c r="M62" i="19"/>
  <c r="K59" i="19"/>
  <c r="J61" i="19"/>
  <c r="J70" i="19"/>
  <c r="K74" i="19"/>
  <c r="L66" i="19"/>
  <c r="N56" i="19"/>
  <c r="N60" i="19" s="1"/>
  <c r="M60" i="19"/>
  <c r="J28" i="19"/>
  <c r="I36" i="19"/>
  <c r="I32" i="19" s="1"/>
  <c r="M25" i="2"/>
  <c r="M27" i="2" s="1"/>
  <c r="K7" i="19"/>
  <c r="I15" i="30" s="1"/>
  <c r="J33" i="12"/>
  <c r="E20" i="12"/>
  <c r="E26" i="12" s="1"/>
  <c r="D26" i="12"/>
  <c r="D22" i="12"/>
  <c r="C6" i="27" s="1"/>
  <c r="D6" i="27" s="1"/>
  <c r="E6" i="27" s="1"/>
  <c r="F6" i="27" s="1"/>
  <c r="G6" i="27" s="1"/>
  <c r="H6" i="27" s="1"/>
  <c r="I6" i="27" s="1"/>
  <c r="J6" i="27" s="1"/>
  <c r="K6" i="27" s="1"/>
  <c r="L6" i="27" s="1"/>
  <c r="D24" i="12"/>
  <c r="J11" i="21"/>
  <c r="J12" i="21" s="1"/>
  <c r="J15" i="21" s="1"/>
  <c r="J24" i="21" s="1"/>
  <c r="I15" i="21"/>
  <c r="I20" i="21" s="1"/>
  <c r="I28" i="21" s="1"/>
  <c r="H28" i="21"/>
  <c r="H9" i="21" s="1"/>
  <c r="D25" i="21"/>
  <c r="D11" i="19" s="1"/>
  <c r="M50" i="2"/>
  <c r="O55" i="2"/>
  <c r="O58" i="2" s="1"/>
  <c r="O45" i="2"/>
  <c r="N30" i="2"/>
  <c r="L14" i="21"/>
  <c r="H23" i="21"/>
  <c r="E14" i="12"/>
  <c r="H15" i="19"/>
  <c r="N20" i="2"/>
  <c r="N9" i="2"/>
  <c r="M11" i="2"/>
  <c r="K18" i="19"/>
  <c r="J22" i="19"/>
  <c r="J9" i="19"/>
  <c r="K6" i="19"/>
  <c r="K44" i="19" s="1"/>
  <c r="D48" i="12" l="1"/>
  <c r="D44" i="12" s="1"/>
  <c r="C44" i="12"/>
  <c r="K21" i="19"/>
  <c r="J19" i="21"/>
  <c r="J4" i="2"/>
  <c r="I4" i="2"/>
  <c r="K10" i="19"/>
  <c r="K11" i="19" s="1"/>
  <c r="L34" i="2"/>
  <c r="L36" i="2" s="1"/>
  <c r="L38" i="2" s="1"/>
  <c r="L49" i="2"/>
  <c r="L44" i="2"/>
  <c r="L39" i="2"/>
  <c r="L29" i="2"/>
  <c r="L31" i="2" s="1"/>
  <c r="L33" i="2" s="1"/>
  <c r="K29" i="2"/>
  <c r="K31" i="2" s="1"/>
  <c r="K33" i="2" s="1"/>
  <c r="K34" i="2"/>
  <c r="K36" i="2" s="1"/>
  <c r="K38" i="2" s="1"/>
  <c r="K39" i="2"/>
  <c r="K49" i="2"/>
  <c r="K44" i="2"/>
  <c r="E42" i="12"/>
  <c r="D10" i="30" s="1"/>
  <c r="B3" i="27"/>
  <c r="C19" i="28" s="1"/>
  <c r="C5" i="27"/>
  <c r="C3" i="27" s="1"/>
  <c r="D19" i="28" s="1"/>
  <c r="G47" i="28"/>
  <c r="K82" i="2"/>
  <c r="K84" i="2" s="1"/>
  <c r="M24" i="2"/>
  <c r="L21" i="2"/>
  <c r="L23" i="2" s="1"/>
  <c r="K26" i="2"/>
  <c r="K28" i="2" s="1"/>
  <c r="L77" i="2"/>
  <c r="L79" i="2" s="1"/>
  <c r="L80" i="2"/>
  <c r="O7" i="2"/>
  <c r="G79" i="19"/>
  <c r="G77" i="19" s="1"/>
  <c r="F67" i="12"/>
  <c r="F69" i="12" s="1"/>
  <c r="G56" i="12"/>
  <c r="E48" i="12"/>
  <c r="E44" i="12" s="1"/>
  <c r="E78" i="19"/>
  <c r="C4" i="30" s="1"/>
  <c r="D78" i="19"/>
  <c r="K50" i="12"/>
  <c r="K70" i="19"/>
  <c r="J52" i="12"/>
  <c r="J54" i="12"/>
  <c r="M113" i="2"/>
  <c r="N96" i="2"/>
  <c r="M65" i="2"/>
  <c r="L67" i="2"/>
  <c r="M108" i="2"/>
  <c r="M71" i="2"/>
  <c r="L73" i="2"/>
  <c r="L45" i="19"/>
  <c r="J16" i="30" s="1"/>
  <c r="K47" i="19"/>
  <c r="O88" i="2"/>
  <c r="F53" i="12"/>
  <c r="F55" i="12"/>
  <c r="F51" i="12"/>
  <c r="I71" i="19"/>
  <c r="K58" i="12"/>
  <c r="J60" i="12"/>
  <c r="J62" i="12"/>
  <c r="L83" i="2"/>
  <c r="F75" i="12"/>
  <c r="F59" i="12"/>
  <c r="F63" i="12"/>
  <c r="F61" i="12"/>
  <c r="N76" i="2"/>
  <c r="M81" i="2"/>
  <c r="M83" i="2" s="1"/>
  <c r="N101" i="2"/>
  <c r="J49" i="19"/>
  <c r="J54" i="19" s="1"/>
  <c r="D30" i="21"/>
  <c r="B15" i="27" s="1"/>
  <c r="J21" i="12"/>
  <c r="I23" i="12"/>
  <c r="I25" i="12"/>
  <c r="I17" i="12"/>
  <c r="I15" i="12"/>
  <c r="J13" i="12"/>
  <c r="K30" i="21" s="1"/>
  <c r="J23" i="27" s="1"/>
  <c r="K23" i="27" s="1"/>
  <c r="L23" i="27" s="1"/>
  <c r="K70" i="12"/>
  <c r="M72" i="12"/>
  <c r="N62" i="19"/>
  <c r="J68" i="19"/>
  <c r="I69" i="19"/>
  <c r="I75" i="19"/>
  <c r="M66" i="19"/>
  <c r="L74" i="19"/>
  <c r="L59" i="19"/>
  <c r="K61" i="19"/>
  <c r="J16" i="19"/>
  <c r="K28" i="19"/>
  <c r="J36" i="19"/>
  <c r="J32" i="19" s="1"/>
  <c r="N25" i="2"/>
  <c r="N27" i="2" s="1"/>
  <c r="K33" i="12"/>
  <c r="E24" i="12"/>
  <c r="E22" i="12"/>
  <c r="D7" i="27" s="1"/>
  <c r="E7" i="27" s="1"/>
  <c r="F7" i="27" s="1"/>
  <c r="G7" i="27" s="1"/>
  <c r="H7" i="27" s="1"/>
  <c r="I7" i="27" s="1"/>
  <c r="J7" i="27" s="1"/>
  <c r="K7" i="27" s="1"/>
  <c r="L7" i="27" s="1"/>
  <c r="F20" i="12"/>
  <c r="E38" i="12"/>
  <c r="D9" i="21"/>
  <c r="D34" i="21"/>
  <c r="K11" i="21"/>
  <c r="K12" i="21" s="1"/>
  <c r="K15" i="21" s="1"/>
  <c r="L21" i="19"/>
  <c r="K19" i="21"/>
  <c r="J20" i="21"/>
  <c r="E31" i="21"/>
  <c r="N50" i="2"/>
  <c r="P55" i="2"/>
  <c r="P58" i="2" s="1"/>
  <c r="P45" i="2"/>
  <c r="O30" i="2"/>
  <c r="M14" i="21"/>
  <c r="I23" i="21"/>
  <c r="F14" i="12"/>
  <c r="O20" i="2"/>
  <c r="O9" i="2"/>
  <c r="N11" i="2"/>
  <c r="J12" i="19"/>
  <c r="J17" i="19" s="1"/>
  <c r="K23" i="19"/>
  <c r="L18" i="19"/>
  <c r="K22" i="19"/>
  <c r="L6" i="19"/>
  <c r="L44" i="19" s="1"/>
  <c r="K9" i="19"/>
  <c r="L7" i="19"/>
  <c r="J15" i="30" s="1"/>
  <c r="B4" i="30" l="1"/>
  <c r="D76" i="19"/>
  <c r="C64" i="12" s="1"/>
  <c r="C66" i="12" s="1"/>
  <c r="L10" i="19"/>
  <c r="L11" i="19" s="1"/>
  <c r="L51" i="2"/>
  <c r="L53" i="2" s="1"/>
  <c r="M44" i="2"/>
  <c r="M49" i="2"/>
  <c r="M39" i="2"/>
  <c r="M34" i="2"/>
  <c r="M36" i="2" s="1"/>
  <c r="M38" i="2" s="1"/>
  <c r="M29" i="2"/>
  <c r="M31" i="2" s="1"/>
  <c r="M33" i="2" s="1"/>
  <c r="K46" i="2"/>
  <c r="K48" i="2" s="1"/>
  <c r="K41" i="2"/>
  <c r="K43" i="2" s="1"/>
  <c r="K51" i="2"/>
  <c r="K53" i="2" s="1"/>
  <c r="L41" i="2"/>
  <c r="L43" i="2" s="1"/>
  <c r="L46" i="2"/>
  <c r="L48" i="2" s="1"/>
  <c r="F42" i="12"/>
  <c r="E10" i="30" s="1"/>
  <c r="D5" i="27"/>
  <c r="D3" i="27" s="1"/>
  <c r="E19" i="28" s="1"/>
  <c r="G60" i="28"/>
  <c r="F64" i="2"/>
  <c r="F85" i="2"/>
  <c r="F105" i="2"/>
  <c r="F95" i="2"/>
  <c r="F110" i="2"/>
  <c r="F114" i="2" s="1"/>
  <c r="F100" i="2"/>
  <c r="F102" i="2" s="1"/>
  <c r="F104" i="2" s="1"/>
  <c r="F90" i="2"/>
  <c r="F92" i="2" s="1"/>
  <c r="F94" i="2" s="1"/>
  <c r="G64" i="2"/>
  <c r="G90" i="2"/>
  <c r="G85" i="2"/>
  <c r="G100" i="2"/>
  <c r="G95" i="2"/>
  <c r="G105" i="2"/>
  <c r="G110" i="2"/>
  <c r="G114" i="2" s="1"/>
  <c r="L82" i="2"/>
  <c r="L84" i="2"/>
  <c r="L26" i="2"/>
  <c r="L28" i="2" s="1"/>
  <c r="N24" i="2"/>
  <c r="M21" i="2"/>
  <c r="M23" i="2" s="1"/>
  <c r="M77" i="2"/>
  <c r="M79" i="2" s="1"/>
  <c r="M80" i="2"/>
  <c r="E76" i="19"/>
  <c r="D64" i="12" s="1"/>
  <c r="D66" i="12" s="1"/>
  <c r="G70" i="2"/>
  <c r="F70" i="2"/>
  <c r="P7" i="2"/>
  <c r="H79" i="19"/>
  <c r="H77" i="19" s="1"/>
  <c r="G67" i="12"/>
  <c r="G69" i="12" s="1"/>
  <c r="F48" i="12"/>
  <c r="F44" i="12" s="1"/>
  <c r="F78" i="19"/>
  <c r="D4" i="30" s="1"/>
  <c r="L50" i="12"/>
  <c r="K52" i="12"/>
  <c r="L70" i="19"/>
  <c r="K54" i="12"/>
  <c r="N108" i="2"/>
  <c r="N65" i="2"/>
  <c r="M67" i="2"/>
  <c r="N71" i="2"/>
  <c r="M73" i="2"/>
  <c r="O96" i="2"/>
  <c r="N113" i="2"/>
  <c r="J50" i="19"/>
  <c r="J55" i="19" s="1"/>
  <c r="O76" i="2"/>
  <c r="N81" i="2"/>
  <c r="N83" i="2" s="1"/>
  <c r="L58" i="12"/>
  <c r="K62" i="12"/>
  <c r="K60" i="12"/>
  <c r="O101" i="2"/>
  <c r="H47" i="28"/>
  <c r="K49" i="19"/>
  <c r="K54" i="19" s="1"/>
  <c r="P88" i="2"/>
  <c r="M45" i="19"/>
  <c r="K16" i="30" s="1"/>
  <c r="L47" i="19"/>
  <c r="L49" i="19"/>
  <c r="K21" i="12"/>
  <c r="J23" i="12"/>
  <c r="J25" i="12"/>
  <c r="J17" i="12"/>
  <c r="J15" i="12"/>
  <c r="K13" i="12"/>
  <c r="L30" i="21" s="1"/>
  <c r="K24" i="27" s="1"/>
  <c r="L24" i="27" s="1"/>
  <c r="L70" i="12"/>
  <c r="K68" i="19"/>
  <c r="J69" i="19"/>
  <c r="J75" i="19"/>
  <c r="M74" i="19"/>
  <c r="N66" i="19"/>
  <c r="N74" i="19" s="1"/>
  <c r="J71" i="19"/>
  <c r="M59" i="19"/>
  <c r="L61" i="19"/>
  <c r="D8" i="21"/>
  <c r="C21" i="28" s="1"/>
  <c r="B26" i="27"/>
  <c r="L28" i="19"/>
  <c r="K36" i="19"/>
  <c r="K32" i="19" s="1"/>
  <c r="O25" i="2"/>
  <c r="O27" i="2" s="1"/>
  <c r="L33" i="12"/>
  <c r="F24" i="12"/>
  <c r="F26" i="12"/>
  <c r="F22" i="12"/>
  <c r="E8" i="27" s="1"/>
  <c r="F8" i="27" s="1"/>
  <c r="G8" i="27" s="1"/>
  <c r="H8" i="27" s="1"/>
  <c r="I8" i="27" s="1"/>
  <c r="J8" i="27" s="1"/>
  <c r="K8" i="27" s="1"/>
  <c r="L8" i="27" s="1"/>
  <c r="F38" i="12"/>
  <c r="D6" i="21"/>
  <c r="L11" i="21"/>
  <c r="L12" i="21" s="1"/>
  <c r="L15" i="21" s="1"/>
  <c r="M21" i="19"/>
  <c r="L19" i="21"/>
  <c r="J28" i="21"/>
  <c r="J9" i="21" s="1"/>
  <c r="K24" i="21"/>
  <c r="K20" i="21"/>
  <c r="J15" i="19"/>
  <c r="O50" i="2"/>
  <c r="P30" i="2"/>
  <c r="N14" i="21"/>
  <c r="F31" i="21"/>
  <c r="G31" i="21"/>
  <c r="H31" i="21"/>
  <c r="I31" i="21"/>
  <c r="J31" i="21"/>
  <c r="F32" i="21"/>
  <c r="G32" i="21"/>
  <c r="H32" i="21"/>
  <c r="I32" i="21"/>
  <c r="E32" i="21"/>
  <c r="E8" i="21" s="1"/>
  <c r="J23" i="21"/>
  <c r="P20" i="2"/>
  <c r="P9" i="2"/>
  <c r="O11" i="2"/>
  <c r="K12" i="19"/>
  <c r="K17" i="19" s="1"/>
  <c r="K16" i="19"/>
  <c r="L23" i="19"/>
  <c r="M18" i="19"/>
  <c r="L22" i="19"/>
  <c r="M7" i="19"/>
  <c r="K15" i="30" s="1"/>
  <c r="L9" i="19"/>
  <c r="M6" i="19"/>
  <c r="M44" i="19" s="1"/>
  <c r="M10" i="19" l="1"/>
  <c r="M11" i="19" s="1"/>
  <c r="L4" i="2"/>
  <c r="K4" i="2"/>
  <c r="N39" i="2"/>
  <c r="N29" i="2"/>
  <c r="N31" i="2" s="1"/>
  <c r="N33" i="2" s="1"/>
  <c r="N34" i="2"/>
  <c r="N36" i="2" s="1"/>
  <c r="N38" i="2" s="1"/>
  <c r="N49" i="2"/>
  <c r="N44" i="2"/>
  <c r="M41" i="2"/>
  <c r="M43" i="2" s="1"/>
  <c r="M51" i="2"/>
  <c r="M53" i="2" s="1"/>
  <c r="M46" i="2"/>
  <c r="M48" i="2" s="1"/>
  <c r="C73" i="12"/>
  <c r="E5" i="27"/>
  <c r="F5" i="27" s="1"/>
  <c r="G107" i="2"/>
  <c r="G109" i="2" s="1"/>
  <c r="G102" i="2"/>
  <c r="G104" i="2" s="1"/>
  <c r="G87" i="2"/>
  <c r="G89" i="2" s="1"/>
  <c r="G97" i="2"/>
  <c r="G99" i="2" s="1"/>
  <c r="H64" i="2"/>
  <c r="H85" i="2"/>
  <c r="H95" i="2"/>
  <c r="H100" i="2"/>
  <c r="H110" i="2"/>
  <c r="H114" i="2" s="1"/>
  <c r="H105" i="2"/>
  <c r="H90" i="2"/>
  <c r="G92" i="2"/>
  <c r="G94" i="2" s="1"/>
  <c r="F97" i="2"/>
  <c r="F99" i="2"/>
  <c r="F107" i="2"/>
  <c r="F109" i="2" s="1"/>
  <c r="F87" i="2"/>
  <c r="F89" i="2" s="1"/>
  <c r="F60" i="2" s="1"/>
  <c r="M82" i="2"/>
  <c r="M84" i="2" s="1"/>
  <c r="M26" i="2"/>
  <c r="M28" i="2" s="1"/>
  <c r="O24" i="2"/>
  <c r="N21" i="2"/>
  <c r="N23" i="2" s="1"/>
  <c r="N80" i="2"/>
  <c r="N77" i="2"/>
  <c r="D73" i="12"/>
  <c r="D71" i="12"/>
  <c r="D46" i="28"/>
  <c r="D71" i="28" s="1"/>
  <c r="C71" i="12"/>
  <c r="C46" i="28"/>
  <c r="G66" i="2"/>
  <c r="G68" i="2" s="1"/>
  <c r="F72" i="2"/>
  <c r="F74" i="2" s="1"/>
  <c r="G72" i="2"/>
  <c r="G74" i="2" s="1"/>
  <c r="F76" i="19"/>
  <c r="E46" i="28" s="1"/>
  <c r="H70" i="2"/>
  <c r="F66" i="2"/>
  <c r="F68" i="2" s="1"/>
  <c r="L52" i="12"/>
  <c r="J53" i="19"/>
  <c r="G48" i="12"/>
  <c r="G78" i="19"/>
  <c r="E4" i="30" s="1"/>
  <c r="L54" i="12"/>
  <c r="M50" i="12"/>
  <c r="M54" i="12" s="1"/>
  <c r="M70" i="19"/>
  <c r="P96" i="2"/>
  <c r="O71" i="2"/>
  <c r="N73" i="2"/>
  <c r="O113" i="2"/>
  <c r="O65" i="2"/>
  <c r="N67" i="2"/>
  <c r="O108" i="2"/>
  <c r="H60" i="28"/>
  <c r="K50" i="19"/>
  <c r="K55" i="19" s="1"/>
  <c r="N45" i="19"/>
  <c r="M47" i="19"/>
  <c r="M58" i="12"/>
  <c r="L62" i="12"/>
  <c r="L60" i="12"/>
  <c r="I47" i="28"/>
  <c r="P101" i="2"/>
  <c r="P76" i="2"/>
  <c r="O81" i="2"/>
  <c r="O83" i="2" s="1"/>
  <c r="L50" i="19"/>
  <c r="L55" i="19" s="1"/>
  <c r="L54" i="19"/>
  <c r="C11" i="12"/>
  <c r="L21" i="12"/>
  <c r="K23" i="12"/>
  <c r="K25" i="12"/>
  <c r="K17" i="12"/>
  <c r="K15" i="12"/>
  <c r="L13" i="12"/>
  <c r="M30" i="21" s="1"/>
  <c r="M70" i="12"/>
  <c r="M75" i="12"/>
  <c r="N59" i="19"/>
  <c r="M61" i="19"/>
  <c r="L68" i="19"/>
  <c r="K69" i="19"/>
  <c r="K75" i="19"/>
  <c r="K71" i="19"/>
  <c r="C26" i="27"/>
  <c r="D26" i="27" s="1"/>
  <c r="E26" i="27" s="1"/>
  <c r="F26" i="27" s="1"/>
  <c r="B4" i="27"/>
  <c r="C22" i="28" s="1"/>
  <c r="M28" i="19"/>
  <c r="L36" i="19"/>
  <c r="L32" i="19" s="1"/>
  <c r="M33" i="12"/>
  <c r="G8" i="21"/>
  <c r="F21" i="28" s="1"/>
  <c r="F8" i="21"/>
  <c r="D21" i="28"/>
  <c r="C15" i="27"/>
  <c r="B2" i="27"/>
  <c r="H6" i="21"/>
  <c r="G6" i="21"/>
  <c r="F6" i="21"/>
  <c r="E6" i="21"/>
  <c r="M11" i="21"/>
  <c r="M12" i="21" s="1"/>
  <c r="M15" i="21" s="1"/>
  <c r="N21" i="19"/>
  <c r="M19" i="21"/>
  <c r="K28" i="21"/>
  <c r="K9" i="21" s="1"/>
  <c r="L24" i="21"/>
  <c r="L20" i="21"/>
  <c r="P50" i="2"/>
  <c r="P25" i="2"/>
  <c r="I26" i="21"/>
  <c r="K23" i="21"/>
  <c r="P11" i="2"/>
  <c r="K15" i="19"/>
  <c r="L12" i="19"/>
  <c r="L17" i="19" s="1"/>
  <c r="L16" i="19"/>
  <c r="M23" i="19"/>
  <c r="N6" i="19"/>
  <c r="N44" i="19" s="1"/>
  <c r="N18" i="19"/>
  <c r="N22" i="19" s="1"/>
  <c r="M22" i="19"/>
  <c r="N7" i="19"/>
  <c r="N10" i="19" s="1"/>
  <c r="M9" i="19"/>
  <c r="M4" i="2" l="1"/>
  <c r="N51" i="2"/>
  <c r="N53" i="2" s="1"/>
  <c r="N41" i="2"/>
  <c r="N43" i="2" s="1"/>
  <c r="O39" i="2"/>
  <c r="O34" i="2"/>
  <c r="O36" i="2" s="1"/>
  <c r="O38" i="2" s="1"/>
  <c r="O49" i="2"/>
  <c r="O44" i="2"/>
  <c r="O29" i="2"/>
  <c r="O31" i="2" s="1"/>
  <c r="O33" i="2" s="1"/>
  <c r="N46" i="2"/>
  <c r="N48" i="2" s="1"/>
  <c r="H78" i="19"/>
  <c r="F4" i="30" s="1"/>
  <c r="G44" i="12"/>
  <c r="B3" i="30"/>
  <c r="D38" i="19"/>
  <c r="C27" i="12" s="1"/>
  <c r="C29" i="12" s="1"/>
  <c r="F62" i="2"/>
  <c r="E3" i="27"/>
  <c r="F19" i="28" s="1"/>
  <c r="F14" i="2"/>
  <c r="F8" i="2"/>
  <c r="N79" i="2"/>
  <c r="D45" i="28"/>
  <c r="H92" i="2"/>
  <c r="H94" i="2" s="1"/>
  <c r="H107" i="2"/>
  <c r="H109" i="2" s="1"/>
  <c r="H102" i="2"/>
  <c r="H104" i="2" s="1"/>
  <c r="H97" i="2"/>
  <c r="H99" i="2" s="1"/>
  <c r="H87" i="2"/>
  <c r="H89" i="2" s="1"/>
  <c r="I64" i="2"/>
  <c r="I105" i="2"/>
  <c r="I95" i="2"/>
  <c r="I100" i="2"/>
  <c r="I85" i="2"/>
  <c r="I110" i="2"/>
  <c r="I114" i="2" s="1"/>
  <c r="I90" i="2"/>
  <c r="G60" i="2"/>
  <c r="E64" i="12"/>
  <c r="E66" i="12" s="1"/>
  <c r="N82" i="2"/>
  <c r="N84" i="2" s="1"/>
  <c r="P24" i="2"/>
  <c r="O21" i="2"/>
  <c r="O23" i="2" s="1"/>
  <c r="N26" i="2"/>
  <c r="N28" i="2" s="1"/>
  <c r="O77" i="2"/>
  <c r="O79" i="2" s="1"/>
  <c r="O80" i="2"/>
  <c r="D57" i="28"/>
  <c r="G62" i="2"/>
  <c r="F61" i="2"/>
  <c r="F59" i="2"/>
  <c r="G59" i="2"/>
  <c r="G61" i="2"/>
  <c r="C45" i="28"/>
  <c r="C57" i="28"/>
  <c r="C71" i="28"/>
  <c r="G76" i="19"/>
  <c r="F46" i="28" s="1"/>
  <c r="I70" i="2"/>
  <c r="H72" i="2"/>
  <c r="H74" i="2" s="1"/>
  <c r="H66" i="2"/>
  <c r="H68" i="2" s="1"/>
  <c r="E73" i="12"/>
  <c r="E71" i="12"/>
  <c r="E71" i="28"/>
  <c r="E45" i="28"/>
  <c r="E57" i="28"/>
  <c r="M52" i="12"/>
  <c r="L53" i="19"/>
  <c r="I60" i="28"/>
  <c r="C7" i="12"/>
  <c r="K53" i="19"/>
  <c r="I25" i="21"/>
  <c r="I34" i="21" s="1"/>
  <c r="P65" i="2"/>
  <c r="P67" i="2" s="1"/>
  <c r="O67" i="2"/>
  <c r="P108" i="2"/>
  <c r="P113" i="2"/>
  <c r="P71" i="2"/>
  <c r="P73" i="2" s="1"/>
  <c r="O73" i="2"/>
  <c r="M49" i="19"/>
  <c r="M54" i="19" s="1"/>
  <c r="N47" i="19"/>
  <c r="M55" i="12"/>
  <c r="M42" i="12" s="1"/>
  <c r="J47" i="28"/>
  <c r="M59" i="12"/>
  <c r="M60" i="12"/>
  <c r="M61" i="12" s="1"/>
  <c r="M62" i="12"/>
  <c r="M63" i="12" s="1"/>
  <c r="I49" i="19"/>
  <c r="P81" i="2"/>
  <c r="P83" i="2" s="1"/>
  <c r="C18" i="12"/>
  <c r="C16" i="12"/>
  <c r="D11" i="12"/>
  <c r="M21" i="12"/>
  <c r="L23" i="12"/>
  <c r="L25" i="12"/>
  <c r="L17" i="12"/>
  <c r="L15" i="12"/>
  <c r="M13" i="12"/>
  <c r="M68" i="19"/>
  <c r="L69" i="19"/>
  <c r="L75" i="19"/>
  <c r="L71" i="19"/>
  <c r="N61" i="19"/>
  <c r="N70" i="19"/>
  <c r="M16" i="19"/>
  <c r="N28" i="19"/>
  <c r="N36" i="19" s="1"/>
  <c r="N32" i="19" s="1"/>
  <c r="M36" i="19"/>
  <c r="M32" i="19" s="1"/>
  <c r="G5" i="27"/>
  <c r="E21" i="28"/>
  <c r="C4" i="27"/>
  <c r="D22" i="28" s="1"/>
  <c r="D15" i="27"/>
  <c r="C2" i="27"/>
  <c r="N19" i="21"/>
  <c r="N11" i="21"/>
  <c r="N12" i="21" s="1"/>
  <c r="N15" i="21" s="1"/>
  <c r="L28" i="21"/>
  <c r="L9" i="21" s="1"/>
  <c r="M24" i="21"/>
  <c r="M20" i="21"/>
  <c r="P27" i="2"/>
  <c r="L23" i="21"/>
  <c r="L15" i="19"/>
  <c r="M12" i="19"/>
  <c r="M17" i="19" s="1"/>
  <c r="N23" i="19"/>
  <c r="N9" i="19"/>
  <c r="E40" i="19" l="1"/>
  <c r="G14" i="2" s="1"/>
  <c r="N4" i="2"/>
  <c r="P44" i="2"/>
  <c r="P49" i="2"/>
  <c r="P29" i="2"/>
  <c r="P31" i="2" s="1"/>
  <c r="P33" i="2" s="1"/>
  <c r="P34" i="2"/>
  <c r="P36" i="2" s="1"/>
  <c r="P38" i="2" s="1"/>
  <c r="P39" i="2"/>
  <c r="O41" i="2"/>
  <c r="O43" i="2" s="1"/>
  <c r="O46" i="2"/>
  <c r="O48" i="2" s="1"/>
  <c r="O51" i="2"/>
  <c r="O53" i="2" s="1"/>
  <c r="J95" i="2"/>
  <c r="J97" i="2" s="1"/>
  <c r="J99" i="2" s="1"/>
  <c r="J70" i="2"/>
  <c r="J72" i="2" s="1"/>
  <c r="J74" i="2" s="1"/>
  <c r="H76" i="19"/>
  <c r="G64" i="12" s="1"/>
  <c r="G66" i="12" s="1"/>
  <c r="J90" i="2"/>
  <c r="J92" i="2" s="1"/>
  <c r="J94" i="2" s="1"/>
  <c r="J100" i="2"/>
  <c r="J102" i="2" s="1"/>
  <c r="J104" i="2" s="1"/>
  <c r="J110" i="2"/>
  <c r="J114" i="2" s="1"/>
  <c r="J85" i="2"/>
  <c r="J87" i="2" s="1"/>
  <c r="J89" i="2" s="1"/>
  <c r="J64" i="2"/>
  <c r="J66" i="2" s="1"/>
  <c r="J68" i="2" s="1"/>
  <c r="J105" i="2"/>
  <c r="J107" i="2" s="1"/>
  <c r="J109" i="2" s="1"/>
  <c r="C5" i="12"/>
  <c r="B9" i="30" s="1"/>
  <c r="C35" i="28"/>
  <c r="C51" i="28" s="1"/>
  <c r="C36" i="28"/>
  <c r="E35" i="28"/>
  <c r="E36" i="28"/>
  <c r="D35" i="28"/>
  <c r="D51" i="28" s="1"/>
  <c r="D36" i="28"/>
  <c r="F10" i="2"/>
  <c r="F12" i="2" s="1"/>
  <c r="F16" i="2"/>
  <c r="H60" i="2"/>
  <c r="I102" i="2"/>
  <c r="I104" i="2" s="1"/>
  <c r="I97" i="2"/>
  <c r="I99" i="2" s="1"/>
  <c r="I107" i="2"/>
  <c r="I109" i="2" s="1"/>
  <c r="I87" i="2"/>
  <c r="I89" i="2" s="1"/>
  <c r="C45" i="12"/>
  <c r="D45" i="12" s="1"/>
  <c r="D47" i="12" s="1"/>
  <c r="H62" i="2"/>
  <c r="I92" i="2"/>
  <c r="I94" i="2" s="1"/>
  <c r="O82" i="2"/>
  <c r="O84" i="2" s="1"/>
  <c r="P26" i="2"/>
  <c r="P28" i="2" s="1"/>
  <c r="P21" i="2"/>
  <c r="P23" i="2" s="1"/>
  <c r="O26" i="2"/>
  <c r="O28" i="2" s="1"/>
  <c r="P77" i="2"/>
  <c r="P79" i="2" s="1"/>
  <c r="P80" i="2"/>
  <c r="F64" i="12"/>
  <c r="F66" i="12" s="1"/>
  <c r="F71" i="12"/>
  <c r="F73" i="12"/>
  <c r="I72" i="2"/>
  <c r="I74" i="2" s="1"/>
  <c r="H59" i="2"/>
  <c r="H61" i="2"/>
  <c r="I66" i="2"/>
  <c r="I68" i="2" s="1"/>
  <c r="F45" i="28"/>
  <c r="F57" i="28"/>
  <c r="F71" i="28"/>
  <c r="M53" i="12"/>
  <c r="D7" i="12"/>
  <c r="M50" i="19"/>
  <c r="M55" i="19" s="1"/>
  <c r="L31" i="21"/>
  <c r="J32" i="21"/>
  <c r="J6" i="21" s="1"/>
  <c r="L32" i="21"/>
  <c r="K31" i="21"/>
  <c r="K32" i="21"/>
  <c r="I30" i="21"/>
  <c r="H21" i="27" s="1"/>
  <c r="I21" i="27" s="1"/>
  <c r="J21" i="27" s="1"/>
  <c r="K21" i="27" s="1"/>
  <c r="L21" i="27" s="1"/>
  <c r="I11" i="19"/>
  <c r="J60" i="28"/>
  <c r="I50" i="19"/>
  <c r="I55" i="19" s="1"/>
  <c r="I54" i="19"/>
  <c r="K47" i="28"/>
  <c r="E11" i="12"/>
  <c r="F40" i="19" s="1"/>
  <c r="D3" i="30" s="1"/>
  <c r="D18" i="12"/>
  <c r="D5" i="12" s="1"/>
  <c r="C9" i="30" s="1"/>
  <c r="D16" i="12"/>
  <c r="M31" i="21"/>
  <c r="M32" i="21"/>
  <c r="M22" i="12"/>
  <c r="M23" i="12"/>
  <c r="M24" i="12" s="1"/>
  <c r="M25" i="12"/>
  <c r="M26" i="12" s="1"/>
  <c r="M17" i="12"/>
  <c r="M15" i="12"/>
  <c r="N68" i="19"/>
  <c r="M69" i="19"/>
  <c r="M75" i="19"/>
  <c r="M71" i="19"/>
  <c r="I9" i="21"/>
  <c r="H32" i="27"/>
  <c r="I32" i="27" s="1"/>
  <c r="J32" i="27" s="1"/>
  <c r="K32" i="27" s="1"/>
  <c r="L32" i="27" s="1"/>
  <c r="H5" i="27"/>
  <c r="D4" i="27"/>
  <c r="E22" i="28" s="1"/>
  <c r="E15" i="27"/>
  <c r="D2" i="27"/>
  <c r="M28" i="21"/>
  <c r="M9" i="21" s="1"/>
  <c r="N24" i="21"/>
  <c r="N25" i="21" s="1"/>
  <c r="N30" i="21" s="1"/>
  <c r="N20" i="21"/>
  <c r="M15" i="19"/>
  <c r="M23" i="21"/>
  <c r="E38" i="19" l="1"/>
  <c r="D27" i="12" s="1"/>
  <c r="C3" i="30"/>
  <c r="G8" i="2"/>
  <c r="G10" i="2" s="1"/>
  <c r="G12" i="2" s="1"/>
  <c r="O4" i="2"/>
  <c r="P46" i="2"/>
  <c r="P48" i="2" s="1"/>
  <c r="P41" i="2"/>
  <c r="P43" i="2" s="1"/>
  <c r="P51" i="2"/>
  <c r="P53" i="2" s="1"/>
  <c r="G73" i="12"/>
  <c r="G71" i="12"/>
  <c r="G46" i="28"/>
  <c r="G57" i="28" s="1"/>
  <c r="F6" i="2"/>
  <c r="F35" i="28"/>
  <c r="F36" i="28"/>
  <c r="G16" i="2"/>
  <c r="G18" i="2" s="1"/>
  <c r="F18" i="2"/>
  <c r="F3" i="2" s="1"/>
  <c r="H14" i="2"/>
  <c r="H8" i="2"/>
  <c r="J60" i="2"/>
  <c r="E51" i="28"/>
  <c r="C47" i="12"/>
  <c r="C40" i="12" s="1"/>
  <c r="I60" i="2"/>
  <c r="D40" i="12"/>
  <c r="E45" i="12"/>
  <c r="E47" i="12" s="1"/>
  <c r="P82" i="2"/>
  <c r="P84" i="2" s="1"/>
  <c r="J62" i="2"/>
  <c r="I61" i="2"/>
  <c r="I59" i="2"/>
  <c r="I62" i="2"/>
  <c r="J59" i="2"/>
  <c r="J61" i="2"/>
  <c r="H56" i="12"/>
  <c r="H67" i="12" s="1"/>
  <c r="H69" i="12" s="1"/>
  <c r="M53" i="19"/>
  <c r="E7" i="12"/>
  <c r="L6" i="21"/>
  <c r="I12" i="19"/>
  <c r="I17" i="19" s="1"/>
  <c r="K6" i="21"/>
  <c r="I16" i="19"/>
  <c r="H12" i="12" s="1"/>
  <c r="I12" i="12" s="1"/>
  <c r="J12" i="12" s="1"/>
  <c r="K12" i="12" s="1"/>
  <c r="L12" i="12" s="1"/>
  <c r="I6" i="21"/>
  <c r="K60" i="28"/>
  <c r="L47" i="28"/>
  <c r="N71" i="19"/>
  <c r="I53" i="19"/>
  <c r="G57" i="12"/>
  <c r="H48" i="12"/>
  <c r="H44" i="12" s="1"/>
  <c r="G49" i="12"/>
  <c r="F11" i="12"/>
  <c r="G40" i="19" s="1"/>
  <c r="E3" i="30" s="1"/>
  <c r="E16" i="12"/>
  <c r="E18" i="12"/>
  <c r="E5" i="12" s="1"/>
  <c r="D9" i="30" s="1"/>
  <c r="H8" i="21"/>
  <c r="G21" i="28" s="1"/>
  <c r="N69" i="19"/>
  <c r="N75" i="19"/>
  <c r="N34" i="21"/>
  <c r="N11" i="19"/>
  <c r="F39" i="19"/>
  <c r="E31" i="19"/>
  <c r="D30" i="12" s="1"/>
  <c r="I5" i="27"/>
  <c r="D27" i="21"/>
  <c r="E4" i="27"/>
  <c r="F22" i="28" s="1"/>
  <c r="F15" i="27"/>
  <c r="E2" i="27"/>
  <c r="E27" i="21"/>
  <c r="E37" i="19"/>
  <c r="E35" i="21"/>
  <c r="E36" i="21" s="1"/>
  <c r="D31" i="19"/>
  <c r="C32" i="12" s="1"/>
  <c r="D37" i="19"/>
  <c r="D35" i="21"/>
  <c r="D36" i="21" s="1"/>
  <c r="N28" i="21"/>
  <c r="N23" i="21"/>
  <c r="N26" i="21"/>
  <c r="P4" i="2" l="1"/>
  <c r="G45" i="28"/>
  <c r="G35" i="28" s="1"/>
  <c r="G51" i="28" s="1"/>
  <c r="G71" i="28"/>
  <c r="G36" i="28"/>
  <c r="I8" i="2"/>
  <c r="I14" i="2"/>
  <c r="G5" i="2"/>
  <c r="H10" i="2"/>
  <c r="H12" i="2" s="1"/>
  <c r="H16" i="2"/>
  <c r="H18" i="2" s="1"/>
  <c r="F5" i="2"/>
  <c r="E40" i="12"/>
  <c r="F45" i="12"/>
  <c r="F47" i="12" s="1"/>
  <c r="F51" i="28"/>
  <c r="I56" i="12"/>
  <c r="I67" i="12" s="1"/>
  <c r="I69" i="12" s="1"/>
  <c r="I79" i="19"/>
  <c r="I77" i="19" s="1"/>
  <c r="I48" i="12"/>
  <c r="I44" i="12" s="1"/>
  <c r="I78" i="19"/>
  <c r="F33" i="19"/>
  <c r="F38" i="19"/>
  <c r="E27" i="12" s="1"/>
  <c r="E29" i="12" s="1"/>
  <c r="F7" i="12"/>
  <c r="H19" i="12"/>
  <c r="G20" i="12"/>
  <c r="G38" i="12" s="1"/>
  <c r="I15" i="19"/>
  <c r="L60" i="28"/>
  <c r="N49" i="19"/>
  <c r="G75" i="12"/>
  <c r="H57" i="12"/>
  <c r="I57" i="12" s="1"/>
  <c r="G61" i="12"/>
  <c r="G63" i="12"/>
  <c r="G59" i="12"/>
  <c r="G51" i="12"/>
  <c r="G55" i="12"/>
  <c r="G53" i="12"/>
  <c r="H49" i="12"/>
  <c r="D10" i="21"/>
  <c r="E10" i="21"/>
  <c r="G11" i="12"/>
  <c r="H40" i="19" s="1"/>
  <c r="F3" i="30" s="1"/>
  <c r="F18" i="12"/>
  <c r="F5" i="12" s="1"/>
  <c r="E9" i="30" s="1"/>
  <c r="F16" i="12"/>
  <c r="N9" i="21"/>
  <c r="I8" i="21"/>
  <c r="H21" i="28" s="1"/>
  <c r="C34" i="12"/>
  <c r="D34" i="12"/>
  <c r="G14" i="12"/>
  <c r="N12" i="19"/>
  <c r="N17" i="19" s="1"/>
  <c r="N16" i="19"/>
  <c r="M12" i="12" s="1"/>
  <c r="M38" i="12" s="1"/>
  <c r="F27" i="21"/>
  <c r="F35" i="21"/>
  <c r="F36" i="21" s="1"/>
  <c r="F37" i="19"/>
  <c r="F31" i="19"/>
  <c r="E30" i="12" s="1"/>
  <c r="E32" i="12" s="1"/>
  <c r="J5" i="27"/>
  <c r="D36" i="12"/>
  <c r="D15" i="28"/>
  <c r="C15" i="28"/>
  <c r="C36" i="12"/>
  <c r="D7" i="21"/>
  <c r="C16" i="28" s="1"/>
  <c r="F4" i="27"/>
  <c r="G22" i="28" s="1"/>
  <c r="G15" i="27"/>
  <c r="D29" i="21"/>
  <c r="D5" i="21"/>
  <c r="E5" i="21" s="1"/>
  <c r="D4" i="21"/>
  <c r="D32" i="12"/>
  <c r="D29" i="12"/>
  <c r="E29" i="21"/>
  <c r="E7" i="21"/>
  <c r="D16" i="28" s="1"/>
  <c r="E4" i="21"/>
  <c r="L25" i="27"/>
  <c r="N32" i="21"/>
  <c r="N31" i="21"/>
  <c r="G4" i="30" l="1"/>
  <c r="G42" i="12"/>
  <c r="F10" i="30" s="1"/>
  <c r="G38" i="19"/>
  <c r="F27" i="12" s="1"/>
  <c r="F29" i="12" s="1"/>
  <c r="G39" i="19"/>
  <c r="H5" i="2"/>
  <c r="H3" i="2"/>
  <c r="J8" i="2"/>
  <c r="J14" i="2"/>
  <c r="H6" i="2"/>
  <c r="I16" i="2"/>
  <c r="I18" i="2" s="1"/>
  <c r="I10" i="2"/>
  <c r="I12" i="2" s="1"/>
  <c r="G45" i="12"/>
  <c r="G47" i="12" s="1"/>
  <c r="F40" i="12"/>
  <c r="K64" i="2"/>
  <c r="K110" i="2"/>
  <c r="K114" i="2" s="1"/>
  <c r="K105" i="2"/>
  <c r="K95" i="2"/>
  <c r="K90" i="2"/>
  <c r="K85" i="2"/>
  <c r="K100" i="2"/>
  <c r="I76" i="19"/>
  <c r="H46" i="28" s="1"/>
  <c r="H57" i="28" s="1"/>
  <c r="K70" i="2"/>
  <c r="J48" i="12"/>
  <c r="J44" i="12" s="1"/>
  <c r="J78" i="19"/>
  <c r="J56" i="12"/>
  <c r="J67" i="12" s="1"/>
  <c r="J69" i="12" s="1"/>
  <c r="J79" i="19"/>
  <c r="J77" i="19" s="1"/>
  <c r="I19" i="12"/>
  <c r="I41" i="19"/>
  <c r="G7" i="12"/>
  <c r="H20" i="12"/>
  <c r="G22" i="12"/>
  <c r="F9" i="27" s="1"/>
  <c r="F2" i="27" s="1"/>
  <c r="G26" i="12"/>
  <c r="G24" i="12"/>
  <c r="D29" i="28"/>
  <c r="D54" i="28" s="1"/>
  <c r="G31" i="19"/>
  <c r="G33" i="19"/>
  <c r="C70" i="28"/>
  <c r="D26" i="28"/>
  <c r="D70" i="28"/>
  <c r="C29" i="28"/>
  <c r="C26" i="28"/>
  <c r="I59" i="12"/>
  <c r="I63" i="12"/>
  <c r="I61" i="12"/>
  <c r="N50" i="19"/>
  <c r="N55" i="19" s="1"/>
  <c r="N54" i="19"/>
  <c r="H59" i="12"/>
  <c r="H63" i="12"/>
  <c r="H75" i="12"/>
  <c r="H61" i="12"/>
  <c r="H55" i="12"/>
  <c r="H51" i="12"/>
  <c r="I49" i="12"/>
  <c r="H53" i="12"/>
  <c r="J57" i="12"/>
  <c r="K57" i="12" s="1"/>
  <c r="F10" i="21"/>
  <c r="H11" i="12"/>
  <c r="I40" i="19" s="1"/>
  <c r="G18" i="12"/>
  <c r="G16" i="12"/>
  <c r="J8" i="21"/>
  <c r="I21" i="28" s="1"/>
  <c r="E34" i="12"/>
  <c r="G37" i="19"/>
  <c r="G35" i="21"/>
  <c r="G36" i="21" s="1"/>
  <c r="G27" i="21"/>
  <c r="H39" i="19"/>
  <c r="F5" i="21"/>
  <c r="H14" i="12"/>
  <c r="N15" i="19"/>
  <c r="E36" i="12"/>
  <c r="F4" i="21"/>
  <c r="F29" i="21"/>
  <c r="F7" i="21"/>
  <c r="E16" i="28" s="1"/>
  <c r="E15" i="28"/>
  <c r="K5" i="27"/>
  <c r="G4" i="27"/>
  <c r="H22" i="28" s="1"/>
  <c r="H15" i="27"/>
  <c r="C14" i="28"/>
  <c r="C4" i="28" s="1"/>
  <c r="C20" i="28" s="1"/>
  <c r="D14" i="28"/>
  <c r="D4" i="28" s="1"/>
  <c r="N8" i="21"/>
  <c r="N6" i="21"/>
  <c r="M6" i="21"/>
  <c r="H42" i="12" l="1"/>
  <c r="G10" i="30" s="1"/>
  <c r="H4" i="30"/>
  <c r="F30" i="12"/>
  <c r="F32" i="12" s="1"/>
  <c r="G3" i="30"/>
  <c r="G5" i="12"/>
  <c r="F9" i="30" s="1"/>
  <c r="D5" i="28"/>
  <c r="I6" i="2"/>
  <c r="C5" i="28"/>
  <c r="C23" i="28" s="1"/>
  <c r="C30" i="28" s="1"/>
  <c r="K14" i="2"/>
  <c r="K8" i="2"/>
  <c r="I3" i="2"/>
  <c r="I5" i="2"/>
  <c r="J16" i="2"/>
  <c r="J18" i="2" s="1"/>
  <c r="J10" i="2"/>
  <c r="J12" i="2" s="1"/>
  <c r="G40" i="12"/>
  <c r="K92" i="2"/>
  <c r="K94" i="2" s="1"/>
  <c r="K107" i="2"/>
  <c r="K109" i="2" s="1"/>
  <c r="L64" i="2"/>
  <c r="L85" i="2"/>
  <c r="L90" i="2"/>
  <c r="L110" i="2"/>
  <c r="L114" i="2" s="1"/>
  <c r="L100" i="2"/>
  <c r="L95" i="2"/>
  <c r="L105" i="2"/>
  <c r="K97" i="2"/>
  <c r="K99" i="2" s="1"/>
  <c r="K102" i="2"/>
  <c r="K104" i="2" s="1"/>
  <c r="K87" i="2"/>
  <c r="K89" i="2" s="1"/>
  <c r="K66" i="2"/>
  <c r="J76" i="19"/>
  <c r="I46" i="28" s="1"/>
  <c r="I57" i="28" s="1"/>
  <c r="L70" i="2"/>
  <c r="K72" i="2"/>
  <c r="K74" i="2" s="1"/>
  <c r="H71" i="12"/>
  <c r="H73" i="12"/>
  <c r="H64" i="12"/>
  <c r="H66" i="12" s="1"/>
  <c r="H45" i="28"/>
  <c r="H71" i="28"/>
  <c r="K56" i="12"/>
  <c r="K67" i="12" s="1"/>
  <c r="K69" i="12" s="1"/>
  <c r="K79" i="19"/>
  <c r="K77" i="19" s="1"/>
  <c r="K48" i="12"/>
  <c r="K44" i="12" s="1"/>
  <c r="K78" i="19"/>
  <c r="H33" i="19"/>
  <c r="H38" i="19"/>
  <c r="G27" i="12" s="1"/>
  <c r="J19" i="12"/>
  <c r="J41" i="19"/>
  <c r="G9" i="27"/>
  <c r="H9" i="27" s="1"/>
  <c r="H38" i="12"/>
  <c r="H7" i="12"/>
  <c r="I20" i="12"/>
  <c r="I38" i="12" s="1"/>
  <c r="H26" i="12"/>
  <c r="H22" i="12"/>
  <c r="G10" i="27" s="1"/>
  <c r="H10" i="27" s="1"/>
  <c r="I10" i="27" s="1"/>
  <c r="J10" i="27" s="1"/>
  <c r="K10" i="27" s="1"/>
  <c r="L10" i="27" s="1"/>
  <c r="H24" i="12"/>
  <c r="E29" i="28"/>
  <c r="E54" i="28" s="1"/>
  <c r="F3" i="27"/>
  <c r="G19" i="28" s="1"/>
  <c r="E26" i="28"/>
  <c r="E70" i="28"/>
  <c r="C54" i="28"/>
  <c r="K63" i="12"/>
  <c r="K61" i="12"/>
  <c r="K59" i="12"/>
  <c r="J61" i="12"/>
  <c r="J63" i="12"/>
  <c r="J59" i="12"/>
  <c r="I55" i="12"/>
  <c r="I42" i="12" s="1"/>
  <c r="H10" i="30" s="1"/>
  <c r="J49" i="12"/>
  <c r="I53" i="12"/>
  <c r="I51" i="12"/>
  <c r="N53" i="19"/>
  <c r="L57" i="12"/>
  <c r="I75" i="12"/>
  <c r="G10" i="21"/>
  <c r="I11" i="12"/>
  <c r="J40" i="19" s="1"/>
  <c r="H16" i="12"/>
  <c r="H18" i="12"/>
  <c r="K8" i="21"/>
  <c r="J21" i="28" s="1"/>
  <c r="F15" i="28"/>
  <c r="F36" i="12"/>
  <c r="F34" i="12"/>
  <c r="G7" i="21"/>
  <c r="F16" i="28" s="1"/>
  <c r="G29" i="21"/>
  <c r="G4" i="21"/>
  <c r="G5" i="21"/>
  <c r="I39" i="19"/>
  <c r="H31" i="19"/>
  <c r="G30" i="12" s="1"/>
  <c r="G32" i="12" s="1"/>
  <c r="I14" i="12"/>
  <c r="E14" i="28"/>
  <c r="E5" i="28" s="1"/>
  <c r="L5" i="27"/>
  <c r="I15" i="27"/>
  <c r="H4" i="27"/>
  <c r="I22" i="28" s="1"/>
  <c r="I4" i="30" l="1"/>
  <c r="H3" i="30"/>
  <c r="H5" i="12"/>
  <c r="G9" i="30" s="1"/>
  <c r="H35" i="28"/>
  <c r="H36" i="28"/>
  <c r="K16" i="2"/>
  <c r="K18" i="2" s="1"/>
  <c r="K10" i="2"/>
  <c r="K12" i="2" s="1"/>
  <c r="L14" i="2"/>
  <c r="L8" i="2"/>
  <c r="J5" i="2"/>
  <c r="J3" i="2"/>
  <c r="J6" i="2"/>
  <c r="L87" i="2"/>
  <c r="L89" i="2" s="1"/>
  <c r="K60" i="2"/>
  <c r="K62" i="2"/>
  <c r="M64" i="2"/>
  <c r="M90" i="2"/>
  <c r="M95" i="2"/>
  <c r="M100" i="2"/>
  <c r="M105" i="2"/>
  <c r="M85" i="2"/>
  <c r="M110" i="2"/>
  <c r="M114" i="2" s="1"/>
  <c r="L107" i="2"/>
  <c r="L109" i="2" s="1"/>
  <c r="L97" i="2"/>
  <c r="L99" i="2" s="1"/>
  <c r="L102" i="2"/>
  <c r="L104" i="2" s="1"/>
  <c r="L92" i="2"/>
  <c r="L94" i="2" s="1"/>
  <c r="K68" i="2"/>
  <c r="K59" i="2" s="1"/>
  <c r="I73" i="12"/>
  <c r="I71" i="12"/>
  <c r="I64" i="12"/>
  <c r="I66" i="12" s="1"/>
  <c r="K76" i="19"/>
  <c r="J64" i="12" s="1"/>
  <c r="J66" i="12" s="1"/>
  <c r="M70" i="2"/>
  <c r="L72" i="2"/>
  <c r="L74" i="2" s="1"/>
  <c r="L66" i="2"/>
  <c r="L68" i="2" s="1"/>
  <c r="I45" i="28"/>
  <c r="I71" i="28"/>
  <c r="L48" i="12"/>
  <c r="L44" i="12" s="1"/>
  <c r="L78" i="19"/>
  <c r="J20" i="12"/>
  <c r="J38" i="12" s="1"/>
  <c r="L79" i="19"/>
  <c r="L77" i="19" s="1"/>
  <c r="L56" i="12"/>
  <c r="L67" i="12" s="1"/>
  <c r="L69" i="12" s="1"/>
  <c r="I33" i="19"/>
  <c r="I38" i="19"/>
  <c r="H27" i="12" s="1"/>
  <c r="K19" i="12"/>
  <c r="K41" i="19"/>
  <c r="G2" i="27"/>
  <c r="I7" i="12"/>
  <c r="I22" i="12"/>
  <c r="H11" i="27" s="1"/>
  <c r="I26" i="12"/>
  <c r="I24" i="12"/>
  <c r="E4" i="28"/>
  <c r="E20" i="28" s="1"/>
  <c r="E9" i="28" s="1"/>
  <c r="F29" i="28"/>
  <c r="F54" i="28" s="1"/>
  <c r="G3" i="27"/>
  <c r="H19" i="28" s="1"/>
  <c r="F26" i="28"/>
  <c r="F70" i="28"/>
  <c r="J55" i="12"/>
  <c r="J42" i="12" s="1"/>
  <c r="I10" i="30" s="1"/>
  <c r="J51" i="12"/>
  <c r="K49" i="12"/>
  <c r="J53" i="12"/>
  <c r="J75" i="12"/>
  <c r="L63" i="12"/>
  <c r="L59" i="12"/>
  <c r="L61" i="12"/>
  <c r="J11" i="12"/>
  <c r="I18" i="12"/>
  <c r="I16" i="12"/>
  <c r="L8" i="21"/>
  <c r="K21" i="28" s="1"/>
  <c r="F14" i="28"/>
  <c r="F4" i="28" s="1"/>
  <c r="G36" i="12"/>
  <c r="G15" i="28"/>
  <c r="G34" i="12"/>
  <c r="J39" i="19"/>
  <c r="I31" i="19"/>
  <c r="H30" i="12" s="1"/>
  <c r="H32" i="12" s="1"/>
  <c r="I9" i="27"/>
  <c r="J14" i="12"/>
  <c r="E23" i="28"/>
  <c r="E30" i="28" s="1"/>
  <c r="J15" i="27"/>
  <c r="I4" i="27"/>
  <c r="J22" i="28" s="1"/>
  <c r="C9" i="28"/>
  <c r="C11" i="28" s="1"/>
  <c r="C33" i="28" s="1"/>
  <c r="C8" i="12"/>
  <c r="J4" i="30" l="1"/>
  <c r="I5" i="12"/>
  <c r="H9" i="30" s="1"/>
  <c r="K61" i="2"/>
  <c r="H51" i="28" s="1"/>
  <c r="F5" i="28"/>
  <c r="F23" i="28" s="1"/>
  <c r="F30" i="28" s="1"/>
  <c r="I35" i="28"/>
  <c r="I36" i="28"/>
  <c r="K5" i="2"/>
  <c r="K3" i="2"/>
  <c r="K40" i="19"/>
  <c r="I3" i="30" s="1"/>
  <c r="K11" i="12"/>
  <c r="L40" i="19" s="1"/>
  <c r="L10" i="2"/>
  <c r="L12" i="2" s="1"/>
  <c r="L16" i="2"/>
  <c r="L18" i="2" s="1"/>
  <c r="K6" i="2"/>
  <c r="L60" i="2"/>
  <c r="N90" i="2"/>
  <c r="N64" i="2"/>
  <c r="N100" i="2"/>
  <c r="N105" i="2"/>
  <c r="N110" i="2"/>
  <c r="N114" i="2" s="1"/>
  <c r="N85" i="2"/>
  <c r="N95" i="2"/>
  <c r="M87" i="2"/>
  <c r="M89" i="2" s="1"/>
  <c r="M107" i="2"/>
  <c r="M109" i="2" s="1"/>
  <c r="M102" i="2"/>
  <c r="M104" i="2" s="1"/>
  <c r="M97" i="2"/>
  <c r="M99" i="2" s="1"/>
  <c r="M92" i="2"/>
  <c r="M94" i="2" s="1"/>
  <c r="H45" i="12"/>
  <c r="H47" i="12" s="1"/>
  <c r="H40" i="12" s="1"/>
  <c r="J71" i="12"/>
  <c r="J73" i="12"/>
  <c r="L76" i="19"/>
  <c r="K73" i="12" s="1"/>
  <c r="N70" i="2"/>
  <c r="L62" i="2"/>
  <c r="M72" i="2"/>
  <c r="J46" i="28"/>
  <c r="J71" i="28" s="1"/>
  <c r="L61" i="2"/>
  <c r="L59" i="2"/>
  <c r="M66" i="2"/>
  <c r="M68" i="2" s="1"/>
  <c r="J24" i="12"/>
  <c r="K20" i="12"/>
  <c r="L20" i="12" s="1"/>
  <c r="L26" i="12" s="1"/>
  <c r="J22" i="12"/>
  <c r="I12" i="27" s="1"/>
  <c r="J12" i="27" s="1"/>
  <c r="K12" i="27" s="1"/>
  <c r="L12" i="27" s="1"/>
  <c r="J26" i="12"/>
  <c r="M79" i="19"/>
  <c r="M77" i="19" s="1"/>
  <c r="M56" i="12"/>
  <c r="M78" i="19"/>
  <c r="M48" i="12"/>
  <c r="J33" i="19"/>
  <c r="J38" i="19"/>
  <c r="I27" i="12" s="1"/>
  <c r="L19" i="12"/>
  <c r="L41" i="19"/>
  <c r="I11" i="27"/>
  <c r="J11" i="27" s="1"/>
  <c r="K11" i="27" s="1"/>
  <c r="L11" i="27" s="1"/>
  <c r="H2" i="27"/>
  <c r="H3" i="27"/>
  <c r="I19" i="28" s="1"/>
  <c r="J7" i="12"/>
  <c r="F20" i="28"/>
  <c r="F9" i="28" s="1"/>
  <c r="G26" i="28"/>
  <c r="G70" i="28"/>
  <c r="K51" i="12"/>
  <c r="K53" i="12"/>
  <c r="K55" i="12"/>
  <c r="K42" i="12" s="1"/>
  <c r="J10" i="30" s="1"/>
  <c r="L49" i="12"/>
  <c r="K75" i="12"/>
  <c r="J16" i="12"/>
  <c r="J18" i="12"/>
  <c r="M8" i="21"/>
  <c r="L21" i="28" s="1"/>
  <c r="H36" i="12"/>
  <c r="H15" i="28"/>
  <c r="H34" i="12"/>
  <c r="K39" i="19"/>
  <c r="J31" i="19"/>
  <c r="I30" i="12" s="1"/>
  <c r="I32" i="12" s="1"/>
  <c r="K14" i="12"/>
  <c r="J9" i="27"/>
  <c r="K15" i="27"/>
  <c r="J4" i="27"/>
  <c r="K22" i="28" s="1"/>
  <c r="C10" i="12"/>
  <c r="C3" i="12" s="1"/>
  <c r="N78" i="19" l="1"/>
  <c r="N76" i="19" s="1"/>
  <c r="M73" i="12" s="1"/>
  <c r="M44" i="12"/>
  <c r="J3" i="30"/>
  <c r="K4" i="30"/>
  <c r="J5" i="12"/>
  <c r="I9" i="30" s="1"/>
  <c r="L5" i="2"/>
  <c r="L3" i="2"/>
  <c r="L6" i="2"/>
  <c r="M8" i="2"/>
  <c r="M14" i="2"/>
  <c r="N8" i="2"/>
  <c r="N14" i="2"/>
  <c r="I51" i="28"/>
  <c r="M60" i="2"/>
  <c r="I45" i="12"/>
  <c r="I47" i="12" s="1"/>
  <c r="I40" i="12" s="1"/>
  <c r="N97" i="2"/>
  <c r="N99" i="2" s="1"/>
  <c r="N87" i="2"/>
  <c r="N89" i="2" s="1"/>
  <c r="O64" i="2"/>
  <c r="O100" i="2"/>
  <c r="O95" i="2"/>
  <c r="O105" i="2"/>
  <c r="O110" i="2"/>
  <c r="O114" i="2" s="1"/>
  <c r="O85" i="2"/>
  <c r="O90" i="2"/>
  <c r="N107" i="2"/>
  <c r="N109" i="2" s="1"/>
  <c r="N102" i="2"/>
  <c r="N104" i="2" s="1"/>
  <c r="N92" i="2"/>
  <c r="N94" i="2" s="1"/>
  <c r="J57" i="28"/>
  <c r="J45" i="28"/>
  <c r="K64" i="12"/>
  <c r="K66" i="12" s="1"/>
  <c r="K46" i="28"/>
  <c r="K71" i="28" s="1"/>
  <c r="M62" i="2"/>
  <c r="N72" i="2"/>
  <c r="M76" i="19"/>
  <c r="L64" i="12" s="1"/>
  <c r="L66" i="12" s="1"/>
  <c r="O70" i="2"/>
  <c r="M74" i="2"/>
  <c r="M59" i="2" s="1"/>
  <c r="K71" i="12"/>
  <c r="N66" i="2"/>
  <c r="N68" i="2" s="1"/>
  <c r="K22" i="12"/>
  <c r="J13" i="27" s="1"/>
  <c r="K24" i="12"/>
  <c r="L24" i="12"/>
  <c r="N79" i="19"/>
  <c r="N77" i="19" s="1"/>
  <c r="M67" i="12"/>
  <c r="M69" i="12" s="1"/>
  <c r="K38" i="12"/>
  <c r="L22" i="12"/>
  <c r="K26" i="12"/>
  <c r="K33" i="19"/>
  <c r="K38" i="19"/>
  <c r="J27" i="12" s="1"/>
  <c r="I3" i="27"/>
  <c r="J19" i="28" s="1"/>
  <c r="M41" i="19"/>
  <c r="M19" i="12"/>
  <c r="N41" i="19" s="1"/>
  <c r="K7" i="12"/>
  <c r="I2" i="27"/>
  <c r="H26" i="28"/>
  <c r="H70" i="28"/>
  <c r="L51" i="12"/>
  <c r="L55" i="12"/>
  <c r="L42" i="12" s="1"/>
  <c r="K10" i="30" s="1"/>
  <c r="L53" i="12"/>
  <c r="L75" i="12"/>
  <c r="L11" i="12"/>
  <c r="M40" i="19" s="1"/>
  <c r="K16" i="12"/>
  <c r="K18" i="12"/>
  <c r="I15" i="28"/>
  <c r="I36" i="12"/>
  <c r="I34" i="12"/>
  <c r="L39" i="19"/>
  <c r="K31" i="19"/>
  <c r="J30" i="12" s="1"/>
  <c r="J32" i="12" s="1"/>
  <c r="K9" i="27"/>
  <c r="L14" i="12"/>
  <c r="L38" i="12"/>
  <c r="L15" i="27"/>
  <c r="K4" i="27"/>
  <c r="L22" i="28" s="1"/>
  <c r="K3" i="30" l="1"/>
  <c r="K5" i="12"/>
  <c r="J9" i="30" s="1"/>
  <c r="P85" i="2"/>
  <c r="P87" i="2" s="1"/>
  <c r="P89" i="2" s="1"/>
  <c r="P100" i="2"/>
  <c r="P102" i="2" s="1"/>
  <c r="P104" i="2" s="1"/>
  <c r="P95" i="2"/>
  <c r="P97" i="2" s="1"/>
  <c r="P99" i="2" s="1"/>
  <c r="P64" i="2"/>
  <c r="P66" i="2" s="1"/>
  <c r="P68" i="2" s="1"/>
  <c r="P90" i="2"/>
  <c r="P92" i="2" s="1"/>
  <c r="P94" i="2" s="1"/>
  <c r="P110" i="2"/>
  <c r="P114" i="2" s="1"/>
  <c r="M61" i="2"/>
  <c r="P70" i="2"/>
  <c r="P72" i="2" s="1"/>
  <c r="N62" i="2"/>
  <c r="K45" i="12" s="1"/>
  <c r="K47" i="12" s="1"/>
  <c r="J35" i="28"/>
  <c r="J36" i="28"/>
  <c r="P105" i="2"/>
  <c r="P107" i="2" s="1"/>
  <c r="P109" i="2" s="1"/>
  <c r="M10" i="2"/>
  <c r="M12" i="2" s="1"/>
  <c r="M16" i="2"/>
  <c r="M18" i="2" s="1"/>
  <c r="N10" i="2"/>
  <c r="N12" i="2" s="1"/>
  <c r="N16" i="2"/>
  <c r="O8" i="2"/>
  <c r="O14" i="2"/>
  <c r="K14" i="27"/>
  <c r="L14" i="27" s="1"/>
  <c r="O107" i="2"/>
  <c r="O109" i="2" s="1"/>
  <c r="O97" i="2"/>
  <c r="O99" i="2" s="1"/>
  <c r="J45" i="12"/>
  <c r="J47" i="12" s="1"/>
  <c r="J40" i="12" s="1"/>
  <c r="O102" i="2"/>
  <c r="O104" i="2" s="1"/>
  <c r="N60" i="2"/>
  <c r="O92" i="2"/>
  <c r="O94" i="2" s="1"/>
  <c r="O87" i="2"/>
  <c r="O89" i="2" s="1"/>
  <c r="K45" i="28"/>
  <c r="M71" i="12"/>
  <c r="K57" i="28"/>
  <c r="N74" i="2"/>
  <c r="N59" i="2" s="1"/>
  <c r="M64" i="12"/>
  <c r="M66" i="12" s="1"/>
  <c r="O72" i="2"/>
  <c r="O74" i="2" s="1"/>
  <c r="L71" i="12"/>
  <c r="L46" i="28"/>
  <c r="L73" i="12"/>
  <c r="O66" i="2"/>
  <c r="O68" i="2" s="1"/>
  <c r="K13" i="27"/>
  <c r="L13" i="27" s="1"/>
  <c r="J3" i="27"/>
  <c r="K19" i="28" s="1"/>
  <c r="J2" i="27"/>
  <c r="L33" i="19"/>
  <c r="L38" i="19"/>
  <c r="K27" i="12" s="1"/>
  <c r="L7" i="12"/>
  <c r="I26" i="28"/>
  <c r="I70" i="28"/>
  <c r="M11" i="12"/>
  <c r="N40" i="19" s="1"/>
  <c r="L16" i="12"/>
  <c r="L18" i="12"/>
  <c r="L5" i="12" s="1"/>
  <c r="K9" i="30" s="1"/>
  <c r="J34" i="12"/>
  <c r="J15" i="28"/>
  <c r="J36" i="12"/>
  <c r="M39" i="19"/>
  <c r="L31" i="19"/>
  <c r="K30" i="12" s="1"/>
  <c r="L9" i="27"/>
  <c r="L4" i="27"/>
  <c r="L45" i="28" l="1"/>
  <c r="L35" i="28" s="1"/>
  <c r="L71" i="28"/>
  <c r="K32" i="12"/>
  <c r="N61" i="2"/>
  <c r="M6" i="2"/>
  <c r="J51" i="28"/>
  <c r="K35" i="28"/>
  <c r="K36" i="28"/>
  <c r="O60" i="2"/>
  <c r="L36" i="28"/>
  <c r="M5" i="2"/>
  <c r="M3" i="2"/>
  <c r="N6" i="2"/>
  <c r="K8" i="12" s="1"/>
  <c r="K10" i="12" s="1"/>
  <c r="N18" i="2"/>
  <c r="N5" i="2" s="1"/>
  <c r="O16" i="2"/>
  <c r="O18" i="2" s="1"/>
  <c r="O10" i="2"/>
  <c r="O12" i="2" s="1"/>
  <c r="P8" i="2"/>
  <c r="P14" i="2"/>
  <c r="K40" i="12"/>
  <c r="P60" i="2"/>
  <c r="O62" i="2"/>
  <c r="P62" i="2"/>
  <c r="L57" i="28"/>
  <c r="P74" i="2"/>
  <c r="P61" i="2" s="1"/>
  <c r="O59" i="2"/>
  <c r="O61" i="2"/>
  <c r="K3" i="27"/>
  <c r="L19" i="28" s="1"/>
  <c r="K2" i="27"/>
  <c r="M33" i="19"/>
  <c r="M38" i="19"/>
  <c r="L27" i="12" s="1"/>
  <c r="L3" i="27"/>
  <c r="M7" i="12"/>
  <c r="J26" i="28"/>
  <c r="J70" i="28"/>
  <c r="M18" i="12"/>
  <c r="M5" i="12" s="1"/>
  <c r="M16" i="12"/>
  <c r="K15" i="28"/>
  <c r="K36" i="12"/>
  <c r="K34" i="12"/>
  <c r="N39" i="19"/>
  <c r="M31" i="19"/>
  <c r="L30" i="12" s="1"/>
  <c r="L2" i="27"/>
  <c r="L32" i="12" l="1"/>
  <c r="K51" i="28"/>
  <c r="L51" i="28"/>
  <c r="O6" i="2"/>
  <c r="L8" i="12" s="1"/>
  <c r="N3" i="2"/>
  <c r="O3" i="2"/>
  <c r="O5" i="2"/>
  <c r="P16" i="2"/>
  <c r="P18" i="2" s="1"/>
  <c r="P10" i="2"/>
  <c r="P12" i="2" s="1"/>
  <c r="L45" i="12"/>
  <c r="M45" i="12" s="1"/>
  <c r="M47" i="12" s="1"/>
  <c r="M40" i="12" s="1"/>
  <c r="P59" i="2"/>
  <c r="N33" i="19"/>
  <c r="N38" i="19"/>
  <c r="M27" i="12" s="1"/>
  <c r="K26" i="28"/>
  <c r="K70" i="28"/>
  <c r="L36" i="12"/>
  <c r="L34" i="12"/>
  <c r="L15" i="28"/>
  <c r="L70" i="28" s="1"/>
  <c r="N31" i="19"/>
  <c r="M30" i="12" l="1"/>
  <c r="M32" i="12" s="1"/>
  <c r="P6" i="2"/>
  <c r="M8" i="12" s="1"/>
  <c r="P3" i="2"/>
  <c r="P5" i="2"/>
  <c r="L47" i="12"/>
  <c r="L40" i="12" s="1"/>
  <c r="B40" i="12" s="1"/>
  <c r="L26" i="28"/>
  <c r="M34" i="12"/>
  <c r="M36" i="12"/>
  <c r="L10" i="12" l="1"/>
  <c r="M10" i="12"/>
  <c r="H35" i="21"/>
  <c r="H36" i="21" s="1"/>
  <c r="H27" i="21"/>
  <c r="H37" i="19"/>
  <c r="H10" i="21" l="1"/>
  <c r="H4" i="21"/>
  <c r="H5" i="21"/>
  <c r="H7" i="21"/>
  <c r="G16" i="28" s="1"/>
  <c r="H29" i="21"/>
  <c r="G29" i="12"/>
  <c r="N35" i="21"/>
  <c r="N36" i="21" s="1"/>
  <c r="K35" i="21"/>
  <c r="K36" i="21" s="1"/>
  <c r="M35" i="21"/>
  <c r="M36" i="21" s="1"/>
  <c r="I27" i="21"/>
  <c r="N27" i="21"/>
  <c r="K27" i="21"/>
  <c r="I35" i="21"/>
  <c r="I36" i="21" s="1"/>
  <c r="N37" i="19"/>
  <c r="J35" i="21"/>
  <c r="J36" i="21" s="1"/>
  <c r="M27" i="21"/>
  <c r="K37" i="19"/>
  <c r="I37" i="19"/>
  <c r="L27" i="21"/>
  <c r="M29" i="12"/>
  <c r="L35" i="21"/>
  <c r="L36" i="21" s="1"/>
  <c r="M37" i="19"/>
  <c r="L29" i="12"/>
  <c r="J37" i="19"/>
  <c r="J27" i="21"/>
  <c r="K29" i="12"/>
  <c r="L37" i="19"/>
  <c r="G29" i="28" l="1"/>
  <c r="G54" i="28" s="1"/>
  <c r="J10" i="21"/>
  <c r="K10" i="21"/>
  <c r="N10" i="21"/>
  <c r="I10" i="21"/>
  <c r="L10" i="21"/>
  <c r="M10" i="21"/>
  <c r="G14" i="28"/>
  <c r="G4" i="28" s="1"/>
  <c r="J4" i="21"/>
  <c r="K4" i="21"/>
  <c r="N4" i="21"/>
  <c r="I5" i="21"/>
  <c r="J5" i="21" s="1"/>
  <c r="K5" i="21" s="1"/>
  <c r="L5" i="21" s="1"/>
  <c r="M5" i="21" s="1"/>
  <c r="N5" i="21" s="1"/>
  <c r="I4" i="21"/>
  <c r="L4" i="21"/>
  <c r="M4" i="21"/>
  <c r="M7" i="21"/>
  <c r="L16" i="28" s="1"/>
  <c r="K7" i="21"/>
  <c r="J16" i="28" s="1"/>
  <c r="N7" i="21"/>
  <c r="I7" i="21"/>
  <c r="H16" i="28" s="1"/>
  <c r="J7" i="21"/>
  <c r="I16" i="28" s="1"/>
  <c r="L7" i="21"/>
  <c r="K16" i="28" s="1"/>
  <c r="L29" i="21"/>
  <c r="I29" i="21"/>
  <c r="J29" i="21"/>
  <c r="N29" i="21"/>
  <c r="J29" i="12"/>
  <c r="H29" i="12"/>
  <c r="M29" i="21"/>
  <c r="I29" i="12"/>
  <c r="K29" i="21"/>
  <c r="G5" i="28" l="1"/>
  <c r="G23" i="28" s="1"/>
  <c r="G30" i="28" s="1"/>
  <c r="J29" i="28"/>
  <c r="J54" i="28" s="1"/>
  <c r="L29" i="28"/>
  <c r="L54" i="28" s="1"/>
  <c r="K29" i="28"/>
  <c r="K54" i="28" s="1"/>
  <c r="I29" i="28"/>
  <c r="I54" i="28" s="1"/>
  <c r="H29" i="28"/>
  <c r="H54" i="28" s="1"/>
  <c r="L14" i="28"/>
  <c r="L4" i="28" s="1"/>
  <c r="H14" i="28"/>
  <c r="H4" i="28" s="1"/>
  <c r="I14" i="28"/>
  <c r="I5" i="28" s="1"/>
  <c r="J14" i="28"/>
  <c r="J4" i="28" s="1"/>
  <c r="K14" i="28"/>
  <c r="K5" i="28" s="1"/>
  <c r="G20" i="28"/>
  <c r="J5" i="28" l="1"/>
  <c r="J23" i="28" s="1"/>
  <c r="J30" i="28" s="1"/>
  <c r="H5" i="28"/>
  <c r="H23" i="28" s="1"/>
  <c r="H30" i="28" s="1"/>
  <c r="L5" i="28"/>
  <c r="L23" i="28" s="1"/>
  <c r="L30" i="28" s="1"/>
  <c r="K23" i="28"/>
  <c r="K30" i="28" s="1"/>
  <c r="K4" i="28"/>
  <c r="K20" i="28" s="1"/>
  <c r="I23" i="28"/>
  <c r="I30" i="28" s="1"/>
  <c r="I4" i="28"/>
  <c r="I20" i="28" s="1"/>
  <c r="G9" i="28"/>
  <c r="J20" i="28"/>
  <c r="H20" i="28"/>
  <c r="L20" i="28"/>
  <c r="K3" i="12"/>
  <c r="L3" i="12"/>
  <c r="M3" i="12"/>
  <c r="H9" i="28" l="1"/>
  <c r="L9" i="28"/>
  <c r="J9" i="28"/>
  <c r="K9" i="28"/>
  <c r="I9" i="28"/>
  <c r="L40" i="28" l="1"/>
  <c r="L61" i="28"/>
  <c r="J40" i="28" l="1"/>
  <c r="J61" i="28"/>
  <c r="H40" i="28"/>
  <c r="H61" i="28"/>
  <c r="E40" i="28"/>
  <c r="E61" i="28"/>
  <c r="I40" i="28"/>
  <c r="I61" i="28"/>
  <c r="G40" i="28"/>
  <c r="G61" i="28"/>
  <c r="C40" i="28"/>
  <c r="C42" i="28" s="1"/>
  <c r="C61" i="28"/>
  <c r="D40" i="28"/>
  <c r="D61" i="28"/>
  <c r="K40" i="28"/>
  <c r="K61" i="28"/>
  <c r="F40" i="28"/>
  <c r="F61" i="28"/>
  <c r="C64" i="28" l="1"/>
  <c r="D42" i="28"/>
  <c r="D64" i="28" l="1"/>
  <c r="E42" i="28"/>
  <c r="F42" i="28" l="1"/>
  <c r="E64" i="28"/>
  <c r="G42" i="28" l="1"/>
  <c r="F64" i="28"/>
  <c r="H42" i="28" l="1"/>
  <c r="G64" i="28"/>
  <c r="H64" i="28" l="1"/>
  <c r="I42" i="28"/>
  <c r="I64" i="28" l="1"/>
  <c r="J42" i="28"/>
  <c r="J64" i="28" l="1"/>
  <c r="K42" i="28"/>
  <c r="K64" i="28" l="1"/>
  <c r="L42" i="28"/>
  <c r="L64" i="28" s="1"/>
  <c r="G36" i="2"/>
  <c r="G38" i="2" s="1"/>
  <c r="G4" i="2" l="1"/>
  <c r="G3" i="2"/>
  <c r="G6" i="2"/>
  <c r="D8" i="12" s="1"/>
  <c r="E8" i="12" s="1"/>
  <c r="F8" i="12" l="1"/>
  <c r="E10" i="12"/>
  <c r="E3" i="12" s="1"/>
  <c r="D10" i="12"/>
  <c r="D3" i="12" s="1"/>
  <c r="D20" i="28"/>
  <c r="D9" i="28" s="1"/>
  <c r="D11" i="28" s="1"/>
  <c r="D23" i="28"/>
  <c r="D30" i="28" s="1"/>
  <c r="G8" i="12" l="1"/>
  <c r="F10" i="12"/>
  <c r="F3" i="12" s="1"/>
  <c r="E11" i="28"/>
  <c r="D33" i="28"/>
  <c r="H8" i="12" l="1"/>
  <c r="G10" i="12"/>
  <c r="G3" i="12" s="1"/>
  <c r="F11" i="28"/>
  <c r="E33" i="28"/>
  <c r="I8" i="12" l="1"/>
  <c r="H10" i="12"/>
  <c r="H3" i="12" s="1"/>
  <c r="F33" i="28"/>
  <c r="G11" i="28"/>
  <c r="J8" i="12" l="1"/>
  <c r="J10" i="12" s="1"/>
  <c r="J3" i="12" s="1"/>
  <c r="I10" i="12"/>
  <c r="I3" i="12" s="1"/>
  <c r="H11" i="28"/>
  <c r="G33" i="28"/>
  <c r="B3" i="12" l="1"/>
  <c r="C4" i="12" s="1"/>
  <c r="F41" i="12"/>
  <c r="F49" i="28" s="1"/>
  <c r="F79" i="28" s="1"/>
  <c r="M41" i="12"/>
  <c r="H33" i="28"/>
  <c r="I11" i="28"/>
  <c r="I41" i="12" l="1"/>
  <c r="I49" i="28" s="1"/>
  <c r="I79" i="28" s="1"/>
  <c r="H4" i="12"/>
  <c r="H18" i="28" s="1"/>
  <c r="H78" i="28" s="1"/>
  <c r="J4" i="12"/>
  <c r="J18" i="28" s="1"/>
  <c r="J78" i="28" s="1"/>
  <c r="J41" i="12"/>
  <c r="J49" i="28" s="1"/>
  <c r="J79" i="28" s="1"/>
  <c r="G41" i="12"/>
  <c r="G49" i="28" s="1"/>
  <c r="G79" i="28" s="1"/>
  <c r="G4" i="12"/>
  <c r="G18" i="28" s="1"/>
  <c r="G78" i="28" s="1"/>
  <c r="L41" i="12"/>
  <c r="L49" i="28" s="1"/>
  <c r="L79" i="28" s="1"/>
  <c r="I4" i="12"/>
  <c r="I18" i="28" s="1"/>
  <c r="D41" i="12"/>
  <c r="D49" i="28" s="1"/>
  <c r="L4" i="12"/>
  <c r="L18" i="28" s="1"/>
  <c r="L78" i="28" s="1"/>
  <c r="E41" i="12"/>
  <c r="E49" i="28" s="1"/>
  <c r="F4" i="12"/>
  <c r="F18" i="28" s="1"/>
  <c r="F78" i="28" s="1"/>
  <c r="M4" i="12"/>
  <c r="K41" i="12"/>
  <c r="K49" i="28" s="1"/>
  <c r="K4" i="12"/>
  <c r="K18" i="28" s="1"/>
  <c r="K78" i="28" s="1"/>
  <c r="C41" i="12"/>
  <c r="C49" i="28" s="1"/>
  <c r="C39" i="28" s="1"/>
  <c r="C41" i="28" s="1"/>
  <c r="C75" i="28" s="1"/>
  <c r="E4" i="12"/>
  <c r="E18" i="28" s="1"/>
  <c r="H41" i="12"/>
  <c r="H49" i="28" s="1"/>
  <c r="D4" i="12"/>
  <c r="D18" i="28" s="1"/>
  <c r="F48" i="28"/>
  <c r="F39" i="28" s="1"/>
  <c r="F43" i="28" s="1"/>
  <c r="F58" i="28"/>
  <c r="I33" i="28"/>
  <c r="J11" i="28"/>
  <c r="I58" i="28" l="1"/>
  <c r="I48" i="28"/>
  <c r="I39" i="28" s="1"/>
  <c r="I43" i="28" s="1"/>
  <c r="J27" i="28"/>
  <c r="J17" i="28"/>
  <c r="J8" i="28" s="1"/>
  <c r="J12" i="28" s="1"/>
  <c r="H27" i="28"/>
  <c r="H17" i="28"/>
  <c r="H8" i="28" s="1"/>
  <c r="H12" i="28" s="1"/>
  <c r="G58" i="28"/>
  <c r="G48" i="28"/>
  <c r="G39" i="28" s="1"/>
  <c r="G43" i="28" s="1"/>
  <c r="J48" i="28"/>
  <c r="J39" i="28" s="1"/>
  <c r="J43" i="28" s="1"/>
  <c r="J58" i="28"/>
  <c r="G27" i="28"/>
  <c r="L48" i="28"/>
  <c r="L39" i="28" s="1"/>
  <c r="L43" i="28" s="1"/>
  <c r="G17" i="28"/>
  <c r="G8" i="28" s="1"/>
  <c r="G12" i="28" s="1"/>
  <c r="L58" i="28"/>
  <c r="I17" i="28"/>
  <c r="I8" i="28" s="1"/>
  <c r="I12" i="28" s="1"/>
  <c r="I78" i="28"/>
  <c r="H48" i="28"/>
  <c r="H39" i="28" s="1"/>
  <c r="H43" i="28" s="1"/>
  <c r="H79" i="28"/>
  <c r="K48" i="28"/>
  <c r="K39" i="28" s="1"/>
  <c r="K43" i="28" s="1"/>
  <c r="K79" i="28"/>
  <c r="L17" i="28"/>
  <c r="L8" i="28" s="1"/>
  <c r="L12" i="28" s="1"/>
  <c r="E17" i="28"/>
  <c r="E8" i="28" s="1"/>
  <c r="E12" i="28" s="1"/>
  <c r="E78" i="28"/>
  <c r="E58" i="28"/>
  <c r="E79" i="28"/>
  <c r="D48" i="28"/>
  <c r="D39" i="28" s="1"/>
  <c r="D43" i="28" s="1"/>
  <c r="D79" i="28"/>
  <c r="D27" i="28"/>
  <c r="D78" i="28"/>
  <c r="C58" i="28"/>
  <c r="C79" i="28"/>
  <c r="C18" i="28"/>
  <c r="C27" i="28" s="1"/>
  <c r="I27" i="28"/>
  <c r="E48" i="28"/>
  <c r="E39" i="28" s="1"/>
  <c r="E43" i="28" s="1"/>
  <c r="D58" i="28"/>
  <c r="L27" i="28"/>
  <c r="E27" i="28"/>
  <c r="F27" i="28"/>
  <c r="F17" i="28"/>
  <c r="F8" i="28" s="1"/>
  <c r="F12" i="28" s="1"/>
  <c r="K58" i="28"/>
  <c r="C48" i="28"/>
  <c r="O3" i="12"/>
  <c r="H58" i="28"/>
  <c r="D17" i="28"/>
  <c r="D8" i="28" s="1"/>
  <c r="D12" i="28" s="1"/>
  <c r="K27" i="28"/>
  <c r="K17" i="28"/>
  <c r="K8" i="28" s="1"/>
  <c r="K12" i="28" s="1"/>
  <c r="K11" i="28"/>
  <c r="J33" i="28"/>
  <c r="C17" i="28" l="1"/>
  <c r="C78" i="28"/>
  <c r="C8" i="28"/>
  <c r="C10" i="28" s="1"/>
  <c r="C32" i="28" s="1"/>
  <c r="C43" i="28"/>
  <c r="C44" i="28" s="1"/>
  <c r="D41" i="28"/>
  <c r="C63" i="28"/>
  <c r="L11" i="28"/>
  <c r="L33" i="28" s="1"/>
  <c r="K33" i="28"/>
  <c r="D44" i="28" l="1"/>
  <c r="B7" i="30"/>
  <c r="C12" i="28"/>
  <c r="C13" i="28" s="1"/>
  <c r="C74" i="28"/>
  <c r="D10" i="28"/>
  <c r="E10" i="28" s="1"/>
  <c r="D63" i="28"/>
  <c r="D75" i="28"/>
  <c r="E41" i="28"/>
  <c r="D32" i="28" l="1"/>
  <c r="D13" i="28"/>
  <c r="B6" i="30"/>
  <c r="E44" i="28"/>
  <c r="C7" i="30"/>
  <c r="D74" i="28"/>
  <c r="E63" i="28"/>
  <c r="E75" i="28"/>
  <c r="F41" i="28"/>
  <c r="E32" i="28"/>
  <c r="F10" i="28"/>
  <c r="E74" i="28"/>
  <c r="F44" i="28" l="1"/>
  <c r="D7" i="30"/>
  <c r="E13" i="28"/>
  <c r="C6" i="30"/>
  <c r="G10" i="28"/>
  <c r="F74" i="28"/>
  <c r="F32" i="28"/>
  <c r="G41" i="28"/>
  <c r="F63" i="28"/>
  <c r="F75" i="28"/>
  <c r="F13" i="28" l="1"/>
  <c r="D6" i="30"/>
  <c r="G44" i="28"/>
  <c r="E7" i="30"/>
  <c r="G63" i="28"/>
  <c r="G75" i="28"/>
  <c r="H41" i="28"/>
  <c r="G74" i="28"/>
  <c r="G32" i="28"/>
  <c r="H10" i="28"/>
  <c r="H44" i="28" l="1"/>
  <c r="F7" i="30"/>
  <c r="G13" i="28"/>
  <c r="E6" i="30"/>
  <c r="I10" i="28"/>
  <c r="H74" i="28"/>
  <c r="H32" i="28"/>
  <c r="I41" i="28"/>
  <c r="H63" i="28"/>
  <c r="H75" i="28"/>
  <c r="H13" i="28" l="1"/>
  <c r="F6" i="30"/>
  <c r="I44" i="28"/>
  <c r="G7" i="30"/>
  <c r="I75" i="28"/>
  <c r="J41" i="28"/>
  <c r="I63" i="28"/>
  <c r="J10" i="28"/>
  <c r="I74" i="28"/>
  <c r="I32" i="28"/>
  <c r="J44" i="28" l="1"/>
  <c r="H7" i="30"/>
  <c r="I13" i="28"/>
  <c r="G6" i="30"/>
  <c r="J32" i="28"/>
  <c r="K10" i="28"/>
  <c r="J74" i="28"/>
  <c r="J75" i="28"/>
  <c r="K41" i="28"/>
  <c r="J63" i="28"/>
  <c r="J13" i="28" l="1"/>
  <c r="H6" i="30"/>
  <c r="K44" i="28"/>
  <c r="I7" i="30"/>
  <c r="K63" i="28"/>
  <c r="K75" i="28"/>
  <c r="L41" i="28"/>
  <c r="L75" i="28" s="1"/>
  <c r="L10" i="28"/>
  <c r="L74" i="28" s="1"/>
  <c r="K74" i="28"/>
  <c r="K32" i="28"/>
  <c r="L44" i="28" l="1"/>
  <c r="K7" i="30" s="1"/>
  <c r="J7" i="30"/>
  <c r="K13" i="28"/>
  <c r="I6" i="30"/>
  <c r="L32" i="28"/>
  <c r="L63" i="28"/>
  <c r="L13" i="28" l="1"/>
  <c r="K6" i="30" s="1"/>
  <c r="J6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<sst xmlns="http://schemas.openxmlformats.org/spreadsheetml/2006/main" count="508" uniqueCount="238">
  <si>
    <t>Цена бензина АИ 95</t>
  </si>
  <si>
    <t>Средний расход ДВС на 100 км</t>
  </si>
  <si>
    <t>Средний расход ЭлД на 100 км</t>
  </si>
  <si>
    <t>Ставка рефинансирования</t>
  </si>
  <si>
    <t>2022</t>
  </si>
  <si>
    <t>Транспорт с ДВС</t>
  </si>
  <si>
    <t>Транспорт с Эл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</si>
  <si>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</si>
  <si>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</si>
  <si>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</si>
  <si>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</si>
  <si>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</si>
  <si>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</si>
  <si>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</si>
  <si>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</si>
  <si>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</si>
  <si>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Заполняемые ячейки</t>
  </si>
  <si>
    <t>2032</t>
  </si>
  <si>
    <t>Параметры батареи</t>
  </si>
  <si>
    <t>% роста емкости батареи</t>
  </si>
  <si>
    <t>% роста эффект расхода Кв</t>
  </si>
  <si>
    <t>Средний пробег ЭМ по городу в мес</t>
  </si>
  <si>
    <t>Средний пробег ЭМ по автотрассе в мес</t>
  </si>
  <si>
    <t>Кол-во медл заправок/мес</t>
  </si>
  <si>
    <t>Кол-во быстрых заправок/мес</t>
  </si>
  <si>
    <t>Емкость одной сессии Быстр/Заправки</t>
  </si>
  <si>
    <t>Емкость одной сессии Медл/Заправки</t>
  </si>
  <si>
    <t>% Электромобилей в РФ</t>
  </si>
  <si>
    <t>Требуется электрозаправок В РФ</t>
  </si>
  <si>
    <t>Всего ЭЗС РОССЕТИ в РФ</t>
  </si>
  <si>
    <t>ГОД</t>
  </si>
  <si>
    <t>Путешественников в месяц</t>
  </si>
  <si>
    <t>Путешественников в день</t>
  </si>
  <si>
    <t>Кв в день</t>
  </si>
  <si>
    <t>Пиковые часы в сутки</t>
  </si>
  <si>
    <t>Ср. время зарядной сессии Час</t>
  </si>
  <si>
    <t>Всего требуется зарядок</t>
  </si>
  <si>
    <t>ИТОГО: ФОТ</t>
  </si>
  <si>
    <t>Интернет 4G цена</t>
  </si>
  <si>
    <t>Интернет 4G сумма</t>
  </si>
  <si>
    <t>Рабочие места сотрудников Цена</t>
  </si>
  <si>
    <t>Рабочие места сотрудников Сумма</t>
  </si>
  <si>
    <t>Рабочие места Потребность</t>
  </si>
  <si>
    <t>Итого: Сотрудников</t>
  </si>
  <si>
    <t>Общественные ЭЗС средняя Цена</t>
  </si>
  <si>
    <t>Общественные ЭЗС Сумма</t>
  </si>
  <si>
    <t>Бытовые ЭЗС Сумма</t>
  </si>
  <si>
    <t>закупка по потребностям следующего года</t>
  </si>
  <si>
    <t>Общественные ЭЗС потребность</t>
  </si>
  <si>
    <t>Общественны Цена ЗИП в год</t>
  </si>
  <si>
    <t>Общественны Сумма ЗИП в год</t>
  </si>
  <si>
    <t>Общественны Цена обслужитвания в год</t>
  </si>
  <si>
    <t>Общественны Сумма обслуживания в год</t>
  </si>
  <si>
    <t>Бытовые ЭЗС потребность</t>
  </si>
  <si>
    <t>Бытовые Цена ЗИП в год</t>
  </si>
  <si>
    <t>Бытовые Сумма ЗИП в год</t>
  </si>
  <si>
    <t>Бытовые Цена обслужитвания в год</t>
  </si>
  <si>
    <t>Бытовые Сумма обслуживания в год</t>
  </si>
  <si>
    <t>Цена Кв Общественные</t>
  </si>
  <si>
    <t>Цена Кв Бытовые</t>
  </si>
  <si>
    <t>Электроэнергия для Быт Кв</t>
  </si>
  <si>
    <t>Электроэнергия для Быт Цена</t>
  </si>
  <si>
    <t>Электроэнергия для Быт Сумма</t>
  </si>
  <si>
    <t>Электроэнергия для Общ Кв</t>
  </si>
  <si>
    <t>Электроэнергия для Общ Цена</t>
  </si>
  <si>
    <t>Электроэнергия для Общ Сумма</t>
  </si>
  <si>
    <t>ИТОГО: Сумма закупки</t>
  </si>
  <si>
    <t>Разработчики Ставка оплаты труда</t>
  </si>
  <si>
    <t>Разработчики кол-во сотрудников</t>
  </si>
  <si>
    <t>2-я линия норматив (1чел/ЭЗС)</t>
  </si>
  <si>
    <t>2-я линия Кол-во сотрудников</t>
  </si>
  <si>
    <t>2-я линия ставка оплаты труда</t>
  </si>
  <si>
    <t>2-я линия ФОТ сумма</t>
  </si>
  <si>
    <t>1-я линия ФОТ сумма</t>
  </si>
  <si>
    <t>1-я линия Кол-во сотрудников</t>
  </si>
  <si>
    <t>1-я линия норматив - (1чел/ЭЗС)</t>
  </si>
  <si>
    <t>1-я линия Ставка оплаты труда</t>
  </si>
  <si>
    <t>1-я линия АУП кол-во</t>
  </si>
  <si>
    <t>1-я линия АУП ставка оплаты труда</t>
  </si>
  <si>
    <t>2-я линия АУП кол-во</t>
  </si>
  <si>
    <t>2-я линия АУП ставка оплаты труда</t>
  </si>
  <si>
    <t>Разработчики АУП кол-во</t>
  </si>
  <si>
    <t>Разработчики АУП ставка оплаты труда</t>
  </si>
  <si>
    <t>Продажи Кол-во сотрудников</t>
  </si>
  <si>
    <t>Продажи Ставка оплаты труда</t>
  </si>
  <si>
    <t>Продажи АУП кол-во</t>
  </si>
  <si>
    <t>Продажи АУП ставка оплаты труда</t>
  </si>
  <si>
    <t>Продажи ФОТ</t>
  </si>
  <si>
    <t>Кв Продажи-Закупки</t>
  </si>
  <si>
    <t>Пиковая мощьность на ХАБ</t>
  </si>
  <si>
    <t>Закупки зарядок</t>
  </si>
  <si>
    <t>Закупки ЗИП</t>
  </si>
  <si>
    <t>Закупки услуги по ремонту</t>
  </si>
  <si>
    <t>Итого продажи-закупки накопительно</t>
  </si>
  <si>
    <t>% путешественников в год</t>
  </si>
  <si>
    <t>Среднее кол-во поездок в год</t>
  </si>
  <si>
    <t>Общий АУП блок Кол-во сотрудников</t>
  </si>
  <si>
    <t>Общий АУП блок Ставка оплаты труда</t>
  </si>
  <si>
    <t>Общий АУП блок АУП кол-во</t>
  </si>
  <si>
    <t>Общий АУП блок АУП ставка оплаты труда</t>
  </si>
  <si>
    <t>Общий АУП блок ФОТ</t>
  </si>
  <si>
    <t>Тестировщики Кол-во сотрудников</t>
  </si>
  <si>
    <t>Тестировщики Ставка оплаты труда</t>
  </si>
  <si>
    <t>Тестировщики АУП кол-во</t>
  </si>
  <si>
    <t>Тестировщики АУП ставка оплаты труда</t>
  </si>
  <si>
    <t>Маркетинг Кол-во сотрудников</t>
  </si>
  <si>
    <t>Маркетинг АУП ставка оплаты труда</t>
  </si>
  <si>
    <t>Маркетинг блок ФОТ</t>
  </si>
  <si>
    <t>Разработчики ФОТ сумма</t>
  </si>
  <si>
    <t>Тестировщики ФОТ сумма</t>
  </si>
  <si>
    <t>Маркетинг Ставка оплаты труда</t>
  </si>
  <si>
    <t>Маркетинг АУП кол-во</t>
  </si>
  <si>
    <t>Закупщики-Снабжение Кол-во сотрудников</t>
  </si>
  <si>
    <t>Закупщики-Снабжение Ставка оплаты труда</t>
  </si>
  <si>
    <t>Закупщики-Снабжение АУП кол-во</t>
  </si>
  <si>
    <t>Закупщики-Снабжение АУП ставка оплаты труда</t>
  </si>
  <si>
    <t>Закупщики-Снабжение ФОТ</t>
  </si>
  <si>
    <t>Фин.Бух блок Кол-во сотрудников</t>
  </si>
  <si>
    <t>Фин.Бух блок Ставка оплаты труда</t>
  </si>
  <si>
    <t>Фин.Бух блок АУП кол-во</t>
  </si>
  <si>
    <t>Фин.Бух блок АУП ставка оплаты труда</t>
  </si>
  <si>
    <t>Фин.Бух блок ФОТ</t>
  </si>
  <si>
    <t>HR+Кадры Кол-во сотрудников</t>
  </si>
  <si>
    <t>HR+Кадры Ставка оплаты труда</t>
  </si>
  <si>
    <t>HR+Кадры АУП кол-во</t>
  </si>
  <si>
    <t>HR+Кадры АУП ставка оплаты труда</t>
  </si>
  <si>
    <t>HR+Кадры ФОТ</t>
  </si>
  <si>
    <t>Бытовые ЭЗС средняя Цена с установкой</t>
  </si>
  <si>
    <t>Итого продажи-закупки в периоде</t>
  </si>
  <si>
    <t>% перехода из ДВС в Эл в год</t>
  </si>
  <si>
    <t>Затраты  путешественнника на 1м Хабе</t>
  </si>
  <si>
    <t>Длинна трассы</t>
  </si>
  <si>
    <t>Средний расход на трассе Кв/Км</t>
  </si>
  <si>
    <t>Потребление Кв /Час в пиковые часоы</t>
  </si>
  <si>
    <t>Продажи в год сумма за КВ</t>
  </si>
  <si>
    <t>Закупки в год сумма за КВ</t>
  </si>
  <si>
    <t>%  роста цены за КВ</t>
  </si>
  <si>
    <t>Общественные</t>
  </si>
  <si>
    <t>Бытовые</t>
  </si>
  <si>
    <t>Затраты на поездку в одну сторону</t>
  </si>
  <si>
    <t>1 ХАБ НА Км</t>
  </si>
  <si>
    <t>Колво-Хабов на отрезок пути в 2 стороны</t>
  </si>
  <si>
    <t>Требуемое колво зарядок на 1 ХАБ</t>
  </si>
  <si>
    <t>Доля рынка % в городах общественные</t>
  </si>
  <si>
    <t>Доля рынка % в городах бытовые</t>
  </si>
  <si>
    <t xml:space="preserve">ежедневная медленная зарядка </t>
  </si>
  <si>
    <t>Принятая выгода ЭлД над ДВС на западе %</t>
  </si>
  <si>
    <t>Стоимость 1 км  на ЭлД</t>
  </si>
  <si>
    <t>Стоимость 1 км  на ДВС</t>
  </si>
  <si>
    <t>Выгода от ЭлД % от справ.цены</t>
  </si>
  <si>
    <t>Тех.Присоединение цена за 1 Хаб</t>
  </si>
  <si>
    <t xml:space="preserve">Тех.Присоединение Сумма </t>
  </si>
  <si>
    <t> white label отчисления разработчику</t>
  </si>
  <si>
    <t> white label отчисления разработчику %</t>
  </si>
  <si>
    <t>Отчисления билинг платежей %</t>
  </si>
  <si>
    <t>Отчисления билинг платежей  Сумма</t>
  </si>
  <si>
    <t>Доходы</t>
  </si>
  <si>
    <t>Расходы</t>
  </si>
  <si>
    <t>ФОТ</t>
  </si>
  <si>
    <t>Итого Сумма закупок</t>
  </si>
  <si>
    <t>Итого сумма продаж</t>
  </si>
  <si>
    <t>Моделирование</t>
  </si>
  <si>
    <t>Наименование</t>
  </si>
  <si>
    <t>Показатель</t>
  </si>
  <si>
    <t>Ед.Изм</t>
  </si>
  <si>
    <t>%</t>
  </si>
  <si>
    <t>Средняя цена за 10 лет</t>
  </si>
  <si>
    <t>Цена за Кв закупка</t>
  </si>
  <si>
    <t>Выгода электромобилиста</t>
  </si>
  <si>
    <t>Справедливая цена Кв СПАВОЧНО</t>
  </si>
  <si>
    <t>Цена закупки-с установкой: Общественной ЭЗС 80 Кв.</t>
  </si>
  <si>
    <t>Цена закупки-с установкой: Бытовой ЭЗС 22 Кв.</t>
  </si>
  <si>
    <t>Выручка</t>
  </si>
  <si>
    <t>Постоянные издержки</t>
  </si>
  <si>
    <t>Переменные издержки</t>
  </si>
  <si>
    <t>Пост</t>
  </si>
  <si>
    <t>Пер</t>
  </si>
  <si>
    <t>Город</t>
  </si>
  <si>
    <t>Хаб</t>
  </si>
  <si>
    <t>Издержки/Выручка</t>
  </si>
  <si>
    <t>ИТОГО</t>
  </si>
  <si>
    <t>Амортизация</t>
  </si>
  <si>
    <t>Аммортизация</t>
  </si>
  <si>
    <t>Маржа за период</t>
  </si>
  <si>
    <t>Маржа накопительно</t>
  </si>
  <si>
    <t>Затраты</t>
  </si>
  <si>
    <t>Тип затрат</t>
  </si>
  <si>
    <t>Амортиз Город</t>
  </si>
  <si>
    <t>Амортиз Хаб</t>
  </si>
  <si>
    <t>Затраты(закупка материалов и услуг)</t>
  </si>
  <si>
    <t>Продажи Кв Общественные</t>
  </si>
  <si>
    <t>Продажи Кв Бытовые</t>
  </si>
  <si>
    <t>Аренда локаций установки Цена</t>
  </si>
  <si>
    <t>Аренда локаций установки Сумма</t>
  </si>
  <si>
    <t>% в год</t>
  </si>
  <si>
    <t>Переход из ДВС в Эл в год</t>
  </si>
  <si>
    <t>Владельцы ЭМ</t>
  </si>
  <si>
    <t>Ведем разработку своего ПО?</t>
  </si>
  <si>
    <t xml:space="preserve">1=Да  0=Нет </t>
  </si>
  <si>
    <t>20</t>
  </si>
  <si>
    <t>15</t>
  </si>
  <si>
    <t>12</t>
  </si>
  <si>
    <t>8</t>
  </si>
  <si>
    <t>6</t>
  </si>
  <si>
    <t>5</t>
  </si>
  <si>
    <t>Использовать ставку рефинансирования</t>
  </si>
  <si>
    <t>Руб/Кв</t>
  </si>
  <si>
    <t>РБП</t>
  </si>
  <si>
    <t>Цена 22 году</t>
  </si>
  <si>
    <t>Соотношение зарядок на 1 автомобиль</t>
  </si>
  <si>
    <t>1 к значению</t>
  </si>
  <si>
    <t>Сценарий</t>
  </si>
  <si>
    <t>Пост1</t>
  </si>
  <si>
    <t>Кол-во общественных ЭЗС накопительно</t>
  </si>
  <si>
    <t>Кол-во бытовых ЭЗС накопительно</t>
  </si>
  <si>
    <t>Пер1</t>
  </si>
  <si>
    <t>Доля фот в доходах Город</t>
  </si>
  <si>
    <t>Доля фот в доходах Хаб</t>
  </si>
  <si>
    <t>Доходы Город</t>
  </si>
  <si>
    <t>Маржа Город</t>
  </si>
  <si>
    <t>Длинна Км</t>
  </si>
  <si>
    <t>Общественные ЭЗС накопительно</t>
  </si>
  <si>
    <t>Бытовые ЭЗС накопительно</t>
  </si>
  <si>
    <t>Учитывать затраты на персонал</t>
  </si>
  <si>
    <t>Россети Оператор?</t>
  </si>
  <si>
    <t> white label отчисления %</t>
  </si>
  <si>
    <t>Закупки</t>
  </si>
  <si>
    <t>Эксплуатируемые ЭЗС</t>
  </si>
  <si>
    <t>Маржинальность</t>
  </si>
  <si>
    <t>Инвестиции</t>
  </si>
  <si>
    <t>Инвестиции в оборудование</t>
  </si>
  <si>
    <t>Развитие</t>
  </si>
  <si>
    <t>Как есть</t>
  </si>
  <si>
    <t>Автоттрассы(Хабы)</t>
  </si>
  <si>
    <t>Доля Рынка в городах</t>
  </si>
  <si>
    <t>Электромобили</t>
  </si>
  <si>
    <t>Цена за Кв средняя за 10 лет</t>
  </si>
  <si>
    <t>Ленэнерго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</si>
</sst>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_-;\-* #,##0.0000_-;_-* &quot;-&quot;??_-;_-@_-"/>
    <numFmt numFmtId="167" formatCode="_-* #,##0.0_-;\-* #,##0.0_-;_-* &quot;-&quot;??_-;_-@_-"/>
    <numFmt numFmtId="168" formatCode="_-* #,##0.00\ _₽_-;\-* #,##0.00\ _₽_-;_-* &quot;-&quot;??\ _₽_-;_-@_-"/>
    <numFmt numFmtId="169" formatCode="_-* #,##0\ _₽_-;\-* #,##0\ _₽_-;_-* &quot;-&quot;??\ _₽_-;_-@_-"/>
    <numFmt numFmtId="170" formatCode="_-* #,##0.00000_-;\-* #,##0.000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2" borderId="0" xfId="1" applyNumberFormat="1" applyFont="1" applyFill="1"/>
    <xf numFmtId="164" fontId="0" fillId="8" borderId="0" xfId="1" applyNumberFormat="1" applyFont="1" applyFill="1"/>
    <xf numFmtId="49" fontId="0" fillId="2" borderId="0" xfId="0" applyNumberFormat="1" applyFill="1"/>
    <xf numFmtId="43" fontId="0" fillId="2" borderId="0" xfId="1" applyFont="1" applyFill="1"/>
    <xf numFmtId="166" fontId="0" fillId="2" borderId="0" xfId="1" applyNumberFormat="1" applyFont="1" applyFill="1"/>
    <xf numFmtId="165" fontId="0" fillId="8" borderId="0" xfId="1" applyNumberFormat="1" applyFont="1" applyFill="1"/>
    <xf numFmtId="49" fontId="0" fillId="8" borderId="0" xfId="0" applyNumberFormat="1" applyFill="1"/>
    <xf numFmtId="167" fontId="0" fillId="8" borderId="0" xfId="1" applyNumberFormat="1" applyFont="1" applyFill="1"/>
    <xf numFmtId="167" fontId="0" fillId="2" borderId="0" xfId="1" applyNumberFormat="1" applyFont="1" applyFill="1"/>
    <xf numFmtId="1" fontId="0" fillId="2" borderId="0" xfId="0" applyNumberFormat="1" applyFill="1"/>
    <xf numFmtId="0" fontId="0" fillId="3" borderId="0" xfId="0" applyFill="1"/>
    <xf numFmtId="43" fontId="0" fillId="8" borderId="0" xfId="1" applyFont="1" applyFill="1"/>
    <xf numFmtId="43" fontId="0" fillId="8" borderId="0" xfId="0" applyNumberFormat="1" applyFill="1"/>
    <xf numFmtId="43" fontId="0" fillId="2" borderId="0" xfId="0" applyNumberFormat="1" applyFill="1"/>
    <xf numFmtId="43" fontId="0" fillId="4" borderId="0" xfId="0" applyNumberFormat="1" applyFill="1"/>
    <xf numFmtId="43" fontId="0" fillId="5" borderId="0" xfId="0" applyNumberFormat="1" applyFill="1"/>
    <xf numFmtId="43" fontId="0" fillId="6" borderId="0" xfId="0" applyNumberFormat="1" applyFill="1"/>
    <xf numFmtId="0" fontId="0" fillId="9" borderId="0" xfId="0" applyFill="1"/>
    <xf numFmtId="43" fontId="0" fillId="9" borderId="0" xfId="1" applyFont="1" applyFill="1" applyAlignment="1">
      <alignment horizontal="right"/>
    </xf>
    <xf numFmtId="49" fontId="0" fillId="0" borderId="0" xfId="0" applyNumberFormat="1"/>
    <xf numFmtId="0" fontId="0" fillId="10" borderId="0" xfId="0" applyFill="1"/>
    <xf numFmtId="49" fontId="0" fillId="10" borderId="0" xfId="1" applyNumberFormat="1" applyFont="1" applyFill="1" applyAlignment="1">
      <alignment horizontal="center"/>
    </xf>
    <xf numFmtId="168" fontId="0" fillId="0" borderId="0" xfId="0" applyNumberFormat="1"/>
    <xf numFmtId="43" fontId="0" fillId="0" borderId="0" xfId="1" applyFont="1"/>
    <xf numFmtId="164" fontId="0" fillId="2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0" fontId="1" fillId="0" borderId="0" xfId="0" applyFont="1"/>
    <xf numFmtId="0" fontId="0" fillId="8" borderId="0" xfId="0" applyFill="1"/>
    <xf numFmtId="0" fontId="0" fillId="7" borderId="0" xfId="0" applyFill="1"/>
    <xf numFmtId="168" fontId="1" fillId="0" borderId="0" xfId="0" applyNumberFormat="1" applyFont="1"/>
    <xf numFmtId="164" fontId="0" fillId="8" borderId="0" xfId="0" applyNumberFormat="1" applyFill="1"/>
    <xf numFmtId="1" fontId="0" fillId="8" borderId="0" xfId="0" applyNumberFormat="1" applyFill="1"/>
    <xf numFmtId="164" fontId="4" fillId="2" borderId="0" xfId="0" applyNumberFormat="1" applyFont="1" applyFill="1"/>
    <xf numFmtId="1" fontId="1" fillId="2" borderId="0" xfId="0" applyNumberFormat="1" applyFont="1" applyFill="1"/>
    <xf numFmtId="164" fontId="0" fillId="0" borderId="0" xfId="1" applyNumberFormat="1" applyFont="1"/>
    <xf numFmtId="1" fontId="0" fillId="0" borderId="0" xfId="0" applyNumberFormat="1"/>
    <xf numFmtId="169" fontId="0" fillId="2" borderId="0" xfId="0" applyNumberFormat="1" applyFill="1"/>
    <xf numFmtId="169" fontId="0" fillId="8" borderId="0" xfId="1" applyNumberFormat="1" applyFont="1" applyFill="1"/>
    <xf numFmtId="169" fontId="0" fillId="2" borderId="0" xfId="1" applyNumberFormat="1" applyFont="1" applyFill="1"/>
    <xf numFmtId="164" fontId="1" fillId="0" borderId="0" xfId="1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11" borderId="0" xfId="0" applyFont="1" applyFill="1"/>
    <xf numFmtId="164" fontId="5" fillId="11" borderId="0" xfId="1" applyNumberFormat="1" applyFont="1" applyFill="1"/>
    <xf numFmtId="0" fontId="0" fillId="12" borderId="0" xfId="0" applyFill="1"/>
    <xf numFmtId="0" fontId="1" fillId="12" borderId="0" xfId="0" applyFont="1" applyFill="1"/>
    <xf numFmtId="0" fontId="6" fillId="12" borderId="0" xfId="0" applyFont="1" applyFill="1"/>
    <xf numFmtId="43" fontId="0" fillId="12" borderId="0" xfId="1" applyFont="1" applyFill="1"/>
    <xf numFmtId="0" fontId="5" fillId="11" borderId="2" xfId="0" applyFont="1" applyFill="1" applyBorder="1"/>
    <xf numFmtId="43" fontId="5" fillId="11" borderId="2" xfId="0" applyNumberFormat="1" applyFont="1" applyFill="1" applyBorder="1"/>
    <xf numFmtId="43" fontId="5" fillId="11" borderId="2" xfId="1" applyFont="1" applyFill="1" applyBorder="1"/>
    <xf numFmtId="164" fontId="5" fillId="11" borderId="2" xfId="1" applyNumberFormat="1" applyFont="1" applyFill="1" applyBorder="1"/>
    <xf numFmtId="164" fontId="5" fillId="11" borderId="3" xfId="1" applyNumberFormat="1" applyFont="1" applyFill="1" applyBorder="1"/>
    <xf numFmtId="0" fontId="5" fillId="11" borderId="5" xfId="0" applyFont="1" applyFill="1" applyBorder="1"/>
    <xf numFmtId="43" fontId="5" fillId="11" borderId="5" xfId="0" applyNumberFormat="1" applyFont="1" applyFill="1" applyBorder="1"/>
    <xf numFmtId="43" fontId="5" fillId="11" borderId="5" xfId="1" applyFont="1" applyFill="1" applyBorder="1"/>
    <xf numFmtId="164" fontId="5" fillId="11" borderId="5" xfId="1" applyNumberFormat="1" applyFont="1" applyFill="1" applyBorder="1"/>
    <xf numFmtId="164" fontId="5" fillId="11" borderId="4" xfId="1" applyNumberFormat="1" applyFont="1" applyFill="1" applyBorder="1"/>
    <xf numFmtId="0" fontId="5" fillId="11" borderId="6" xfId="0" applyFont="1" applyFill="1" applyBorder="1"/>
    <xf numFmtId="0" fontId="5" fillId="11" borderId="7" xfId="0" applyFont="1" applyFill="1" applyBorder="1"/>
    <xf numFmtId="0" fontId="5" fillId="11" borderId="8" xfId="0" applyFont="1" applyFill="1" applyBorder="1"/>
    <xf numFmtId="0" fontId="5" fillId="11" borderId="1" xfId="0" applyFont="1" applyFill="1" applyBorder="1"/>
    <xf numFmtId="164" fontId="1" fillId="12" borderId="0" xfId="0" applyNumberFormat="1" applyFont="1" applyFill="1"/>
    <xf numFmtId="49" fontId="0" fillId="12" borderId="0" xfId="0" applyNumberFormat="1" applyFill="1"/>
    <xf numFmtId="43" fontId="1" fillId="12" borderId="0" xfId="1" applyFont="1" applyFill="1"/>
    <xf numFmtId="164" fontId="0" fillId="12" borderId="0" xfId="1" applyNumberFormat="1" applyFont="1" applyFill="1"/>
    <xf numFmtId="0" fontId="0" fillId="13" borderId="0" xfId="0" applyFill="1"/>
    <xf numFmtId="164" fontId="1" fillId="13" borderId="0" xfId="1" applyNumberFormat="1" applyFont="1" applyFill="1"/>
    <xf numFmtId="0" fontId="1" fillId="13" borderId="0" xfId="0" applyFont="1" applyFill="1"/>
    <xf numFmtId="169" fontId="0" fillId="13" borderId="0" xfId="1" applyNumberFormat="1" applyFont="1" applyFill="1"/>
    <xf numFmtId="169" fontId="0" fillId="0" borderId="0" xfId="1" applyNumberFormat="1" applyFont="1" applyFill="1"/>
    <xf numFmtId="169" fontId="1" fillId="13" borderId="0" xfId="0" applyNumberFormat="1" applyFont="1" applyFill="1"/>
    <xf numFmtId="168" fontId="0" fillId="2" borderId="0" xfId="0" applyNumberFormat="1" applyFill="1"/>
    <xf numFmtId="169" fontId="0" fillId="8" borderId="0" xfId="0" applyNumberFormat="1" applyFill="1"/>
    <xf numFmtId="168" fontId="0" fillId="2" borderId="0" xfId="1" applyNumberFormat="1" applyFont="1" applyFill="1"/>
    <xf numFmtId="43" fontId="1" fillId="2" borderId="0" xfId="0" applyNumberFormat="1" applyFont="1" applyFill="1"/>
    <xf numFmtId="1" fontId="0" fillId="0" borderId="0" xfId="1" applyNumberFormat="1" applyFont="1"/>
    <xf numFmtId="165" fontId="5" fillId="11" borderId="4" xfId="1" applyNumberFormat="1" applyFont="1" applyFill="1" applyBorder="1"/>
    <xf numFmtId="170" fontId="0" fillId="2" borderId="0" xfId="1" applyNumberFormat="1" applyFont="1" applyFill="1"/>
    <xf numFmtId="0" fontId="5" fillId="14" borderId="5" xfId="0" applyFont="1" applyFill="1" applyBorder="1"/>
    <xf numFmtId="44" fontId="0" fillId="0" borderId="0" xfId="2" applyFont="1"/>
    <xf numFmtId="44" fontId="0" fillId="0" borderId="0" xfId="0" applyNumberFormat="1"/>
    <xf numFmtId="0" fontId="5" fillId="11" borderId="9" xfId="0" applyFont="1" applyFill="1" applyBorder="1" applyAlignment="1">
      <alignment horizontal="center"/>
    </xf>
    <xf numFmtId="0" fontId="5" fillId="11" borderId="10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13" borderId="0" xfId="0" applyFont="1" applyFill="1" applyAlignment="1">
      <alignment horizontal="right"/>
    </xf>
  </cellXfs>
  <cellStyles count="3">
    <cellStyle name="Денежный" xfId="2" builtinId="4"/>
    <cellStyle name="Обычный" xfId="0" builtinId="0"/>
    <cellStyle name="Финансовый" xfId="1" builtinId="3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AE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закупок</a:t>
            </a:r>
          </a:p>
          <a:p>
            <a:pPr>
              <a:defRPr/>
            </a:pPr>
            <a:r>
              <a:rPr lang="ru-RU" baseline="0"/>
              <a:t>Тыс.Руб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БДР!$B$78</c:f>
              <c:strCache>
                <c:ptCount val="1"/>
                <c:pt idx="0">
                  <c:v>Развитие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БДР!$C$77:$L$77</c:f>
              <c:strCache>
                <c:ptCount val="10"/>
                <c:pt idx="0">
                  <c:v> 2022 </c:v>
                </c:pt>
                <c:pt idx="1">
                  <c:v> 2023 </c:v>
                </c:pt>
                <c:pt idx="2">
                  <c:v> 2024 </c:v>
                </c:pt>
                <c:pt idx="3">
                  <c:v> 2025 </c:v>
                </c:pt>
                <c:pt idx="4">
                  <c:v> 2026 </c:v>
                </c:pt>
                <c:pt idx="5">
                  <c:v> 2027 </c:v>
                </c:pt>
                <c:pt idx="6">
                  <c:v> 2028 </c:v>
                </c:pt>
                <c:pt idx="7">
                  <c:v> 2029 </c:v>
                </c:pt>
                <c:pt idx="8">
                  <c:v> 2030 </c:v>
                </c:pt>
                <c:pt idx="9">
                  <c:v> 2031 </c:v>
                </c:pt>
              </c:strCache>
            </c:strRef>
          </c:cat>
          <c:val>
            <c:numRef>
              <c:f>БДР!$C$78:$L$78</c:f>
              <c:numCache>
                <c:formatCode>_-* #\ ##0_-;\-* #\ ##0_-;_-* "-"??_-;_-@_-</c:formatCode>
                <c:ptCount val="10"/>
                <c:pt idx="0">
                  <c:v>86880.024999999994</c:v>
                </c:pt>
                <c:pt idx="1">
                  <c:v>691717.5992857141</c:v>
                </c:pt>
                <c:pt idx="2">
                  <c:v>1354263.4655714289</c:v>
                </c:pt>
                <c:pt idx="3">
                  <c:v>2843126.8592171432</c:v>
                </c:pt>
                <c:pt idx="4">
                  <c:v>5941923.072578514</c:v>
                </c:pt>
                <c:pt idx="5">
                  <c:v>12272137.844348313</c:v>
                </c:pt>
                <c:pt idx="6">
                  <c:v>24143862.178612754</c:v>
                </c:pt>
                <c:pt idx="7">
                  <c:v>44896333.855544217</c:v>
                </c:pt>
                <c:pt idx="8">
                  <c:v>78999312.774900019</c:v>
                </c:pt>
                <c:pt idx="9">
                  <c:v>130274269.97317235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1-46B3-9CFA-1762A8633E86}"/>
            </c:ext>
          </c:extLst>
        </c:ser>
        <c:ser>
          <c:idx val="1"/>
          <c:order val="1"/>
          <c:tx>
            <c:strRef>
              <c:f>БДР!$B$79</c:f>
              <c:strCache>
                <c:ptCount val="1"/>
                <c:pt idx="0">
                  <c:v>Как есть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БДР!$C$77:$L$77</c:f>
              <c:strCache>
                <c:ptCount val="10"/>
                <c:pt idx="0">
                  <c:v> 2022 </c:v>
                </c:pt>
                <c:pt idx="1">
                  <c:v> 2023 </c:v>
                </c:pt>
                <c:pt idx="2">
                  <c:v> 2024 </c:v>
                </c:pt>
                <c:pt idx="3">
                  <c:v> 2025 </c:v>
                </c:pt>
                <c:pt idx="4">
                  <c:v> 2026 </c:v>
                </c:pt>
                <c:pt idx="5">
                  <c:v> 2027 </c:v>
                </c:pt>
                <c:pt idx="6">
                  <c:v> 2028 </c:v>
                </c:pt>
                <c:pt idx="7">
                  <c:v> 2029 </c:v>
                </c:pt>
                <c:pt idx="8">
                  <c:v> 2030 </c:v>
                </c:pt>
                <c:pt idx="9">
                  <c:v> 2031 </c:v>
                </c:pt>
              </c:strCache>
            </c:strRef>
          </c:cat>
          <c:val>
            <c:numRef>
              <c:f>БДР!$C$79:$L$79</c:f>
              <c:numCache>
                <c:formatCode>_-* #\ ##0_-;\-* #\ ##0_-;_-* "-"??_-;_-@_-</c:formatCode>
                <c:ptCount val="10"/>
                <c:pt idx="0">
                  <c:v>7410.8736264444442</c:v>
                </c:pt>
                <c:pt idx="1">
                  <c:v>10416.672039270001</c:v>
                </c:pt>
                <c:pt idx="2">
                  <c:v>13868.19641952796</c:v>
                </c:pt>
                <c:pt idx="3">
                  <c:v>17097.705659237894</c:v>
                </c:pt>
                <c:pt idx="4">
                  <c:v>18703.821713114296</c:v>
                </c:pt>
                <c:pt idx="5">
                  <c:v>15455.704204627329</c:v>
                </c:pt>
                <c:pt idx="6">
                  <c:v>22959.547927251944</c:v>
                </c:pt>
                <c:pt idx="7">
                  <c:v>31760.357078574092</c:v>
                </c:pt>
                <c:pt idx="8">
                  <c:v>40548.316488293349</c:v>
                </c:pt>
                <c:pt idx="9">
                  <c:v>47386.676821954956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1-46B3-9CFA-1762A8633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320288"/>
        <c:axId val="1823329024"/>
      </c:lineChart>
      <c:catAx>
        <c:axId val="1823320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3329024"/>
        <c:crosses val="autoZero"/>
        <c:auto val="1"/>
        <c:lblAlgn val="ctr"/>
        <c:lblOffset val="100"/>
        <c:noMultiLvlLbl val="0"/>
      </c:catAx>
      <c:valAx>
        <c:axId val="1823329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332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Эксплуатируемые</a:t>
            </a:r>
            <a:r>
              <a:rPr lang="ru-RU" baseline="0"/>
              <a:t> ЭЗС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Запросы!$A$3</c:f>
              <c:strCache>
                <c:ptCount val="1"/>
                <c:pt idx="0">
                  <c:v>Развитие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Запросы!$B$2:$K$2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Запросы!$B$3:$K$3</c:f>
              <c:numCache>
                <c:formatCode>0</c:formatCode>
                <c:ptCount val="10"/>
                <c:pt idx="0">
                  <c:v>250</c:v>
                </c:pt>
                <c:pt idx="1">
                  <c:v>3392.8571428571427</c:v>
                </c:pt>
                <c:pt idx="2">
                  <c:v>9678.5714285714294</c:v>
                </c:pt>
                <c:pt idx="3">
                  <c:v>22250</c:v>
                </c:pt>
                <c:pt idx="4">
                  <c:v>47392.857142857145</c:v>
                </c:pt>
                <c:pt idx="5">
                  <c:v>97678.571428571435</c:v>
                </c:pt>
                <c:pt idx="6">
                  <c:v>193221.42857142858</c:v>
                </c:pt>
                <c:pt idx="7">
                  <c:v>365198.57142857148</c:v>
                </c:pt>
                <c:pt idx="8">
                  <c:v>657559.7142857142</c:v>
                </c:pt>
                <c:pt idx="9">
                  <c:v>1125337.5428571429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4-4536-BA9C-C83ACAB44845}"/>
            </c:ext>
          </c:extLst>
        </c:ser>
        <c:ser>
          <c:idx val="1"/>
          <c:order val="1"/>
          <c:tx>
            <c:strRef>
              <c:f>Запросы!$A$4</c:f>
              <c:strCache>
                <c:ptCount val="1"/>
                <c:pt idx="0">
                  <c:v>Как есть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Запросы!$B$2:$K$2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Запросы!$B$4:$K$4</c:f>
              <c:numCache>
                <c:formatCode>0</c:formatCode>
                <c:ptCount val="10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4-4536-BA9C-C83ACAB448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74479344"/>
        <c:axId val="1974481008"/>
      </c:barChart>
      <c:catAx>
        <c:axId val="1974479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481008"/>
        <c:crosses val="autoZero"/>
        <c:auto val="1"/>
        <c:lblAlgn val="ctr"/>
        <c:lblOffset val="100"/>
        <c:noMultiLvlLbl val="0"/>
      </c:catAx>
      <c:valAx>
        <c:axId val="1974481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4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Маржинальность</a:t>
            </a:r>
          </a:p>
          <a:p>
            <a:pPr>
              <a:defRPr/>
            </a:pPr>
            <a:r>
              <a:rPr lang="ru-RU"/>
              <a:t>Тыс.Руб.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Запросы!$A$6</c:f>
              <c:strCache>
                <c:ptCount val="1"/>
                <c:pt idx="0">
                  <c:v>Развитие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Запросы!$B$5:$K$5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Запросы!$B$6:$K$6</c:f>
              <c:numCache>
                <c:formatCode>0</c:formatCode>
                <c:ptCount val="10"/>
                <c:pt idx="0">
                  <c:v>451343.58013796381</c:v>
                </c:pt>
                <c:pt idx="1">
                  <c:v>3179663.6423815615</c:v>
                </c:pt>
                <c:pt idx="2">
                  <c:v>9069470.0280722398</c:v>
                </c:pt>
                <c:pt idx="3">
                  <c:v>21465786.812337261</c:v>
                </c:pt>
                <c:pt idx="4">
                  <c:v>47442115.309073471</c:v>
                </c:pt>
                <c:pt idx="5">
                  <c:v>102149085.97473046</c:v>
                </c:pt>
                <c:pt idx="6">
                  <c:v>211085621.1139853</c:v>
                </c:pt>
                <c:pt idx="7">
                  <c:v>416175071.68043149</c:v>
                </c:pt>
                <c:pt idx="8">
                  <c:v>779616698.02464509</c:v>
                </c:pt>
                <c:pt idx="9">
                  <c:v>1385455984.8400016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C-4B7B-AE42-B639ADBCD48E}"/>
            </c:ext>
          </c:extLst>
        </c:ser>
        <c:ser>
          <c:idx val="1"/>
          <c:order val="1"/>
          <c:tx>
            <c:strRef>
              <c:f>Запросы!$A$7</c:f>
              <c:strCache>
                <c:ptCount val="1"/>
                <c:pt idx="0">
                  <c:v>Как есть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Запросы!$B$5:$K$5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Запросы!$B$7:$K$7</c:f>
              <c:numCache>
                <c:formatCode>0</c:formatCode>
                <c:ptCount val="10"/>
                <c:pt idx="0">
                  <c:v>1418.8063735555559</c:v>
                </c:pt>
                <c:pt idx="1">
                  <c:v>17065.734334285564</c:v>
                </c:pt>
                <c:pt idx="2">
                  <c:v>46605.356678393975</c:v>
                </c:pt>
                <c:pt idx="3">
                  <c:v>84702.931812544499</c:v>
                </c:pt>
                <c:pt idx="4">
                  <c:v>126656.1936300087</c:v>
                </c:pt>
                <c:pt idx="5">
                  <c:v>159139.69757411437</c:v>
                </c:pt>
                <c:pt idx="6">
                  <c:v>211286.94396847876</c:v>
                </c:pt>
                <c:pt idx="7">
                  <c:v>286025.59881844773</c:v>
                </c:pt>
                <c:pt idx="8">
                  <c:v>382726.02478466369</c:v>
                </c:pt>
                <c:pt idx="9">
                  <c:v>495760.47993950179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C-4B7B-AE42-B639ADBCD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564864"/>
        <c:axId val="1822566112"/>
      </c:lineChart>
      <c:catAx>
        <c:axId val="182256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566112"/>
        <c:crosses val="autoZero"/>
        <c:auto val="1"/>
        <c:lblAlgn val="ctr"/>
        <c:lblOffset val="100"/>
        <c:noMultiLvlLbl val="0"/>
      </c:catAx>
      <c:valAx>
        <c:axId val="1822566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5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 Эл.Моб в РФ</a:t>
            </a:r>
          </a:p>
          <a:p>
            <a:pPr>
              <a:defRPr/>
            </a:pPr>
            <a:r>
              <a:rPr lang="ru-RU"/>
              <a:t>динамика Тыс.Шт.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Запросы!$A$15</c:f>
              <c:strCache>
                <c:ptCount val="1"/>
                <c:pt idx="0">
                  <c:v>Развитие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Запросы!$B$14:$K$14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Запросы!$B$15:$K$15</c:f>
              <c:numCache>
                <c:formatCode>0</c:formatCode>
                <c:ptCount val="10"/>
                <c:pt idx="0">
                  <c:v>11</c:v>
                </c:pt>
                <c:pt idx="1">
                  <c:v>22</c:v>
                </c:pt>
                <c:pt idx="2">
                  <c:v>44</c:v>
                </c:pt>
                <c:pt idx="3">
                  <c:v>88</c:v>
                </c:pt>
                <c:pt idx="4">
                  <c:v>176</c:v>
                </c:pt>
                <c:pt idx="5">
                  <c:v>352</c:v>
                </c:pt>
                <c:pt idx="6">
                  <c:v>668.8</c:v>
                </c:pt>
                <c:pt idx="7">
                  <c:v>1203.8399999999999</c:v>
                </c:pt>
                <c:pt idx="8">
                  <c:v>2046.528</c:v>
                </c:pt>
                <c:pt idx="9">
                  <c:v>3274.4447999999998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8-4962-8A71-2CB69CC7FCE5}"/>
            </c:ext>
          </c:extLst>
        </c:ser>
        <c:ser>
          <c:idx val="1"/>
          <c:order val="1"/>
          <c:tx>
            <c:strRef>
              <c:f>Запросы!$A$16</c:f>
              <c:strCache>
                <c:ptCount val="1"/>
                <c:pt idx="0">
                  <c:v>Как есть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5.5555555555555558E-3"/>
                  <c:y val="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28-4962-8A71-2CB69CC7FCE5}"/>
                </c:ext>
              </c:extLst>
            </c:dLbl>
            <c:dLbl>
              <c:idx val="1"/>
              <c:layout>
                <c:manualLayout>
                  <c:x val="5.5555555555555558E-3"/>
                  <c:y val="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28-4962-8A71-2CB69CC7FCE5}"/>
                </c:ext>
              </c:extLst>
            </c:dLbl>
            <c:dLbl>
              <c:idx val="2"/>
              <c:layout>
                <c:manualLayout>
                  <c:x val="5.5555555555555558E-3"/>
                  <c:y val="6.0185185185185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28-4962-8A71-2CB69CC7FC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Запросы!$B$14:$K$14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Запросы!$B$16:$K$16</c:f>
              <c:numCache>
                <c:formatCode>0</c:formatCode>
                <c:ptCount val="10"/>
                <c:pt idx="0">
                  <c:v>11</c:v>
                </c:pt>
                <c:pt idx="1">
                  <c:v>16.5</c:v>
                </c:pt>
                <c:pt idx="2">
                  <c:v>24.75</c:v>
                </c:pt>
                <c:pt idx="3">
                  <c:v>37.125</c:v>
                </c:pt>
                <c:pt idx="4">
                  <c:v>55.6875</c:v>
                </c:pt>
                <c:pt idx="5">
                  <c:v>83.53125</c:v>
                </c:pt>
                <c:pt idx="6">
                  <c:v>116.94374999999999</c:v>
                </c:pt>
                <c:pt idx="7">
                  <c:v>152.02687499999999</c:v>
                </c:pt>
                <c:pt idx="8">
                  <c:v>182.43225000000001</c:v>
                </c:pt>
                <c:pt idx="9">
                  <c:v>200.67547500000001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28-4962-8A71-2CB69CC7FC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33202288"/>
        <c:axId val="1233208528"/>
      </c:lineChart>
      <c:catAx>
        <c:axId val="1233202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208528"/>
        <c:crosses val="autoZero"/>
        <c:auto val="1"/>
        <c:lblAlgn val="ctr"/>
        <c:lblOffset val="100"/>
        <c:noMultiLvlLbl val="0"/>
      </c:catAx>
      <c:valAx>
        <c:axId val="12332085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20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Эксплуатируемые</a:t>
            </a:r>
            <a:r>
              <a:rPr lang="ru-RU" baseline="0"/>
              <a:t> ЭЗС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Запросы!$A$3</c:f>
              <c:strCache>
                <c:ptCount val="1"/>
                <c:pt idx="0">
                  <c:v>Развитие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Запросы!$B$2:$K$2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Запросы!$B$3:$K$3</c:f>
              <c:numCache>
                <c:formatCode>0</c:formatCode>
                <c:ptCount val="10"/>
                <c:pt idx="0">
                  <c:v>250</c:v>
                </c:pt>
                <c:pt idx="1">
                  <c:v>3392.8571428571427</c:v>
                </c:pt>
                <c:pt idx="2">
                  <c:v>9678.5714285714294</c:v>
                </c:pt>
                <c:pt idx="3">
                  <c:v>22250</c:v>
                </c:pt>
                <c:pt idx="4">
                  <c:v>47392.857142857145</c:v>
                </c:pt>
                <c:pt idx="5">
                  <c:v>97678.571428571435</c:v>
                </c:pt>
                <c:pt idx="6">
                  <c:v>193221.42857142858</c:v>
                </c:pt>
                <c:pt idx="7">
                  <c:v>365198.57142857148</c:v>
                </c:pt>
                <c:pt idx="8">
                  <c:v>657559.7142857142</c:v>
                </c:pt>
                <c:pt idx="9">
                  <c:v>1125337.5428571429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A-4765-9C3E-BA91694ED003}"/>
            </c:ext>
          </c:extLst>
        </c:ser>
        <c:ser>
          <c:idx val="1"/>
          <c:order val="1"/>
          <c:tx>
            <c:strRef>
              <c:f>Запросы!$A$4</c:f>
              <c:strCache>
                <c:ptCount val="1"/>
                <c:pt idx="0">
                  <c:v>Как есть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Запросы!$B$2:$K$2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Запросы!$B$4:$K$4</c:f>
              <c:numCache>
                <c:formatCode>0</c:formatCode>
                <c:ptCount val="10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AA-4765-9C3E-BA91694ED0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974479344"/>
        <c:axId val="1974481008"/>
      </c:barChart>
      <c:catAx>
        <c:axId val="1974479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481008"/>
        <c:crosses val="autoZero"/>
        <c:auto val="1"/>
        <c:lblAlgn val="ctr"/>
        <c:lblOffset val="100"/>
        <c:noMultiLvlLbl val="0"/>
      </c:catAx>
      <c:valAx>
        <c:axId val="1974481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4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Маржинальность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Запросы!$A$6</c:f>
              <c:strCache>
                <c:ptCount val="1"/>
                <c:pt idx="0">
                  <c:v>Развитие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Запросы!$B$5:$K$5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Запросы!$B$6:$K$6</c:f>
              <c:numCache>
                <c:formatCode>0</c:formatCode>
                <c:ptCount val="10"/>
                <c:pt idx="0">
                  <c:v>451343.58013796381</c:v>
                </c:pt>
                <c:pt idx="1">
                  <c:v>3179663.6423815615</c:v>
                </c:pt>
                <c:pt idx="2">
                  <c:v>9069470.0280722398</c:v>
                </c:pt>
                <c:pt idx="3">
                  <c:v>21465786.812337261</c:v>
                </c:pt>
                <c:pt idx="4">
                  <c:v>47442115.309073471</c:v>
                </c:pt>
                <c:pt idx="5">
                  <c:v>102149085.97473046</c:v>
                </c:pt>
                <c:pt idx="6">
                  <c:v>211085621.1139853</c:v>
                </c:pt>
                <c:pt idx="7">
                  <c:v>416175071.68043149</c:v>
                </c:pt>
                <c:pt idx="8">
                  <c:v>779616698.02464509</c:v>
                </c:pt>
                <c:pt idx="9">
                  <c:v>1385455984.8400016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D-4E43-BB60-BB63CC939054}"/>
            </c:ext>
          </c:extLst>
        </c:ser>
        <c:ser>
          <c:idx val="1"/>
          <c:order val="1"/>
          <c:tx>
            <c:strRef>
              <c:f>Запросы!$A$7</c:f>
              <c:strCache>
                <c:ptCount val="1"/>
                <c:pt idx="0">
                  <c:v>Как есть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Запросы!$B$5:$K$5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Запросы!$B$7:$K$7</c:f>
              <c:numCache>
                <c:formatCode>0</c:formatCode>
                <c:ptCount val="10"/>
                <c:pt idx="0">
                  <c:v>1418.8063735555559</c:v>
                </c:pt>
                <c:pt idx="1">
                  <c:v>17065.734334285564</c:v>
                </c:pt>
                <c:pt idx="2">
                  <c:v>46605.356678393975</c:v>
                </c:pt>
                <c:pt idx="3">
                  <c:v>84702.931812544499</c:v>
                </c:pt>
                <c:pt idx="4">
                  <c:v>126656.1936300087</c:v>
                </c:pt>
                <c:pt idx="5">
                  <c:v>159139.69757411437</c:v>
                </c:pt>
                <c:pt idx="6">
                  <c:v>211286.94396847876</c:v>
                </c:pt>
                <c:pt idx="7">
                  <c:v>286025.59881844773</c:v>
                </c:pt>
                <c:pt idx="8">
                  <c:v>382726.02478466369</c:v>
                </c:pt>
                <c:pt idx="9">
                  <c:v>495760.47993950179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D-4E43-BB60-BB63CC939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564864"/>
        <c:axId val="1822566112"/>
      </c:lineChart>
      <c:catAx>
        <c:axId val="182256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566112"/>
        <c:crosses val="autoZero"/>
        <c:auto val="1"/>
        <c:lblAlgn val="ctr"/>
        <c:lblOffset val="100"/>
        <c:noMultiLvlLbl val="0"/>
      </c:catAx>
      <c:valAx>
        <c:axId val="1822566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5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Запросы!$A$9</c:f>
              <c:strCache>
                <c:ptCount val="1"/>
                <c:pt idx="0">
                  <c:v>Развитие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Запросы!$B$8:$K$8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Запросы!$B$9:$K$9</c:f>
              <c:numCache>
                <c:formatCode>0</c:formatCode>
                <c:ptCount val="10"/>
                <c:pt idx="0">
                  <c:v>1.2500000000000001E-2</c:v>
                </c:pt>
                <c:pt idx="1">
                  <c:v>2828571.4567857143</c:v>
                </c:pt>
                <c:pt idx="2">
                  <c:v>2828571.4882142856</c:v>
                </c:pt>
                <c:pt idx="3">
                  <c:v>5657142.9796428578</c:v>
                </c:pt>
                <c:pt idx="4">
                  <c:v>11564285.962499999</c:v>
                </c:pt>
                <c:pt idx="5">
                  <c:v>20115714.760357149</c:v>
                </c:pt>
                <c:pt idx="6">
                  <c:v>34395429.523785703</c:v>
                </c:pt>
                <c:pt idx="7">
                  <c:v>54172801.812242843</c:v>
                </c:pt>
                <c:pt idx="8">
                  <c:v>81766083.274048582</c:v>
                </c:pt>
                <c:pt idx="9">
                  <c:v>108528588.47008045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8-4CD7-9843-3D0437CAE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790576"/>
        <c:axId val="2067790992"/>
      </c:barChart>
      <c:lineChart>
        <c:grouping val="standard"/>
        <c:varyColors val="0"/>
        <c:ser>
          <c:idx val="1"/>
          <c:order val="1"/>
          <c:tx>
            <c:strRef>
              <c:f>Запросы!$A$10</c:f>
              <c:strCache>
                <c:ptCount val="1"/>
                <c:pt idx="0">
                  <c:v>Как есть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Запросы!$B$8:$K$8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Запросы!$B$10:$K$10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8-4CD7-9843-3D0437CAE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790576"/>
        <c:axId val="2067790992"/>
      </c:lineChart>
      <c:catAx>
        <c:axId val="206779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7790992"/>
        <c:crosses val="autoZero"/>
        <c:auto val="1"/>
        <c:lblAlgn val="ctr"/>
        <c:lblOffset val="100"/>
        <c:noMultiLvlLbl val="0"/>
      </c:catAx>
      <c:valAx>
        <c:axId val="20677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779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Кол-во</a:t>
            </a:r>
            <a:r>
              <a:rPr lang="ru-RU" baseline="0"/>
              <a:t> Эл.Моб в РФ</a:t>
            </a:r>
          </a:p>
          <a:p>
            <a:pPr>
              <a:defRPr/>
            </a:pPr>
            <a:r>
              <a:rPr lang="ru-RU" baseline="0"/>
              <a:t>динамика Тыс.Шт.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Запросы!$A$15</c:f>
              <c:strCache>
                <c:ptCount val="1"/>
                <c:pt idx="0">
                  <c:v>Развитие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Запросы!$B$14:$K$14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Запросы!$B$15:$K$15</c:f>
              <c:numCache>
                <c:formatCode>0</c:formatCode>
                <c:ptCount val="10"/>
                <c:pt idx="0">
                  <c:v>11</c:v>
                </c:pt>
                <c:pt idx="1">
                  <c:v>22</c:v>
                </c:pt>
                <c:pt idx="2">
                  <c:v>44</c:v>
                </c:pt>
                <c:pt idx="3">
                  <c:v>88</c:v>
                </c:pt>
                <c:pt idx="4">
                  <c:v>176</c:v>
                </c:pt>
                <c:pt idx="5">
                  <c:v>352</c:v>
                </c:pt>
                <c:pt idx="6">
                  <c:v>668.8</c:v>
                </c:pt>
                <c:pt idx="7">
                  <c:v>1203.8399999999999</c:v>
                </c:pt>
                <c:pt idx="8">
                  <c:v>2046.528</c:v>
                </c:pt>
                <c:pt idx="9">
                  <c:v>3274.4447999999998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F-434C-93F6-C48156930DD7}"/>
            </c:ext>
          </c:extLst>
        </c:ser>
        <c:ser>
          <c:idx val="1"/>
          <c:order val="1"/>
          <c:tx>
            <c:strRef>
              <c:f>Запросы!$A$16</c:f>
              <c:strCache>
                <c:ptCount val="1"/>
                <c:pt idx="0">
                  <c:v>Как есть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5.5555555555555558E-3"/>
                  <c:y val="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4F-434C-93F6-C48156930DD7}"/>
                </c:ext>
              </c:extLst>
            </c:dLbl>
            <c:dLbl>
              <c:idx val="1"/>
              <c:layout>
                <c:manualLayout>
                  <c:x val="5.5555555555555558E-3"/>
                  <c:y val="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4F-434C-93F6-C48156930DD7}"/>
                </c:ext>
              </c:extLst>
            </c:dLbl>
            <c:dLbl>
              <c:idx val="2"/>
              <c:layout>
                <c:manualLayout>
                  <c:x val="5.5555555555555558E-3"/>
                  <c:y val="6.01851851851850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4F-434C-93F6-C48156930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Запросы!$B$14:$K$14</c:f>
              <c:strCache>
                <c:ptCount val="1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</c:strCache>
            </c:strRef>
          </c:cat>
          <c:val>
            <c:numRef>
              <c:f>Запросы!$B$16:$K$16</c:f>
              <c:numCache>
                <c:formatCode>0</c:formatCode>
                <c:ptCount val="10"/>
                <c:pt idx="0">
                  <c:v>11</c:v>
                </c:pt>
                <c:pt idx="1">
                  <c:v>16.5</c:v>
                </c:pt>
                <c:pt idx="2">
                  <c:v>24.75</c:v>
                </c:pt>
                <c:pt idx="3">
                  <c:v>37.125</c:v>
                </c:pt>
                <c:pt idx="4">
                  <c:v>55.6875</c:v>
                </c:pt>
                <c:pt idx="5">
                  <c:v>83.53125</c:v>
                </c:pt>
                <c:pt idx="6">
                  <c:v>116.94374999999999</c:v>
                </c:pt>
                <c:pt idx="7">
                  <c:v>152.02687499999999</c:v>
                </c:pt>
                <c:pt idx="8">
                  <c:v>182.43225000000001</c:v>
                </c:pt>
                <c:pt idx="9">
                  <c:v>200.67547500000001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F-434C-93F6-C48156930D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33202288"/>
        <c:axId val="1233208528"/>
        <c:axId val="0"/>
      </c:bar3DChart>
      <c:catAx>
        <c:axId val="123320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208528"/>
        <c:crosses val="autoZero"/>
        <c:auto val="1"/>
        <c:lblAlgn val="ctr"/>
        <c:lblOffset val="100"/>
        <c:noMultiLvlLbl val="0"/>
      </c:catAx>
      <c:valAx>
        <c:axId val="12332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20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566748</xdr:colOff>
      <xdr:row>16</xdr:row>
      <xdr:rowOff>52384</xdr:rowOff>
    </xdr:from>
    <xdr:to>
      <xdr:col>18</xdr:col>
      <xdr:colOff>571511</xdr:colOff>
      <xdr:row>30</xdr:row>
      <xdr:rowOff>138113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E27DDFB-F94F-4275-92AA-5C7F676FB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1476363</xdr:colOff>
      <xdr:row>16</xdr:row>
      <xdr:rowOff>76192</xdr:rowOff>
    </xdr:from>
    <xdr:to>
      <xdr:col>11</xdr:col>
      <xdr:colOff>542913</xdr:colOff>
      <xdr:row>30</xdr:row>
      <xdr:rowOff>128580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9D18954-45C5-4FF1-A131-81A1B5991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1481138</xdr:colOff>
      <xdr:row>1</xdr:row>
      <xdr:rowOff>38115</xdr:rowOff>
    </xdr:from>
    <xdr:to>
      <xdr:col>11</xdr:col>
      <xdr:colOff>547688</xdr:colOff>
      <xdr:row>16</xdr:row>
      <xdr:rowOff>66690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361E34A9-CDB4-408F-B084-1FD7051C2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566738</xdr:colOff>
      <xdr:row>1</xdr:row>
      <xdr:rowOff>23819</xdr:rowOff>
    </xdr:from>
    <xdr:to>
      <xdr:col>18</xdr:col>
      <xdr:colOff>571501</xdr:colOff>
      <xdr:row>16</xdr:row>
      <xdr:rowOff>52394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989BFD7-4A1E-4630-9688-E4B2C6A44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1016794</xdr:colOff>
      <xdr:row>2</xdr:row>
      <xdr:rowOff>145257</xdr:rowOff>
    </xdr:from>
    <xdr:to>
      <xdr:col>20</xdr:col>
      <xdr:colOff>397669</xdr:colOff>
      <xdr:row>17</xdr:row>
      <xdr:rowOff>173832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BB73A2-7063-4C0C-8B2E-EC447225E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507204</xdr:colOff>
      <xdr:row>19</xdr:row>
      <xdr:rowOff>169068</xdr:rowOff>
    </xdr:from>
    <xdr:to>
      <xdr:col>21</xdr:col>
      <xdr:colOff>545304</xdr:colOff>
      <xdr:row>35</xdr:row>
      <xdr:rowOff>16668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E3FEEFC-A806-4751-AAD1-1728A7FE8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278605</xdr:colOff>
      <xdr:row>7</xdr:row>
      <xdr:rowOff>7144</xdr:rowOff>
    </xdr:from>
    <xdr:to>
      <xdr:col>23</xdr:col>
      <xdr:colOff>316705</xdr:colOff>
      <xdr:row>22</xdr:row>
      <xdr:rowOff>35719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5F5EBBD-0086-4D1B-AA1A-84A4AF895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411956</xdr:colOff>
      <xdr:row>21</xdr:row>
      <xdr:rowOff>7143</xdr:rowOff>
    </xdr:from>
    <xdr:to>
      <xdr:col>9</xdr:col>
      <xdr:colOff>588168</xdr:colOff>
      <xdr:row>36</xdr:row>
      <xdr:rowOff>35718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89F2742-99EA-4A32-B0ED-9127E8070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2B61-1552-4673-81DD-97701FA2DCD6}">
  <sheetPr>
    <tabColor theme="9"/>
  </sheetPr>
  <dimension ref="A1:E18"/>
  <sheetViews>
    <sheetView tabSelected="1" workbookViewId="0">
      <selection activeCell="D24" sqref="D24"/>
    </sheetView>
  </sheetViews>
  <sheetFormatPr defaultColWidth="9.1328125" defaultRowHeight="14.25" x14ac:dyDescent="0.45"/>
  <cols>
    <col min="1" max="1" width="4.59765625" style="46" customWidth="1"/>
    <col min="2" max="2" width="50.3984375" style="46" bestFit="1" customWidth="1"/>
    <col min="3" max="3" width="11.59765625" style="46" customWidth="1"/>
    <col min="4" max="4" width="12.1328125" style="46" customWidth="1"/>
    <col min="5" max="5" width="22.265625" style="46" bestFit="1" customWidth="1"/>
    <col min="6" max="16384" width="9.1328125" style="46"/>
  </cols>
  <sheetData>
    <row r="1" spans="1:5" x14ac:dyDescent="0.45">
      <c r="A1" s="46" t="s">
        <v>161</v>
      </c>
      <c r="C1" s="86" t="s">
        <v>211</v>
      </c>
      <c r="D1" s="87"/>
    </row>
    <row r="2" spans="1:5" x14ac:dyDescent="0.45">
      <c r="C2" s="64" t="s">
        <v>231</v>
      </c>
      <c r="D2" s="65" t="s">
        <v>232</v>
      </c>
    </row>
    <row r="3" spans="1:5" x14ac:dyDescent="0.45">
      <c r="B3" s="46" t="s">
        <v>162</v>
      </c>
      <c r="C3" s="86" t="s">
        <v>163</v>
      </c>
      <c r="D3" s="87"/>
      <c r="E3" s="46" t="s">
        <v>164</v>
      </c>
    </row>
    <row r="4" spans="1:5" x14ac:dyDescent="0.45">
      <c r="B4" s="46" t="s">
        <v>234</v>
      </c>
      <c r="C4" s="62">
        <v>100</v>
      </c>
      <c r="D4" s="63">
        <v>6</v>
      </c>
      <c r="E4" s="46" t="s">
        <v>165</v>
      </c>
    </row>
    <row r="5" spans="1:5" x14ac:dyDescent="0.45">
      <c r="B5" s="46" t="s">
        <v>0</v>
      </c>
      <c r="C5" s="57">
        <v>48</v>
      </c>
      <c r="D5" s="52">
        <v>48</v>
      </c>
      <c r="E5" s="46" t="s">
        <v>208</v>
      </c>
    </row>
    <row r="6" spans="1:5" x14ac:dyDescent="0.45">
      <c r="B6" s="46" t="s">
        <v>168</v>
      </c>
      <c r="C6" s="83">
        <v>0</v>
      </c>
      <c r="D6" s="52">
        <v>20</v>
      </c>
      <c r="E6" s="46" t="s">
        <v>165</v>
      </c>
    </row>
    <row r="7" spans="1:5" x14ac:dyDescent="0.45">
      <c r="B7" s="46" t="s">
        <v>236</v>
      </c>
      <c r="C7" s="58">
        <v>50</v>
      </c>
      <c r="D7" s="53">
        <v>17</v>
      </c>
      <c r="E7" s="46" t="s">
        <v>206</v>
      </c>
    </row>
    <row r="8" spans="1:5" x14ac:dyDescent="0.45">
      <c r="B8" s="46" t="s">
        <v>167</v>
      </c>
      <c r="C8" s="59">
        <v>7</v>
      </c>
      <c r="D8" s="54">
        <v>7</v>
      </c>
      <c r="E8" s="46" t="s">
        <v>166</v>
      </c>
    </row>
    <row r="9" spans="1:5" x14ac:dyDescent="0.45">
      <c r="B9" s="46" t="s">
        <v>170</v>
      </c>
      <c r="C9" s="60">
        <v>5</v>
      </c>
      <c r="D9" s="55">
        <v>0</v>
      </c>
      <c r="E9" s="46" t="s">
        <v>166</v>
      </c>
    </row>
    <row r="10" spans="1:5" x14ac:dyDescent="0.45">
      <c r="B10" s="46" t="s">
        <v>171</v>
      </c>
      <c r="C10" s="60">
        <v>500000</v>
      </c>
      <c r="D10" s="55">
        <v>0</v>
      </c>
      <c r="E10" s="46" t="s">
        <v>166</v>
      </c>
    </row>
    <row r="11" spans="1:5" x14ac:dyDescent="0.45">
      <c r="B11" s="46" t="s">
        <v>195</v>
      </c>
      <c r="C11" s="60">
        <v>100</v>
      </c>
      <c r="D11" s="55">
        <v>50</v>
      </c>
      <c r="E11" s="46" t="s">
        <v>194</v>
      </c>
    </row>
    <row r="12" spans="1:5" x14ac:dyDescent="0.45">
      <c r="B12" s="46" t="s">
        <v>197</v>
      </c>
      <c r="C12" s="60">
        <v>0</v>
      </c>
      <c r="D12" s="55">
        <v>0</v>
      </c>
      <c r="E12" s="46" t="s">
        <v>198</v>
      </c>
    </row>
    <row r="13" spans="1:5" x14ac:dyDescent="0.45">
      <c r="B13" s="46" t="s">
        <v>205</v>
      </c>
      <c r="C13" s="60">
        <v>0</v>
      </c>
      <c r="D13" s="55">
        <v>0</v>
      </c>
      <c r="E13" s="46" t="s">
        <v>198</v>
      </c>
    </row>
    <row r="14" spans="1:5" x14ac:dyDescent="0.45">
      <c r="B14" s="46" t="s">
        <v>209</v>
      </c>
      <c r="C14" s="81">
        <v>7</v>
      </c>
      <c r="D14" s="56">
        <v>0</v>
      </c>
      <c r="E14" s="46" t="s">
        <v>210</v>
      </c>
    </row>
    <row r="15" spans="1:5" x14ac:dyDescent="0.45">
      <c r="B15" s="46" t="s">
        <v>233</v>
      </c>
      <c r="C15" s="61">
        <v>5000</v>
      </c>
      <c r="D15" s="56">
        <v>0</v>
      </c>
      <c r="E15" s="46" t="s">
        <v>220</v>
      </c>
    </row>
    <row r="16" spans="1:5" x14ac:dyDescent="0.45">
      <c r="B16" s="46" t="s">
        <v>224</v>
      </c>
      <c r="C16" s="61">
        <v>1</v>
      </c>
      <c r="D16" s="61">
        <v>0</v>
      </c>
      <c r="E16" s="46" t="s">
        <v>198</v>
      </c>
    </row>
    <row r="17" spans="3:4" x14ac:dyDescent="0.45">
      <c r="C17" s="47"/>
      <c r="D17" s="47"/>
    </row>
    <row r="18" spans="3:4" x14ac:dyDescent="0.45">
      <c r="C18" s="47"/>
      <c r="D18" s="47"/>
    </row>
  </sheetData>
  <mergeCells count="2">
    <mergeCell ref="C1:D1"/>
    <mergeCell ref="C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058A-F0B1-401A-97A3-140D578D2F08}">
  <dimension ref="A1:B10"/>
  <sheetViews>
    <sheetView workbookViewId="0">
      <selection activeCell="B1" sqref="B1"/>
    </sheetView>
  </sheetViews>
  <sheetFormatPr defaultRowHeight="14.25" x14ac:dyDescent="0.45"/>
  <cols>
    <col min="1" max="1" width="18.265625" customWidth="1"/>
  </cols>
  <sheetData>
    <row r="1" spans="1:2" x14ac:dyDescent="0.45">
      <c r="A1">
        <v>600</v>
      </c>
      <c r="B1" t="s">
        <v>237</v>
      </c>
    </row>
    <row r="2" spans="1:2" x14ac:dyDescent="0.45">
      <c r="A2">
        <v>764</v>
      </c>
    </row>
    <row r="3" spans="1:2" x14ac:dyDescent="0.45">
      <c r="A3" s="84">
        <v>1500000</v>
      </c>
    </row>
    <row r="4" spans="1:2" x14ac:dyDescent="0.45">
      <c r="A4" s="84">
        <f>A3/12</f>
        <v>125000</v>
      </c>
    </row>
    <row r="5" spans="1:2" x14ac:dyDescent="0.45">
      <c r="A5" s="85">
        <f>A4/50</f>
        <v>2500</v>
      </c>
    </row>
    <row r="7" spans="1:2" x14ac:dyDescent="0.45">
      <c r="A7">
        <v>42</v>
      </c>
    </row>
    <row r="8" spans="1:2" x14ac:dyDescent="0.45">
      <c r="A8" s="26">
        <v>13000000</v>
      </c>
    </row>
    <row r="9" spans="1:2" x14ac:dyDescent="0.45">
      <c r="A9" s="25">
        <f>A8/A7</f>
        <v>309523.80952380953</v>
      </c>
    </row>
    <row r="10" spans="1:2" x14ac:dyDescent="0.45">
      <c r="A10" s="25">
        <f>A9/12</f>
        <v>25793.650793650795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5B8D-AC4B-42E9-8156-8C70D48A2C71}">
  <sheetPr>
    <tabColor rgb="FFFF0000"/>
  </sheetPr>
  <dimension ref="A1:Q79"/>
  <sheetViews>
    <sheetView zoomScale="85" zoomScaleNormal="85" workbookViewId="0">
      <pane ySplit="3" topLeftCell="A4" activePane="bottomLeft" state="frozenSplit"/>
      <selection pane="bottomLeft" activeCell="D6" sqref="D6:N42"/>
    </sheetView>
  </sheetViews>
  <sheetFormatPr defaultColWidth="9.1328125" defaultRowHeight="14.25" x14ac:dyDescent="0.45"/>
  <cols>
    <col min="1" max="1" width="17.265625" style="1" customWidth="1"/>
    <col min="2" max="2" width="9.1328125" style="1"/>
    <col min="3" max="3" width="18" style="1" customWidth="1"/>
    <col min="4" max="4" width="21" style="6" customWidth="1"/>
    <col min="5" max="15" width="21" style="1" customWidth="1"/>
    <col min="16" max="16" width="9.1328125" style="1"/>
    <col min="17" max="17" width="15.59765625" style="1" bestFit="1" customWidth="1"/>
    <col min="18" max="16384" width="9.1328125" style="1"/>
  </cols>
  <sheetData>
    <row r="1" spans="1:14" s="5" customFormat="1" x14ac:dyDescent="0.45">
      <c r="A1" s="9" t="s">
        <v>16</v>
      </c>
      <c r="B1" s="9"/>
      <c r="C1" s="9"/>
    </row>
    <row r="2" spans="1:14" s="5" customFormat="1" x14ac:dyDescent="0.45">
      <c r="A2" s="9"/>
      <c r="B2" s="9"/>
      <c r="C2" s="9"/>
      <c r="D2" s="5" t="s">
        <v>199</v>
      </c>
      <c r="E2" s="5" t="s">
        <v>200</v>
      </c>
      <c r="F2" s="5" t="s">
        <v>201</v>
      </c>
      <c r="G2" s="5" t="s">
        <v>202</v>
      </c>
      <c r="H2" s="5" t="s">
        <v>202</v>
      </c>
      <c r="I2" s="5" t="s">
        <v>203</v>
      </c>
      <c r="J2" s="5" t="s">
        <v>204</v>
      </c>
      <c r="K2" s="5" t="s">
        <v>204</v>
      </c>
      <c r="L2" s="5" t="s">
        <v>204</v>
      </c>
      <c r="M2" s="5" t="s">
        <v>204</v>
      </c>
      <c r="N2" s="5" t="s">
        <v>204</v>
      </c>
    </row>
    <row r="3" spans="1:14" x14ac:dyDescent="0.45">
      <c r="A3" s="23" t="s">
        <v>30</v>
      </c>
      <c r="B3" s="23"/>
      <c r="C3" s="23"/>
      <c r="D3" s="24" t="s">
        <v>4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  <c r="J3" s="24" t="s">
        <v>12</v>
      </c>
      <c r="K3" s="24" t="s">
        <v>13</v>
      </c>
      <c r="L3" s="24" t="s">
        <v>14</v>
      </c>
      <c r="M3" s="24" t="s">
        <v>15</v>
      </c>
      <c r="N3" s="24" t="s">
        <v>17</v>
      </c>
    </row>
    <row r="4" spans="1:14" ht="21" x14ac:dyDescent="0.65">
      <c r="A4" s="50" t="str">
        <f>Моделирование!C2</f>
        <v>Развитие</v>
      </c>
      <c r="B4" s="50"/>
      <c r="C4" s="50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45">
      <c r="A5" s="20" t="s">
        <v>3</v>
      </c>
      <c r="B5" s="20"/>
      <c r="C5" s="20"/>
      <c r="D5" s="21">
        <f>D2*Моделирование!$C$13</f>
        <v>0</v>
      </c>
      <c r="E5" s="21">
        <f>E2*Моделирование!$C$13</f>
        <v>0</v>
      </c>
      <c r="F5" s="21">
        <f>F2*Моделирование!$C$13</f>
        <v>0</v>
      </c>
      <c r="G5" s="21">
        <f>G2*Моделирование!$C$13</f>
        <v>0</v>
      </c>
      <c r="H5" s="21">
        <f>H2*Моделирование!$C$13</f>
        <v>0</v>
      </c>
      <c r="I5" s="21">
        <f>I2*Моделирование!$C$13</f>
        <v>0</v>
      </c>
      <c r="J5" s="21">
        <f>J2*Моделирование!$C$13</f>
        <v>0</v>
      </c>
      <c r="K5" s="21">
        <f>K2*Моделирование!$C$13</f>
        <v>0</v>
      </c>
      <c r="L5" s="21">
        <f>L2*Моделирование!$C$13</f>
        <v>0</v>
      </c>
      <c r="M5" s="21">
        <f>M2*Моделирование!$C$13</f>
        <v>0</v>
      </c>
      <c r="N5" s="21">
        <f>N2*Моделирование!$C$13</f>
        <v>0</v>
      </c>
    </row>
    <row r="6" spans="1:14" x14ac:dyDescent="0.45">
      <c r="A6" s="13" t="s">
        <v>5</v>
      </c>
      <c r="B6" s="13"/>
      <c r="C6" s="13"/>
      <c r="D6" s="4">
        <v>45000000</v>
      </c>
      <c r="E6" s="3">
        <f>D6-D7</f>
        <v>44989000</v>
      </c>
      <c r="F6" s="3">
        <f t="shared" ref="F6:M6" si="0">E6-E7</f>
        <v>44967000</v>
      </c>
      <c r="G6" s="3">
        <f t="shared" si="0"/>
        <v>44923000</v>
      </c>
      <c r="H6" s="3">
        <f t="shared" si="0"/>
        <v>44835000</v>
      </c>
      <c r="I6" s="3">
        <f t="shared" si="0"/>
        <v>44659000</v>
      </c>
      <c r="J6" s="3">
        <f t="shared" si="0"/>
        <v>44307000</v>
      </c>
      <c r="K6" s="3">
        <f t="shared" si="0"/>
        <v>43638200</v>
      </c>
      <c r="L6" s="3">
        <f t="shared" si="0"/>
        <v>42434360</v>
      </c>
      <c r="M6" s="3">
        <f t="shared" si="0"/>
        <v>40387832</v>
      </c>
      <c r="N6" s="3">
        <f>M6-M7</f>
        <v>37113387.200000003</v>
      </c>
    </row>
    <row r="7" spans="1:14" x14ac:dyDescent="0.45">
      <c r="A7" s="13" t="s">
        <v>6</v>
      </c>
      <c r="B7" s="13"/>
      <c r="C7" s="13"/>
      <c r="D7" s="4">
        <v>11000</v>
      </c>
      <c r="E7" s="3">
        <f>(D7/100)*(100+D8)</f>
        <v>22000</v>
      </c>
      <c r="F7" s="3">
        <f t="shared" ref="F7:N7" si="1">(E7/100)*(100+E8)</f>
        <v>44000</v>
      </c>
      <c r="G7" s="3">
        <f t="shared" si="1"/>
        <v>88000</v>
      </c>
      <c r="H7" s="3">
        <f t="shared" si="1"/>
        <v>176000</v>
      </c>
      <c r="I7" s="3">
        <f t="shared" si="1"/>
        <v>352000</v>
      </c>
      <c r="J7" s="3">
        <f t="shared" si="1"/>
        <v>668800</v>
      </c>
      <c r="K7" s="3">
        <f t="shared" si="1"/>
        <v>1203840</v>
      </c>
      <c r="L7" s="3">
        <f t="shared" si="1"/>
        <v>2046528</v>
      </c>
      <c r="M7" s="3">
        <f t="shared" si="1"/>
        <v>3274444.7999999998</v>
      </c>
      <c r="N7" s="3">
        <f t="shared" si="1"/>
        <v>4911667.1999999993</v>
      </c>
    </row>
    <row r="8" spans="1:14" x14ac:dyDescent="0.45">
      <c r="A8" s="13" t="s">
        <v>129</v>
      </c>
      <c r="B8" s="13"/>
      <c r="C8" s="13"/>
      <c r="D8" s="8">
        <f>Моделирование!C11</f>
        <v>100</v>
      </c>
      <c r="E8" s="8">
        <f>D8</f>
        <v>100</v>
      </c>
      <c r="F8" s="8">
        <f t="shared" ref="F8:H8" si="2">E8</f>
        <v>100</v>
      </c>
      <c r="G8" s="8">
        <f t="shared" si="2"/>
        <v>100</v>
      </c>
      <c r="H8" s="8">
        <f t="shared" si="2"/>
        <v>100</v>
      </c>
      <c r="I8" s="8">
        <f>IF(H8-10&gt;10,H8-10,10)</f>
        <v>90</v>
      </c>
      <c r="J8" s="8">
        <f t="shared" ref="J8:N8" si="3">IF(I8-10&gt;10,I8-10,10)</f>
        <v>80</v>
      </c>
      <c r="K8" s="8">
        <f t="shared" si="3"/>
        <v>70</v>
      </c>
      <c r="L8" s="8">
        <f t="shared" si="3"/>
        <v>60</v>
      </c>
      <c r="M8" s="8">
        <f t="shared" si="3"/>
        <v>50</v>
      </c>
      <c r="N8" s="8">
        <f t="shared" si="3"/>
        <v>40</v>
      </c>
    </row>
    <row r="9" spans="1:14" x14ac:dyDescent="0.45">
      <c r="A9" s="13" t="s">
        <v>27</v>
      </c>
      <c r="B9" s="13"/>
      <c r="C9" s="13"/>
      <c r="D9" s="7">
        <f t="shared" ref="D9:N9" si="4">D7/(D6/100)</f>
        <v>2.4444444444444446E-2</v>
      </c>
      <c r="E9" s="7">
        <f t="shared" si="4"/>
        <v>4.8900842428149106E-2</v>
      </c>
      <c r="F9" s="7">
        <f t="shared" si="4"/>
        <v>9.784953410278649E-2</v>
      </c>
      <c r="G9" s="7">
        <f t="shared" si="4"/>
        <v>0.19589074638826437</v>
      </c>
      <c r="H9" s="7">
        <f t="shared" si="4"/>
        <v>0.39255046280807404</v>
      </c>
      <c r="I9" s="7">
        <f t="shared" si="4"/>
        <v>0.78819498869208893</v>
      </c>
      <c r="J9" s="7">
        <f t="shared" si="4"/>
        <v>1.5094680298824115</v>
      </c>
      <c r="K9" s="7">
        <f t="shared" si="4"/>
        <v>2.7586839053856482</v>
      </c>
      <c r="L9" s="7">
        <f t="shared" si="4"/>
        <v>4.8228086861684734</v>
      </c>
      <c r="M9" s="7">
        <f t="shared" si="4"/>
        <v>8.1075032697967053</v>
      </c>
      <c r="N9" s="7">
        <f t="shared" si="4"/>
        <v>13.234219699569753</v>
      </c>
    </row>
    <row r="10" spans="1:14" x14ac:dyDescent="0.45">
      <c r="A10" s="13" t="s">
        <v>28</v>
      </c>
      <c r="B10" s="13"/>
      <c r="C10" s="13"/>
      <c r="D10" s="82">
        <f>IF(Моделирование!$C$14=0,0,D7/Моделирование!$C$14)</f>
        <v>1571.4285714285713</v>
      </c>
      <c r="E10" s="3">
        <f>IF(Моделирование!$C$14=0,0,E7/Моделирование!$C$14)</f>
        <v>3142.8571428571427</v>
      </c>
      <c r="F10" s="3">
        <f>IF(Моделирование!$C$14=0,0,F7/Моделирование!$C$14)</f>
        <v>6285.7142857142853</v>
      </c>
      <c r="G10" s="3">
        <f>IF(Моделирование!$C$14=0,0,G7/Моделирование!$C$14)</f>
        <v>12571.428571428571</v>
      </c>
      <c r="H10" s="3">
        <f>IF(Моделирование!$C$14=0,0,H7/Моделирование!$C$14)</f>
        <v>25142.857142857141</v>
      </c>
      <c r="I10" s="3">
        <f>IF(Моделирование!$C$14=0,0,I7/Моделирование!$C$14)</f>
        <v>50285.714285714283</v>
      </c>
      <c r="J10" s="3">
        <f>IF(Моделирование!$C$14=0,0,J7/Моделирование!$C$14)</f>
        <v>95542.857142857145</v>
      </c>
      <c r="K10" s="3">
        <f>IF(Моделирование!$C$14=0,0,K7/Моделирование!$C$14)</f>
        <v>171977.14285714287</v>
      </c>
      <c r="L10" s="3">
        <f>IF(Моделирование!$C$14=0,0,L7/Моделирование!$C$14)</f>
        <v>292361.14285714284</v>
      </c>
      <c r="M10" s="3">
        <f>IF(Моделирование!$C$14=0,0,M7/Моделирование!$C$14)</f>
        <v>467777.82857142854</v>
      </c>
      <c r="N10" s="3">
        <f>IF(Моделирование!$C$14=0,0,N7/Моделирование!$C$14)</f>
        <v>701666.7428571427</v>
      </c>
    </row>
    <row r="11" spans="1:14" x14ac:dyDescent="0.45">
      <c r="A11" s="13" t="s">
        <v>137</v>
      </c>
      <c r="B11" s="13"/>
      <c r="C11" s="13"/>
      <c r="D11" s="3">
        <f>IF(D10=0,0,IF(((D10/100)*10)-'Модель Хаба Федеральные трассы'!D25&gt;1000,((D10/100)*10)-'Модель Хаба Федеральные трассы'!D25,1000))</f>
        <v>1000</v>
      </c>
      <c r="E11" s="3">
        <f>((E10/100)*10)-'Модель Хаба Федеральные трассы'!E25</f>
        <v>314.28571428571428</v>
      </c>
      <c r="F11" s="3">
        <f>((F10/100)*10)-'Модель Хаба Федеральные трассы'!F25</f>
        <v>628.57142857142856</v>
      </c>
      <c r="G11" s="3">
        <f>((G10/100)*10)-'Модель Хаба Федеральные трассы'!G25</f>
        <v>1257.1428571428571</v>
      </c>
      <c r="H11" s="3">
        <f>((H10/100)*10)-'Модель Хаба Федеральные трассы'!H25</f>
        <v>2514.2857142857142</v>
      </c>
      <c r="I11" s="3">
        <f>((I10/100)*10)-'Модель Хаба Федеральные трассы'!I25</f>
        <v>4528.5714285714284</v>
      </c>
      <c r="J11" s="3">
        <f>((J10/100)*10)-'Модель Хаба Федеральные трассы'!J25</f>
        <v>9554.2857142857138</v>
      </c>
      <c r="K11" s="3">
        <f>((K10/100)*10)-'Модель Хаба Федеральные трассы'!K25</f>
        <v>17197.714285714286</v>
      </c>
      <c r="L11" s="3">
        <f>((L10/100)*10)-'Модель Хаба Федеральные трассы'!L25</f>
        <v>29236.114285714284</v>
      </c>
      <c r="M11" s="3">
        <f>((M10/100)*10)-'Модель Хаба Федеральные трассы'!M25</f>
        <v>46777.782857142854</v>
      </c>
      <c r="N11" s="3">
        <f>((N10/100)*10)-'Модель Хаба Федеральные трассы'!N25</f>
        <v>69266.674285714267</v>
      </c>
    </row>
    <row r="12" spans="1:14" x14ac:dyDescent="0.45">
      <c r="A12" s="13" t="s">
        <v>138</v>
      </c>
      <c r="B12" s="13"/>
      <c r="C12" s="13"/>
      <c r="D12" s="3">
        <v>0</v>
      </c>
      <c r="E12" s="3">
        <f t="shared" ref="E12:N12" si="5">E10-E11</f>
        <v>2828.5714285714284</v>
      </c>
      <c r="F12" s="3">
        <f t="shared" si="5"/>
        <v>5657.1428571428569</v>
      </c>
      <c r="G12" s="3">
        <f t="shared" si="5"/>
        <v>11314.285714285714</v>
      </c>
      <c r="H12" s="3">
        <f t="shared" si="5"/>
        <v>22628.571428571428</v>
      </c>
      <c r="I12" s="3">
        <f t="shared" si="5"/>
        <v>45757.142857142855</v>
      </c>
      <c r="J12" s="3">
        <f t="shared" si="5"/>
        <v>85988.571428571435</v>
      </c>
      <c r="K12" s="3">
        <f t="shared" si="5"/>
        <v>154779.42857142858</v>
      </c>
      <c r="L12" s="3">
        <f t="shared" si="5"/>
        <v>263125.02857142856</v>
      </c>
      <c r="M12" s="3">
        <f t="shared" si="5"/>
        <v>421000.04571428569</v>
      </c>
      <c r="N12" s="3">
        <f t="shared" si="5"/>
        <v>632400.06857142842</v>
      </c>
    </row>
    <row r="13" spans="1:14" x14ac:dyDescent="0.45">
      <c r="A13" s="13" t="s">
        <v>143</v>
      </c>
      <c r="B13" s="13"/>
      <c r="C13" s="13"/>
      <c r="D13" s="10">
        <f>Моделирование!C4</f>
        <v>100</v>
      </c>
      <c r="E13" s="11">
        <f>D13</f>
        <v>100</v>
      </c>
      <c r="F13" s="11">
        <f t="shared" ref="F13:N14" si="6">E13</f>
        <v>100</v>
      </c>
      <c r="G13" s="11">
        <f t="shared" si="6"/>
        <v>100</v>
      </c>
      <c r="H13" s="11">
        <f t="shared" si="6"/>
        <v>100</v>
      </c>
      <c r="I13" s="11">
        <f t="shared" si="6"/>
        <v>100</v>
      </c>
      <c r="J13" s="11">
        <f t="shared" si="6"/>
        <v>100</v>
      </c>
      <c r="K13" s="11">
        <f t="shared" si="6"/>
        <v>100</v>
      </c>
      <c r="L13" s="11">
        <f t="shared" si="6"/>
        <v>100</v>
      </c>
      <c r="M13" s="11">
        <f t="shared" si="6"/>
        <v>100</v>
      </c>
      <c r="N13" s="11">
        <f t="shared" si="6"/>
        <v>100</v>
      </c>
    </row>
    <row r="14" spans="1:14" x14ac:dyDescent="0.45">
      <c r="A14" s="13" t="s">
        <v>144</v>
      </c>
      <c r="B14" s="13"/>
      <c r="C14" s="13"/>
      <c r="D14" s="10">
        <f>Моделирование!C4</f>
        <v>100</v>
      </c>
      <c r="E14" s="11">
        <f>D14</f>
        <v>100</v>
      </c>
      <c r="F14" s="11">
        <f t="shared" si="6"/>
        <v>100</v>
      </c>
      <c r="G14" s="11">
        <f t="shared" si="6"/>
        <v>100</v>
      </c>
      <c r="H14" s="11">
        <f t="shared" si="6"/>
        <v>100</v>
      </c>
      <c r="I14" s="11">
        <f t="shared" si="6"/>
        <v>100</v>
      </c>
      <c r="J14" s="11">
        <f t="shared" si="6"/>
        <v>100</v>
      </c>
      <c r="K14" s="11">
        <f t="shared" si="6"/>
        <v>100</v>
      </c>
      <c r="L14" s="11">
        <f t="shared" si="6"/>
        <v>100</v>
      </c>
      <c r="M14" s="11">
        <f t="shared" si="6"/>
        <v>100</v>
      </c>
      <c r="N14" s="11">
        <f t="shared" si="6"/>
        <v>100</v>
      </c>
    </row>
    <row r="15" spans="1:14" x14ac:dyDescent="0.45">
      <c r="A15" s="13" t="s">
        <v>29</v>
      </c>
      <c r="B15" s="13"/>
      <c r="C15" s="13"/>
      <c r="D15" s="11">
        <v>150</v>
      </c>
      <c r="E15" s="11">
        <f t="shared" ref="E15:M15" si="7">E16+E17</f>
        <v>3142.8571428571427</v>
      </c>
      <c r="F15" s="11">
        <f t="shared" si="7"/>
        <v>6285.7142857142853</v>
      </c>
      <c r="G15" s="11">
        <f t="shared" si="7"/>
        <v>12571.428571428571</v>
      </c>
      <c r="H15" s="11">
        <f t="shared" si="7"/>
        <v>25142.857142857141</v>
      </c>
      <c r="I15" s="11">
        <f t="shared" si="7"/>
        <v>50285.714285714283</v>
      </c>
      <c r="J15" s="11">
        <f t="shared" si="7"/>
        <v>95542.857142857145</v>
      </c>
      <c r="K15" s="11">
        <f t="shared" si="7"/>
        <v>171977.14285714287</v>
      </c>
      <c r="L15" s="11">
        <f t="shared" si="7"/>
        <v>292361.14285714284</v>
      </c>
      <c r="M15" s="11">
        <f t="shared" si="7"/>
        <v>467777.82857142854</v>
      </c>
      <c r="N15" s="11">
        <f>N16+N17</f>
        <v>701666.7428571427</v>
      </c>
    </row>
    <row r="16" spans="1:14" x14ac:dyDescent="0.45">
      <c r="A16" s="13" t="s">
        <v>137</v>
      </c>
      <c r="B16" s="13"/>
      <c r="C16" s="13"/>
      <c r="D16" s="3">
        <v>250</v>
      </c>
      <c r="E16" s="3">
        <f>(E11/100)*E13</f>
        <v>314.28571428571428</v>
      </c>
      <c r="F16" s="3">
        <f t="shared" ref="F16:N16" si="8">(F11/100)*F13</f>
        <v>628.57142857142856</v>
      </c>
      <c r="G16" s="3">
        <f>(G11/100)*G13</f>
        <v>1257.1428571428571</v>
      </c>
      <c r="H16" s="3">
        <f t="shared" si="8"/>
        <v>2514.2857142857142</v>
      </c>
      <c r="I16" s="3">
        <f t="shared" si="8"/>
        <v>4528.5714285714284</v>
      </c>
      <c r="J16" s="3">
        <f t="shared" si="8"/>
        <v>9554.2857142857138</v>
      </c>
      <c r="K16" s="3">
        <f t="shared" si="8"/>
        <v>17197.714285714286</v>
      </c>
      <c r="L16" s="3">
        <f t="shared" si="8"/>
        <v>29236.114285714284</v>
      </c>
      <c r="M16" s="3">
        <f t="shared" si="8"/>
        <v>46777.782857142854</v>
      </c>
      <c r="N16" s="3">
        <f t="shared" si="8"/>
        <v>69266.674285714267</v>
      </c>
    </row>
    <row r="17" spans="1:17" x14ac:dyDescent="0.45">
      <c r="A17" s="13" t="s">
        <v>138</v>
      </c>
      <c r="B17" s="13"/>
      <c r="C17" s="13"/>
      <c r="D17" s="3"/>
      <c r="E17" s="3">
        <f>(E12/100)*E14</f>
        <v>2828.5714285714284</v>
      </c>
      <c r="F17" s="3">
        <f t="shared" ref="F17:N17" si="9">(F12/100)*F14</f>
        <v>5657.1428571428569</v>
      </c>
      <c r="G17" s="3">
        <f t="shared" si="9"/>
        <v>11314.285714285714</v>
      </c>
      <c r="H17" s="3">
        <f t="shared" si="9"/>
        <v>22628.571428571428</v>
      </c>
      <c r="I17" s="3">
        <f t="shared" si="9"/>
        <v>45757.142857142855</v>
      </c>
      <c r="J17" s="3">
        <f t="shared" si="9"/>
        <v>85988.571428571435</v>
      </c>
      <c r="K17" s="3">
        <f t="shared" si="9"/>
        <v>154779.42857142858</v>
      </c>
      <c r="L17" s="3">
        <f t="shared" si="9"/>
        <v>263125.02857142856</v>
      </c>
      <c r="M17" s="3">
        <f t="shared" si="9"/>
        <v>421000.04571428569</v>
      </c>
      <c r="N17" s="3">
        <f t="shared" si="9"/>
        <v>632400.06857142842</v>
      </c>
    </row>
    <row r="18" spans="1:17" x14ac:dyDescent="0.45">
      <c r="A18" s="13" t="s">
        <v>18</v>
      </c>
      <c r="B18" s="13"/>
      <c r="C18" s="13"/>
      <c r="D18" s="14">
        <v>50</v>
      </c>
      <c r="E18" s="6">
        <f>ROUNDUP((D18/100)*(100+D19),-1)</f>
        <v>60</v>
      </c>
      <c r="F18" s="6">
        <f t="shared" ref="F18:N18" si="10">ROUNDUP((E18/100)*(100+E19),-1)</f>
        <v>70</v>
      </c>
      <c r="G18" s="6">
        <f t="shared" si="10"/>
        <v>80</v>
      </c>
      <c r="H18" s="6">
        <f t="shared" si="10"/>
        <v>90</v>
      </c>
      <c r="I18" s="6">
        <f t="shared" si="10"/>
        <v>100</v>
      </c>
      <c r="J18" s="6">
        <f t="shared" si="10"/>
        <v>110</v>
      </c>
      <c r="K18" s="6">
        <f t="shared" si="10"/>
        <v>120</v>
      </c>
      <c r="L18" s="6">
        <f t="shared" si="10"/>
        <v>130</v>
      </c>
      <c r="M18" s="6">
        <f t="shared" si="10"/>
        <v>140</v>
      </c>
      <c r="N18" s="6">
        <f t="shared" si="10"/>
        <v>150</v>
      </c>
      <c r="Q18" s="27"/>
    </row>
    <row r="19" spans="1:17" x14ac:dyDescent="0.45">
      <c r="A19" s="13" t="s">
        <v>19</v>
      </c>
      <c r="B19" s="13"/>
      <c r="C19" s="13"/>
      <c r="D19" s="14">
        <v>5</v>
      </c>
      <c r="E19" s="6">
        <f>D19-1</f>
        <v>4</v>
      </c>
      <c r="F19" s="6">
        <f t="shared" ref="F19:G19" si="11">E19-1</f>
        <v>3</v>
      </c>
      <c r="G19" s="6">
        <f t="shared" si="11"/>
        <v>2</v>
      </c>
      <c r="H19" s="6">
        <v>2</v>
      </c>
      <c r="I19" s="6">
        <v>2</v>
      </c>
      <c r="J19" s="6">
        <v>2</v>
      </c>
      <c r="K19" s="6">
        <v>2</v>
      </c>
      <c r="L19" s="6">
        <v>2</v>
      </c>
      <c r="M19" s="6">
        <v>2</v>
      </c>
      <c r="N19" s="6">
        <v>2</v>
      </c>
    </row>
    <row r="20" spans="1:17" x14ac:dyDescent="0.45">
      <c r="A20" s="13" t="s">
        <v>20</v>
      </c>
      <c r="B20" s="13"/>
      <c r="C20" s="13"/>
      <c r="D20" s="14">
        <v>1</v>
      </c>
      <c r="E20" s="6">
        <f>D20</f>
        <v>1</v>
      </c>
      <c r="F20" s="6">
        <f t="shared" ref="F20:N20" si="12">E20</f>
        <v>1</v>
      </c>
      <c r="G20" s="6">
        <f t="shared" si="12"/>
        <v>1</v>
      </c>
      <c r="H20" s="6">
        <f t="shared" si="12"/>
        <v>1</v>
      </c>
      <c r="I20" s="6">
        <f t="shared" si="12"/>
        <v>1</v>
      </c>
      <c r="J20" s="6">
        <f t="shared" si="12"/>
        <v>1</v>
      </c>
      <c r="K20" s="6">
        <f t="shared" si="12"/>
        <v>1</v>
      </c>
      <c r="L20" s="6">
        <f t="shared" si="12"/>
        <v>1</v>
      </c>
      <c r="M20" s="6">
        <f t="shared" si="12"/>
        <v>1</v>
      </c>
      <c r="N20" s="6">
        <f t="shared" si="12"/>
        <v>1</v>
      </c>
    </row>
    <row r="21" spans="1:17" x14ac:dyDescent="0.45">
      <c r="A21" s="13" t="s">
        <v>2</v>
      </c>
      <c r="B21" s="13"/>
      <c r="C21" s="13"/>
      <c r="D21" s="6">
        <v>15</v>
      </c>
      <c r="E21" s="6">
        <f>(D21/100)*(100-D20)</f>
        <v>14.85</v>
      </c>
      <c r="F21" s="6">
        <f t="shared" ref="F21:M21" si="13">(E21/100)*(100-E20)</f>
        <v>14.701499999999999</v>
      </c>
      <c r="G21" s="6">
        <f t="shared" si="13"/>
        <v>14.554485000000001</v>
      </c>
      <c r="H21" s="6">
        <f t="shared" si="13"/>
        <v>14.408940150000001</v>
      </c>
      <c r="I21" s="6">
        <f t="shared" si="13"/>
        <v>14.264850748500002</v>
      </c>
      <c r="J21" s="6">
        <f t="shared" si="13"/>
        <v>14.122202241015001</v>
      </c>
      <c r="K21" s="6">
        <f t="shared" si="13"/>
        <v>13.980980218604852</v>
      </c>
      <c r="L21" s="6">
        <f t="shared" si="13"/>
        <v>13.841170416418803</v>
      </c>
      <c r="M21" s="6">
        <f t="shared" si="13"/>
        <v>13.702758712254614</v>
      </c>
      <c r="N21" s="6">
        <f>(M21/100)*(100-M20)</f>
        <v>13.565731125132068</v>
      </c>
    </row>
    <row r="22" spans="1:17" x14ac:dyDescent="0.45">
      <c r="A22" s="13" t="s">
        <v>25</v>
      </c>
      <c r="B22" s="13"/>
      <c r="C22" s="13"/>
      <c r="D22" s="6">
        <f>(D18/100)*80</f>
        <v>40</v>
      </c>
      <c r="E22" s="6">
        <f t="shared" ref="E22:N22" si="14">(E18/100)*80</f>
        <v>48</v>
      </c>
      <c r="F22" s="6">
        <f t="shared" si="14"/>
        <v>56</v>
      </c>
      <c r="G22" s="6">
        <f t="shared" si="14"/>
        <v>64</v>
      </c>
      <c r="H22" s="6">
        <f t="shared" si="14"/>
        <v>72</v>
      </c>
      <c r="I22" s="6">
        <f t="shared" si="14"/>
        <v>80</v>
      </c>
      <c r="J22" s="6">
        <f t="shared" si="14"/>
        <v>88</v>
      </c>
      <c r="K22" s="6">
        <f t="shared" si="14"/>
        <v>96</v>
      </c>
      <c r="L22" s="6">
        <f t="shared" si="14"/>
        <v>104</v>
      </c>
      <c r="M22" s="6">
        <f t="shared" si="14"/>
        <v>112</v>
      </c>
      <c r="N22" s="6">
        <f t="shared" si="14"/>
        <v>120</v>
      </c>
    </row>
    <row r="23" spans="1:17" x14ac:dyDescent="0.45">
      <c r="A23" s="13" t="s">
        <v>26</v>
      </c>
      <c r="B23" s="13"/>
      <c r="C23" s="13"/>
      <c r="D23" s="6">
        <f>((D24/100)*D21)/D26</f>
        <v>9</v>
      </c>
      <c r="E23" s="6">
        <f t="shared" ref="E23:N23" si="15">((E24/100)*E21)/E26</f>
        <v>8.91</v>
      </c>
      <c r="F23" s="6">
        <f t="shared" si="15"/>
        <v>8.8209</v>
      </c>
      <c r="G23" s="6">
        <f t="shared" si="15"/>
        <v>8.7326910000000009</v>
      </c>
      <c r="H23" s="6">
        <f t="shared" si="15"/>
        <v>8.6453640900000011</v>
      </c>
      <c r="I23" s="6">
        <f t="shared" si="15"/>
        <v>8.5589104491000008</v>
      </c>
      <c r="J23" s="6">
        <f t="shared" si="15"/>
        <v>8.4733213446090012</v>
      </c>
      <c r="K23" s="6">
        <f t="shared" si="15"/>
        <v>8.3885881311629102</v>
      </c>
      <c r="L23" s="6">
        <f t="shared" si="15"/>
        <v>8.3047022498512817</v>
      </c>
      <c r="M23" s="6">
        <f t="shared" si="15"/>
        <v>8.2216552273527679</v>
      </c>
      <c r="N23" s="6">
        <f t="shared" si="15"/>
        <v>8.1394386750792407</v>
      </c>
      <c r="O23" s="1" t="s">
        <v>145</v>
      </c>
    </row>
    <row r="24" spans="1:17" x14ac:dyDescent="0.45">
      <c r="A24" s="13" t="s">
        <v>21</v>
      </c>
      <c r="B24" s="13"/>
      <c r="C24" s="13"/>
      <c r="D24" s="14">
        <v>1200</v>
      </c>
      <c r="E24" s="6">
        <f>D24</f>
        <v>1200</v>
      </c>
      <c r="F24" s="6">
        <f t="shared" ref="F24:N24" si="16">E24</f>
        <v>1200</v>
      </c>
      <c r="G24" s="6">
        <f t="shared" si="16"/>
        <v>1200</v>
      </c>
      <c r="H24" s="6">
        <f t="shared" si="16"/>
        <v>1200</v>
      </c>
      <c r="I24" s="6">
        <f t="shared" si="16"/>
        <v>1200</v>
      </c>
      <c r="J24" s="6">
        <f t="shared" si="16"/>
        <v>1200</v>
      </c>
      <c r="K24" s="6">
        <f t="shared" si="16"/>
        <v>1200</v>
      </c>
      <c r="L24" s="6">
        <f t="shared" si="16"/>
        <v>1200</v>
      </c>
      <c r="M24" s="6">
        <f t="shared" si="16"/>
        <v>1200</v>
      </c>
      <c r="N24" s="6">
        <f t="shared" si="16"/>
        <v>1200</v>
      </c>
    </row>
    <row r="25" spans="1:17" x14ac:dyDescent="0.45">
      <c r="A25" s="13" t="s">
        <v>22</v>
      </c>
      <c r="B25" s="13"/>
      <c r="C25" s="13"/>
      <c r="D25" s="14">
        <v>500</v>
      </c>
      <c r="E25" s="6">
        <f>D25</f>
        <v>500</v>
      </c>
      <c r="F25" s="6">
        <f t="shared" ref="F25:N25" si="17">E25</f>
        <v>500</v>
      </c>
      <c r="G25" s="6">
        <f t="shared" si="17"/>
        <v>500</v>
      </c>
      <c r="H25" s="6">
        <f t="shared" si="17"/>
        <v>500</v>
      </c>
      <c r="I25" s="6">
        <f t="shared" si="17"/>
        <v>500</v>
      </c>
      <c r="J25" s="6">
        <f t="shared" si="17"/>
        <v>500</v>
      </c>
      <c r="K25" s="6">
        <f t="shared" si="17"/>
        <v>500</v>
      </c>
      <c r="L25" s="6">
        <f t="shared" si="17"/>
        <v>500</v>
      </c>
      <c r="M25" s="6">
        <f t="shared" si="17"/>
        <v>500</v>
      </c>
      <c r="N25" s="6">
        <f t="shared" si="17"/>
        <v>500</v>
      </c>
    </row>
    <row r="26" spans="1:17" x14ac:dyDescent="0.45">
      <c r="A26" s="13" t="s">
        <v>23</v>
      </c>
      <c r="B26" s="13"/>
      <c r="C26" s="13"/>
      <c r="D26" s="15">
        <v>20</v>
      </c>
      <c r="E26" s="16">
        <f>D26</f>
        <v>20</v>
      </c>
      <c r="F26" s="16">
        <f t="shared" ref="F26:N26" si="18">E26</f>
        <v>20</v>
      </c>
      <c r="G26" s="16">
        <f t="shared" si="18"/>
        <v>20</v>
      </c>
      <c r="H26" s="16">
        <f t="shared" si="18"/>
        <v>20</v>
      </c>
      <c r="I26" s="16">
        <f t="shared" si="18"/>
        <v>20</v>
      </c>
      <c r="J26" s="16">
        <f t="shared" si="18"/>
        <v>20</v>
      </c>
      <c r="K26" s="16">
        <f t="shared" si="18"/>
        <v>20</v>
      </c>
      <c r="L26" s="16">
        <f t="shared" si="18"/>
        <v>20</v>
      </c>
      <c r="M26" s="16">
        <f t="shared" si="18"/>
        <v>20</v>
      </c>
      <c r="N26" s="16">
        <f t="shared" si="18"/>
        <v>20</v>
      </c>
    </row>
    <row r="27" spans="1:17" x14ac:dyDescent="0.45">
      <c r="A27" s="13" t="s">
        <v>24</v>
      </c>
      <c r="B27" s="13"/>
      <c r="C27" s="13"/>
      <c r="D27" s="15">
        <v>2</v>
      </c>
      <c r="E27" s="16">
        <f>D27</f>
        <v>2</v>
      </c>
      <c r="F27" s="16">
        <f t="shared" ref="F27:N27" si="19">E27</f>
        <v>2</v>
      </c>
      <c r="G27" s="16">
        <f t="shared" si="19"/>
        <v>2</v>
      </c>
      <c r="H27" s="16">
        <f t="shared" si="19"/>
        <v>2</v>
      </c>
      <c r="I27" s="16">
        <f t="shared" si="19"/>
        <v>2</v>
      </c>
      <c r="J27" s="16">
        <f t="shared" si="19"/>
        <v>2</v>
      </c>
      <c r="K27" s="16">
        <f t="shared" si="19"/>
        <v>2</v>
      </c>
      <c r="L27" s="16">
        <f t="shared" si="19"/>
        <v>2</v>
      </c>
      <c r="M27" s="16">
        <f t="shared" si="19"/>
        <v>2</v>
      </c>
      <c r="N27" s="16">
        <f t="shared" si="19"/>
        <v>2</v>
      </c>
    </row>
    <row r="28" spans="1:17" x14ac:dyDescent="0.45">
      <c r="A28" s="13" t="s">
        <v>0</v>
      </c>
      <c r="B28" s="13"/>
      <c r="C28" s="13"/>
      <c r="D28" s="17">
        <f>Моделирование!$C$5</f>
        <v>48</v>
      </c>
      <c r="E28" s="17">
        <f>(D28/100)*(100+D5)</f>
        <v>48</v>
      </c>
      <c r="F28" s="17">
        <f t="shared" ref="F28:N28" si="20">(E28/100)*(100+E5)</f>
        <v>48</v>
      </c>
      <c r="G28" s="17">
        <f t="shared" si="20"/>
        <v>48</v>
      </c>
      <c r="H28" s="17">
        <f t="shared" si="20"/>
        <v>48</v>
      </c>
      <c r="I28" s="17">
        <f t="shared" si="20"/>
        <v>48</v>
      </c>
      <c r="J28" s="17">
        <f t="shared" si="20"/>
        <v>48</v>
      </c>
      <c r="K28" s="17">
        <f t="shared" si="20"/>
        <v>48</v>
      </c>
      <c r="L28" s="17">
        <f t="shared" si="20"/>
        <v>48</v>
      </c>
      <c r="M28" s="17">
        <f t="shared" si="20"/>
        <v>48</v>
      </c>
      <c r="N28" s="17">
        <f t="shared" si="20"/>
        <v>48</v>
      </c>
    </row>
    <row r="29" spans="1:17" x14ac:dyDescent="0.45">
      <c r="A29" s="13" t="s">
        <v>136</v>
      </c>
      <c r="B29" s="13"/>
      <c r="C29" s="13"/>
      <c r="D29" s="16">
        <v>50</v>
      </c>
      <c r="E29" s="16">
        <f>D29</f>
        <v>50</v>
      </c>
      <c r="F29" s="16">
        <f t="shared" ref="F29:H30" si="21">E29</f>
        <v>50</v>
      </c>
      <c r="G29" s="16">
        <f t="shared" si="21"/>
        <v>50</v>
      </c>
      <c r="H29" s="16">
        <f t="shared" si="21"/>
        <v>50</v>
      </c>
      <c r="I29" s="16">
        <f t="shared" ref="I29:N30" si="22">H29</f>
        <v>50</v>
      </c>
      <c r="J29" s="16">
        <f t="shared" si="22"/>
        <v>50</v>
      </c>
      <c r="K29" s="16">
        <f t="shared" si="22"/>
        <v>50</v>
      </c>
      <c r="L29" s="16">
        <f t="shared" si="22"/>
        <v>50</v>
      </c>
      <c r="M29" s="16">
        <f t="shared" si="22"/>
        <v>50</v>
      </c>
      <c r="N29" s="16">
        <f t="shared" si="22"/>
        <v>50</v>
      </c>
    </row>
    <row r="30" spans="1:17" x14ac:dyDescent="0.45">
      <c r="A30" s="32" t="s">
        <v>58</v>
      </c>
      <c r="B30" s="32"/>
      <c r="C30" s="32"/>
      <c r="D30" s="19">
        <f>Моделирование!C7</f>
        <v>50</v>
      </c>
      <c r="E30" s="19">
        <f>D30</f>
        <v>50</v>
      </c>
      <c r="F30" s="19">
        <f t="shared" si="21"/>
        <v>50</v>
      </c>
      <c r="G30" s="19">
        <f t="shared" si="21"/>
        <v>50</v>
      </c>
      <c r="H30" s="19">
        <f t="shared" si="21"/>
        <v>50</v>
      </c>
      <c r="I30" s="19">
        <f t="shared" si="22"/>
        <v>50</v>
      </c>
      <c r="J30" s="19">
        <f t="shared" si="22"/>
        <v>50</v>
      </c>
      <c r="K30" s="19">
        <f t="shared" si="22"/>
        <v>50</v>
      </c>
      <c r="L30" s="19">
        <f t="shared" si="22"/>
        <v>50</v>
      </c>
      <c r="M30" s="19">
        <f t="shared" si="22"/>
        <v>50</v>
      </c>
      <c r="N30" s="19">
        <f t="shared" si="22"/>
        <v>50</v>
      </c>
    </row>
    <row r="31" spans="1:17" x14ac:dyDescent="0.45">
      <c r="A31" s="32" t="s">
        <v>59</v>
      </c>
      <c r="B31" s="32"/>
      <c r="C31" s="32"/>
      <c r="D31" s="19">
        <f>D30</f>
        <v>50</v>
      </c>
      <c r="E31" s="19">
        <f>E30</f>
        <v>50</v>
      </c>
      <c r="F31" s="19">
        <f t="shared" ref="F31:N31" si="23">F30</f>
        <v>50</v>
      </c>
      <c r="G31" s="19">
        <f t="shared" si="23"/>
        <v>50</v>
      </c>
      <c r="H31" s="19">
        <f t="shared" si="23"/>
        <v>50</v>
      </c>
      <c r="I31" s="19">
        <f t="shared" si="23"/>
        <v>50</v>
      </c>
      <c r="J31" s="19">
        <f t="shared" si="23"/>
        <v>50</v>
      </c>
      <c r="K31" s="19">
        <f t="shared" si="23"/>
        <v>50</v>
      </c>
      <c r="L31" s="19">
        <f t="shared" si="23"/>
        <v>50</v>
      </c>
      <c r="M31" s="19">
        <f t="shared" si="23"/>
        <v>50</v>
      </c>
      <c r="N31" s="19">
        <f t="shared" si="23"/>
        <v>50</v>
      </c>
    </row>
    <row r="32" spans="1:17" x14ac:dyDescent="0.45">
      <c r="A32" s="32" t="s">
        <v>169</v>
      </c>
      <c r="B32" s="32"/>
      <c r="C32" s="32"/>
      <c r="D32" s="18">
        <f>((D36*100)/100)*(100-D35)/D21</f>
        <v>38.4</v>
      </c>
      <c r="E32" s="18">
        <f>((E36*100)/100)*(100-E35)/E21</f>
        <v>38.012121212121215</v>
      </c>
      <c r="F32" s="18">
        <f>((F36*100)/100)*(100-F35)/F21</f>
        <v>37.628160391796754</v>
      </c>
      <c r="G32" s="18">
        <f t="shared" ref="G32:M32" si="24">((G36*100)/100)*(100-G35)/G21</f>
        <v>37.248077963596785</v>
      </c>
      <c r="H32" s="18">
        <f t="shared" si="24"/>
        <v>36.871834751843274</v>
      </c>
      <c r="I32" s="18">
        <f t="shared" si="24"/>
        <v>36.499391976572127</v>
      </c>
      <c r="J32" s="18">
        <f>((J36*100)/100)*(100-J35)/J21</f>
        <v>36.130711249536049</v>
      </c>
      <c r="K32" s="18">
        <f t="shared" si="24"/>
        <v>35.7657545702478</v>
      </c>
      <c r="L32" s="18">
        <f t="shared" si="24"/>
        <v>35.404484322063489</v>
      </c>
      <c r="M32" s="18">
        <f t="shared" si="24"/>
        <v>35.046863268305266</v>
      </c>
      <c r="N32" s="18">
        <f>((N36*100)/100)*(100-N35)/N21</f>
        <v>34.692854548423398</v>
      </c>
    </row>
    <row r="33" spans="1:14" x14ac:dyDescent="0.45">
      <c r="A33" s="13" t="s">
        <v>149</v>
      </c>
      <c r="B33" s="13"/>
      <c r="C33" s="13"/>
      <c r="D33" s="17">
        <f>IF(D30=0,0,((D32/D30)*100)-100)</f>
        <v>-23.200000000000003</v>
      </c>
      <c r="E33" s="17">
        <f t="shared" ref="E33:N33" si="25">IF(E30=0,0,((E32/E30)*100)-100)</f>
        <v>-23.975757575757569</v>
      </c>
      <c r="F33" s="17">
        <f t="shared" si="25"/>
        <v>-24.743679216406491</v>
      </c>
      <c r="G33" s="17">
        <f t="shared" si="25"/>
        <v>-25.50384407280643</v>
      </c>
      <c r="H33" s="17">
        <f t="shared" si="25"/>
        <v>-26.256330496313453</v>
      </c>
      <c r="I33" s="17">
        <f t="shared" si="25"/>
        <v>-27.001216046855745</v>
      </c>
      <c r="J33" s="17">
        <f t="shared" si="25"/>
        <v>-27.738577500927903</v>
      </c>
      <c r="K33" s="17">
        <f t="shared" si="25"/>
        <v>-28.468490859504399</v>
      </c>
      <c r="L33" s="17">
        <f t="shared" si="25"/>
        <v>-29.191031355873022</v>
      </c>
      <c r="M33" s="17">
        <f t="shared" si="25"/>
        <v>-29.906273463389468</v>
      </c>
      <c r="N33" s="17">
        <f t="shared" si="25"/>
        <v>-30.614290903153204</v>
      </c>
    </row>
    <row r="34" spans="1:14" x14ac:dyDescent="0.45">
      <c r="A34" s="13" t="s">
        <v>1</v>
      </c>
      <c r="B34" s="13"/>
      <c r="C34" s="13"/>
      <c r="D34" s="17">
        <v>12</v>
      </c>
      <c r="E34" s="17">
        <f>(D34/100)*98</f>
        <v>11.76</v>
      </c>
      <c r="F34" s="17">
        <f t="shared" ref="F34:N34" si="26">(E34/100)*98</f>
        <v>11.524799999999999</v>
      </c>
      <c r="G34" s="17">
        <f t="shared" si="26"/>
        <v>11.294303999999999</v>
      </c>
      <c r="H34" s="17">
        <f t="shared" si="26"/>
        <v>11.068417919999998</v>
      </c>
      <c r="I34" s="17">
        <f t="shared" si="26"/>
        <v>10.847049561599999</v>
      </c>
      <c r="J34" s="17">
        <f t="shared" si="26"/>
        <v>10.630108570367998</v>
      </c>
      <c r="K34" s="17">
        <f t="shared" si="26"/>
        <v>10.417506398960638</v>
      </c>
      <c r="L34" s="17">
        <f t="shared" si="26"/>
        <v>10.209156270981426</v>
      </c>
      <c r="M34" s="17">
        <f t="shared" si="26"/>
        <v>10.004973145561797</v>
      </c>
      <c r="N34" s="17">
        <f t="shared" si="26"/>
        <v>9.8048736826505607</v>
      </c>
    </row>
    <row r="35" spans="1:14" x14ac:dyDescent="0.45">
      <c r="A35" s="13" t="s">
        <v>146</v>
      </c>
      <c r="B35" s="13"/>
      <c r="C35" s="13"/>
      <c r="D35" s="17">
        <f>Моделирование!C6</f>
        <v>0</v>
      </c>
      <c r="E35" s="17">
        <f>D35</f>
        <v>0</v>
      </c>
      <c r="F35" s="17">
        <f t="shared" ref="F35:N35" si="27">E35</f>
        <v>0</v>
      </c>
      <c r="G35" s="17">
        <f t="shared" si="27"/>
        <v>0</v>
      </c>
      <c r="H35" s="17">
        <f t="shared" si="27"/>
        <v>0</v>
      </c>
      <c r="I35" s="17">
        <f t="shared" si="27"/>
        <v>0</v>
      </c>
      <c r="J35" s="17">
        <f t="shared" si="27"/>
        <v>0</v>
      </c>
      <c r="K35" s="17">
        <f t="shared" si="27"/>
        <v>0</v>
      </c>
      <c r="L35" s="17">
        <f t="shared" si="27"/>
        <v>0</v>
      </c>
      <c r="M35" s="17">
        <f t="shared" si="27"/>
        <v>0</v>
      </c>
      <c r="N35" s="17">
        <f t="shared" si="27"/>
        <v>0</v>
      </c>
    </row>
    <row r="36" spans="1:14" x14ac:dyDescent="0.45">
      <c r="A36" s="13" t="s">
        <v>148</v>
      </c>
      <c r="B36" s="13"/>
      <c r="C36" s="13"/>
      <c r="D36" s="17">
        <f t="shared" ref="D36:N36" si="28">(D28*D34)/100</f>
        <v>5.76</v>
      </c>
      <c r="E36" s="17">
        <f t="shared" si="28"/>
        <v>5.6448</v>
      </c>
      <c r="F36" s="17">
        <f t="shared" si="28"/>
        <v>5.5319039999999999</v>
      </c>
      <c r="G36" s="17">
        <f t="shared" si="28"/>
        <v>5.4212659199999997</v>
      </c>
      <c r="H36" s="17">
        <f t="shared" si="28"/>
        <v>5.3128406015999987</v>
      </c>
      <c r="I36" s="17">
        <f t="shared" si="28"/>
        <v>5.2065837895679987</v>
      </c>
      <c r="J36" s="17">
        <f t="shared" si="28"/>
        <v>5.1024521137766392</v>
      </c>
      <c r="K36" s="17">
        <f t="shared" si="28"/>
        <v>5.0004030715011059</v>
      </c>
      <c r="L36" s="17">
        <f t="shared" si="28"/>
        <v>4.9003950100710849</v>
      </c>
      <c r="M36" s="17">
        <f t="shared" si="28"/>
        <v>4.8023871098696622</v>
      </c>
      <c r="N36" s="17">
        <f t="shared" si="28"/>
        <v>4.7063393676722693</v>
      </c>
    </row>
    <row r="37" spans="1:14" x14ac:dyDescent="0.45">
      <c r="A37" s="13" t="s">
        <v>147</v>
      </c>
      <c r="B37" s="13"/>
      <c r="C37" s="13"/>
      <c r="D37" s="17">
        <f t="shared" ref="D37:N37" si="29">(D21*D30)/100</f>
        <v>7.5</v>
      </c>
      <c r="E37" s="17">
        <f t="shared" si="29"/>
        <v>7.4249999999999998</v>
      </c>
      <c r="F37" s="17">
        <f t="shared" si="29"/>
        <v>7.3507499999999997</v>
      </c>
      <c r="G37" s="17">
        <f t="shared" si="29"/>
        <v>7.2772425000000007</v>
      </c>
      <c r="H37" s="17">
        <f t="shared" si="29"/>
        <v>7.2044700750000006</v>
      </c>
      <c r="I37" s="17">
        <f t="shared" si="29"/>
        <v>7.1324253742500012</v>
      </c>
      <c r="J37" s="17">
        <f t="shared" si="29"/>
        <v>7.0611011205075007</v>
      </c>
      <c r="K37" s="17">
        <f t="shared" si="29"/>
        <v>6.9904901093024261</v>
      </c>
      <c r="L37" s="17">
        <f t="shared" si="29"/>
        <v>6.9205852082094017</v>
      </c>
      <c r="M37" s="17">
        <f t="shared" si="29"/>
        <v>6.8513793561273069</v>
      </c>
      <c r="N37" s="17">
        <f t="shared" si="29"/>
        <v>6.7828655625660339</v>
      </c>
    </row>
    <row r="38" spans="1:14" s="3" customFormat="1" x14ac:dyDescent="0.45">
      <c r="A38" s="13" t="s">
        <v>190</v>
      </c>
      <c r="B38" s="13"/>
      <c r="C38" s="13"/>
      <c r="D38" s="3">
        <f>IF(D40=0,0,(((D7/100)*D13)*(D22*D27))*D30*12)</f>
        <v>528000000</v>
      </c>
      <c r="E38" s="3">
        <f>IF(E40=0,0,(((E7/100)*E13)*(E22*E27))*E30*12)</f>
        <v>1267200000</v>
      </c>
      <c r="F38" s="3">
        <f t="shared" ref="F38:N38" si="30">IF(F40=0,0,(((F7/100)*F13)*(F22*F27))*F30*12)</f>
        <v>2956800000</v>
      </c>
      <c r="G38" s="3">
        <f t="shared" si="30"/>
        <v>6758400000</v>
      </c>
      <c r="H38" s="3">
        <f t="shared" si="30"/>
        <v>15206400000</v>
      </c>
      <c r="I38" s="3">
        <f t="shared" si="30"/>
        <v>33792000000</v>
      </c>
      <c r="J38" s="3">
        <f t="shared" si="30"/>
        <v>70625280000</v>
      </c>
      <c r="K38" s="3">
        <f t="shared" si="30"/>
        <v>138682368000</v>
      </c>
      <c r="L38" s="3">
        <f t="shared" si="30"/>
        <v>255406694400</v>
      </c>
      <c r="M38" s="3">
        <f t="shared" si="30"/>
        <v>440085381120</v>
      </c>
      <c r="N38" s="3">
        <f t="shared" si="30"/>
        <v>707280076799.99976</v>
      </c>
    </row>
    <row r="39" spans="1:14" x14ac:dyDescent="0.45">
      <c r="A39" s="13" t="s">
        <v>191</v>
      </c>
      <c r="B39" s="13"/>
      <c r="C39" s="13"/>
      <c r="D39" s="3">
        <f>IF(D41=0,0,((D7/100)*D14)*(D23*D26)*D30*12)</f>
        <v>0</v>
      </c>
      <c r="E39" s="3">
        <f t="shared" ref="E39:N39" si="31">IF(E41=0,0,((E7/100)*E14)*(E23*E26)*E30*12)</f>
        <v>2352239999.9999995</v>
      </c>
      <c r="F39" s="3">
        <f t="shared" si="31"/>
        <v>4657435200</v>
      </c>
      <c r="G39" s="3">
        <f t="shared" si="31"/>
        <v>9221721696.0000019</v>
      </c>
      <c r="H39" s="3">
        <f t="shared" si="31"/>
        <v>18259008958.080002</v>
      </c>
      <c r="I39" s="3">
        <f t="shared" si="31"/>
        <v>36152837736.998398</v>
      </c>
      <c r="J39" s="3">
        <f t="shared" si="31"/>
        <v>68003487783.294006</v>
      </c>
      <c r="K39" s="3">
        <f t="shared" si="31"/>
        <v>121182215229.8299</v>
      </c>
      <c r="L39" s="3">
        <f t="shared" si="31"/>
        <v>203949668231.80371</v>
      </c>
      <c r="M39" s="3">
        <f t="shared" si="31"/>
        <v>323056274479.17712</v>
      </c>
      <c r="N39" s="3">
        <f t="shared" si="31"/>
        <v>479738567601.57788</v>
      </c>
    </row>
    <row r="40" spans="1:14" x14ac:dyDescent="0.45">
      <c r="A40" s="13" t="s">
        <v>221</v>
      </c>
      <c r="B40" s="13"/>
      <c r="C40" s="13"/>
      <c r="D40" s="3">
        <f>'План закупок'!C11</f>
        <v>250</v>
      </c>
      <c r="E40" s="3">
        <f>'План закупок'!D11</f>
        <v>564.28571428571422</v>
      </c>
      <c r="F40" s="3">
        <f>'План закупок'!E11</f>
        <v>1192.8571428571427</v>
      </c>
      <c r="G40" s="3">
        <f>'План закупок'!F11</f>
        <v>2450</v>
      </c>
      <c r="H40" s="3">
        <f>'План закупок'!G11</f>
        <v>4964.2857142857138</v>
      </c>
      <c r="I40" s="3">
        <f>'План закупок'!H11</f>
        <v>9492.8571428571413</v>
      </c>
      <c r="J40" s="3">
        <f>'План закупок'!I11</f>
        <v>19047.142857142855</v>
      </c>
      <c r="K40" s="3">
        <f>'План закупок'!J11</f>
        <v>36244.857142857145</v>
      </c>
      <c r="L40" s="3">
        <f>'План закупок'!K11</f>
        <v>65480.971428571429</v>
      </c>
      <c r="M40" s="3">
        <f>'План закупок'!L11</f>
        <v>112258.75428571428</v>
      </c>
      <c r="N40" s="3">
        <f>'План закупок'!M11</f>
        <v>181525.42857142855</v>
      </c>
    </row>
    <row r="41" spans="1:14" x14ac:dyDescent="0.45">
      <c r="A41" s="13" t="s">
        <v>222</v>
      </c>
      <c r="B41" s="13"/>
      <c r="C41" s="13"/>
      <c r="D41" s="3">
        <f>'План закупок'!C19</f>
        <v>0</v>
      </c>
      <c r="E41" s="3">
        <f>'План закупок'!D19</f>
        <v>2828.5714285714284</v>
      </c>
      <c r="F41" s="3">
        <f>'План закупок'!E19</f>
        <v>8485.7142857142862</v>
      </c>
      <c r="G41" s="3">
        <f>'План закупок'!F19</f>
        <v>19800</v>
      </c>
      <c r="H41" s="3">
        <f>'План закупок'!G19</f>
        <v>42428.571428571428</v>
      </c>
      <c r="I41" s="3">
        <f>'План закупок'!H19</f>
        <v>88185.71428571429</v>
      </c>
      <c r="J41" s="3">
        <f>'План закупок'!I19</f>
        <v>174174.28571428574</v>
      </c>
      <c r="K41" s="3">
        <f>'План закупок'!J19</f>
        <v>328953.71428571432</v>
      </c>
      <c r="L41" s="3">
        <f>'План закупок'!K19</f>
        <v>592078.74285714282</v>
      </c>
      <c r="M41" s="3">
        <f>'План закупок'!L19</f>
        <v>1013078.7885714285</v>
      </c>
      <c r="N41" s="3">
        <f>'План закупок'!M19</f>
        <v>1645478.8571428568</v>
      </c>
    </row>
    <row r="42" spans="1:14" ht="21" x14ac:dyDescent="0.65">
      <c r="A42" s="50" t="str">
        <f>Моделирование!D2</f>
        <v>Как есть</v>
      </c>
      <c r="B42" s="50"/>
      <c r="C42" s="50"/>
      <c r="D42" s="51">
        <v>20</v>
      </c>
      <c r="E42" s="48">
        <v>20</v>
      </c>
      <c r="F42" s="48">
        <v>20</v>
      </c>
      <c r="G42" s="48">
        <v>18</v>
      </c>
      <c r="H42" s="48">
        <v>17</v>
      </c>
      <c r="I42" s="48">
        <v>16</v>
      </c>
      <c r="J42" s="48">
        <v>15</v>
      </c>
      <c r="K42" s="48">
        <v>14</v>
      </c>
      <c r="L42" s="48">
        <v>13</v>
      </c>
      <c r="M42" s="48">
        <v>13</v>
      </c>
      <c r="N42" s="48">
        <v>13</v>
      </c>
    </row>
    <row r="43" spans="1:14" x14ac:dyDescent="0.45">
      <c r="A43" s="20" t="s">
        <v>3</v>
      </c>
      <c r="B43" s="20"/>
      <c r="C43" s="20"/>
      <c r="D43" s="6">
        <f>D42*Моделирование!$D$13</f>
        <v>0</v>
      </c>
      <c r="E43" s="6">
        <f>E42*Моделирование!$D$13</f>
        <v>0</v>
      </c>
      <c r="F43" s="6">
        <f>F42*Моделирование!$D$13</f>
        <v>0</v>
      </c>
      <c r="G43" s="6">
        <f>G42*Моделирование!$D$13</f>
        <v>0</v>
      </c>
      <c r="H43" s="6">
        <f>H42*Моделирование!$D$13</f>
        <v>0</v>
      </c>
      <c r="I43" s="6">
        <f>I42*Моделирование!$D$13</f>
        <v>0</v>
      </c>
      <c r="J43" s="6">
        <f>J42*Моделирование!$D$13</f>
        <v>0</v>
      </c>
      <c r="K43" s="6">
        <f>K42*Моделирование!$D$13</f>
        <v>0</v>
      </c>
      <c r="L43" s="6">
        <f>L42*Моделирование!$D$13</f>
        <v>0</v>
      </c>
      <c r="M43" s="6">
        <f>M42*Моделирование!$D$13</f>
        <v>0</v>
      </c>
      <c r="N43" s="6">
        <f>N42*Моделирование!$D$13</f>
        <v>0</v>
      </c>
    </row>
    <row r="44" spans="1:14" x14ac:dyDescent="0.45">
      <c r="A44" s="13" t="s">
        <v>5</v>
      </c>
      <c r="B44" s="13"/>
      <c r="C44" s="13"/>
      <c r="D44" s="6">
        <f t="shared" ref="D44:N44" si="32">D6</f>
        <v>45000000</v>
      </c>
      <c r="E44" s="6">
        <f t="shared" si="32"/>
        <v>44989000</v>
      </c>
      <c r="F44" s="6">
        <f t="shared" si="32"/>
        <v>44967000</v>
      </c>
      <c r="G44" s="6">
        <f t="shared" si="32"/>
        <v>44923000</v>
      </c>
      <c r="H44" s="6">
        <f t="shared" si="32"/>
        <v>44835000</v>
      </c>
      <c r="I44" s="6">
        <f t="shared" si="32"/>
        <v>44659000</v>
      </c>
      <c r="J44" s="6">
        <f t="shared" si="32"/>
        <v>44307000</v>
      </c>
      <c r="K44" s="6">
        <f t="shared" si="32"/>
        <v>43638200</v>
      </c>
      <c r="L44" s="6">
        <f t="shared" si="32"/>
        <v>42434360</v>
      </c>
      <c r="M44" s="6">
        <f t="shared" si="32"/>
        <v>40387832</v>
      </c>
      <c r="N44" s="6">
        <f t="shared" si="32"/>
        <v>37113387.200000003</v>
      </c>
    </row>
    <row r="45" spans="1:14" x14ac:dyDescent="0.45">
      <c r="A45" s="13" t="s">
        <v>6</v>
      </c>
      <c r="B45" s="13"/>
      <c r="C45" s="13"/>
      <c r="D45" s="4">
        <v>11000</v>
      </c>
      <c r="E45" s="3">
        <f>(D45/100)*(100+D46)</f>
        <v>16500</v>
      </c>
      <c r="F45" s="3">
        <f t="shared" ref="F45" si="33">(E45/100)*(100+E46)</f>
        <v>24750</v>
      </c>
      <c r="G45" s="3">
        <f t="shared" ref="G45" si="34">(F45/100)*(100+F46)</f>
        <v>37125</v>
      </c>
      <c r="H45" s="3">
        <f t="shared" ref="H45" si="35">(G45/100)*(100+G46)</f>
        <v>55687.5</v>
      </c>
      <c r="I45" s="3">
        <f t="shared" ref="I45" si="36">(H45/100)*(100+H46)</f>
        <v>83531.25</v>
      </c>
      <c r="J45" s="3">
        <f t="shared" ref="J45" si="37">(I45/100)*(100+I46)</f>
        <v>116943.75</v>
      </c>
      <c r="K45" s="3">
        <f t="shared" ref="K45" si="38">(J45/100)*(100+J46)</f>
        <v>152026.875</v>
      </c>
      <c r="L45" s="3">
        <f t="shared" ref="L45" si="39">(K45/100)*(100+K46)</f>
        <v>182432.25</v>
      </c>
      <c r="M45" s="3">
        <f t="shared" ref="M45" si="40">(L45/100)*(100+L46)</f>
        <v>200675.47500000001</v>
      </c>
      <c r="N45" s="3">
        <f t="shared" ref="N45" si="41">(M45/100)*(100+M46)</f>
        <v>220743.02250000002</v>
      </c>
    </row>
    <row r="46" spans="1:14" x14ac:dyDescent="0.45">
      <c r="A46" s="13" t="s">
        <v>129</v>
      </c>
      <c r="B46" s="13"/>
      <c r="C46" s="13"/>
      <c r="D46" s="6">
        <f>Моделирование!D11</f>
        <v>50</v>
      </c>
      <c r="E46" s="8">
        <f>D46</f>
        <v>50</v>
      </c>
      <c r="F46" s="8">
        <f t="shared" ref="F46" si="42">E46</f>
        <v>50</v>
      </c>
      <c r="G46" s="8">
        <f t="shared" ref="G46" si="43">F46</f>
        <v>50</v>
      </c>
      <c r="H46" s="8">
        <f t="shared" ref="H46" si="44">G46</f>
        <v>50</v>
      </c>
      <c r="I46" s="8">
        <f>IF(H46-10&gt;10,H46-10,10)</f>
        <v>40</v>
      </c>
      <c r="J46" s="8">
        <f t="shared" ref="J46:N46" si="45">IF(I46-10&gt;10,I46-10,10)</f>
        <v>30</v>
      </c>
      <c r="K46" s="8">
        <f t="shared" si="45"/>
        <v>20</v>
      </c>
      <c r="L46" s="8">
        <f t="shared" si="45"/>
        <v>10</v>
      </c>
      <c r="M46" s="8">
        <f t="shared" si="45"/>
        <v>10</v>
      </c>
      <c r="N46" s="8">
        <f t="shared" si="45"/>
        <v>10</v>
      </c>
    </row>
    <row r="47" spans="1:14" x14ac:dyDescent="0.45">
      <c r="A47" s="13" t="s">
        <v>27</v>
      </c>
      <c r="B47" s="13"/>
      <c r="C47" s="13"/>
      <c r="D47" s="7">
        <f t="shared" ref="D47:N47" si="46">D45/(D44/100)</f>
        <v>2.4444444444444446E-2</v>
      </c>
      <c r="E47" s="7">
        <f t="shared" si="46"/>
        <v>3.6675631821111825E-2</v>
      </c>
      <c r="F47" s="7">
        <f t="shared" si="46"/>
        <v>5.5040362932817402E-2</v>
      </c>
      <c r="G47" s="7">
        <f t="shared" si="46"/>
        <v>8.2641408632549027E-2</v>
      </c>
      <c r="H47" s="7">
        <f t="shared" si="46"/>
        <v>0.12420541987286718</v>
      </c>
      <c r="I47" s="7">
        <f t="shared" si="46"/>
        <v>0.18704236548064221</v>
      </c>
      <c r="J47" s="7">
        <f t="shared" si="46"/>
        <v>0.26393967093235832</v>
      </c>
      <c r="K47" s="7">
        <f t="shared" si="46"/>
        <v>0.34838026087235496</v>
      </c>
      <c r="L47" s="7">
        <f t="shared" si="46"/>
        <v>0.42991634609311891</v>
      </c>
      <c r="M47" s="7">
        <f t="shared" si="46"/>
        <v>0.49687112445154274</v>
      </c>
      <c r="N47" s="7">
        <f t="shared" si="46"/>
        <v>0.59478004880136626</v>
      </c>
    </row>
    <row r="48" spans="1:14" x14ac:dyDescent="0.45">
      <c r="A48" s="13" t="s">
        <v>28</v>
      </c>
      <c r="B48" s="13"/>
      <c r="C48" s="13"/>
      <c r="D48" s="3">
        <f>IF(Моделирование!$C$14=0,0,D45/Моделирование!$C$14)</f>
        <v>1571.4285714285713</v>
      </c>
      <c r="E48" s="3">
        <f>IF(Моделирование!$D$14=0,0,E45/Моделирование!$D$14)</f>
        <v>0</v>
      </c>
      <c r="F48" s="3">
        <f>IF(Моделирование!$D$14=0,0,F45/Моделирование!$D$14)</f>
        <v>0</v>
      </c>
      <c r="G48" s="3">
        <f>IF(Моделирование!$D$14=0,0,G45/Моделирование!$D$14)</f>
        <v>0</v>
      </c>
      <c r="H48" s="3">
        <f>IF(Моделирование!$D$14=0,0,H45/Моделирование!$D$14)</f>
        <v>0</v>
      </c>
      <c r="I48" s="3">
        <f>IF(Моделирование!$D$14=0,0,I45/Моделирование!$D$14)</f>
        <v>0</v>
      </c>
      <c r="J48" s="3">
        <f>IF(Моделирование!$D$14=0,0,J45/Моделирование!$D$14)</f>
        <v>0</v>
      </c>
      <c r="K48" s="3">
        <f>IF(Моделирование!$D$14=0,0,K45/Моделирование!$D$14)</f>
        <v>0</v>
      </c>
      <c r="L48" s="3">
        <f>IF(Моделирование!$D$14=0,0,L45/Моделирование!$D$14)</f>
        <v>0</v>
      </c>
      <c r="M48" s="3">
        <f>IF(Моделирование!$D$14=0,0,M45/Моделирование!$D$14)</f>
        <v>0</v>
      </c>
      <c r="N48" s="3">
        <f>IF(Моделирование!$D$14=0,0,N45/Моделирование!$D$14)</f>
        <v>0</v>
      </c>
    </row>
    <row r="49" spans="1:14" x14ac:dyDescent="0.45">
      <c r="A49" s="13" t="s">
        <v>137</v>
      </c>
      <c r="B49" s="13"/>
      <c r="C49" s="13"/>
      <c r="D49" s="3">
        <f>IF(D48=0,0,IF(((D48/100)*10)-'Модель Хаба Федеральные трассы'!D60&gt;1000,((D48/100)*10)-'Модель Хаба Федеральные трассы'!D60,1000))</f>
        <v>1000</v>
      </c>
      <c r="E49" s="3">
        <f>((E48/100)*10)-'Модель Хаба Федеральные трассы'!E60</f>
        <v>0</v>
      </c>
      <c r="F49" s="3">
        <f>((F48/100)*10)-'Модель Хаба Федеральные трассы'!F60</f>
        <v>0</v>
      </c>
      <c r="G49" s="3">
        <f>((G48/100)*10)-'Модель Хаба Федеральные трассы'!G60</f>
        <v>0</v>
      </c>
      <c r="H49" s="3">
        <f>((H48/100)*10)-'Модель Хаба Федеральные трассы'!H60</f>
        <v>0</v>
      </c>
      <c r="I49" s="3">
        <f>((I48/100)*10)-'Модель Хаба Федеральные трассы'!I60</f>
        <v>0</v>
      </c>
      <c r="J49" s="3">
        <f>((J48/100)*10)-'Модель Хаба Федеральные трассы'!J60</f>
        <v>0</v>
      </c>
      <c r="K49" s="3">
        <f>((K48/100)*10)-'Модель Хаба Федеральные трассы'!K60</f>
        <v>0</v>
      </c>
      <c r="L49" s="3">
        <f>((L48/100)*10)-'Модель Хаба Федеральные трассы'!L60</f>
        <v>0</v>
      </c>
      <c r="M49" s="3">
        <f>((M48/100)*10)-'Модель Хаба Федеральные трассы'!M60</f>
        <v>0</v>
      </c>
      <c r="N49" s="3">
        <f>((N48/100)*10)-'Модель Хаба Федеральные трассы'!N60</f>
        <v>0</v>
      </c>
    </row>
    <row r="50" spans="1:14" x14ac:dyDescent="0.45">
      <c r="A50" s="13" t="s">
        <v>138</v>
      </c>
      <c r="B50" s="13"/>
      <c r="C50" s="13"/>
      <c r="D50" s="3">
        <f>D48-D49</f>
        <v>571.42857142857133</v>
      </c>
      <c r="E50" s="3">
        <f t="shared" ref="E50:N50" si="47">E48-E49</f>
        <v>0</v>
      </c>
      <c r="F50" s="3">
        <f t="shared" si="47"/>
        <v>0</v>
      </c>
      <c r="G50" s="3">
        <f t="shared" si="47"/>
        <v>0</v>
      </c>
      <c r="H50" s="3">
        <f t="shared" si="47"/>
        <v>0</v>
      </c>
      <c r="I50" s="3">
        <f t="shared" si="47"/>
        <v>0</v>
      </c>
      <c r="J50" s="3">
        <f t="shared" si="47"/>
        <v>0</v>
      </c>
      <c r="K50" s="3">
        <f t="shared" si="47"/>
        <v>0</v>
      </c>
      <c r="L50" s="3">
        <f t="shared" si="47"/>
        <v>0</v>
      </c>
      <c r="M50" s="3">
        <f t="shared" si="47"/>
        <v>0</v>
      </c>
      <c r="N50" s="3">
        <f t="shared" si="47"/>
        <v>0</v>
      </c>
    </row>
    <row r="51" spans="1:14" x14ac:dyDescent="0.45">
      <c r="A51" s="13" t="s">
        <v>143</v>
      </c>
      <c r="B51" s="13"/>
      <c r="C51" s="13"/>
      <c r="D51" s="10">
        <f>Моделирование!D4</f>
        <v>6</v>
      </c>
      <c r="E51" s="11">
        <f>IF(D51=1,1,D51-1)</f>
        <v>5</v>
      </c>
      <c r="F51" s="11">
        <f t="shared" ref="F51:N51" si="48">IF(E51=1,1,E51-1)</f>
        <v>4</v>
      </c>
      <c r="G51" s="11">
        <f t="shared" si="48"/>
        <v>3</v>
      </c>
      <c r="H51" s="11">
        <f t="shared" si="48"/>
        <v>2</v>
      </c>
      <c r="I51" s="11">
        <f t="shared" si="48"/>
        <v>1</v>
      </c>
      <c r="J51" s="11">
        <f t="shared" si="48"/>
        <v>1</v>
      </c>
      <c r="K51" s="11">
        <f t="shared" si="48"/>
        <v>1</v>
      </c>
      <c r="L51" s="11">
        <f t="shared" si="48"/>
        <v>1</v>
      </c>
      <c r="M51" s="11">
        <f t="shared" si="48"/>
        <v>1</v>
      </c>
      <c r="N51" s="11">
        <f t="shared" si="48"/>
        <v>1</v>
      </c>
    </row>
    <row r="52" spans="1:14" x14ac:dyDescent="0.45">
      <c r="A52" s="13" t="s">
        <v>144</v>
      </c>
      <c r="B52" s="13"/>
      <c r="C52" s="13"/>
      <c r="D52" s="10">
        <f>Моделирование!D4</f>
        <v>6</v>
      </c>
      <c r="E52" s="11">
        <f>IF(D52=1,1,D52-1)</f>
        <v>5</v>
      </c>
      <c r="F52" s="11">
        <f t="shared" ref="F52:N52" si="49">IF(E52=1,1,E52-1)</f>
        <v>4</v>
      </c>
      <c r="G52" s="11">
        <f t="shared" si="49"/>
        <v>3</v>
      </c>
      <c r="H52" s="11">
        <f t="shared" si="49"/>
        <v>2</v>
      </c>
      <c r="I52" s="11">
        <f t="shared" si="49"/>
        <v>1</v>
      </c>
      <c r="J52" s="11">
        <f t="shared" si="49"/>
        <v>1</v>
      </c>
      <c r="K52" s="11">
        <f t="shared" si="49"/>
        <v>1</v>
      </c>
      <c r="L52" s="11">
        <f t="shared" si="49"/>
        <v>1</v>
      </c>
      <c r="M52" s="11">
        <f t="shared" si="49"/>
        <v>1</v>
      </c>
      <c r="N52" s="11">
        <f t="shared" si="49"/>
        <v>1</v>
      </c>
    </row>
    <row r="53" spans="1:14" x14ac:dyDescent="0.45">
      <c r="A53" s="13" t="s">
        <v>29</v>
      </c>
      <c r="B53" s="13"/>
      <c r="C53" s="13"/>
      <c r="D53" s="11">
        <f>D54+D55</f>
        <v>250</v>
      </c>
      <c r="E53" s="11">
        <f>E54+E55</f>
        <v>0</v>
      </c>
      <c r="F53" s="11">
        <f t="shared" ref="F53:M53" si="50">F54+F55</f>
        <v>0</v>
      </c>
      <c r="G53" s="11">
        <f t="shared" si="50"/>
        <v>0</v>
      </c>
      <c r="H53" s="11">
        <f t="shared" si="50"/>
        <v>0</v>
      </c>
      <c r="I53" s="11">
        <f t="shared" si="50"/>
        <v>0</v>
      </c>
      <c r="J53" s="11">
        <f t="shared" si="50"/>
        <v>0</v>
      </c>
      <c r="K53" s="11">
        <f t="shared" si="50"/>
        <v>0</v>
      </c>
      <c r="L53" s="11">
        <f t="shared" si="50"/>
        <v>0</v>
      </c>
      <c r="M53" s="11">
        <f t="shared" si="50"/>
        <v>0</v>
      </c>
      <c r="N53" s="11">
        <f>N54+N55</f>
        <v>0</v>
      </c>
    </row>
    <row r="54" spans="1:14" x14ac:dyDescent="0.45">
      <c r="A54" s="13" t="s">
        <v>137</v>
      </c>
      <c r="B54" s="13"/>
      <c r="C54" s="13"/>
      <c r="D54" s="3">
        <v>250</v>
      </c>
      <c r="E54" s="3">
        <f>(E49/100)*E51</f>
        <v>0</v>
      </c>
      <c r="F54" s="3">
        <f t="shared" ref="F54:N54" si="51">(F49/100)*F51</f>
        <v>0</v>
      </c>
      <c r="G54" s="3">
        <f t="shared" si="51"/>
        <v>0</v>
      </c>
      <c r="H54" s="3">
        <f t="shared" si="51"/>
        <v>0</v>
      </c>
      <c r="I54" s="3">
        <f t="shared" si="51"/>
        <v>0</v>
      </c>
      <c r="J54" s="3">
        <f t="shared" si="51"/>
        <v>0</v>
      </c>
      <c r="K54" s="3">
        <f t="shared" si="51"/>
        <v>0</v>
      </c>
      <c r="L54" s="3">
        <f t="shared" si="51"/>
        <v>0</v>
      </c>
      <c r="M54" s="3">
        <f t="shared" si="51"/>
        <v>0</v>
      </c>
      <c r="N54" s="3">
        <f t="shared" si="51"/>
        <v>0</v>
      </c>
    </row>
    <row r="55" spans="1:14" x14ac:dyDescent="0.45">
      <c r="A55" s="13" t="s">
        <v>138</v>
      </c>
      <c r="B55" s="13"/>
      <c r="C55" s="13"/>
      <c r="D55" s="3"/>
      <c r="E55" s="3">
        <f>IF(E50=0,0,((E45/2)/100)*E52)</f>
        <v>0</v>
      </c>
      <c r="F55" s="3">
        <f t="shared" ref="F55:N55" si="52">IF(F50=0,0,((F45/2)/100)*F52)</f>
        <v>0</v>
      </c>
      <c r="G55" s="3">
        <f t="shared" si="52"/>
        <v>0</v>
      </c>
      <c r="H55" s="3">
        <f t="shared" si="52"/>
        <v>0</v>
      </c>
      <c r="I55" s="3">
        <f t="shared" si="52"/>
        <v>0</v>
      </c>
      <c r="J55" s="3">
        <f t="shared" si="52"/>
        <v>0</v>
      </c>
      <c r="K55" s="3">
        <f t="shared" si="52"/>
        <v>0</v>
      </c>
      <c r="L55" s="3">
        <f t="shared" si="52"/>
        <v>0</v>
      </c>
      <c r="M55" s="3">
        <f t="shared" si="52"/>
        <v>0</v>
      </c>
      <c r="N55" s="3">
        <f t="shared" si="52"/>
        <v>0</v>
      </c>
    </row>
    <row r="56" spans="1:14" x14ac:dyDescent="0.45">
      <c r="A56" s="13" t="s">
        <v>18</v>
      </c>
      <c r="B56" s="13"/>
      <c r="C56" s="13"/>
      <c r="D56" s="14">
        <v>70</v>
      </c>
      <c r="E56" s="6">
        <f>ROUNDUP((D56/100)*(100+D57),-1)</f>
        <v>80</v>
      </c>
      <c r="F56" s="6">
        <f t="shared" ref="F56" si="53">ROUNDUP((E56/100)*(100+E57),-1)</f>
        <v>90</v>
      </c>
      <c r="G56" s="6">
        <f t="shared" ref="G56" si="54">ROUNDUP((F56/100)*(100+F57),-1)</f>
        <v>100</v>
      </c>
      <c r="H56" s="6">
        <f t="shared" ref="H56" si="55">ROUNDUP((G56/100)*(100+G57),-1)</f>
        <v>110</v>
      </c>
      <c r="I56" s="6">
        <f t="shared" ref="I56" si="56">ROUNDUP((H56/100)*(100+H57),-1)</f>
        <v>120</v>
      </c>
      <c r="J56" s="6">
        <f t="shared" ref="J56" si="57">ROUNDUP((I56/100)*(100+I57),-1)</f>
        <v>130</v>
      </c>
      <c r="K56" s="6">
        <f t="shared" ref="K56" si="58">ROUNDUP((J56/100)*(100+J57),-1)</f>
        <v>140</v>
      </c>
      <c r="L56" s="6">
        <f t="shared" ref="L56" si="59">ROUNDUP((K56/100)*(100+K57),-1)</f>
        <v>150</v>
      </c>
      <c r="M56" s="6">
        <f t="shared" ref="M56" si="60">ROUNDUP((L56/100)*(100+L57),-1)</f>
        <v>160</v>
      </c>
      <c r="N56" s="6">
        <f t="shared" ref="N56" si="61">ROUNDUP((M56/100)*(100+M57),-1)</f>
        <v>170</v>
      </c>
    </row>
    <row r="57" spans="1:14" x14ac:dyDescent="0.45">
      <c r="A57" s="13" t="s">
        <v>19</v>
      </c>
      <c r="B57" s="13"/>
      <c r="C57" s="13"/>
      <c r="D57" s="14">
        <v>5</v>
      </c>
      <c r="E57" s="6">
        <f>D57-1</f>
        <v>4</v>
      </c>
      <c r="F57" s="6">
        <f t="shared" ref="F57" si="62">E57-1</f>
        <v>3</v>
      </c>
      <c r="G57" s="6">
        <f t="shared" ref="G57" si="63">F57-1</f>
        <v>2</v>
      </c>
      <c r="H57" s="6">
        <v>2</v>
      </c>
      <c r="I57" s="6">
        <v>2</v>
      </c>
      <c r="J57" s="6">
        <v>2</v>
      </c>
      <c r="K57" s="6">
        <v>2</v>
      </c>
      <c r="L57" s="6">
        <v>2</v>
      </c>
      <c r="M57" s="6">
        <v>2</v>
      </c>
      <c r="N57" s="6">
        <v>2</v>
      </c>
    </row>
    <row r="58" spans="1:14" x14ac:dyDescent="0.45">
      <c r="A58" s="13" t="s">
        <v>20</v>
      </c>
      <c r="B58" s="13"/>
      <c r="C58" s="13"/>
      <c r="D58" s="14">
        <v>1</v>
      </c>
      <c r="E58" s="6">
        <f>D58</f>
        <v>1</v>
      </c>
      <c r="F58" s="6">
        <f t="shared" ref="F58" si="64">E58</f>
        <v>1</v>
      </c>
      <c r="G58" s="6">
        <f t="shared" ref="G58" si="65">F58</f>
        <v>1</v>
      </c>
      <c r="H58" s="6">
        <f t="shared" ref="H58" si="66">G58</f>
        <v>1</v>
      </c>
      <c r="I58" s="6">
        <f t="shared" ref="I58" si="67">H58</f>
        <v>1</v>
      </c>
      <c r="J58" s="6">
        <f t="shared" ref="J58" si="68">I58</f>
        <v>1</v>
      </c>
      <c r="K58" s="6">
        <f t="shared" ref="K58" si="69">J58</f>
        <v>1</v>
      </c>
      <c r="L58" s="6">
        <f t="shared" ref="L58" si="70">K58</f>
        <v>1</v>
      </c>
      <c r="M58" s="6">
        <f t="shared" ref="M58" si="71">L58</f>
        <v>1</v>
      </c>
      <c r="N58" s="6">
        <f t="shared" ref="N58" si="72">M58</f>
        <v>1</v>
      </c>
    </row>
    <row r="59" spans="1:14" x14ac:dyDescent="0.45">
      <c r="A59" s="13" t="s">
        <v>2</v>
      </c>
      <c r="B59" s="13"/>
      <c r="C59" s="13"/>
      <c r="D59" s="6">
        <f>D56/4.5</f>
        <v>15.555555555555555</v>
      </c>
      <c r="E59" s="6">
        <f>(D59/100)*(100-D58)</f>
        <v>15.4</v>
      </c>
      <c r="F59" s="6">
        <f t="shared" ref="F59" si="73">(E59/100)*(100-E58)</f>
        <v>15.246</v>
      </c>
      <c r="G59" s="6">
        <f t="shared" ref="G59" si="74">(F59/100)*(100-F58)</f>
        <v>15.093540000000001</v>
      </c>
      <c r="H59" s="6">
        <f t="shared" ref="H59" si="75">(G59/100)*(100-G58)</f>
        <v>14.942604599999999</v>
      </c>
      <c r="I59" s="6">
        <f t="shared" ref="I59" si="76">(H59/100)*(100-H58)</f>
        <v>14.793178553999997</v>
      </c>
      <c r="J59" s="6">
        <f t="shared" ref="J59" si="77">(I59/100)*(100-I58)</f>
        <v>14.645246768459998</v>
      </c>
      <c r="K59" s="6">
        <f t="shared" ref="K59" si="78">(J59/100)*(100-J58)</f>
        <v>14.498794300775399</v>
      </c>
      <c r="L59" s="6">
        <f t="shared" ref="L59" si="79">(K59/100)*(100-K58)</f>
        <v>14.353806357767645</v>
      </c>
      <c r="M59" s="6">
        <f t="shared" ref="M59" si="80">(L59/100)*(100-L58)</f>
        <v>14.210268294189969</v>
      </c>
      <c r="N59" s="6">
        <f>(M59/100)*(100-M58)</f>
        <v>14.068165611248071</v>
      </c>
    </row>
    <row r="60" spans="1:14" x14ac:dyDescent="0.45">
      <c r="A60" s="13" t="s">
        <v>25</v>
      </c>
      <c r="B60" s="13"/>
      <c r="C60" s="13"/>
      <c r="D60" s="6">
        <f>(D56/100)*80</f>
        <v>56</v>
      </c>
      <c r="E60" s="6">
        <f t="shared" ref="E60:N60" si="81">(E56/100)*80</f>
        <v>64</v>
      </c>
      <c r="F60" s="6">
        <f t="shared" si="81"/>
        <v>72</v>
      </c>
      <c r="G60" s="6">
        <f t="shared" si="81"/>
        <v>80</v>
      </c>
      <c r="H60" s="6">
        <f t="shared" si="81"/>
        <v>88</v>
      </c>
      <c r="I60" s="6">
        <f t="shared" si="81"/>
        <v>96</v>
      </c>
      <c r="J60" s="6">
        <f t="shared" si="81"/>
        <v>104</v>
      </c>
      <c r="K60" s="6">
        <f t="shared" si="81"/>
        <v>112</v>
      </c>
      <c r="L60" s="6">
        <f t="shared" si="81"/>
        <v>120</v>
      </c>
      <c r="M60" s="6">
        <f t="shared" si="81"/>
        <v>128</v>
      </c>
      <c r="N60" s="6">
        <f t="shared" si="81"/>
        <v>136</v>
      </c>
    </row>
    <row r="61" spans="1:14" x14ac:dyDescent="0.45">
      <c r="A61" s="13" t="s">
        <v>26</v>
      </c>
      <c r="B61" s="13"/>
      <c r="C61" s="13"/>
      <c r="D61" s="6">
        <f>((D62/100)*D59)/D64</f>
        <v>9.3333333333333321</v>
      </c>
      <c r="E61" s="6">
        <f t="shared" ref="E61:N61" si="82">((E62/100)*E59)/E64</f>
        <v>9.24</v>
      </c>
      <c r="F61" s="6">
        <f t="shared" si="82"/>
        <v>9.1476000000000006</v>
      </c>
      <c r="G61" s="6">
        <f t="shared" si="82"/>
        <v>9.0561240000000005</v>
      </c>
      <c r="H61" s="6">
        <f t="shared" si="82"/>
        <v>8.965562760000001</v>
      </c>
      <c r="I61" s="6">
        <f t="shared" si="82"/>
        <v>8.8759071323999983</v>
      </c>
      <c r="J61" s="6">
        <f t="shared" si="82"/>
        <v>8.7871480610759995</v>
      </c>
      <c r="K61" s="6">
        <f t="shared" si="82"/>
        <v>8.6992765804652397</v>
      </c>
      <c r="L61" s="6">
        <f t="shared" si="82"/>
        <v>8.6122838146605876</v>
      </c>
      <c r="M61" s="6">
        <f t="shared" si="82"/>
        <v>8.5261609765139816</v>
      </c>
      <c r="N61" s="6">
        <f t="shared" si="82"/>
        <v>8.4408993667488428</v>
      </c>
    </row>
    <row r="62" spans="1:14" x14ac:dyDescent="0.45">
      <c r="A62" s="13" t="s">
        <v>21</v>
      </c>
      <c r="B62" s="13"/>
      <c r="C62" s="13"/>
      <c r="D62" s="14">
        <v>1200</v>
      </c>
      <c r="E62" s="6">
        <f>D62</f>
        <v>1200</v>
      </c>
      <c r="F62" s="6">
        <f t="shared" ref="F62:F65" si="83">E62</f>
        <v>1200</v>
      </c>
      <c r="G62" s="6">
        <f t="shared" ref="G62:G65" si="84">F62</f>
        <v>1200</v>
      </c>
      <c r="H62" s="6">
        <f t="shared" ref="H62:H65" si="85">G62</f>
        <v>1200</v>
      </c>
      <c r="I62" s="6">
        <f t="shared" ref="I62:I65" si="86">H62</f>
        <v>1200</v>
      </c>
      <c r="J62" s="6">
        <f t="shared" ref="J62:J65" si="87">I62</f>
        <v>1200</v>
      </c>
      <c r="K62" s="6">
        <f t="shared" ref="K62:K65" si="88">J62</f>
        <v>1200</v>
      </c>
      <c r="L62" s="6">
        <f t="shared" ref="L62:L65" si="89">K62</f>
        <v>1200</v>
      </c>
      <c r="M62" s="6">
        <f t="shared" ref="M62:M65" si="90">L62</f>
        <v>1200</v>
      </c>
      <c r="N62" s="6">
        <f t="shared" ref="N62:N65" si="91">M62</f>
        <v>1200</v>
      </c>
    </row>
    <row r="63" spans="1:14" x14ac:dyDescent="0.45">
      <c r="A63" s="13" t="s">
        <v>22</v>
      </c>
      <c r="B63" s="13"/>
      <c r="C63" s="13"/>
      <c r="D63" s="14">
        <v>500</v>
      </c>
      <c r="E63" s="6">
        <f>D63</f>
        <v>500</v>
      </c>
      <c r="F63" s="6">
        <f t="shared" si="83"/>
        <v>500</v>
      </c>
      <c r="G63" s="6">
        <f t="shared" si="84"/>
        <v>500</v>
      </c>
      <c r="H63" s="6">
        <f t="shared" si="85"/>
        <v>500</v>
      </c>
      <c r="I63" s="6">
        <f t="shared" si="86"/>
        <v>500</v>
      </c>
      <c r="J63" s="6">
        <f t="shared" si="87"/>
        <v>500</v>
      </c>
      <c r="K63" s="6">
        <f t="shared" si="88"/>
        <v>500</v>
      </c>
      <c r="L63" s="6">
        <f t="shared" si="89"/>
        <v>500</v>
      </c>
      <c r="M63" s="6">
        <f t="shared" si="90"/>
        <v>500</v>
      </c>
      <c r="N63" s="6">
        <f t="shared" si="91"/>
        <v>500</v>
      </c>
    </row>
    <row r="64" spans="1:14" x14ac:dyDescent="0.45">
      <c r="A64" s="13" t="s">
        <v>23</v>
      </c>
      <c r="B64" s="13"/>
      <c r="C64" s="13"/>
      <c r="D64" s="15">
        <v>20</v>
      </c>
      <c r="E64" s="16">
        <f>D64</f>
        <v>20</v>
      </c>
      <c r="F64" s="16">
        <f t="shared" si="83"/>
        <v>20</v>
      </c>
      <c r="G64" s="16">
        <f t="shared" si="84"/>
        <v>20</v>
      </c>
      <c r="H64" s="16">
        <f t="shared" si="85"/>
        <v>20</v>
      </c>
      <c r="I64" s="16">
        <f t="shared" si="86"/>
        <v>20</v>
      </c>
      <c r="J64" s="16">
        <f t="shared" si="87"/>
        <v>20</v>
      </c>
      <c r="K64" s="16">
        <f t="shared" si="88"/>
        <v>20</v>
      </c>
      <c r="L64" s="16">
        <f t="shared" si="89"/>
        <v>20</v>
      </c>
      <c r="M64" s="16">
        <f t="shared" si="90"/>
        <v>20</v>
      </c>
      <c r="N64" s="16">
        <f t="shared" si="91"/>
        <v>20</v>
      </c>
    </row>
    <row r="65" spans="1:14" x14ac:dyDescent="0.45">
      <c r="A65" s="13" t="s">
        <v>24</v>
      </c>
      <c r="B65" s="13"/>
      <c r="C65" s="13"/>
      <c r="D65" s="15">
        <v>2</v>
      </c>
      <c r="E65" s="16">
        <f>D65</f>
        <v>2</v>
      </c>
      <c r="F65" s="16">
        <f t="shared" si="83"/>
        <v>2</v>
      </c>
      <c r="G65" s="16">
        <f t="shared" si="84"/>
        <v>2</v>
      </c>
      <c r="H65" s="16">
        <f t="shared" si="85"/>
        <v>2</v>
      </c>
      <c r="I65" s="16">
        <f t="shared" si="86"/>
        <v>2</v>
      </c>
      <c r="J65" s="16">
        <f t="shared" si="87"/>
        <v>2</v>
      </c>
      <c r="K65" s="16">
        <f t="shared" si="88"/>
        <v>2</v>
      </c>
      <c r="L65" s="16">
        <f t="shared" si="89"/>
        <v>2</v>
      </c>
      <c r="M65" s="16">
        <f t="shared" si="90"/>
        <v>2</v>
      </c>
      <c r="N65" s="16">
        <f t="shared" si="91"/>
        <v>2</v>
      </c>
    </row>
    <row r="66" spans="1:14" x14ac:dyDescent="0.45">
      <c r="A66" s="13" t="s">
        <v>0</v>
      </c>
      <c r="B66" s="13"/>
      <c r="C66" s="13"/>
      <c r="D66" s="17">
        <f>Моделирование!$D$5</f>
        <v>48</v>
      </c>
      <c r="E66" s="17">
        <f>(D66/100)*(100+D43)</f>
        <v>48</v>
      </c>
      <c r="F66" s="17">
        <f t="shared" ref="F66" si="92">(E66/100)*(100+E43)</f>
        <v>48</v>
      </c>
      <c r="G66" s="17">
        <f t="shared" ref="G66" si="93">(F66/100)*(100+F43)</f>
        <v>48</v>
      </c>
      <c r="H66" s="17">
        <f t="shared" ref="H66" si="94">(G66/100)*(100+G43)</f>
        <v>48</v>
      </c>
      <c r="I66" s="17">
        <f t="shared" ref="I66" si="95">(H66/100)*(100+H43)</f>
        <v>48</v>
      </c>
      <c r="J66" s="17">
        <f t="shared" ref="J66" si="96">(I66/100)*(100+I43)</f>
        <v>48</v>
      </c>
      <c r="K66" s="17">
        <f t="shared" ref="K66" si="97">(J66/100)*(100+J43)</f>
        <v>48</v>
      </c>
      <c r="L66" s="17">
        <f t="shared" ref="L66" si="98">(K66/100)*(100+K43)</f>
        <v>48</v>
      </c>
      <c r="M66" s="17">
        <f t="shared" ref="M66" si="99">(L66/100)*(100+L43)</f>
        <v>48</v>
      </c>
      <c r="N66" s="17">
        <f t="shared" ref="N66" si="100">(M66/100)*(100+M43)</f>
        <v>48</v>
      </c>
    </row>
    <row r="67" spans="1:14" x14ac:dyDescent="0.45">
      <c r="A67" s="13" t="s">
        <v>136</v>
      </c>
      <c r="B67" s="13"/>
      <c r="C67" s="13"/>
      <c r="D67" s="16">
        <v>50</v>
      </c>
      <c r="E67" s="16">
        <f>D67</f>
        <v>50</v>
      </c>
      <c r="F67" s="16">
        <f t="shared" ref="F67" si="101">E67</f>
        <v>50</v>
      </c>
      <c r="G67" s="16">
        <f t="shared" ref="G67" si="102">F67</f>
        <v>50</v>
      </c>
      <c r="H67" s="16">
        <f t="shared" ref="H67" si="103">G67</f>
        <v>50</v>
      </c>
      <c r="I67" s="16">
        <f t="shared" ref="I67" si="104">H67</f>
        <v>50</v>
      </c>
      <c r="J67" s="16">
        <f t="shared" ref="J67" si="105">I67</f>
        <v>50</v>
      </c>
      <c r="K67" s="16">
        <f t="shared" ref="K67" si="106">J67</f>
        <v>50</v>
      </c>
      <c r="L67" s="16">
        <f t="shared" ref="L67" si="107">K67</f>
        <v>50</v>
      </c>
      <c r="M67" s="16">
        <f t="shared" ref="M67" si="108">L67</f>
        <v>50</v>
      </c>
      <c r="N67" s="16">
        <f t="shared" ref="N67" si="109">M67</f>
        <v>50</v>
      </c>
    </row>
    <row r="68" spans="1:14" x14ac:dyDescent="0.45">
      <c r="A68" s="32" t="s">
        <v>58</v>
      </c>
      <c r="B68" s="32"/>
      <c r="C68" s="32"/>
      <c r="D68" s="19">
        <f>Моделирование!D7</f>
        <v>17</v>
      </c>
      <c r="E68" s="19">
        <f>IF((((D68/100)*(100+E43))/100)*(100+D67)&lt;E70,(((D68/100)*(100+E43))/100)*(100+E67),E70)</f>
        <v>25.500000000000004</v>
      </c>
      <c r="F68" s="19">
        <f t="shared" ref="F68" si="110">IF((((E68/100)*(100+F43))/100)*(100+E67)&lt;F70,(((E68/100)*(100+F43))/100)*(100+F67),F70)</f>
        <v>29.027438016528926</v>
      </c>
      <c r="G68" s="19">
        <f t="shared" ref="G68" si="111">IF((((F68/100)*(100+G43))/100)*(100+F67)&lt;G70,(((F68/100)*(100+G43))/100)*(100+G67),G70)</f>
        <v>28.734231571917519</v>
      </c>
      <c r="H68" s="19">
        <f t="shared" ref="H68" si="112">IF((((G68/100)*(100+H43))/100)*(100+G67)&lt;H70,(((G68/100)*(100+H43))/100)*(100+H67),H70)</f>
        <v>28.443986808564812</v>
      </c>
      <c r="I68" s="19">
        <f t="shared" ref="I68" si="113">IF((((H68/100)*(100+I43))/100)*(100+H67)&lt;I70,(((H68/100)*(100+I43))/100)*(100+I67),I70)</f>
        <v>28.156673810498511</v>
      </c>
      <c r="J68" s="19">
        <f t="shared" ref="J68" si="114">IF((((I68/100)*(100+J43))/100)*(100+I67)&lt;J70,(((I68/100)*(100+J43))/100)*(100+J67),J70)</f>
        <v>27.872262963927817</v>
      </c>
      <c r="K68" s="19">
        <f t="shared" ref="K68" si="115">IF((((J68/100)*(100+K43))/100)*(100+J67)&lt;K70,(((J68/100)*(100+K43))/100)*(100+K67),K70)</f>
        <v>27.590724954191163</v>
      </c>
      <c r="L68" s="19">
        <f t="shared" ref="L68" si="116">IF((((K68/100)*(100+L43))/100)*(100+K67)&lt;L70,(((K68/100)*(100+L43))/100)*(100+L67),L70)</f>
        <v>27.312030762734697</v>
      </c>
      <c r="M68" s="19">
        <f t="shared" ref="M68" si="117">IF((((L68/100)*(100+M43))/100)*(100+L67)&lt;M70,(((L68/100)*(100+M43))/100)*(100+M67),M70)</f>
        <v>27.03615166412121</v>
      </c>
      <c r="N68" s="19">
        <f t="shared" ref="N68" si="118">IF((((M68/100)*(100+N43))/100)*(100+M67)&lt;N70,(((M68/100)*(100+N43))/100)*(100+N67),N70)</f>
        <v>26.763059223069479</v>
      </c>
    </row>
    <row r="69" spans="1:14" x14ac:dyDescent="0.45">
      <c r="A69" s="32" t="s">
        <v>59</v>
      </c>
      <c r="B69" s="32"/>
      <c r="C69" s="32"/>
      <c r="D69" s="19">
        <f>D68</f>
        <v>17</v>
      </c>
      <c r="E69" s="19">
        <f>E68</f>
        <v>25.500000000000004</v>
      </c>
      <c r="F69" s="19">
        <f t="shared" ref="F69:N69" si="119">F68</f>
        <v>29.027438016528926</v>
      </c>
      <c r="G69" s="19">
        <f t="shared" si="119"/>
        <v>28.734231571917519</v>
      </c>
      <c r="H69" s="19">
        <f t="shared" si="119"/>
        <v>28.443986808564812</v>
      </c>
      <c r="I69" s="19">
        <f t="shared" si="119"/>
        <v>28.156673810498511</v>
      </c>
      <c r="J69" s="19">
        <f t="shared" si="119"/>
        <v>27.872262963927817</v>
      </c>
      <c r="K69" s="19">
        <f t="shared" si="119"/>
        <v>27.590724954191163</v>
      </c>
      <c r="L69" s="19">
        <f t="shared" si="119"/>
        <v>27.312030762734697</v>
      </c>
      <c r="M69" s="19">
        <f t="shared" si="119"/>
        <v>27.03615166412121</v>
      </c>
      <c r="N69" s="19">
        <f t="shared" si="119"/>
        <v>26.763059223069479</v>
      </c>
    </row>
    <row r="70" spans="1:14" x14ac:dyDescent="0.45">
      <c r="A70" s="32" t="s">
        <v>169</v>
      </c>
      <c r="B70" s="32"/>
      <c r="C70" s="32"/>
      <c r="D70" s="18">
        <f>((D74*100)/100)*(100-D73)/D59</f>
        <v>29.622857142857139</v>
      </c>
      <c r="E70" s="18">
        <f>((E74*100)/100)*(100-E73)/E59</f>
        <v>29.323636363636364</v>
      </c>
      <c r="F70" s="18">
        <f>((F74*100)/100)*(100-F73)/F59</f>
        <v>29.027438016528926</v>
      </c>
      <c r="G70" s="18">
        <f t="shared" ref="G70:I70" si="120">((G74*100)/100)*(100-G73)/G59</f>
        <v>28.734231571917519</v>
      </c>
      <c r="H70" s="18">
        <f t="shared" si="120"/>
        <v>28.443986808564812</v>
      </c>
      <c r="I70" s="18">
        <f t="shared" si="120"/>
        <v>28.156673810498511</v>
      </c>
      <c r="J70" s="18">
        <f>((J74*100)/100)*(100-J73)/J59</f>
        <v>27.872262963927817</v>
      </c>
      <c r="K70" s="18">
        <f t="shared" ref="K70:M70" si="121">((K74*100)/100)*(100-K73)/K59</f>
        <v>27.590724954191163</v>
      </c>
      <c r="L70" s="18">
        <f t="shared" si="121"/>
        <v>27.312030762734697</v>
      </c>
      <c r="M70" s="18">
        <f t="shared" si="121"/>
        <v>27.03615166412121</v>
      </c>
      <c r="N70" s="18">
        <f>((N74*100)/100)*(100-N73)/N59</f>
        <v>26.763059223069479</v>
      </c>
    </row>
    <row r="71" spans="1:14" x14ac:dyDescent="0.45">
      <c r="A71" s="13" t="s">
        <v>149</v>
      </c>
      <c r="B71" s="13"/>
      <c r="C71" s="13"/>
      <c r="D71" s="17">
        <f>((D70/D68)*100)-100</f>
        <v>74.252100840336112</v>
      </c>
      <c r="E71" s="17">
        <f t="shared" ref="E71:I71" si="122">((E70/E68)*100)-100</f>
        <v>14.994652406417103</v>
      </c>
      <c r="F71" s="17">
        <f t="shared" si="122"/>
        <v>0</v>
      </c>
      <c r="G71" s="17">
        <f t="shared" si="122"/>
        <v>0</v>
      </c>
      <c r="H71" s="17">
        <f t="shared" si="122"/>
        <v>0</v>
      </c>
      <c r="I71" s="17">
        <f t="shared" si="122"/>
        <v>0</v>
      </c>
      <c r="J71" s="17">
        <f>((J70/J68)*100)-100</f>
        <v>0</v>
      </c>
      <c r="K71" s="17">
        <f t="shared" ref="K71:N71" si="123">((K70/K68)*100)-100</f>
        <v>0</v>
      </c>
      <c r="L71" s="17">
        <f t="shared" si="123"/>
        <v>0</v>
      </c>
      <c r="M71" s="17">
        <f t="shared" si="123"/>
        <v>0</v>
      </c>
      <c r="N71" s="17">
        <f t="shared" si="123"/>
        <v>0</v>
      </c>
    </row>
    <row r="72" spans="1:14" x14ac:dyDescent="0.45">
      <c r="A72" s="13" t="s">
        <v>1</v>
      </c>
      <c r="B72" s="13"/>
      <c r="C72" s="13"/>
      <c r="D72" s="17">
        <v>12</v>
      </c>
      <c r="E72" s="17">
        <f>(D72/100)*98</f>
        <v>11.76</v>
      </c>
      <c r="F72" s="17">
        <f t="shared" ref="F72" si="124">(E72/100)*98</f>
        <v>11.524799999999999</v>
      </c>
      <c r="G72" s="17">
        <f t="shared" ref="G72" si="125">(F72/100)*98</f>
        <v>11.294303999999999</v>
      </c>
      <c r="H72" s="17">
        <f t="shared" ref="H72" si="126">(G72/100)*98</f>
        <v>11.068417919999998</v>
      </c>
      <c r="I72" s="17">
        <f t="shared" ref="I72" si="127">(H72/100)*98</f>
        <v>10.847049561599999</v>
      </c>
      <c r="J72" s="17">
        <f t="shared" ref="J72" si="128">(I72/100)*98</f>
        <v>10.630108570367998</v>
      </c>
      <c r="K72" s="17">
        <f t="shared" ref="K72" si="129">(J72/100)*98</f>
        <v>10.417506398960638</v>
      </c>
      <c r="L72" s="17">
        <f t="shared" ref="L72" si="130">(K72/100)*98</f>
        <v>10.209156270981426</v>
      </c>
      <c r="M72" s="17">
        <f t="shared" ref="M72" si="131">(L72/100)*98</f>
        <v>10.004973145561797</v>
      </c>
      <c r="N72" s="17">
        <f t="shared" ref="N72" si="132">(M72/100)*98</f>
        <v>9.8048736826505607</v>
      </c>
    </row>
    <row r="73" spans="1:14" x14ac:dyDescent="0.45">
      <c r="A73" s="13" t="s">
        <v>146</v>
      </c>
      <c r="B73" s="13"/>
      <c r="C73" s="13"/>
      <c r="D73" s="17">
        <f>Моделирование!D6</f>
        <v>20</v>
      </c>
      <c r="E73" s="17">
        <f>D73</f>
        <v>20</v>
      </c>
      <c r="F73" s="17">
        <f t="shared" ref="F73" si="133">E73</f>
        <v>20</v>
      </c>
      <c r="G73" s="17">
        <f t="shared" ref="G73" si="134">F73</f>
        <v>20</v>
      </c>
      <c r="H73" s="17">
        <f t="shared" ref="H73" si="135">G73</f>
        <v>20</v>
      </c>
      <c r="I73" s="17">
        <f t="shared" ref="I73" si="136">H73</f>
        <v>20</v>
      </c>
      <c r="J73" s="17">
        <f t="shared" ref="J73" si="137">I73</f>
        <v>20</v>
      </c>
      <c r="K73" s="17">
        <f t="shared" ref="K73" si="138">J73</f>
        <v>20</v>
      </c>
      <c r="L73" s="17">
        <f t="shared" ref="L73" si="139">K73</f>
        <v>20</v>
      </c>
      <c r="M73" s="17">
        <f t="shared" ref="M73" si="140">L73</f>
        <v>20</v>
      </c>
      <c r="N73" s="17">
        <f t="shared" ref="N73" si="141">M73</f>
        <v>20</v>
      </c>
    </row>
    <row r="74" spans="1:14" x14ac:dyDescent="0.45">
      <c r="A74" s="13" t="s">
        <v>148</v>
      </c>
      <c r="B74" s="13"/>
      <c r="C74" s="13"/>
      <c r="D74" s="17">
        <f t="shared" ref="D74:N74" si="142">(D66*D72)/100</f>
        <v>5.76</v>
      </c>
      <c r="E74" s="17">
        <f t="shared" si="142"/>
        <v>5.6448</v>
      </c>
      <c r="F74" s="17">
        <f t="shared" si="142"/>
        <v>5.5319039999999999</v>
      </c>
      <c r="G74" s="17">
        <f t="shared" si="142"/>
        <v>5.4212659199999997</v>
      </c>
      <c r="H74" s="17">
        <f t="shared" si="142"/>
        <v>5.3128406015999987</v>
      </c>
      <c r="I74" s="17">
        <f t="shared" si="142"/>
        <v>5.2065837895679987</v>
      </c>
      <c r="J74" s="17">
        <f t="shared" si="142"/>
        <v>5.1024521137766392</v>
      </c>
      <c r="K74" s="17">
        <f t="shared" si="142"/>
        <v>5.0004030715011059</v>
      </c>
      <c r="L74" s="17">
        <f t="shared" si="142"/>
        <v>4.9003950100710849</v>
      </c>
      <c r="M74" s="17">
        <f t="shared" si="142"/>
        <v>4.8023871098696622</v>
      </c>
      <c r="N74" s="17">
        <f t="shared" si="142"/>
        <v>4.7063393676722693</v>
      </c>
    </row>
    <row r="75" spans="1:14" x14ac:dyDescent="0.45">
      <c r="A75" s="13" t="s">
        <v>147</v>
      </c>
      <c r="B75" s="13"/>
      <c r="C75" s="13"/>
      <c r="D75" s="17">
        <f t="shared" ref="D75:N75" si="143">(D59*D68)/100</f>
        <v>2.6444444444444444</v>
      </c>
      <c r="E75" s="17">
        <f t="shared" si="143"/>
        <v>3.9270000000000005</v>
      </c>
      <c r="F75" s="17">
        <f t="shared" si="143"/>
        <v>4.4255231999999998</v>
      </c>
      <c r="G75" s="17">
        <f t="shared" si="143"/>
        <v>4.3370127360000001</v>
      </c>
      <c r="H75" s="17">
        <f t="shared" si="143"/>
        <v>4.2502724812799988</v>
      </c>
      <c r="I75" s="17">
        <f t="shared" si="143"/>
        <v>4.1652670316543992</v>
      </c>
      <c r="J75" s="17">
        <f t="shared" si="143"/>
        <v>4.081961691021311</v>
      </c>
      <c r="K75" s="17">
        <f t="shared" si="143"/>
        <v>4.000322457200884</v>
      </c>
      <c r="L75" s="17">
        <f t="shared" si="143"/>
        <v>3.9203160080568682</v>
      </c>
      <c r="M75" s="17">
        <f t="shared" si="143"/>
        <v>3.84190968789573</v>
      </c>
      <c r="N75" s="17">
        <f t="shared" si="143"/>
        <v>3.7650714941378158</v>
      </c>
    </row>
    <row r="76" spans="1:14" x14ac:dyDescent="0.45">
      <c r="A76" s="13" t="s">
        <v>190</v>
      </c>
      <c r="B76" s="13"/>
      <c r="C76" s="13"/>
      <c r="D76" s="3">
        <f>IF(D78=0,0,(((D45/100)*D51)*(D60*D65))*D68*12)</f>
        <v>15079680</v>
      </c>
      <c r="E76" s="3">
        <f>IF(E78=0,0,(((E45/100)*E51)*(E60*E65))*E68*12)</f>
        <v>32313600.000000007</v>
      </c>
      <c r="F76" s="3">
        <f t="shared" ref="F76:N76" si="144">IF(F78=0,0,(((F45/100)*F51)*(F60*F65))*F68*12)</f>
        <v>49657818.763636366</v>
      </c>
      <c r="G76" s="3">
        <f t="shared" si="144"/>
        <v>61445280.793388419</v>
      </c>
      <c r="H76" s="3">
        <f t="shared" si="144"/>
        <v>66907083.530578494</v>
      </c>
      <c r="I76" s="3">
        <f t="shared" si="144"/>
        <v>54189208.148733012</v>
      </c>
      <c r="J76" s="3">
        <f t="shared" si="144"/>
        <v>81356794.321616322</v>
      </c>
      <c r="K76" s="3">
        <f t="shared" si="144"/>
        <v>112749011.928543</v>
      </c>
      <c r="L76" s="3">
        <f t="shared" si="144"/>
        <v>143498742.45450932</v>
      </c>
      <c r="M76" s="3">
        <f t="shared" si="144"/>
        <v>166671131.97679302</v>
      </c>
      <c r="N76" s="3">
        <f t="shared" si="144"/>
        <v>192829240.18981749</v>
      </c>
    </row>
    <row r="77" spans="1:14" x14ac:dyDescent="0.45">
      <c r="A77" s="13" t="s">
        <v>191</v>
      </c>
      <c r="B77" s="13"/>
      <c r="C77" s="13"/>
      <c r="D77" s="3">
        <f>IF(D79=0,0,(((D45/100)*D52)*(D61*D64)*D68*12))</f>
        <v>0</v>
      </c>
      <c r="E77" s="3">
        <f t="shared" ref="E77:N77" si="145">IF(E79=0,0,(((E45/100)*E52)*(E61*E64)*E68*12))</f>
        <v>0</v>
      </c>
      <c r="F77" s="3">
        <f t="shared" si="145"/>
        <v>0</v>
      </c>
      <c r="G77" s="3">
        <f t="shared" si="145"/>
        <v>0</v>
      </c>
      <c r="H77" s="3">
        <f t="shared" si="145"/>
        <v>0</v>
      </c>
      <c r="I77" s="3">
        <f t="shared" si="145"/>
        <v>0</v>
      </c>
      <c r="J77" s="3">
        <f>IF(J79=0,0,(((J45/100)*J52)*(J61*J64)*J68*12))</f>
        <v>0</v>
      </c>
      <c r="K77" s="3">
        <f t="shared" si="145"/>
        <v>0</v>
      </c>
      <c r="L77" s="3">
        <f t="shared" si="145"/>
        <v>0</v>
      </c>
      <c r="M77" s="3">
        <f t="shared" si="145"/>
        <v>0</v>
      </c>
      <c r="N77" s="3">
        <f t="shared" si="145"/>
        <v>0</v>
      </c>
    </row>
    <row r="78" spans="1:14" x14ac:dyDescent="0.45">
      <c r="A78" s="13" t="str">
        <f>A40</f>
        <v>Общественные ЭЗС накопительно</v>
      </c>
      <c r="B78" s="13"/>
      <c r="C78" s="13"/>
      <c r="D78" s="6">
        <f>'План закупок'!C48</f>
        <v>250</v>
      </c>
      <c r="E78" s="6">
        <f>'План закупок'!D48</f>
        <v>250</v>
      </c>
      <c r="F78" s="6">
        <f>'План закупок'!E48</f>
        <v>250</v>
      </c>
      <c r="G78" s="6">
        <f>'План закупок'!F48</f>
        <v>250</v>
      </c>
      <c r="H78" s="6">
        <f>'План закупок'!G48</f>
        <v>250</v>
      </c>
      <c r="I78" s="6">
        <f>'План закупок'!H48</f>
        <v>250</v>
      </c>
      <c r="J78" s="6">
        <f>'План закупок'!I48</f>
        <v>250</v>
      </c>
      <c r="K78" s="6">
        <f>'План закупок'!J48</f>
        <v>250</v>
      </c>
      <c r="L78" s="6">
        <f>'План закупок'!K48</f>
        <v>250</v>
      </c>
      <c r="M78" s="6">
        <f>'План закупок'!L48</f>
        <v>250</v>
      </c>
      <c r="N78" s="6">
        <f>'План закупок'!M48</f>
        <v>250</v>
      </c>
    </row>
    <row r="79" spans="1:14" x14ac:dyDescent="0.45">
      <c r="A79" s="13" t="str">
        <f>A41</f>
        <v>Бытовые ЭЗС накопительно</v>
      </c>
      <c r="B79" s="13"/>
      <c r="C79" s="13"/>
      <c r="D79" s="6">
        <f>'План закупок'!C56</f>
        <v>0</v>
      </c>
      <c r="E79" s="6">
        <f>'План закупок'!D56</f>
        <v>0</v>
      </c>
      <c r="F79" s="6">
        <f>'План закупок'!E56</f>
        <v>0</v>
      </c>
      <c r="G79" s="6">
        <f>'План закупок'!F56</f>
        <v>0</v>
      </c>
      <c r="H79" s="6">
        <f>'План закупок'!G56</f>
        <v>0</v>
      </c>
      <c r="I79" s="6">
        <f>'План закупок'!H56</f>
        <v>0</v>
      </c>
      <c r="J79" s="6">
        <f>'План закупок'!I56</f>
        <v>0</v>
      </c>
      <c r="K79" s="6">
        <f>'План закупок'!J56</f>
        <v>0</v>
      </c>
      <c r="L79" s="6">
        <f>'План закупок'!K56</f>
        <v>0</v>
      </c>
      <c r="M79" s="6">
        <f>'План закупок'!L56</f>
        <v>0</v>
      </c>
      <c r="N79" s="6">
        <f>'План закупок'!M56</f>
        <v>0</v>
      </c>
    </row>
  </sheetData>
  <phoneticPr fontId="2" type="noConversion"/>
  <conditionalFormatting sqref="D30:N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8696B"/>
        <color rgb="FFFCFCFF"/>
      </colorScale>
    </cfRule>
  </conditionalFormatting>
  <conditionalFormatting sqref="D68:N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"/>
  <sheetViews>
    <sheetView zoomScaleNormal="100" workbookViewId="0">
      <pane ySplit="2" topLeftCell="A3" activePane="bottomLeft" state="frozenSplit"/>
      <selection pane="bottomLeft" activeCell="J6" sqref="J6"/>
    </sheetView>
  </sheetViews>
  <sheetFormatPr defaultColWidth="9.1328125" defaultRowHeight="14.25" x14ac:dyDescent="0.45"/>
  <cols>
    <col min="1" max="4" width="9.1328125" style="1"/>
    <col min="5" max="5" width="12.1328125" style="1" bestFit="1" customWidth="1"/>
    <col min="6" max="6" width="12.265625" style="1" bestFit="1" customWidth="1"/>
    <col min="7" max="8" width="13.86328125" style="1" bestFit="1" customWidth="1"/>
    <col min="9" max="9" width="14.86328125" style="1" bestFit="1" customWidth="1"/>
    <col min="10" max="10" width="15.86328125" style="1" bestFit="1" customWidth="1"/>
    <col min="11" max="11" width="17.3984375" style="1" bestFit="1" customWidth="1"/>
    <col min="12" max="13" width="18.3984375" style="1" bestFit="1" customWidth="1"/>
    <col min="14" max="14" width="19.3984375" style="1" bestFit="1" customWidth="1"/>
    <col min="15" max="15" width="20.86328125" style="1" bestFit="1" customWidth="1"/>
    <col min="16" max="16" width="22" style="1" bestFit="1" customWidth="1"/>
    <col min="17" max="16384" width="9.1328125" style="1"/>
  </cols>
  <sheetData>
    <row r="1" spans="1:16" x14ac:dyDescent="0.45"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x14ac:dyDescent="0.45">
      <c r="F2" s="5" t="str">
        <f>'Модель рынка'!D3</f>
        <v>2022</v>
      </c>
      <c r="G2" s="5" t="str">
        <f>'Модель рынка'!E3</f>
        <v>2023</v>
      </c>
      <c r="H2" s="5" t="str">
        <f>'Модель рынка'!F3</f>
        <v>2024</v>
      </c>
      <c r="I2" s="5" t="str">
        <f>'Модель рынка'!G3</f>
        <v>2025</v>
      </c>
      <c r="J2" s="5" t="str">
        <f>'Модель рынка'!H3</f>
        <v>2026</v>
      </c>
      <c r="K2" s="5" t="str">
        <f>'Модель рынка'!I3</f>
        <v>2027</v>
      </c>
      <c r="L2" s="5" t="str">
        <f>'Модель рынка'!J3</f>
        <v>2028</v>
      </c>
      <c r="M2" s="5" t="str">
        <f>'Модель рынка'!K3</f>
        <v>2029</v>
      </c>
      <c r="N2" s="5" t="str">
        <f>'Модель рынка'!L3</f>
        <v>2030</v>
      </c>
      <c r="O2" s="5" t="str">
        <f>'Модель рынка'!M3</f>
        <v>2031</v>
      </c>
      <c r="P2" s="5" t="str">
        <f>'Модель рынка'!N3</f>
        <v>2032</v>
      </c>
    </row>
    <row r="3" spans="1:16" s="2" customFormat="1" x14ac:dyDescent="0.45">
      <c r="A3" s="88" t="str">
        <f>'Модель рынка'!A4</f>
        <v>Развитие</v>
      </c>
      <c r="B3" s="88"/>
      <c r="C3" s="88"/>
      <c r="D3" s="88"/>
      <c r="E3" s="2" t="s">
        <v>37</v>
      </c>
      <c r="F3" s="28">
        <f>F12+F18+F23+F28+F33+F38+F43+F48+F53+F58</f>
        <v>35930400</v>
      </c>
      <c r="G3" s="28">
        <f t="shared" ref="G3:P3" si="0">G12+G18+G23+G28+G33+G38+G43+G48+G53+G58</f>
        <v>38781600</v>
      </c>
      <c r="H3" s="28">
        <f t="shared" si="0"/>
        <v>49552800</v>
      </c>
      <c r="I3" s="28">
        <f t="shared" si="0"/>
        <v>73312800</v>
      </c>
      <c r="J3" s="28">
        <f t="shared" si="0"/>
        <v>116714400</v>
      </c>
      <c r="K3" s="28">
        <f t="shared" si="0"/>
        <v>209378400</v>
      </c>
      <c r="L3" s="28">
        <f t="shared" si="0"/>
        <v>387736800</v>
      </c>
      <c r="M3" s="28">
        <f t="shared" si="0"/>
        <v>710239200</v>
      </c>
      <c r="N3" s="28">
        <f t="shared" si="0"/>
        <v>1250383200</v>
      </c>
      <c r="O3" s="28">
        <f t="shared" si="0"/>
        <v>2117940000</v>
      </c>
      <c r="P3" s="28">
        <f t="shared" si="0"/>
        <v>3417136800</v>
      </c>
    </row>
    <row r="4" spans="1:16" s="2" customFormat="1" x14ac:dyDescent="0.45">
      <c r="A4" s="1" t="s">
        <v>173</v>
      </c>
      <c r="F4" s="28">
        <f>SUMIF($E:$E,"Пост",F:F)*БДР!$C$6</f>
        <v>34980000</v>
      </c>
      <c r="G4" s="28">
        <f>SUMIF($E:$E,"Пост",G:G)*БДР!$C$6</f>
        <v>34980000</v>
      </c>
      <c r="H4" s="28">
        <f>SUMIF($E:$E,"Пост",H:H)*БДР!$C$6</f>
        <v>34980000</v>
      </c>
      <c r="I4" s="28">
        <f>SUMIF($E:$E,"Пост",I:I)*БДР!$C$6</f>
        <v>34980000</v>
      </c>
      <c r="J4" s="28">
        <f>SUMIF($E:$E,"Пост",J:J)*БДР!$C$6</f>
        <v>34980000</v>
      </c>
      <c r="K4" s="28">
        <f>SUMIF($E:$E,"Пост",K:K)*БДР!$C$6</f>
        <v>34980000</v>
      </c>
      <c r="L4" s="28">
        <f>SUMIF($E:$E,"Пост",L:L)*БДР!$C$6</f>
        <v>34980000</v>
      </c>
      <c r="M4" s="28">
        <f>SUMIF($E:$E,"Пост",M:M)*БДР!$C$6</f>
        <v>34980000</v>
      </c>
      <c r="N4" s="28">
        <f>SUMIF($E:$E,"Пост",N:N)*БДР!$C$6</f>
        <v>34980000</v>
      </c>
      <c r="O4" s="28">
        <f>SUMIF($E:$E,"Пост",O:O)*БДР!$C$6</f>
        <v>34980000</v>
      </c>
      <c r="P4" s="28">
        <f>SUMIF($E:$E,"Пост",P:P)*БДР!$C$6</f>
        <v>34980000</v>
      </c>
    </row>
    <row r="5" spans="1:16" s="2" customFormat="1" x14ac:dyDescent="0.45">
      <c r="A5" s="1" t="s">
        <v>174</v>
      </c>
      <c r="F5" s="28">
        <f>SUMIF($E:$E,"Пер",F:F)*БДР!$C$6</f>
        <v>950400</v>
      </c>
      <c r="G5" s="28">
        <f>SUMIF($E:$E,"Пер",G:G)*БДР!$C$6</f>
        <v>3801600</v>
      </c>
      <c r="H5" s="28">
        <f>SUMIF($E:$E,"Пер",H:H)*БДР!$C$6</f>
        <v>14572800</v>
      </c>
      <c r="I5" s="28">
        <f>SUMIF($E:$E,"Пер",I:I)*БДР!$C$6</f>
        <v>38332800</v>
      </c>
      <c r="J5" s="28">
        <f>SUMIF($E:$E,"Пер",J:J)*БДР!$C$6</f>
        <v>81734400</v>
      </c>
      <c r="K5" s="28">
        <f>SUMIF($E:$E,"Пер",K:K)*БДР!$C$6</f>
        <v>174398400</v>
      </c>
      <c r="L5" s="28">
        <f>SUMIF($E:$E,"Пер",L:L)*БДР!$C$6</f>
        <v>352756800</v>
      </c>
      <c r="M5" s="28">
        <f>SUMIF($E:$E,"Пер",M:M)*БДР!$C$6</f>
        <v>675259200</v>
      </c>
      <c r="N5" s="28">
        <f>SUMIF($E:$E,"Пер",N:N)*БДР!$C$6</f>
        <v>1215403200</v>
      </c>
      <c r="O5" s="28">
        <f>SUMIF($E:$E,"Пер",O:O)*БДР!$C$6</f>
        <v>2082960000</v>
      </c>
      <c r="P5" s="28">
        <f>SUMIF($E:$E,"Пер",P:P)*БДР!$C$6</f>
        <v>3382156800</v>
      </c>
    </row>
    <row r="6" spans="1:16" s="2" customFormat="1" x14ac:dyDescent="0.45">
      <c r="A6" s="2" t="s">
        <v>43</v>
      </c>
      <c r="E6" s="2" t="s">
        <v>186</v>
      </c>
      <c r="F6" s="28">
        <f>F8+F10+F14+F16+F19+F21+F24+F26+F29+F31+F34+F36+F39+F41+F44+F46+F49+F51+F54+F56</f>
        <v>10</v>
      </c>
      <c r="G6" s="28">
        <f t="shared" ref="G6:P6" si="1">G8+G10+G14+G16+G19+G21+G24+G26+G29+G31+G34+G36+G39+G41+G44+G46+G49+G51+G54+G56</f>
        <v>13</v>
      </c>
      <c r="H6" s="28">
        <f t="shared" si="1"/>
        <v>20.999999999999996</v>
      </c>
      <c r="I6" s="28">
        <f t="shared" si="1"/>
        <v>38.000000000000007</v>
      </c>
      <c r="J6" s="28">
        <f t="shared" si="1"/>
        <v>70.000000000000014</v>
      </c>
      <c r="K6" s="28">
        <f t="shared" si="1"/>
        <v>135.99999999999994</v>
      </c>
      <c r="L6" s="28">
        <f t="shared" si="1"/>
        <v>262.99999999999994</v>
      </c>
      <c r="M6" s="28">
        <f t="shared" si="1"/>
        <v>490.99999999999994</v>
      </c>
      <c r="N6" s="79">
        <f t="shared" si="1"/>
        <v>876.00000000000023</v>
      </c>
      <c r="O6" s="28">
        <f t="shared" si="1"/>
        <v>1494.0000000000002</v>
      </c>
      <c r="P6" s="28">
        <f t="shared" si="1"/>
        <v>2419.9999999999991</v>
      </c>
    </row>
    <row r="7" spans="1:16" x14ac:dyDescent="0.45">
      <c r="A7" s="31" t="s">
        <v>75</v>
      </c>
      <c r="B7" s="31"/>
      <c r="C7" s="31"/>
      <c r="D7" s="31"/>
      <c r="E7" s="31"/>
      <c r="F7" s="35">
        <v>1000</v>
      </c>
      <c r="G7" s="35">
        <f>F7</f>
        <v>1000</v>
      </c>
      <c r="H7" s="35">
        <f t="shared" ref="H7:P7" si="2">G7</f>
        <v>1000</v>
      </c>
      <c r="I7" s="35">
        <f t="shared" si="2"/>
        <v>1000</v>
      </c>
      <c r="J7" s="35">
        <f t="shared" si="2"/>
        <v>1000</v>
      </c>
      <c r="K7" s="35">
        <f t="shared" si="2"/>
        <v>1000</v>
      </c>
      <c r="L7" s="35">
        <f t="shared" si="2"/>
        <v>1000</v>
      </c>
      <c r="M7" s="35">
        <f t="shared" si="2"/>
        <v>1000</v>
      </c>
      <c r="N7" s="35">
        <f t="shared" si="2"/>
        <v>1000</v>
      </c>
      <c r="O7" s="35">
        <f t="shared" si="2"/>
        <v>1000</v>
      </c>
      <c r="P7" s="35">
        <f t="shared" si="2"/>
        <v>1000</v>
      </c>
    </row>
    <row r="8" spans="1:16" x14ac:dyDescent="0.45">
      <c r="A8" s="31" t="s">
        <v>74</v>
      </c>
      <c r="B8" s="31"/>
      <c r="C8" s="31"/>
      <c r="D8" s="31"/>
      <c r="E8" s="31">
        <f>Моделирование!C16</f>
        <v>1</v>
      </c>
      <c r="F8" s="31">
        <f>ROUNDUP(('Модель рынка'!D40+'Модель рынка'!D41)/'План по персоналу'!F7,0)*$E$8</f>
        <v>1</v>
      </c>
      <c r="G8" s="31">
        <f>ROUNDUP(('Модель рынка'!E40+'Модель рынка'!E41)/'План по персоналу'!G7,0)*$E$8</f>
        <v>4</v>
      </c>
      <c r="H8" s="31">
        <f>ROUNDUP(('Модель рынка'!F40+'Модель рынка'!F41)/'План по персоналу'!H7,0)*$E$8</f>
        <v>10</v>
      </c>
      <c r="I8" s="31">
        <f>ROUNDUP(('Модель рынка'!G40+'Модель рынка'!G41)/'План по персоналу'!I7,0)*$E$8</f>
        <v>23</v>
      </c>
      <c r="J8" s="31">
        <f>ROUNDUP(('Модель рынка'!H40+'Модель рынка'!H41)/'План по персоналу'!J7,0)*$E$8</f>
        <v>48</v>
      </c>
      <c r="K8" s="31">
        <f>ROUNDUP(('Модель рынка'!I40+'Модель рынка'!I41)/'План по персоналу'!K7,0)*$E$8</f>
        <v>98</v>
      </c>
      <c r="L8" s="31">
        <f>ROUNDUP(('Модель рынка'!J40+'Модель рынка'!J41)/'План по персоналу'!L7,0)*$E$8</f>
        <v>194</v>
      </c>
      <c r="M8" s="31">
        <f>ROUNDUP(('Модель рынка'!K40+'Модель рынка'!K41)/'План по персоналу'!M7,0)*$E$8</f>
        <v>366</v>
      </c>
      <c r="N8" s="31">
        <f>ROUNDUP(('Модель рынка'!L40+'Модель рынка'!L41)/'План по персоналу'!N7,0)*$E$8</f>
        <v>658</v>
      </c>
      <c r="O8" s="31">
        <f>ROUNDUP(('Модель рынка'!M40+'Модель рынка'!M41)/'План по персоналу'!O7,0)*$E$8</f>
        <v>1126</v>
      </c>
      <c r="P8" s="31">
        <f>ROUNDUP(('Модель рынка'!N40+'Модель рынка'!N41)/'План по персоналу'!P7,0)*$E$8</f>
        <v>1828</v>
      </c>
    </row>
    <row r="9" spans="1:16" x14ac:dyDescent="0.45">
      <c r="A9" s="31" t="s">
        <v>76</v>
      </c>
      <c r="B9" s="31"/>
      <c r="C9" s="31"/>
      <c r="D9" s="31"/>
      <c r="E9" s="31"/>
      <c r="F9" s="4">
        <v>60000</v>
      </c>
      <c r="G9" s="4">
        <f>(F9/100)*(100+'Модель рынка'!D5)</f>
        <v>60000</v>
      </c>
      <c r="H9" s="4">
        <f>(G9/100)*(100+'Модель рынка'!E5)</f>
        <v>60000</v>
      </c>
      <c r="I9" s="4">
        <f>(H9/100)*(100+'Модель рынка'!F5)</f>
        <v>60000</v>
      </c>
      <c r="J9" s="4">
        <f>(I9/100)*(100+'Модель рынка'!G5)</f>
        <v>60000</v>
      </c>
      <c r="K9" s="4">
        <f>(J9/100)*(100+'Модель рынка'!H5)</f>
        <v>60000</v>
      </c>
      <c r="L9" s="4">
        <f>(K9/100)*(100+'Модель рынка'!I5)</f>
        <v>60000</v>
      </c>
      <c r="M9" s="4">
        <f>(L9/100)*(100+'Модель рынка'!J5)</f>
        <v>60000</v>
      </c>
      <c r="N9" s="4">
        <f>(M9/100)*(100+'Модель рынка'!K5)</f>
        <v>60000</v>
      </c>
      <c r="O9" s="4">
        <f>(N9/100)*(100+'Модель рынка'!L5)</f>
        <v>60000</v>
      </c>
      <c r="P9" s="4">
        <f>(O9/100)*(100+'Модель рынка'!M5)</f>
        <v>60000</v>
      </c>
    </row>
    <row r="10" spans="1:16" x14ac:dyDescent="0.45">
      <c r="A10" s="31" t="s">
        <v>77</v>
      </c>
      <c r="B10" s="31"/>
      <c r="C10" s="31"/>
      <c r="D10" s="31"/>
      <c r="E10" s="31"/>
      <c r="F10" s="8">
        <f>ROUNDDOWN((F8/10),0)</f>
        <v>0</v>
      </c>
      <c r="G10" s="8">
        <f t="shared" ref="G10:P10" si="3">ROUNDDOWN((G8/10),0)</f>
        <v>0</v>
      </c>
      <c r="H10" s="8">
        <f t="shared" si="3"/>
        <v>1</v>
      </c>
      <c r="I10" s="8">
        <f t="shared" si="3"/>
        <v>2</v>
      </c>
      <c r="J10" s="8">
        <f t="shared" si="3"/>
        <v>4</v>
      </c>
      <c r="K10" s="8">
        <f t="shared" si="3"/>
        <v>9</v>
      </c>
      <c r="L10" s="8">
        <f t="shared" si="3"/>
        <v>19</v>
      </c>
      <c r="M10" s="8">
        <f t="shared" si="3"/>
        <v>36</v>
      </c>
      <c r="N10" s="8">
        <f t="shared" si="3"/>
        <v>65</v>
      </c>
      <c r="O10" s="8">
        <f t="shared" si="3"/>
        <v>112</v>
      </c>
      <c r="P10" s="8">
        <f t="shared" si="3"/>
        <v>182</v>
      </c>
    </row>
    <row r="11" spans="1:16" x14ac:dyDescent="0.45">
      <c r="A11" s="31" t="s">
        <v>78</v>
      </c>
      <c r="B11" s="31"/>
      <c r="C11" s="31"/>
      <c r="D11" s="31"/>
      <c r="E11" s="31"/>
      <c r="F11" s="4">
        <f>F9*2</f>
        <v>120000</v>
      </c>
      <c r="G11" s="4">
        <f t="shared" ref="G11:P11" si="4">G9*2</f>
        <v>120000</v>
      </c>
      <c r="H11" s="4">
        <f t="shared" si="4"/>
        <v>120000</v>
      </c>
      <c r="I11" s="4">
        <f t="shared" si="4"/>
        <v>120000</v>
      </c>
      <c r="J11" s="4">
        <f t="shared" si="4"/>
        <v>120000</v>
      </c>
      <c r="K11" s="4">
        <f t="shared" si="4"/>
        <v>120000</v>
      </c>
      <c r="L11" s="4">
        <f t="shared" si="4"/>
        <v>120000</v>
      </c>
      <c r="M11" s="4">
        <f t="shared" si="4"/>
        <v>120000</v>
      </c>
      <c r="N11" s="4">
        <f t="shared" si="4"/>
        <v>120000</v>
      </c>
      <c r="O11" s="4">
        <f t="shared" si="4"/>
        <v>120000</v>
      </c>
      <c r="P11" s="4">
        <f t="shared" si="4"/>
        <v>120000</v>
      </c>
    </row>
    <row r="12" spans="1:16" x14ac:dyDescent="0.45">
      <c r="A12" s="31" t="s">
        <v>73</v>
      </c>
      <c r="B12" s="31"/>
      <c r="C12" s="31"/>
      <c r="D12" s="31"/>
      <c r="E12" s="31" t="s">
        <v>176</v>
      </c>
      <c r="F12" s="34">
        <f>((((F9*F8)+(F10*F11))*12)*1.32)*Моделирование!$C$16</f>
        <v>950400</v>
      </c>
      <c r="G12" s="34">
        <f>((((G9*G8)+(G10*G11))*12)*1.32)*Моделирование!$C$16</f>
        <v>3801600</v>
      </c>
      <c r="H12" s="34">
        <f>((((H9*H8)+(H10*H11))*12)*1.32)*Моделирование!$C$16</f>
        <v>11404800</v>
      </c>
      <c r="I12" s="34">
        <f>((((I9*I8)+(I10*I11))*12)*1.32)*Моделирование!$C$16</f>
        <v>25660800</v>
      </c>
      <c r="J12" s="34">
        <f>((((J9*J8)+(J10*J11))*12)*1.32)*Моделирование!$C$16</f>
        <v>53222400</v>
      </c>
      <c r="K12" s="34">
        <f>((((K9*K8)+(K10*K11))*12)*1.32)*Моделирование!$C$16</f>
        <v>110246400</v>
      </c>
      <c r="L12" s="34">
        <f>((((L9*L8)+(L10*L11))*12)*1.32)*Моделирование!$C$16</f>
        <v>220492800</v>
      </c>
      <c r="M12" s="34">
        <f>((((M9*M8)+(M10*M11))*12)*1.32)*Моделирование!$C$16</f>
        <v>416275200</v>
      </c>
      <c r="N12" s="34">
        <f>((((N9*N8)+(N10*N11))*12)*1.32)*Моделирование!$C$16</f>
        <v>748915200</v>
      </c>
      <c r="O12" s="34">
        <f>((((O9*O8)+(O10*O11))*12)*1.32)*Моделирование!$C$16</f>
        <v>1283040000</v>
      </c>
      <c r="P12" s="34">
        <f>((((P9*P8)+(P10*P11))*12)*1.32)*Моделирование!$C$16</f>
        <v>2083276800</v>
      </c>
    </row>
    <row r="13" spans="1:16" x14ac:dyDescent="0.45">
      <c r="A13" s="1" t="s">
        <v>69</v>
      </c>
      <c r="F13" s="37">
        <v>5000</v>
      </c>
      <c r="G13" s="12">
        <v>5000</v>
      </c>
      <c r="H13" s="12">
        <v>5000</v>
      </c>
      <c r="I13" s="12">
        <v>5000</v>
      </c>
      <c r="J13" s="12">
        <v>5000</v>
      </c>
      <c r="K13" s="12">
        <v>5000</v>
      </c>
      <c r="L13" s="12">
        <v>5000</v>
      </c>
      <c r="M13" s="12">
        <v>5000</v>
      </c>
      <c r="N13" s="12">
        <v>5000</v>
      </c>
      <c r="O13" s="12">
        <v>5000</v>
      </c>
      <c r="P13" s="12">
        <v>5000</v>
      </c>
    </row>
    <row r="14" spans="1:16" x14ac:dyDescent="0.45">
      <c r="A14" s="1" t="s">
        <v>70</v>
      </c>
      <c r="E14" s="1">
        <f>Моделирование!C16</f>
        <v>1</v>
      </c>
      <c r="F14" s="12">
        <f>(ROUNDDOWN(('Модель рынка'!D40+'Модель рынка'!D41)/F13,0))*$E$14</f>
        <v>0</v>
      </c>
      <c r="G14" s="1">
        <f>(ROUNDDOWN(('Модель рынка'!E40+'Модель рынка'!E41)/G13,0))*$E$14</f>
        <v>0</v>
      </c>
      <c r="H14" s="1">
        <f>(ROUNDDOWN(('Модель рынка'!F40+'Модель рынка'!F41)/H13,0))*$E$14</f>
        <v>1</v>
      </c>
      <c r="I14" s="1">
        <f>(ROUNDDOWN(('Модель рынка'!G40+'Модель рынка'!G41)/I13,0))*$E$14</f>
        <v>4</v>
      </c>
      <c r="J14" s="1">
        <f>(ROUNDDOWN(('Модель рынка'!H40+'Модель рынка'!H41)/J13,0))*$E$14</f>
        <v>9</v>
      </c>
      <c r="K14" s="1">
        <f>(ROUNDDOWN(('Модель рынка'!I40+'Модель рынка'!I41)/K13,0))*$E$14</f>
        <v>19</v>
      </c>
      <c r="L14" s="1">
        <f>(ROUNDDOWN(('Модель рынка'!J40+'Модель рынка'!J41)/L13,0))*$E$14</f>
        <v>38</v>
      </c>
      <c r="M14" s="1">
        <f>(ROUNDDOWN(('Модель рынка'!K40+'Модель рынка'!K41)/M13,0))*$E$14</f>
        <v>73</v>
      </c>
      <c r="N14" s="1">
        <f>(ROUNDDOWN(('Модель рынка'!L40+'Модель рынка'!L41)/N13,0))*$E$14</f>
        <v>131</v>
      </c>
      <c r="O14" s="1">
        <f>(ROUNDDOWN(('Модель рынка'!M40+'Модель рынка'!M41)/O13,0))*$E$14</f>
        <v>225</v>
      </c>
      <c r="P14" s="1">
        <f>(ROUNDDOWN(('Модель рынка'!N40+'Модель рынка'!N41)/P13,0))*$E$14</f>
        <v>365</v>
      </c>
    </row>
    <row r="15" spans="1:16" x14ac:dyDescent="0.45">
      <c r="A15" s="1" t="s">
        <v>71</v>
      </c>
      <c r="F15" s="3">
        <v>200000</v>
      </c>
      <c r="G15" s="3">
        <f>(F15/100)*(100+'Модель рынка'!D5)</f>
        <v>200000</v>
      </c>
      <c r="H15" s="3">
        <f>(G15/100)*(100+'Модель рынка'!E5)</f>
        <v>200000</v>
      </c>
      <c r="I15" s="3">
        <f>(H15/100)*(100+'Модель рынка'!F5)</f>
        <v>200000</v>
      </c>
      <c r="J15" s="3">
        <f>(I15/100)*(100+'Модель рынка'!G5)</f>
        <v>200000</v>
      </c>
      <c r="K15" s="3">
        <f>(J15/100)*(100+'Модель рынка'!H5)</f>
        <v>200000</v>
      </c>
      <c r="L15" s="3">
        <f>(K15/100)*(100+'Модель рынка'!I5)</f>
        <v>200000</v>
      </c>
      <c r="M15" s="3">
        <f>(L15/100)*(100+'Модель рынка'!J5)</f>
        <v>200000</v>
      </c>
      <c r="N15" s="3">
        <f>(M15/100)*(100+'Модель рынка'!K5)</f>
        <v>200000</v>
      </c>
      <c r="O15" s="3">
        <f>(N15/100)*(100+'Модель рынка'!L5)</f>
        <v>200000</v>
      </c>
      <c r="P15" s="3">
        <f>(O15/100)*(100+'Модель рынка'!M5)</f>
        <v>200000</v>
      </c>
    </row>
    <row r="16" spans="1:16" x14ac:dyDescent="0.45">
      <c r="A16" s="1" t="s">
        <v>79</v>
      </c>
      <c r="F16" s="3">
        <f>ROUNDDOWN((F14/10),0)</f>
        <v>0</v>
      </c>
      <c r="G16" s="3">
        <f t="shared" ref="G16:P16" si="5">ROUNDDOWN((G14/10),0)</f>
        <v>0</v>
      </c>
      <c r="H16" s="3">
        <f t="shared" si="5"/>
        <v>0</v>
      </c>
      <c r="I16" s="3">
        <f t="shared" si="5"/>
        <v>0</v>
      </c>
      <c r="J16" s="3">
        <f t="shared" si="5"/>
        <v>0</v>
      </c>
      <c r="K16" s="3">
        <f t="shared" si="5"/>
        <v>1</v>
      </c>
      <c r="L16" s="3">
        <f t="shared" si="5"/>
        <v>3</v>
      </c>
      <c r="M16" s="3">
        <f t="shared" si="5"/>
        <v>7</v>
      </c>
      <c r="N16" s="3">
        <f t="shared" si="5"/>
        <v>13</v>
      </c>
      <c r="O16" s="3">
        <f t="shared" si="5"/>
        <v>22</v>
      </c>
      <c r="P16" s="3">
        <f t="shared" si="5"/>
        <v>36</v>
      </c>
    </row>
    <row r="17" spans="1:16" x14ac:dyDescent="0.45">
      <c r="A17" s="1" t="s">
        <v>80</v>
      </c>
      <c r="F17" s="3">
        <v>250000</v>
      </c>
      <c r="G17" s="3">
        <f>G15*1.25</f>
        <v>250000</v>
      </c>
      <c r="H17" s="3">
        <f t="shared" ref="H17:P17" si="6">H15*1.25</f>
        <v>250000</v>
      </c>
      <c r="I17" s="3">
        <f t="shared" si="6"/>
        <v>250000</v>
      </c>
      <c r="J17" s="3">
        <f t="shared" si="6"/>
        <v>250000</v>
      </c>
      <c r="K17" s="3">
        <f t="shared" si="6"/>
        <v>250000</v>
      </c>
      <c r="L17" s="3">
        <f t="shared" si="6"/>
        <v>250000</v>
      </c>
      <c r="M17" s="3">
        <f t="shared" si="6"/>
        <v>250000</v>
      </c>
      <c r="N17" s="3">
        <f t="shared" si="6"/>
        <v>250000</v>
      </c>
      <c r="O17" s="3">
        <f t="shared" si="6"/>
        <v>250000</v>
      </c>
      <c r="P17" s="3">
        <f t="shared" si="6"/>
        <v>250000</v>
      </c>
    </row>
    <row r="18" spans="1:16" x14ac:dyDescent="0.45">
      <c r="A18" s="1" t="s">
        <v>72</v>
      </c>
      <c r="E18" s="1" t="s">
        <v>176</v>
      </c>
      <c r="F18" s="27">
        <f>((((F15*F14)+(F16*F17))*12)*1.32)*Моделирование!$C$16</f>
        <v>0</v>
      </c>
      <c r="G18" s="27">
        <f>((((G15*G14)+(G16*G17))*12)*1.32)*Моделирование!$C$16</f>
        <v>0</v>
      </c>
      <c r="H18" s="27">
        <f>((((H15*H14)+(H16*H17))*12)*1.32)*Моделирование!$C$16</f>
        <v>3168000</v>
      </c>
      <c r="I18" s="27">
        <f>((((I15*I14)+(I16*I17))*12)*1.32)*Моделирование!$C$16</f>
        <v>12672000</v>
      </c>
      <c r="J18" s="27">
        <f>((((J15*J14)+(J16*J17))*12)*1.32)*Моделирование!$C$16</f>
        <v>28512000</v>
      </c>
      <c r="K18" s="27">
        <f>((((K15*K14)+(K16*K17))*12)*1.32)*Моделирование!$C$16</f>
        <v>64152000</v>
      </c>
      <c r="L18" s="27">
        <f>((((L15*L14)+(L16*L17))*12)*1.32)*Моделирование!$C$16</f>
        <v>132264000</v>
      </c>
      <c r="M18" s="27">
        <f>((((M15*M14)+(M16*M17))*12)*1.32)*Моделирование!$C$16</f>
        <v>258984000</v>
      </c>
      <c r="N18" s="27">
        <f>((((N15*N14)+(N16*N17))*12)*1.32)*Моделирование!$C$16</f>
        <v>466488000</v>
      </c>
      <c r="O18" s="27">
        <f>((((O15*O14)+(O16*O17))*12)*1.32)*Моделирование!$C$16</f>
        <v>799920000</v>
      </c>
      <c r="P18" s="27">
        <f>((((P15*P14)+(P16*P17))*12)*1.32)*Моделирование!$C$16</f>
        <v>1298880000</v>
      </c>
    </row>
    <row r="19" spans="1:16" x14ac:dyDescent="0.45">
      <c r="A19" s="31" t="s">
        <v>68</v>
      </c>
      <c r="B19" s="31"/>
      <c r="C19" s="31"/>
      <c r="D19" s="31"/>
      <c r="E19" s="31">
        <f>Моделирование!C12</f>
        <v>0</v>
      </c>
      <c r="F19" s="31">
        <f>E19*8</f>
        <v>0</v>
      </c>
      <c r="G19" s="31">
        <f>F19</f>
        <v>0</v>
      </c>
      <c r="H19" s="31">
        <f t="shared" ref="H19:P19" si="7">G19</f>
        <v>0</v>
      </c>
      <c r="I19" s="31">
        <f t="shared" si="7"/>
        <v>0</v>
      </c>
      <c r="J19" s="31">
        <f t="shared" si="7"/>
        <v>0</v>
      </c>
      <c r="K19" s="31">
        <f t="shared" si="7"/>
        <v>0</v>
      </c>
      <c r="L19" s="31">
        <f t="shared" si="7"/>
        <v>0</v>
      </c>
      <c r="M19" s="31">
        <f t="shared" si="7"/>
        <v>0</v>
      </c>
      <c r="N19" s="31">
        <f t="shared" si="7"/>
        <v>0</v>
      </c>
      <c r="O19" s="31">
        <f t="shared" si="7"/>
        <v>0</v>
      </c>
      <c r="P19" s="31">
        <f t="shared" si="7"/>
        <v>0</v>
      </c>
    </row>
    <row r="20" spans="1:16" x14ac:dyDescent="0.45">
      <c r="A20" s="31" t="s">
        <v>67</v>
      </c>
      <c r="B20" s="31"/>
      <c r="C20" s="31"/>
      <c r="D20" s="31"/>
      <c r="E20" s="31"/>
      <c r="F20" s="4">
        <v>400000</v>
      </c>
      <c r="G20" s="4">
        <f>(F20/100)*(100+'Модель рынка'!D5)</f>
        <v>400000</v>
      </c>
      <c r="H20" s="4">
        <f>(G20/100)*(100+'Модель рынка'!E5)</f>
        <v>400000</v>
      </c>
      <c r="I20" s="4">
        <f>(H20/100)*(100+'Модель рынка'!F5)</f>
        <v>400000</v>
      </c>
      <c r="J20" s="4">
        <f>(I20/100)*(100+'Модель рынка'!G5)</f>
        <v>400000</v>
      </c>
      <c r="K20" s="4">
        <f>(J20/100)*(100+'Модель рынка'!H5)</f>
        <v>400000</v>
      </c>
      <c r="L20" s="4">
        <f>(K20/100)*(100+'Модель рынка'!I5)</f>
        <v>400000</v>
      </c>
      <c r="M20" s="4">
        <f>(L20/100)*(100+'Модель рынка'!J5)</f>
        <v>400000</v>
      </c>
      <c r="N20" s="4">
        <f>(M20/100)*(100+'Модель рынка'!K5)</f>
        <v>400000</v>
      </c>
      <c r="O20" s="4">
        <f>(N20/100)*(100+'Модель рынка'!L5)</f>
        <v>400000</v>
      </c>
      <c r="P20" s="4">
        <f>(O20/100)*(100+'Модель рынка'!M5)</f>
        <v>400000</v>
      </c>
    </row>
    <row r="21" spans="1:16" x14ac:dyDescent="0.45">
      <c r="A21" s="31" t="s">
        <v>81</v>
      </c>
      <c r="B21" s="31"/>
      <c r="C21" s="31"/>
      <c r="D21" s="31"/>
      <c r="E21" s="31"/>
      <c r="F21" s="4">
        <f>ROUNDUP(F19/5,0)</f>
        <v>0</v>
      </c>
      <c r="G21" s="4">
        <f t="shared" ref="G21:P21" si="8">ROUNDUP(G19/5,0)</f>
        <v>0</v>
      </c>
      <c r="H21" s="4">
        <f t="shared" si="8"/>
        <v>0</v>
      </c>
      <c r="I21" s="4">
        <f t="shared" si="8"/>
        <v>0</v>
      </c>
      <c r="J21" s="4">
        <f t="shared" si="8"/>
        <v>0</v>
      </c>
      <c r="K21" s="4">
        <f t="shared" si="8"/>
        <v>0</v>
      </c>
      <c r="L21" s="4">
        <f t="shared" si="8"/>
        <v>0</v>
      </c>
      <c r="M21" s="4">
        <f t="shared" si="8"/>
        <v>0</v>
      </c>
      <c r="N21" s="4">
        <f t="shared" si="8"/>
        <v>0</v>
      </c>
      <c r="O21" s="4">
        <f t="shared" si="8"/>
        <v>0</v>
      </c>
      <c r="P21" s="4">
        <f t="shared" si="8"/>
        <v>0</v>
      </c>
    </row>
    <row r="22" spans="1:16" x14ac:dyDescent="0.45">
      <c r="A22" s="31" t="s">
        <v>82</v>
      </c>
      <c r="B22" s="31"/>
      <c r="C22" s="31"/>
      <c r="D22" s="31"/>
      <c r="E22" s="31"/>
      <c r="F22" s="4">
        <v>1000000</v>
      </c>
      <c r="G22" s="4">
        <f>(F22/100)*(100+'Модель рынка'!D5)</f>
        <v>1000000</v>
      </c>
      <c r="H22" s="4">
        <f>(G22/100)*(100+'Модель рынка'!E5)</f>
        <v>1000000</v>
      </c>
      <c r="I22" s="4">
        <f>(H22/100)*(100+'Модель рынка'!F5)</f>
        <v>1000000</v>
      </c>
      <c r="J22" s="4">
        <f>(I22/100)*(100+'Модель рынка'!G5)</f>
        <v>1000000</v>
      </c>
      <c r="K22" s="4">
        <f>(J22/100)*(100+'Модель рынка'!H5)</f>
        <v>1000000</v>
      </c>
      <c r="L22" s="4">
        <f>(K22/100)*(100+'Модель рынка'!I5)</f>
        <v>1000000</v>
      </c>
      <c r="M22" s="4">
        <f>(L22/100)*(100+'Модель рынка'!J5)</f>
        <v>1000000</v>
      </c>
      <c r="N22" s="4">
        <f>(M22/100)*(100+'Модель рынка'!K5)</f>
        <v>1000000</v>
      </c>
      <c r="O22" s="4">
        <f>(N22/100)*(100+'Модель рынка'!L5)</f>
        <v>1000000</v>
      </c>
      <c r="P22" s="4">
        <f>(O22/100)*(100+'Модель рынка'!M5)</f>
        <v>1000000</v>
      </c>
    </row>
    <row r="23" spans="1:16" x14ac:dyDescent="0.45">
      <c r="A23" s="31" t="s">
        <v>108</v>
      </c>
      <c r="B23" s="31"/>
      <c r="C23" s="31"/>
      <c r="D23" s="31"/>
      <c r="E23" s="31" t="s">
        <v>176</v>
      </c>
      <c r="F23" s="34">
        <f>((((F20*F19)+(F21*F22))*12)*1.1)*Моделирование!$C$12</f>
        <v>0</v>
      </c>
      <c r="G23" s="34">
        <f>((((G20*G19)+(G21*G22))*12)*1.1)*Моделирование!$C$12</f>
        <v>0</v>
      </c>
      <c r="H23" s="34">
        <f>((((H20*H19)+(H21*H22))*12)*1.1)*Моделирование!$C$12</f>
        <v>0</v>
      </c>
      <c r="I23" s="34">
        <f>((((I20*I19)+(I21*I22))*12)*1.1)*Моделирование!$C$12</f>
        <v>0</v>
      </c>
      <c r="J23" s="34">
        <f>((((J20*J19)+(J21*J22))*12)*1.1)*Моделирование!$C$12</f>
        <v>0</v>
      </c>
      <c r="K23" s="34">
        <f>((((K20*K19)+(K21*K22))*12)*1.1)*Моделирование!$C$12</f>
        <v>0</v>
      </c>
      <c r="L23" s="34">
        <f>((((L20*L19)+(L21*L22))*12)*1.1)*Моделирование!$C$12</f>
        <v>0</v>
      </c>
      <c r="M23" s="34">
        <f>((((M20*M19)+(M21*M22))*12)*1.1)*Моделирование!$C$12</f>
        <v>0</v>
      </c>
      <c r="N23" s="34">
        <f>((((N20*N19)+(N21*N22))*12)*1.1)*Моделирование!$C$12</f>
        <v>0</v>
      </c>
      <c r="O23" s="34">
        <f>((((O20*O19)+(O21*O22))*12)*1.1)*Моделирование!$C$12</f>
        <v>0</v>
      </c>
      <c r="P23" s="34">
        <f>((((P20*P19)+(P21*P22))*12)*1.1)*Моделирование!$C$12</f>
        <v>0</v>
      </c>
    </row>
    <row r="24" spans="1:16" x14ac:dyDescent="0.45">
      <c r="A24" s="1" t="s">
        <v>101</v>
      </c>
      <c r="F24" s="27">
        <f>ROUNDUP(F19/4,0)</f>
        <v>0</v>
      </c>
      <c r="G24" s="27">
        <f t="shared" ref="G24:P24" si="9">ROUNDUP(G19/4,0)</f>
        <v>0</v>
      </c>
      <c r="H24" s="27">
        <f t="shared" si="9"/>
        <v>0</v>
      </c>
      <c r="I24" s="27">
        <f t="shared" si="9"/>
        <v>0</v>
      </c>
      <c r="J24" s="27">
        <f t="shared" si="9"/>
        <v>0</v>
      </c>
      <c r="K24" s="27">
        <f t="shared" si="9"/>
        <v>0</v>
      </c>
      <c r="L24" s="27">
        <f t="shared" si="9"/>
        <v>0</v>
      </c>
      <c r="M24" s="27">
        <f t="shared" si="9"/>
        <v>0</v>
      </c>
      <c r="N24" s="27">
        <f t="shared" si="9"/>
        <v>0</v>
      </c>
      <c r="O24" s="27">
        <f t="shared" si="9"/>
        <v>0</v>
      </c>
      <c r="P24" s="27">
        <f t="shared" si="9"/>
        <v>0</v>
      </c>
    </row>
    <row r="25" spans="1:16" x14ac:dyDescent="0.45">
      <c r="A25" s="1" t="s">
        <v>102</v>
      </c>
      <c r="F25" s="27">
        <f>F20/3</f>
        <v>133333.33333333334</v>
      </c>
      <c r="G25" s="27">
        <f t="shared" ref="G25:P25" si="10">G20/3</f>
        <v>133333.33333333334</v>
      </c>
      <c r="H25" s="27">
        <f t="shared" si="10"/>
        <v>133333.33333333334</v>
      </c>
      <c r="I25" s="27">
        <f t="shared" si="10"/>
        <v>133333.33333333334</v>
      </c>
      <c r="J25" s="27">
        <f t="shared" si="10"/>
        <v>133333.33333333334</v>
      </c>
      <c r="K25" s="27">
        <f t="shared" si="10"/>
        <v>133333.33333333334</v>
      </c>
      <c r="L25" s="27">
        <f t="shared" si="10"/>
        <v>133333.33333333334</v>
      </c>
      <c r="M25" s="27">
        <f t="shared" si="10"/>
        <v>133333.33333333334</v>
      </c>
      <c r="N25" s="27">
        <f t="shared" si="10"/>
        <v>133333.33333333334</v>
      </c>
      <c r="O25" s="27">
        <f t="shared" si="10"/>
        <v>133333.33333333334</v>
      </c>
      <c r="P25" s="27">
        <f t="shared" si="10"/>
        <v>133333.33333333334</v>
      </c>
    </row>
    <row r="26" spans="1:16" x14ac:dyDescent="0.45">
      <c r="A26" s="1" t="s">
        <v>103</v>
      </c>
      <c r="F26" s="27">
        <f t="shared" ref="F26:H26" si="11">ROUNDUP(F24/5,0)</f>
        <v>0</v>
      </c>
      <c r="G26" s="27">
        <f t="shared" si="11"/>
        <v>0</v>
      </c>
      <c r="H26" s="27">
        <f t="shared" si="11"/>
        <v>0</v>
      </c>
      <c r="I26" s="27">
        <f>ROUNDUP(I24/5,0)</f>
        <v>0</v>
      </c>
      <c r="J26" s="27">
        <f t="shared" ref="J26:P26" si="12">ROUNDUP(J24/5,0)</f>
        <v>0</v>
      </c>
      <c r="K26" s="27">
        <f t="shared" si="12"/>
        <v>0</v>
      </c>
      <c r="L26" s="27">
        <f t="shared" si="12"/>
        <v>0</v>
      </c>
      <c r="M26" s="27">
        <f t="shared" si="12"/>
        <v>0</v>
      </c>
      <c r="N26" s="27">
        <f t="shared" si="12"/>
        <v>0</v>
      </c>
      <c r="O26" s="27">
        <f t="shared" si="12"/>
        <v>0</v>
      </c>
      <c r="P26" s="27">
        <f t="shared" si="12"/>
        <v>0</v>
      </c>
    </row>
    <row r="27" spans="1:16" x14ac:dyDescent="0.45">
      <c r="A27" s="1" t="s">
        <v>104</v>
      </c>
      <c r="F27" s="27">
        <f t="shared" ref="F27:H27" si="13">(F25/100)*(100+30)</f>
        <v>173333.33333333334</v>
      </c>
      <c r="G27" s="27">
        <f t="shared" si="13"/>
        <v>173333.33333333334</v>
      </c>
      <c r="H27" s="27">
        <f t="shared" si="13"/>
        <v>173333.33333333334</v>
      </c>
      <c r="I27" s="27">
        <f>(I25/100)*(100+30)</f>
        <v>173333.33333333334</v>
      </c>
      <c r="J27" s="27">
        <f t="shared" ref="J27:P27" si="14">(J25/100)*(100+30)</f>
        <v>173333.33333333334</v>
      </c>
      <c r="K27" s="27">
        <f t="shared" si="14"/>
        <v>173333.33333333334</v>
      </c>
      <c r="L27" s="27">
        <f t="shared" si="14"/>
        <v>173333.33333333334</v>
      </c>
      <c r="M27" s="27">
        <f t="shared" si="14"/>
        <v>173333.33333333334</v>
      </c>
      <c r="N27" s="27">
        <f t="shared" si="14"/>
        <v>173333.33333333334</v>
      </c>
      <c r="O27" s="27">
        <f t="shared" si="14"/>
        <v>173333.33333333334</v>
      </c>
      <c r="P27" s="27">
        <f t="shared" si="14"/>
        <v>173333.33333333334</v>
      </c>
    </row>
    <row r="28" spans="1:16" x14ac:dyDescent="0.45">
      <c r="A28" s="1" t="s">
        <v>109</v>
      </c>
      <c r="E28" s="1" t="s">
        <v>176</v>
      </c>
      <c r="F28" s="27">
        <f>((((F25*F24)+(F26*F27))*12)*1.1)*Моделирование!$C$12</f>
        <v>0</v>
      </c>
      <c r="G28" s="27">
        <f>((((G25*G24)+(G26*G27))*12)*1.1)*Моделирование!$C$12</f>
        <v>0</v>
      </c>
      <c r="H28" s="27">
        <f>((((H25*H24)+(H26*H27))*12)*1.1)*Моделирование!$C$12</f>
        <v>0</v>
      </c>
      <c r="I28" s="27">
        <f>((((I25*I24)+(I26*I27))*12)*1.1)*Моделирование!$C$12</f>
        <v>0</v>
      </c>
      <c r="J28" s="27">
        <f>((((J25*J24)+(J26*J27))*12)*1.1)*Моделирование!$C$12</f>
        <v>0</v>
      </c>
      <c r="K28" s="27">
        <f>((((K25*K24)+(K26*K27))*12)*1.1)*Моделирование!$C$12</f>
        <v>0</v>
      </c>
      <c r="L28" s="27">
        <f>((((L25*L24)+(L26*L27))*12)*1.1)*Моделирование!$C$12</f>
        <v>0</v>
      </c>
      <c r="M28" s="27">
        <f>((((M25*M24)+(M26*M27))*12)*1.1)*Моделирование!$C$12</f>
        <v>0</v>
      </c>
      <c r="N28" s="27">
        <f>((((N25*N24)+(N26*N27))*12)*1.1)*Моделирование!$C$12</f>
        <v>0</v>
      </c>
      <c r="O28" s="27">
        <f>((((O25*O24)+(O26*O27))*12)*1.1)*Моделирование!$C$12</f>
        <v>0</v>
      </c>
      <c r="P28" s="27">
        <f>((((P25*P24)+(P26*P27))*12)*1.1)*Моделирование!$C$12</f>
        <v>0</v>
      </c>
    </row>
    <row r="29" spans="1:16" x14ac:dyDescent="0.45">
      <c r="A29" s="31" t="s">
        <v>105</v>
      </c>
      <c r="B29" s="31"/>
      <c r="C29" s="31"/>
      <c r="D29" s="31"/>
      <c r="E29" s="31">
        <f>Моделирование!C16</f>
        <v>1</v>
      </c>
      <c r="F29" s="34">
        <f>IF(IF(ROUNDDOWN(('Модель рынка'!D22+'Модель рынка'!D23)/F13,0)&gt;10,10,ROUNDDOWN(('Модель рынка'!D22+'Модель рынка'!D23)/F13,0))&lt;1,1,IF(ROUNDDOWN(('Модель рынка'!D22+'Модель рынка'!D23)/F13,0)&gt;10,10,ROUNDDOWN(('Модель рынка'!D22+'Модель рынка'!D23)/F13,0)))*$E$29</f>
        <v>1</v>
      </c>
      <c r="G29" s="34">
        <f>IF(IF(ROUNDDOWN(('Модель рынка'!E22+'Модель рынка'!E23)/G13,0)&gt;10,10,ROUNDDOWN(('Модель рынка'!E22+'Модель рынка'!E23)/G13,0))&lt;1,1,IF(ROUNDDOWN(('Модель рынка'!E22+'Модель рынка'!E23)/G13,0)&gt;10,10,ROUNDDOWN(('Модель рынка'!E22+'Модель рынка'!E23)/G13,0)))*$E$29</f>
        <v>1</v>
      </c>
      <c r="H29" s="34">
        <f>IF(IF(ROUNDDOWN(('Модель рынка'!F22+'Модель рынка'!F23)/H13,0)&gt;10,10,ROUNDDOWN(('Модель рынка'!F22+'Модель рынка'!F23)/H13,0))&lt;1,1,IF(ROUNDDOWN(('Модель рынка'!F22+'Модель рынка'!F23)/H13,0)&gt;10,10,ROUNDDOWN(('Модель рынка'!F22+'Модель рынка'!F23)/H13,0)))*$E$29</f>
        <v>1</v>
      </c>
      <c r="I29" s="34">
        <f>IF(IF(ROUNDDOWN(('Модель рынка'!G22+'Модель рынка'!G23)/I13,0)&gt;10,10,ROUNDDOWN(('Модель рынка'!G22+'Модель рынка'!G23)/I13,0))&lt;1,1,IF(ROUNDDOWN(('Модель рынка'!G22+'Модель рынка'!G23)/I13,0)&gt;10,10,ROUNDDOWN(('Модель рынка'!G22+'Модель рынка'!G23)/I13,0)))*$E$29</f>
        <v>1</v>
      </c>
      <c r="J29" s="34">
        <f>IF(IF(ROUNDDOWN(('Модель рынка'!H22+'Модель рынка'!H23)/J13,0)&gt;10,10,ROUNDDOWN(('Модель рынка'!H22+'Модель рынка'!H23)/J13,0))&lt;1,1,IF(ROUNDDOWN(('Модель рынка'!H22+'Модель рынка'!H23)/J13,0)&gt;10,10,ROUNDDOWN(('Модель рынка'!H22+'Модель рынка'!H23)/J13,0)))*$E$29</f>
        <v>1</v>
      </c>
      <c r="K29" s="34">
        <f>IF(IF(ROUNDDOWN(('Модель рынка'!I22+'Модель рынка'!I23)/K13,0)&gt;10,10,ROUNDDOWN(('Модель рынка'!I22+'Модель рынка'!I23)/K13,0))&lt;1,1,IF(ROUNDDOWN(('Модель рынка'!I22+'Модель рынка'!I23)/K13,0)&gt;10,10,ROUNDDOWN(('Модель рынка'!I22+'Модель рынка'!I23)/K13,0)))*$E$29</f>
        <v>1</v>
      </c>
      <c r="L29" s="34">
        <f>IF(IF(ROUNDDOWN(('Модель рынка'!J22+'Модель рынка'!J23)/L13,0)&gt;10,10,ROUNDDOWN(('Модель рынка'!J22+'Модель рынка'!J23)/L13,0))&lt;1,1,IF(ROUNDDOWN(('Модель рынка'!J22+'Модель рынка'!J23)/L13,0)&gt;10,10,ROUNDDOWN(('Модель рынка'!J22+'Модель рынка'!J23)/L13,0)))*$E$29</f>
        <v>1</v>
      </c>
      <c r="M29" s="34">
        <f>IF(IF(ROUNDDOWN(('Модель рынка'!K22+'Модель рынка'!K23)/M13,0)&gt;10,10,ROUNDDOWN(('Модель рынка'!K22+'Модель рынка'!K23)/M13,0))&lt;1,1,IF(ROUNDDOWN(('Модель рынка'!K22+'Модель рынка'!K23)/M13,0)&gt;10,10,ROUNDDOWN(('Модель рынка'!K22+'Модель рынка'!K23)/M13,0)))*$E$29</f>
        <v>1</v>
      </c>
      <c r="N29" s="34">
        <f>IF(IF(ROUNDDOWN(('Модель рынка'!L22+'Модель рынка'!L23)/N13,0)&gt;10,10,ROUNDDOWN(('Модель рынка'!L22+'Модель рынка'!L23)/N13,0))&lt;1,1,IF(ROUNDDOWN(('Модель рынка'!L22+'Модель рынка'!L23)/N13,0)&gt;10,10,ROUNDDOWN(('Модель рынка'!L22+'Модель рынка'!L23)/N13,0)))*$E$29</f>
        <v>1</v>
      </c>
      <c r="O29" s="34">
        <f>IF(IF(ROUNDDOWN(('Модель рынка'!M22+'Модель рынка'!M23)/O13,0)&gt;10,10,ROUNDDOWN(('Модель рынка'!M22+'Модель рынка'!M23)/O13,0))&lt;1,1,IF(ROUNDDOWN(('Модель рынка'!M22+'Модель рынка'!M23)/O13,0)&gt;10,10,ROUNDDOWN(('Модель рынка'!M22+'Модель рынка'!M23)/O13,0)))*$E$29</f>
        <v>1</v>
      </c>
      <c r="P29" s="34">
        <f>IF(IF(ROUNDDOWN(('Модель рынка'!N22+'Модель рынка'!N23)/P13,0)&gt;10,10,ROUNDDOWN(('Модель рынка'!N22+'Модель рынка'!N23)/P13,0))&lt;1,1,IF(ROUNDDOWN(('Модель рынка'!N22+'Модель рынка'!N23)/P13,0)&gt;10,10,ROUNDDOWN(('Модель рынка'!N22+'Модель рынка'!N23)/P13,0)))*$E$29</f>
        <v>1</v>
      </c>
    </row>
    <row r="30" spans="1:16" x14ac:dyDescent="0.45">
      <c r="A30" s="31" t="s">
        <v>110</v>
      </c>
      <c r="B30" s="31"/>
      <c r="C30" s="31"/>
      <c r="D30" s="31"/>
      <c r="E30" s="31"/>
      <c r="F30" s="34">
        <v>150000</v>
      </c>
      <c r="G30" s="34">
        <f>(F30/100)*(100+'Модель рынка'!D5)</f>
        <v>150000</v>
      </c>
      <c r="H30" s="34">
        <f>(G30/100)*(100+'Модель рынка'!E5)</f>
        <v>150000</v>
      </c>
      <c r="I30" s="34">
        <f>(H30/100)*(100+'Модель рынка'!F5)</f>
        <v>150000</v>
      </c>
      <c r="J30" s="34">
        <f>(I30/100)*(100+'Модель рынка'!G5)</f>
        <v>150000</v>
      </c>
      <c r="K30" s="34">
        <f>(J30/100)*(100+'Модель рынка'!H5)</f>
        <v>150000</v>
      </c>
      <c r="L30" s="34">
        <f>(K30/100)*(100+'Модель рынка'!I5)</f>
        <v>150000</v>
      </c>
      <c r="M30" s="34">
        <f>(L30/100)*(100+'Модель рынка'!J5)</f>
        <v>150000</v>
      </c>
      <c r="N30" s="34">
        <f>(M30/100)*(100+'Модель рынка'!K5)</f>
        <v>150000</v>
      </c>
      <c r="O30" s="34">
        <f>(N30/100)*(100+'Модель рынка'!L5)</f>
        <v>150000</v>
      </c>
      <c r="P30" s="34">
        <f>(O30/100)*(100+'Модель рынка'!M5)</f>
        <v>150000</v>
      </c>
    </row>
    <row r="31" spans="1:16" x14ac:dyDescent="0.45">
      <c r="A31" s="31" t="s">
        <v>111</v>
      </c>
      <c r="B31" s="31"/>
      <c r="C31" s="31"/>
      <c r="D31" s="31"/>
      <c r="E31" s="31"/>
      <c r="F31" s="4">
        <f>F29/5</f>
        <v>0.2</v>
      </c>
      <c r="G31" s="4">
        <f t="shared" ref="G31:P31" si="15">G29/5</f>
        <v>0.2</v>
      </c>
      <c r="H31" s="4">
        <f t="shared" si="15"/>
        <v>0.2</v>
      </c>
      <c r="I31" s="4">
        <f t="shared" si="15"/>
        <v>0.2</v>
      </c>
      <c r="J31" s="4">
        <f t="shared" si="15"/>
        <v>0.2</v>
      </c>
      <c r="K31" s="4">
        <f t="shared" si="15"/>
        <v>0.2</v>
      </c>
      <c r="L31" s="4">
        <f t="shared" si="15"/>
        <v>0.2</v>
      </c>
      <c r="M31" s="4">
        <f t="shared" si="15"/>
        <v>0.2</v>
      </c>
      <c r="N31" s="4">
        <f t="shared" si="15"/>
        <v>0.2</v>
      </c>
      <c r="O31" s="4">
        <f t="shared" si="15"/>
        <v>0.2</v>
      </c>
      <c r="P31" s="4">
        <f t="shared" si="15"/>
        <v>0.2</v>
      </c>
    </row>
    <row r="32" spans="1:16" x14ac:dyDescent="0.45">
      <c r="A32" s="31" t="s">
        <v>106</v>
      </c>
      <c r="B32" s="31"/>
      <c r="C32" s="31"/>
      <c r="D32" s="31"/>
      <c r="E32" s="31"/>
      <c r="F32" s="34">
        <v>300000</v>
      </c>
      <c r="G32" s="34">
        <f>(F32/100)*(100+'Модель рынка'!D5)</f>
        <v>300000</v>
      </c>
      <c r="H32" s="34">
        <f>(G32/100)*(100+'Модель рынка'!E5)</f>
        <v>300000</v>
      </c>
      <c r="I32" s="34">
        <f>(H32/100)*(100+'Модель рынка'!F5)</f>
        <v>300000</v>
      </c>
      <c r="J32" s="34">
        <f>(I32/100)*(100+'Модель рынка'!G5)</f>
        <v>300000</v>
      </c>
      <c r="K32" s="34">
        <f>(J32/100)*(100+'Модель рынка'!H5)</f>
        <v>300000</v>
      </c>
      <c r="L32" s="34">
        <f>(K32/100)*(100+'Модель рынка'!I5)</f>
        <v>300000</v>
      </c>
      <c r="M32" s="34">
        <f>(L32/100)*(100+'Модель рынка'!J5)</f>
        <v>300000</v>
      </c>
      <c r="N32" s="34">
        <f>(M32/100)*(100+'Модель рынка'!K5)</f>
        <v>300000</v>
      </c>
      <c r="O32" s="34">
        <f>(N32/100)*(100+'Модель рынка'!L5)</f>
        <v>300000</v>
      </c>
      <c r="P32" s="34">
        <f>(O32/100)*(100+'Модель рынка'!M5)</f>
        <v>300000</v>
      </c>
    </row>
    <row r="33" spans="1:16" x14ac:dyDescent="0.45">
      <c r="A33" s="31" t="s">
        <v>107</v>
      </c>
      <c r="B33" s="31"/>
      <c r="C33" s="31"/>
      <c r="D33" s="31"/>
      <c r="E33" s="31" t="s">
        <v>175</v>
      </c>
      <c r="F33" s="34">
        <f>((((F30*F29)+(F31*F32))*12)*1.1)*Моделирование!$C$16</f>
        <v>2772000</v>
      </c>
      <c r="G33" s="34">
        <f>((((G30*G29)+(G31*G32))*12)*1.1)*Моделирование!$C$16</f>
        <v>2772000</v>
      </c>
      <c r="H33" s="34">
        <f>((((H30*H29)+(H31*H32))*12)*1.1)*Моделирование!$C$16</f>
        <v>2772000</v>
      </c>
      <c r="I33" s="34">
        <f>((((I30*I29)+(I31*I32))*12)*1.1)*Моделирование!$C$16</f>
        <v>2772000</v>
      </c>
      <c r="J33" s="34">
        <f>((((J30*J29)+(J31*J32))*12)*1.1)*Моделирование!$C$16</f>
        <v>2772000</v>
      </c>
      <c r="K33" s="34">
        <f>((((K30*K29)+(K31*K32))*12)*1.1)*Моделирование!$C$16</f>
        <v>2772000</v>
      </c>
      <c r="L33" s="34">
        <f>((((L30*L29)+(L31*L32))*12)*1.1)*Моделирование!$C$16</f>
        <v>2772000</v>
      </c>
      <c r="M33" s="34">
        <f>((((M30*M29)+(M31*M32))*12)*1.1)*Моделирование!$C$16</f>
        <v>2772000</v>
      </c>
      <c r="N33" s="34">
        <f>((((N30*N29)+(N31*N32))*12)*1.1)*Моделирование!$C$16</f>
        <v>2772000</v>
      </c>
      <c r="O33" s="34">
        <f>((((O30*O29)+(O31*O32))*12)*1.1)*Моделирование!$C$16</f>
        <v>2772000</v>
      </c>
      <c r="P33" s="34">
        <f>((((P30*P29)+(P31*P32))*12)*1.1)*Моделирование!$C$16</f>
        <v>2772000</v>
      </c>
    </row>
    <row r="34" spans="1:16" x14ac:dyDescent="0.45">
      <c r="A34" s="1" t="s">
        <v>83</v>
      </c>
      <c r="E34" s="1">
        <f>Моделирование!C16</f>
        <v>1</v>
      </c>
      <c r="F34" s="1">
        <f>IF(IF(ROUNDDOWN(('Модель рынка'!D22+'Модель рынка'!D23)/F13,0)&gt;10,10,ROUNDDOWN(('Модель рынка'!D22+'Модель рынка'!D23)/F13,0))&lt;1,1,IF(ROUNDDOWN(('Модель рынка'!D22+'Модель рынка'!D23)/F13,0)&gt;10,10,ROUNDDOWN(('Модель рынка'!D22+'Модель рынка'!D23)/F13,0)))*$E$34</f>
        <v>1</v>
      </c>
      <c r="G34" s="1">
        <f>IF(IF(ROUNDDOWN(('Модель рынка'!E22+'Модель рынка'!E23)/G13,0)&gt;10,10,ROUNDDOWN(('Модель рынка'!E22+'Модель рынка'!E23)/G13,0))&lt;1,1,IF(ROUNDDOWN(('Модель рынка'!E22+'Модель рынка'!E23)/G13,0)&gt;10,10,ROUNDDOWN(('Модель рынка'!E22+'Модель рынка'!E23)/G13,0)))*$E$34</f>
        <v>1</v>
      </c>
      <c r="H34" s="1">
        <f>IF(IF(ROUNDDOWN(('Модель рынка'!F22+'Модель рынка'!F23)/H13,0)&gt;10,10,ROUNDDOWN(('Модель рынка'!F22+'Модель рынка'!F23)/H13,0))&lt;1,1,IF(ROUNDDOWN(('Модель рынка'!F22+'Модель рынка'!F23)/H13,0)&gt;10,10,ROUNDDOWN(('Модель рынка'!F22+'Модель рынка'!F23)/H13,0)))*$E$34</f>
        <v>1</v>
      </c>
      <c r="I34" s="1">
        <f>IF(IF(ROUNDDOWN(('Модель рынка'!G22+'Модель рынка'!G23)/I13,0)&gt;10,10,ROUNDDOWN(('Модель рынка'!G22+'Модель рынка'!G23)/I13,0))&lt;1,1,IF(ROUNDDOWN(('Модель рынка'!G22+'Модель рынка'!G23)/I13,0)&gt;10,10,ROUNDDOWN(('Модель рынка'!G22+'Модель рынка'!G23)/I13,0)))*$E$34</f>
        <v>1</v>
      </c>
      <c r="J34" s="1">
        <f>IF(IF(ROUNDDOWN(('Модель рынка'!H22+'Модель рынка'!H23)/J13,0)&gt;10,10,ROUNDDOWN(('Модель рынка'!H22+'Модель рынка'!H23)/J13,0))&lt;1,1,IF(ROUNDDOWN(('Модель рынка'!H22+'Модель рынка'!H23)/J13,0)&gt;10,10,ROUNDDOWN(('Модель рынка'!H22+'Модель рынка'!H23)/J13,0)))*$E$34</f>
        <v>1</v>
      </c>
      <c r="K34" s="1">
        <f>IF(IF(ROUNDDOWN(('Модель рынка'!I22+'Модель рынка'!I23)/K13,0)&gt;10,10,ROUNDDOWN(('Модель рынка'!I22+'Модель рынка'!I23)/K13,0))&lt;1,1,IF(ROUNDDOWN(('Модель рынка'!I22+'Модель рынка'!I23)/K13,0)&gt;10,10,ROUNDDOWN(('Модель рынка'!I22+'Модель рынка'!I23)/K13,0)))*$E$34</f>
        <v>1</v>
      </c>
      <c r="L34" s="1">
        <f>IF(IF(ROUNDDOWN(('Модель рынка'!J22+'Модель рынка'!J23)/L13,0)&gt;10,10,ROUNDDOWN(('Модель рынка'!J22+'Модель рынка'!J23)/L13,0))&lt;1,1,IF(ROUNDDOWN(('Модель рынка'!J22+'Модель рынка'!J23)/L13,0)&gt;10,10,ROUNDDOWN(('Модель рынка'!J22+'Модель рынка'!J23)/L13,0)))*$E$34</f>
        <v>1</v>
      </c>
      <c r="M34" s="1">
        <f>IF(IF(ROUNDDOWN(('Модель рынка'!K22+'Модель рынка'!K23)/M13,0)&gt;10,10,ROUNDDOWN(('Модель рынка'!K22+'Модель рынка'!K23)/M13,0))&lt;1,1,IF(ROUNDDOWN(('Модель рынка'!K22+'Модель рынка'!K23)/M13,0)&gt;10,10,ROUNDDOWN(('Модель рынка'!K22+'Модель рынка'!K23)/M13,0)))*$E$34</f>
        <v>1</v>
      </c>
      <c r="N34" s="1">
        <f>IF(IF(ROUNDDOWN(('Модель рынка'!L22+'Модель рынка'!L23)/N13,0)&gt;10,10,ROUNDDOWN(('Модель рынка'!L22+'Модель рынка'!L23)/N13,0))&lt;1,1,IF(ROUNDDOWN(('Модель рынка'!L22+'Модель рынка'!L23)/N13,0)&gt;10,10,ROUNDDOWN(('Модель рынка'!L22+'Модель рынка'!L23)/N13,0)))*$E$34</f>
        <v>1</v>
      </c>
      <c r="O34" s="1">
        <f>IF(IF(ROUNDDOWN(('Модель рынка'!M22+'Модель рынка'!M23)/O13,0)&gt;10,10,ROUNDDOWN(('Модель рынка'!M22+'Модель рынка'!M23)/O13,0))&lt;1,1,IF(ROUNDDOWN(('Модель рынка'!M22+'Модель рынка'!M23)/O13,0)&gt;10,10,ROUNDDOWN(('Модель рынка'!M22+'Модель рынка'!M23)/O13,0)))*$E$34</f>
        <v>1</v>
      </c>
      <c r="P34" s="1">
        <f>IF(IF(ROUNDDOWN(('Модель рынка'!N22+'Модель рынка'!N23)/P13,0)&gt;10,10,ROUNDDOWN(('Модель рынка'!N22+'Модель рынка'!N23)/P13,0))&lt;1,1,IF(ROUNDDOWN(('Модель рынка'!N22+'Модель рынка'!N23)/P13,0)&gt;10,10,ROUNDDOWN(('Модель рынка'!N22+'Модель рынка'!N23)/P13,0)))*$E$34</f>
        <v>1</v>
      </c>
    </row>
    <row r="35" spans="1:16" x14ac:dyDescent="0.45">
      <c r="A35" s="1" t="s">
        <v>84</v>
      </c>
      <c r="F35" s="3">
        <v>250000</v>
      </c>
      <c r="G35" s="27">
        <f>(F35/100)*(100+'Модель рынка'!D5)</f>
        <v>250000</v>
      </c>
      <c r="H35" s="27">
        <f>(G35/100)*(100+'Модель рынка'!E5)</f>
        <v>250000</v>
      </c>
      <c r="I35" s="27">
        <f>(H35/100)*(100+'Модель рынка'!F5)</f>
        <v>250000</v>
      </c>
      <c r="J35" s="27">
        <f>(I35/100)*(100+'Модель рынка'!G5)</f>
        <v>250000</v>
      </c>
      <c r="K35" s="27">
        <f>(J35/100)*(100+'Модель рынка'!H5)</f>
        <v>250000</v>
      </c>
      <c r="L35" s="27">
        <f>(K35/100)*(100+'Модель рынка'!I5)</f>
        <v>250000</v>
      </c>
      <c r="M35" s="27">
        <f>(L35/100)*(100+'Модель рынка'!J5)</f>
        <v>250000</v>
      </c>
      <c r="N35" s="27">
        <f>(M35/100)*(100+'Модель рынка'!K5)</f>
        <v>250000</v>
      </c>
      <c r="O35" s="27">
        <f>(N35/100)*(100+'Модель рынка'!L5)</f>
        <v>250000</v>
      </c>
      <c r="P35" s="27">
        <f>(O35/100)*(100+'Модель рынка'!M5)</f>
        <v>250000</v>
      </c>
    </row>
    <row r="36" spans="1:16" x14ac:dyDescent="0.45">
      <c r="A36" s="1" t="s">
        <v>85</v>
      </c>
      <c r="F36" s="3">
        <f>F34/5</f>
        <v>0.2</v>
      </c>
      <c r="G36" s="3">
        <f t="shared" ref="G36:P36" si="16">G34/5</f>
        <v>0.2</v>
      </c>
      <c r="H36" s="3">
        <f t="shared" si="16"/>
        <v>0.2</v>
      </c>
      <c r="I36" s="3">
        <f t="shared" si="16"/>
        <v>0.2</v>
      </c>
      <c r="J36" s="3">
        <f t="shared" si="16"/>
        <v>0.2</v>
      </c>
      <c r="K36" s="3">
        <f t="shared" si="16"/>
        <v>0.2</v>
      </c>
      <c r="L36" s="3">
        <f t="shared" si="16"/>
        <v>0.2</v>
      </c>
      <c r="M36" s="3">
        <f t="shared" si="16"/>
        <v>0.2</v>
      </c>
      <c r="N36" s="3">
        <f t="shared" si="16"/>
        <v>0.2</v>
      </c>
      <c r="O36" s="3">
        <f t="shared" si="16"/>
        <v>0.2</v>
      </c>
      <c r="P36" s="3">
        <f t="shared" si="16"/>
        <v>0.2</v>
      </c>
    </row>
    <row r="37" spans="1:16" x14ac:dyDescent="0.45">
      <c r="A37" s="1" t="s">
        <v>86</v>
      </c>
      <c r="F37" s="3">
        <v>300000</v>
      </c>
      <c r="G37" s="27">
        <f>(F37/100)*(100+'Модель рынка'!D5)</f>
        <v>300000</v>
      </c>
      <c r="H37" s="27">
        <f>(G37/100)*(100+'Модель рынка'!E5)</f>
        <v>300000</v>
      </c>
      <c r="I37" s="27">
        <f>(H37/100)*(100+'Модель рынка'!F5)</f>
        <v>300000</v>
      </c>
      <c r="J37" s="27">
        <f>(I37/100)*(100+'Модель рынка'!G5)</f>
        <v>300000</v>
      </c>
      <c r="K37" s="27">
        <f>(J37/100)*(100+'Модель рынка'!H5)</f>
        <v>300000</v>
      </c>
      <c r="L37" s="27">
        <f>(K37/100)*(100+'Модель рынка'!I5)</f>
        <v>300000</v>
      </c>
      <c r="M37" s="27">
        <f>(L37/100)*(100+'Модель рынка'!J5)</f>
        <v>300000</v>
      </c>
      <c r="N37" s="27">
        <f>(M37/100)*(100+'Модель рынка'!K5)</f>
        <v>300000</v>
      </c>
      <c r="O37" s="27">
        <f>(N37/100)*(100+'Модель рынка'!L5)</f>
        <v>300000</v>
      </c>
      <c r="P37" s="27">
        <f>(O37/100)*(100+'Модель рынка'!M5)</f>
        <v>300000</v>
      </c>
    </row>
    <row r="38" spans="1:16" x14ac:dyDescent="0.45">
      <c r="A38" s="1" t="s">
        <v>87</v>
      </c>
      <c r="E38" s="1" t="s">
        <v>175</v>
      </c>
      <c r="F38" s="27">
        <f>((((F35*F34)+(F36*F37))*12)*1.1)*Моделирование!$C$16</f>
        <v>4092000.0000000005</v>
      </c>
      <c r="G38" s="27">
        <f>((((G35*G34)+(G36*G37))*12)*1.1)*Моделирование!$C$16</f>
        <v>4092000.0000000005</v>
      </c>
      <c r="H38" s="27">
        <f>((((H35*H34)+(H36*H37))*12)*1.1)*Моделирование!$C$16</f>
        <v>4092000.0000000005</v>
      </c>
      <c r="I38" s="27">
        <f>((((I35*I34)+(I36*I37))*12)*1.1)*Моделирование!$C$16</f>
        <v>4092000.0000000005</v>
      </c>
      <c r="J38" s="27">
        <f>((((J35*J34)+(J36*J37))*12)*1.1)*Моделирование!$C$16</f>
        <v>4092000.0000000005</v>
      </c>
      <c r="K38" s="27">
        <f>((((K35*K34)+(K36*K37))*12)*1.1)*Моделирование!$C$16</f>
        <v>4092000.0000000005</v>
      </c>
      <c r="L38" s="27">
        <f>((((L35*L34)+(L36*L37))*12)*1.1)*Моделирование!$C$16</f>
        <v>4092000.0000000005</v>
      </c>
      <c r="M38" s="27">
        <f>((((M35*M34)+(M36*M37))*12)*1.1)*Моделирование!$C$16</f>
        <v>4092000.0000000005</v>
      </c>
      <c r="N38" s="27">
        <f>((((N35*N34)+(N36*N37))*12)*1.1)*Моделирование!$C$16</f>
        <v>4092000.0000000005</v>
      </c>
      <c r="O38" s="27">
        <f>((((O35*O34)+(O36*O37))*12)*1.1)*Моделирование!$C$16</f>
        <v>4092000.0000000005</v>
      </c>
      <c r="P38" s="27">
        <f>((((P35*P34)+(P36*P37))*12)*1.1)*Моделирование!$C$16</f>
        <v>4092000.0000000005</v>
      </c>
    </row>
    <row r="39" spans="1:16" x14ac:dyDescent="0.45">
      <c r="A39" s="31" t="s">
        <v>117</v>
      </c>
      <c r="B39" s="31"/>
      <c r="C39" s="31"/>
      <c r="D39" s="31"/>
      <c r="E39" s="31">
        <f>Моделирование!C16</f>
        <v>1</v>
      </c>
      <c r="F39" s="31">
        <f>IF(IF(ROUNDDOWN(('Модель рынка'!D22+'Модель рынка'!D23)/F13,0)&gt;10,10,ROUNDDOWN(('Модель рынка'!D22+'Модель рынка'!D23)/F13,0))&lt;1,1,IF(ROUNDDOWN(('Модель рынка'!D22+'Модель рынка'!D23)/F13,0)&gt;10,10,ROUNDDOWN(('Модель рынка'!D22+'Модель рынка'!D23)/F13,0)))*$E$39</f>
        <v>1</v>
      </c>
      <c r="G39" s="31">
        <f>IF(IF(ROUNDDOWN(('Модель рынка'!E22+'Модель рынка'!E23)/G13,0)&gt;10,10,ROUNDDOWN(('Модель рынка'!E22+'Модель рынка'!E23)/G13,0))&lt;1,1,IF(ROUNDDOWN(('Модель рынка'!E22+'Модель рынка'!E23)/G13,0)&gt;10,10,ROUNDDOWN(('Модель рынка'!E22+'Модель рынка'!E23)/G13,0)))*$E$39</f>
        <v>1</v>
      </c>
      <c r="H39" s="31">
        <f>IF(IF(ROUNDDOWN(('Модель рынка'!F22+'Модель рынка'!F23)/H13,0)&gt;10,10,ROUNDDOWN(('Модель рынка'!F22+'Модель рынка'!F23)/H13,0))&lt;1,1,IF(ROUNDDOWN(('Модель рынка'!F22+'Модель рынка'!F23)/H13,0)&gt;10,10,ROUNDDOWN(('Модель рынка'!F22+'Модель рынка'!F23)/H13,0)))*$E$39</f>
        <v>1</v>
      </c>
      <c r="I39" s="31">
        <f>IF(IF(ROUNDDOWN(('Модель рынка'!G22+'Модель рынка'!G23)/I13,0)&gt;10,10,ROUNDDOWN(('Модель рынка'!G22+'Модель рынка'!G23)/I13,0))&lt;1,1,IF(ROUNDDOWN(('Модель рынка'!G22+'Модель рынка'!G23)/I13,0)&gt;10,10,ROUNDDOWN(('Модель рынка'!G22+'Модель рынка'!G23)/I13,0)))*$E$39</f>
        <v>1</v>
      </c>
      <c r="J39" s="31">
        <f>IF(IF(ROUNDDOWN(('Модель рынка'!H22+'Модель рынка'!H23)/J13,0)&gt;10,10,ROUNDDOWN(('Модель рынка'!H22+'Модель рынка'!H23)/J13,0))&lt;1,1,IF(ROUNDDOWN(('Модель рынка'!H22+'Модель рынка'!H23)/J13,0)&gt;10,10,ROUNDDOWN(('Модель рынка'!H22+'Модель рынка'!H23)/J13,0)))*$E$39</f>
        <v>1</v>
      </c>
      <c r="K39" s="31">
        <f>IF(IF(ROUNDDOWN(('Модель рынка'!I22+'Модель рынка'!I23)/K13,0)&gt;10,10,ROUNDDOWN(('Модель рынка'!I22+'Модель рынка'!I23)/K13,0))&lt;1,1,IF(ROUNDDOWN(('Модель рынка'!I22+'Модель рынка'!I23)/K13,0)&gt;10,10,ROUNDDOWN(('Модель рынка'!I22+'Модель рынка'!I23)/K13,0)))*$E$39</f>
        <v>1</v>
      </c>
      <c r="L39" s="31">
        <f>IF(IF(ROUNDDOWN(('Модель рынка'!J22+'Модель рынка'!J23)/L13,0)&gt;10,10,ROUNDDOWN(('Модель рынка'!J22+'Модель рынка'!J23)/L13,0))&lt;1,1,IF(ROUNDDOWN(('Модель рынка'!J22+'Модель рынка'!J23)/L13,0)&gt;10,10,ROUNDDOWN(('Модель рынка'!J22+'Модель рынка'!J23)/L13,0)))*$E$39</f>
        <v>1</v>
      </c>
      <c r="M39" s="31">
        <f>IF(IF(ROUNDDOWN(('Модель рынка'!K22+'Модель рынка'!K23)/M13,0)&gt;10,10,ROUNDDOWN(('Модель рынка'!K22+'Модель рынка'!K23)/M13,0))&lt;1,1,IF(ROUNDDOWN(('Модель рынка'!K22+'Модель рынка'!K23)/M13,0)&gt;10,10,ROUNDDOWN(('Модель рынка'!K22+'Модель рынка'!K23)/M13,0)))*$E$39</f>
        <v>1</v>
      </c>
      <c r="N39" s="31">
        <f>IF(IF(ROUNDDOWN(('Модель рынка'!L22+'Модель рынка'!L23)/N13,0)&gt;10,10,ROUNDDOWN(('Модель рынка'!L22+'Модель рынка'!L23)/N13,0))&lt;1,1,IF(ROUNDDOWN(('Модель рынка'!L22+'Модель рынка'!L23)/N13,0)&gt;10,10,ROUNDDOWN(('Модель рынка'!L22+'Модель рынка'!L23)/N13,0)))*$E$39</f>
        <v>1</v>
      </c>
      <c r="O39" s="31">
        <f>IF(IF(ROUNDDOWN(('Модель рынка'!M22+'Модель рынка'!M23)/O13,0)&gt;10,10,ROUNDDOWN(('Модель рынка'!M22+'Модель рынка'!M23)/O13,0))&lt;1,1,IF(ROUNDDOWN(('Модель рынка'!M22+'Модель рынка'!M23)/O13,0)&gt;10,10,ROUNDDOWN(('Модель рынка'!M22+'Модель рынка'!M23)/O13,0)))*$E$39</f>
        <v>1</v>
      </c>
      <c r="P39" s="31">
        <f>IF(IF(ROUNDDOWN(('Модель рынка'!N22+'Модель рынка'!N23)/P13,0)&gt;10,10,ROUNDDOWN(('Модель рынка'!N22+'Модель рынка'!N23)/P13,0))&lt;1,1,IF(ROUNDDOWN(('Модель рынка'!N22+'Модель рынка'!N23)/P13,0)&gt;10,10,ROUNDDOWN(('Модель рынка'!N22+'Модель рынка'!N23)/P13,0)))*$E$39</f>
        <v>1</v>
      </c>
    </row>
    <row r="40" spans="1:16" x14ac:dyDescent="0.45">
      <c r="A40" s="31" t="s">
        <v>118</v>
      </c>
      <c r="B40" s="31"/>
      <c r="C40" s="31"/>
      <c r="D40" s="31"/>
      <c r="E40" s="31"/>
      <c r="F40" s="4">
        <v>250000</v>
      </c>
      <c r="G40" s="34">
        <f>(F40/100)*(100+'Модель рынка'!D5)</f>
        <v>250000</v>
      </c>
      <c r="H40" s="34">
        <f>(G40/100)*(100+'Модель рынка'!E5)</f>
        <v>250000</v>
      </c>
      <c r="I40" s="34">
        <f>(H40/100)*(100+'Модель рынка'!F5)</f>
        <v>250000</v>
      </c>
      <c r="J40" s="34">
        <f>(I40/100)*(100+'Модель рынка'!G5)</f>
        <v>250000</v>
      </c>
      <c r="K40" s="34">
        <f>(J40/100)*(100+'Модель рынка'!H5)</f>
        <v>250000</v>
      </c>
      <c r="L40" s="34">
        <f>(K40/100)*(100+'Модель рынка'!I5)</f>
        <v>250000</v>
      </c>
      <c r="M40" s="34">
        <f>(L40/100)*(100+'Модель рынка'!J5)</f>
        <v>250000</v>
      </c>
      <c r="N40" s="34">
        <f>(M40/100)*(100+'Модель рынка'!K5)</f>
        <v>250000</v>
      </c>
      <c r="O40" s="34">
        <f>(N40/100)*(100+'Модель рынка'!L5)</f>
        <v>250000</v>
      </c>
      <c r="P40" s="34">
        <f>(O40/100)*(100+'Модель рынка'!M5)</f>
        <v>250000</v>
      </c>
    </row>
    <row r="41" spans="1:16" x14ac:dyDescent="0.45">
      <c r="A41" s="31" t="s">
        <v>119</v>
      </c>
      <c r="B41" s="31"/>
      <c r="C41" s="31"/>
      <c r="D41" s="31"/>
      <c r="E41" s="31"/>
      <c r="F41" s="4">
        <f>F39/5</f>
        <v>0.2</v>
      </c>
      <c r="G41" s="4">
        <f t="shared" ref="G41:P41" si="17">G39/5</f>
        <v>0.2</v>
      </c>
      <c r="H41" s="4">
        <f t="shared" si="17"/>
        <v>0.2</v>
      </c>
      <c r="I41" s="4">
        <f t="shared" si="17"/>
        <v>0.2</v>
      </c>
      <c r="J41" s="4">
        <f t="shared" si="17"/>
        <v>0.2</v>
      </c>
      <c r="K41" s="4">
        <f t="shared" si="17"/>
        <v>0.2</v>
      </c>
      <c r="L41" s="4">
        <f t="shared" si="17"/>
        <v>0.2</v>
      </c>
      <c r="M41" s="4">
        <f t="shared" si="17"/>
        <v>0.2</v>
      </c>
      <c r="N41" s="4">
        <f t="shared" si="17"/>
        <v>0.2</v>
      </c>
      <c r="O41" s="4">
        <f t="shared" si="17"/>
        <v>0.2</v>
      </c>
      <c r="P41" s="4">
        <f t="shared" si="17"/>
        <v>0.2</v>
      </c>
    </row>
    <row r="42" spans="1:16" x14ac:dyDescent="0.45">
      <c r="A42" s="31" t="s">
        <v>120</v>
      </c>
      <c r="B42" s="31"/>
      <c r="C42" s="31"/>
      <c r="D42" s="31"/>
      <c r="E42" s="31"/>
      <c r="F42" s="4">
        <v>300000</v>
      </c>
      <c r="G42" s="34">
        <f>(F42/100)*(100+'Модель рынка'!D5)</f>
        <v>300000</v>
      </c>
      <c r="H42" s="34">
        <f>(G42/100)*(100+'Модель рынка'!E5)</f>
        <v>300000</v>
      </c>
      <c r="I42" s="34">
        <f>(H42/100)*(100+'Модель рынка'!F5)</f>
        <v>300000</v>
      </c>
      <c r="J42" s="34">
        <f>(I42/100)*(100+'Модель рынка'!G5)</f>
        <v>300000</v>
      </c>
      <c r="K42" s="34">
        <f>(J42/100)*(100+'Модель рынка'!H5)</f>
        <v>300000</v>
      </c>
      <c r="L42" s="34">
        <f>(K42/100)*(100+'Модель рынка'!I5)</f>
        <v>300000</v>
      </c>
      <c r="M42" s="34">
        <f>(L42/100)*(100+'Модель рынка'!J5)</f>
        <v>300000</v>
      </c>
      <c r="N42" s="34">
        <f>(M42/100)*(100+'Модель рынка'!K5)</f>
        <v>300000</v>
      </c>
      <c r="O42" s="34">
        <f>(N42/100)*(100+'Модель рынка'!L5)</f>
        <v>300000</v>
      </c>
      <c r="P42" s="34">
        <f>(O42/100)*(100+'Модель рынка'!M5)</f>
        <v>300000</v>
      </c>
    </row>
    <row r="43" spans="1:16" x14ac:dyDescent="0.45">
      <c r="A43" s="31" t="s">
        <v>121</v>
      </c>
      <c r="B43" s="31"/>
      <c r="C43" s="31"/>
      <c r="D43" s="31"/>
      <c r="E43" s="31" t="s">
        <v>175</v>
      </c>
      <c r="F43" s="34">
        <f>((((F40*F39)+(F41*F42))*12)*1.1)*Моделирование!$C$16</f>
        <v>4092000.0000000005</v>
      </c>
      <c r="G43" s="34">
        <f>((((G40*G39)+(G41*G42))*12)*1.1)*Моделирование!$C$16</f>
        <v>4092000.0000000005</v>
      </c>
      <c r="H43" s="34">
        <f>((((H40*H39)+(H41*H42))*12)*1.1)*Моделирование!$C$16</f>
        <v>4092000.0000000005</v>
      </c>
      <c r="I43" s="34">
        <f>((((I40*I39)+(I41*I42))*12)*1.1)*Моделирование!$C$16</f>
        <v>4092000.0000000005</v>
      </c>
      <c r="J43" s="34">
        <f>((((J40*J39)+(J41*J42))*12)*1.1)*Моделирование!$C$16</f>
        <v>4092000.0000000005</v>
      </c>
      <c r="K43" s="34">
        <f>((((K40*K39)+(K41*K42))*12)*1.1)*Моделирование!$C$16</f>
        <v>4092000.0000000005</v>
      </c>
      <c r="L43" s="34">
        <f>((((L40*L39)+(L41*L42))*12)*1.1)*Моделирование!$C$16</f>
        <v>4092000.0000000005</v>
      </c>
      <c r="M43" s="34">
        <f>((((M40*M39)+(M41*M42))*12)*1.1)*Моделирование!$C$16</f>
        <v>4092000.0000000005</v>
      </c>
      <c r="N43" s="34">
        <f>((((N40*N39)+(N41*N42))*12)*1.1)*Моделирование!$C$16</f>
        <v>4092000.0000000005</v>
      </c>
      <c r="O43" s="34">
        <f>((((O40*O39)+(O41*O42))*12)*1.1)*Моделирование!$C$16</f>
        <v>4092000.0000000005</v>
      </c>
      <c r="P43" s="34">
        <f>((((P40*P39)+(P41*P42))*12)*1.1)*Моделирование!$C$16</f>
        <v>4092000.0000000005</v>
      </c>
    </row>
    <row r="44" spans="1:16" x14ac:dyDescent="0.45">
      <c r="A44" s="1" t="s">
        <v>112</v>
      </c>
      <c r="E44" s="1">
        <f>Моделирование!C16</f>
        <v>1</v>
      </c>
      <c r="F44" s="27">
        <f>IF(IF(ROUNDDOWN(('Модель рынка'!D22+'Модель рынка'!D23)/F13,0)&gt;10,10,ROUNDDOWN(('Модель рынка'!D22+'Модель рынка'!D23)/F13,0))&lt;1,1,IF(ROUNDDOWN(('Модель рынка'!D22+'Модель рынка'!D23)/F13,0)&gt;10,10,ROUNDDOWN(('Модель рынка'!D22+'Модель рынка'!D23)/F13,0)))*$E$44</f>
        <v>1</v>
      </c>
      <c r="G44" s="27">
        <f>IF(IF(ROUNDDOWN(('Модель рынка'!E22+'Модель рынка'!E23)/G13,0)&gt;10,10,ROUNDDOWN(('Модель рынка'!E22+'Модель рынка'!E23)/G13,0))&lt;1,1,IF(ROUNDDOWN(('Модель рынка'!E22+'Модель рынка'!E23)/G13,0)&gt;10,10,ROUNDDOWN(('Модель рынка'!E22+'Модель рынка'!E23)/G13,0)))*$E$44</f>
        <v>1</v>
      </c>
      <c r="H44" s="27">
        <f>IF(IF(ROUNDDOWN(('Модель рынка'!F22+'Модель рынка'!F23)/H13,0)&gt;10,10,ROUNDDOWN(('Модель рынка'!F22+'Модель рынка'!F23)/H13,0))&lt;1,1,IF(ROUNDDOWN(('Модель рынка'!F22+'Модель рынка'!F23)/H13,0)&gt;10,10,ROUNDDOWN(('Модель рынка'!F22+'Модель рынка'!F23)/H13,0)))*$E$44</f>
        <v>1</v>
      </c>
      <c r="I44" s="27">
        <f>IF(IF(ROUNDDOWN(('Модель рынка'!G22+'Модель рынка'!G23)/I13,0)&gt;10,10,ROUNDDOWN(('Модель рынка'!G22+'Модель рынка'!G23)/I13,0))&lt;1,1,IF(ROUNDDOWN(('Модель рынка'!G22+'Модель рынка'!G23)/I13,0)&gt;10,10,ROUNDDOWN(('Модель рынка'!G22+'Модель рынка'!G23)/I13,0)))*$E$44</f>
        <v>1</v>
      </c>
      <c r="J44" s="27">
        <f>IF(IF(ROUNDDOWN(('Модель рынка'!H22+'Модель рынка'!H23)/J13,0)&gt;10,10,ROUNDDOWN(('Модель рынка'!H22+'Модель рынка'!H23)/J13,0))&lt;1,1,IF(ROUNDDOWN(('Модель рынка'!H22+'Модель рынка'!H23)/J13,0)&gt;10,10,ROUNDDOWN(('Модель рынка'!H22+'Модель рынка'!H23)/J13,0)))*$E$44</f>
        <v>1</v>
      </c>
      <c r="K44" s="27">
        <f>IF(IF(ROUNDDOWN(('Модель рынка'!I22+'Модель рынка'!I23)/K13,0)&gt;10,10,ROUNDDOWN(('Модель рынка'!I22+'Модель рынка'!I23)/K13,0))&lt;1,1,IF(ROUNDDOWN(('Модель рынка'!I22+'Модель рынка'!I23)/K13,0)&gt;10,10,ROUNDDOWN(('Модель рынка'!I22+'Модель рынка'!I23)/K13,0)))*$E$44</f>
        <v>1</v>
      </c>
      <c r="L44" s="27">
        <f>IF(IF(ROUNDDOWN(('Модель рынка'!J22+'Модель рынка'!J23)/L13,0)&gt;10,10,ROUNDDOWN(('Модель рынка'!J22+'Модель рынка'!J23)/L13,0))&lt;1,1,IF(ROUNDDOWN(('Модель рынка'!J22+'Модель рынка'!J23)/L13,0)&gt;10,10,ROUNDDOWN(('Модель рынка'!J22+'Модель рынка'!J23)/L13,0)))*$E$44</f>
        <v>1</v>
      </c>
      <c r="M44" s="27">
        <f>IF(IF(ROUNDDOWN(('Модель рынка'!K22+'Модель рынка'!K23)/M13,0)&gt;10,10,ROUNDDOWN(('Модель рынка'!K22+'Модель рынка'!K23)/M13,0))&lt;1,1,IF(ROUNDDOWN(('Модель рынка'!K22+'Модель рынка'!K23)/M13,0)&gt;10,10,ROUNDDOWN(('Модель рынка'!K22+'Модель рынка'!K23)/M13,0)))*$E$44</f>
        <v>1</v>
      </c>
      <c r="N44" s="27">
        <f>IF(IF(ROUNDDOWN(('Модель рынка'!L22+'Модель рынка'!L23)/N13,0)&gt;10,10,ROUNDDOWN(('Модель рынка'!L22+'Модель рынка'!L23)/N13,0))&lt;1,1,IF(ROUNDDOWN(('Модель рынка'!L22+'Модель рынка'!L23)/N13,0)&gt;10,10,ROUNDDOWN(('Модель рынка'!L22+'Модель рынка'!L23)/N13,0)))*$E$44</f>
        <v>1</v>
      </c>
      <c r="O44" s="27">
        <f>IF(IF(ROUNDDOWN(('Модель рынка'!M22+'Модель рынка'!M23)/O13,0)&gt;10,10,ROUNDDOWN(('Модель рынка'!M22+'Модель рынка'!M23)/O13,0))&lt;1,1,IF(ROUNDDOWN(('Модель рынка'!M22+'Модель рынка'!M23)/O13,0)&gt;10,10,ROUNDDOWN(('Модель рынка'!M22+'Модель рынка'!M23)/O13,0)))*$E$44</f>
        <v>1</v>
      </c>
      <c r="P44" s="27">
        <f>IF(IF(ROUNDDOWN(('Модель рынка'!N22+'Модель рынка'!N23)/P13,0)&gt;10,10,ROUNDDOWN(('Модель рынка'!N22+'Модель рынка'!N23)/P13,0))&lt;1,1,IF(ROUNDDOWN(('Модель рынка'!N22+'Модель рынка'!N23)/P13,0)&gt;10,10,ROUNDDOWN(('Модель рынка'!N22+'Модель рынка'!N23)/P13,0)))*$E$44</f>
        <v>1</v>
      </c>
    </row>
    <row r="45" spans="1:16" x14ac:dyDescent="0.45">
      <c r="A45" s="1" t="s">
        <v>113</v>
      </c>
      <c r="F45" s="27">
        <v>200000</v>
      </c>
      <c r="G45" s="27">
        <f>(F45/100)*(100+'Модель рынка'!D5)</f>
        <v>200000</v>
      </c>
      <c r="H45" s="27">
        <f>(G45/100)*(100+'Модель рынка'!E5)</f>
        <v>200000</v>
      </c>
      <c r="I45" s="27">
        <f>(H45/100)*(100+'Модель рынка'!F5)</f>
        <v>200000</v>
      </c>
      <c r="J45" s="27">
        <f>(I45/100)*(100+'Модель рынка'!G5)</f>
        <v>200000</v>
      </c>
      <c r="K45" s="27">
        <f>(J45/100)*(100+'Модель рынка'!H5)</f>
        <v>200000</v>
      </c>
      <c r="L45" s="27">
        <f>(K45/100)*(100+'Модель рынка'!I5)</f>
        <v>200000</v>
      </c>
      <c r="M45" s="27">
        <f>(L45/100)*(100+'Модель рынка'!J5)</f>
        <v>200000</v>
      </c>
      <c r="N45" s="27">
        <f>(M45/100)*(100+'Модель рынка'!K5)</f>
        <v>200000</v>
      </c>
      <c r="O45" s="27">
        <f>(N45/100)*(100+'Модель рынка'!L5)</f>
        <v>200000</v>
      </c>
      <c r="P45" s="27">
        <f>(O45/100)*(100+'Модель рынка'!M5)</f>
        <v>200000</v>
      </c>
    </row>
    <row r="46" spans="1:16" x14ac:dyDescent="0.45">
      <c r="A46" s="1" t="s">
        <v>114</v>
      </c>
      <c r="F46" s="3">
        <f>F44/5</f>
        <v>0.2</v>
      </c>
      <c r="G46" s="3">
        <f t="shared" ref="G46:P46" si="18">G44/5</f>
        <v>0.2</v>
      </c>
      <c r="H46" s="3">
        <f t="shared" si="18"/>
        <v>0.2</v>
      </c>
      <c r="I46" s="3">
        <f t="shared" si="18"/>
        <v>0.2</v>
      </c>
      <c r="J46" s="3">
        <f t="shared" si="18"/>
        <v>0.2</v>
      </c>
      <c r="K46" s="3">
        <f t="shared" si="18"/>
        <v>0.2</v>
      </c>
      <c r="L46" s="3">
        <f t="shared" si="18"/>
        <v>0.2</v>
      </c>
      <c r="M46" s="3">
        <f t="shared" si="18"/>
        <v>0.2</v>
      </c>
      <c r="N46" s="3">
        <f t="shared" si="18"/>
        <v>0.2</v>
      </c>
      <c r="O46" s="3">
        <f t="shared" si="18"/>
        <v>0.2</v>
      </c>
      <c r="P46" s="3">
        <f t="shared" si="18"/>
        <v>0.2</v>
      </c>
    </row>
    <row r="47" spans="1:16" x14ac:dyDescent="0.45">
      <c r="A47" s="1" t="s">
        <v>115</v>
      </c>
      <c r="F47" s="27">
        <v>300000</v>
      </c>
      <c r="G47" s="27">
        <f>(F47/100)*(100+'Модель рынка'!D5)</f>
        <v>300000</v>
      </c>
      <c r="H47" s="27">
        <f>(G47/100)*(100+'Модель рынка'!E5)</f>
        <v>300000</v>
      </c>
      <c r="I47" s="27">
        <f>(H47/100)*(100+'Модель рынка'!F5)</f>
        <v>300000</v>
      </c>
      <c r="J47" s="27">
        <f>(I47/100)*(100+'Модель рынка'!G5)</f>
        <v>300000</v>
      </c>
      <c r="K47" s="27">
        <f>(J47/100)*(100+'Модель рынка'!H5)</f>
        <v>300000</v>
      </c>
      <c r="L47" s="27">
        <f>(K47/100)*(100+'Модель рынка'!I5)</f>
        <v>300000</v>
      </c>
      <c r="M47" s="27">
        <f>(L47/100)*(100+'Модель рынка'!J5)</f>
        <v>300000</v>
      </c>
      <c r="N47" s="27">
        <f>(M47/100)*(100+'Модель рынка'!K5)</f>
        <v>300000</v>
      </c>
      <c r="O47" s="27">
        <f>(N47/100)*(100+'Модель рынка'!L5)</f>
        <v>300000</v>
      </c>
      <c r="P47" s="27">
        <f>(O47/100)*(100+'Модель рынка'!M5)</f>
        <v>300000</v>
      </c>
    </row>
    <row r="48" spans="1:16" x14ac:dyDescent="0.45">
      <c r="A48" s="1" t="s">
        <v>116</v>
      </c>
      <c r="E48" s="1" t="s">
        <v>175</v>
      </c>
      <c r="F48" s="27">
        <f>((((F45*F44)+(F46*F47))*12)*1.1)*Моделирование!$C$16</f>
        <v>3432000.0000000005</v>
      </c>
      <c r="G48" s="27">
        <f>((((G45*G44)+(G46*G47))*12)*1.1)*Моделирование!$C$16</f>
        <v>3432000.0000000005</v>
      </c>
      <c r="H48" s="27">
        <f>((((H45*H44)+(H46*H47))*12)*1.1)*Моделирование!$C$16</f>
        <v>3432000.0000000005</v>
      </c>
      <c r="I48" s="27">
        <f>((((I45*I44)+(I46*I47))*12)*1.1)*Моделирование!$C$16</f>
        <v>3432000.0000000005</v>
      </c>
      <c r="J48" s="27">
        <f>((((J45*J44)+(J46*J47))*12)*1.1)*Моделирование!$C$16</f>
        <v>3432000.0000000005</v>
      </c>
      <c r="K48" s="27">
        <f>((((K45*K44)+(K46*K47))*12)*1.1)*Моделирование!$C$16</f>
        <v>3432000.0000000005</v>
      </c>
      <c r="L48" s="27">
        <f>((((L45*L44)+(L46*L47))*12)*1.1)*Моделирование!$C$16</f>
        <v>3432000.0000000005</v>
      </c>
      <c r="M48" s="27">
        <f>((((M45*M44)+(M46*M47))*12)*1.1)*Моделирование!$C$16</f>
        <v>3432000.0000000005</v>
      </c>
      <c r="N48" s="27">
        <f>((((N45*N44)+(N46*N47))*12)*1.1)*Моделирование!$C$16</f>
        <v>3432000.0000000005</v>
      </c>
      <c r="O48" s="27">
        <f>((((O45*O44)+(O46*O47))*12)*1.1)*Моделирование!$C$16</f>
        <v>3432000.0000000005</v>
      </c>
      <c r="P48" s="27">
        <f>((((P45*P44)+(P46*P47))*12)*1.1)*Моделирование!$C$16</f>
        <v>3432000.0000000005</v>
      </c>
    </row>
    <row r="49" spans="1:16" x14ac:dyDescent="0.45">
      <c r="A49" s="31" t="s">
        <v>122</v>
      </c>
      <c r="B49" s="31"/>
      <c r="C49" s="31"/>
      <c r="D49" s="31"/>
      <c r="E49" s="31">
        <f>Моделирование!C16</f>
        <v>1</v>
      </c>
      <c r="F49" s="34">
        <f>IF(IF(ROUNDDOWN(('Модель рынка'!D22+'Модель рынка'!D23)/F13,0)&gt;10,10,ROUNDDOWN(('Модель рынка'!D22+'Модель рынка'!D23)/F13,0))&lt;1,1,IF(ROUNDDOWN(('Модель рынка'!D22+'Модель рынка'!D23)/F13,0)&gt;10,10,ROUNDDOWN(('Модель рынка'!D22+'Модель рынка'!D23)/F13,0)))*$E$49</f>
        <v>1</v>
      </c>
      <c r="G49" s="34">
        <f>IF(IF(ROUNDDOWN(('Модель рынка'!E22+'Модель рынка'!E23)/G13,0)&gt;10,10,ROUNDDOWN(('Модель рынка'!E22+'Модель рынка'!E23)/G13,0))&lt;1,1,IF(ROUNDDOWN(('Модель рынка'!E22+'Модель рынка'!E23)/G13,0)&gt;10,10,ROUNDDOWN(('Модель рынка'!E22+'Модель рынка'!E23)/G13,0)))*$E$49</f>
        <v>1</v>
      </c>
      <c r="H49" s="34">
        <f>IF(IF(ROUNDDOWN(('Модель рынка'!F22+'Модель рынка'!F23)/H13,0)&gt;10,10,ROUNDDOWN(('Модель рынка'!F22+'Модель рынка'!F23)/H13,0))&lt;1,1,IF(ROUNDDOWN(('Модель рынка'!F22+'Модель рынка'!F23)/H13,0)&gt;10,10,ROUNDDOWN(('Модель рынка'!F22+'Модель рынка'!F23)/H13,0)))*$E$49</f>
        <v>1</v>
      </c>
      <c r="I49" s="34">
        <f>IF(IF(ROUNDDOWN(('Модель рынка'!G22+'Модель рынка'!G23)/I13,0)&gt;10,10,ROUNDDOWN(('Модель рынка'!G22+'Модель рынка'!G23)/I13,0))&lt;1,1,IF(ROUNDDOWN(('Модель рынка'!G22+'Модель рынка'!G23)/I13,0)&gt;10,10,ROUNDDOWN(('Модель рынка'!G22+'Модель рынка'!G23)/I13,0)))*$E$49</f>
        <v>1</v>
      </c>
      <c r="J49" s="34">
        <f>IF(IF(ROUNDDOWN(('Модель рынка'!H22+'Модель рынка'!H23)/J13,0)&gt;10,10,ROUNDDOWN(('Модель рынка'!H22+'Модель рынка'!H23)/J13,0))&lt;1,1,IF(ROUNDDOWN(('Модель рынка'!H22+'Модель рынка'!H23)/J13,0)&gt;10,10,ROUNDDOWN(('Модель рынка'!H22+'Модель рынка'!H23)/J13,0)))*$E$49</f>
        <v>1</v>
      </c>
      <c r="K49" s="34">
        <f>IF(IF(ROUNDDOWN(('Модель рынка'!I22+'Модель рынка'!I23)/K13,0)&gt;10,10,ROUNDDOWN(('Модель рынка'!I22+'Модель рынка'!I23)/K13,0))&lt;1,1,IF(ROUNDDOWN(('Модель рынка'!I22+'Модель рынка'!I23)/K13,0)&gt;10,10,ROUNDDOWN(('Модель рынка'!I22+'Модель рынка'!I23)/K13,0)))*$E$49</f>
        <v>1</v>
      </c>
      <c r="L49" s="34">
        <f>IF(IF(ROUNDDOWN(('Модель рынка'!J22+'Модель рынка'!J23)/L13,0)&gt;10,10,ROUNDDOWN(('Модель рынка'!J22+'Модель рынка'!J23)/L13,0))&lt;1,1,IF(ROUNDDOWN(('Модель рынка'!J22+'Модель рынка'!J23)/L13,0)&gt;10,10,ROUNDDOWN(('Модель рынка'!J22+'Модель рынка'!J23)/L13,0)))*$E$49</f>
        <v>1</v>
      </c>
      <c r="M49" s="34">
        <f>IF(IF(ROUNDDOWN(('Модель рынка'!K22+'Модель рынка'!K23)/M13,0)&gt;10,10,ROUNDDOWN(('Модель рынка'!K22+'Модель рынка'!K23)/M13,0))&lt;1,1,IF(ROUNDDOWN(('Модель рынка'!K22+'Модель рынка'!K23)/M13,0)&gt;10,10,ROUNDDOWN(('Модель рынка'!K22+'Модель рынка'!K23)/M13,0)))*$E$49</f>
        <v>1</v>
      </c>
      <c r="N49" s="34">
        <f>IF(IF(ROUNDDOWN(('Модель рынка'!L22+'Модель рынка'!L23)/N13,0)&gt;10,10,ROUNDDOWN(('Модель рынка'!L22+'Модель рынка'!L23)/N13,0))&lt;1,1,IF(ROUNDDOWN(('Модель рынка'!L22+'Модель рынка'!L23)/N13,0)&gt;10,10,ROUNDDOWN(('Модель рынка'!L22+'Модель рынка'!L23)/N13,0)))*$E$49</f>
        <v>1</v>
      </c>
      <c r="O49" s="34">
        <f>IF(IF(ROUNDDOWN(('Модель рынка'!M22+'Модель рынка'!M23)/O13,0)&gt;10,10,ROUNDDOWN(('Модель рынка'!M22+'Модель рынка'!M23)/O13,0))&lt;1,1,IF(ROUNDDOWN(('Модель рынка'!M22+'Модель рынка'!M23)/O13,0)&gt;10,10,ROUNDDOWN(('Модель рынка'!M22+'Модель рынка'!M23)/O13,0)))*$E$49</f>
        <v>1</v>
      </c>
      <c r="P49" s="34">
        <f>IF(IF(ROUNDDOWN(('Модель рынка'!N22+'Модель рынка'!N23)/P13,0)&gt;10,10,ROUNDDOWN(('Модель рынка'!N22+'Модель рынка'!N23)/P13,0))&lt;1,1,IF(ROUNDDOWN(('Модель рынка'!N22+'Модель рынка'!N23)/P13,0)&gt;10,10,ROUNDDOWN(('Модель рынка'!N22+'Модель рынка'!N23)/P13,0)))*$E$49</f>
        <v>1</v>
      </c>
    </row>
    <row r="50" spans="1:16" x14ac:dyDescent="0.45">
      <c r="A50" s="31" t="s">
        <v>123</v>
      </c>
      <c r="B50" s="31"/>
      <c r="C50" s="31"/>
      <c r="D50" s="31"/>
      <c r="E50" s="31"/>
      <c r="F50" s="34">
        <v>200000</v>
      </c>
      <c r="G50" s="34">
        <f>(F50/100)*(100+'Модель рынка'!D5)</f>
        <v>200000</v>
      </c>
      <c r="H50" s="34">
        <f>(G50/100)*(100+'Модель рынка'!E5)</f>
        <v>200000</v>
      </c>
      <c r="I50" s="34">
        <f>(H50/100)*(100+'Модель рынка'!F5)</f>
        <v>200000</v>
      </c>
      <c r="J50" s="34">
        <f>(I50/100)*(100+'Модель рынка'!G5)</f>
        <v>200000</v>
      </c>
      <c r="K50" s="34">
        <f>(J50/100)*(100+'Модель рынка'!H5)</f>
        <v>200000</v>
      </c>
      <c r="L50" s="34">
        <f>(K50/100)*(100+'Модель рынка'!I5)</f>
        <v>200000</v>
      </c>
      <c r="M50" s="34">
        <f>(L50/100)*(100+'Модель рынка'!J5)</f>
        <v>200000</v>
      </c>
      <c r="N50" s="34">
        <f>(M50/100)*(100+'Модель рынка'!K5)</f>
        <v>200000</v>
      </c>
      <c r="O50" s="34">
        <f>(N50/100)*(100+'Модель рынка'!L5)</f>
        <v>200000</v>
      </c>
      <c r="P50" s="34">
        <f>(O50/100)*(100+'Модель рынка'!M5)</f>
        <v>200000</v>
      </c>
    </row>
    <row r="51" spans="1:16" x14ac:dyDescent="0.45">
      <c r="A51" s="31" t="s">
        <v>124</v>
      </c>
      <c r="B51" s="31"/>
      <c r="C51" s="31"/>
      <c r="D51" s="31"/>
      <c r="E51" s="31"/>
      <c r="F51" s="4">
        <f>F49/5</f>
        <v>0.2</v>
      </c>
      <c r="G51" s="4">
        <f t="shared" ref="G51:P51" si="19">G49/5</f>
        <v>0.2</v>
      </c>
      <c r="H51" s="4">
        <f t="shared" si="19"/>
        <v>0.2</v>
      </c>
      <c r="I51" s="4">
        <f t="shared" si="19"/>
        <v>0.2</v>
      </c>
      <c r="J51" s="4">
        <f t="shared" si="19"/>
        <v>0.2</v>
      </c>
      <c r="K51" s="4">
        <f t="shared" si="19"/>
        <v>0.2</v>
      </c>
      <c r="L51" s="4">
        <f t="shared" si="19"/>
        <v>0.2</v>
      </c>
      <c r="M51" s="4">
        <f t="shared" si="19"/>
        <v>0.2</v>
      </c>
      <c r="N51" s="4">
        <f t="shared" si="19"/>
        <v>0.2</v>
      </c>
      <c r="O51" s="4">
        <f t="shared" si="19"/>
        <v>0.2</v>
      </c>
      <c r="P51" s="4">
        <f t="shared" si="19"/>
        <v>0.2</v>
      </c>
    </row>
    <row r="52" spans="1:16" x14ac:dyDescent="0.45">
      <c r="A52" s="31" t="s">
        <v>125</v>
      </c>
      <c r="B52" s="31"/>
      <c r="C52" s="31"/>
      <c r="D52" s="31"/>
      <c r="E52" s="31"/>
      <c r="F52" s="34">
        <v>300000</v>
      </c>
      <c r="G52" s="34">
        <f>(F52/100)*(100+'Модель рынка'!D5)</f>
        <v>300000</v>
      </c>
      <c r="H52" s="34">
        <f>(G52/100)*(100+'Модель рынка'!E5)</f>
        <v>300000</v>
      </c>
      <c r="I52" s="34">
        <f>(H52/100)*(100+'Модель рынка'!F5)</f>
        <v>300000</v>
      </c>
      <c r="J52" s="34">
        <f>(I52/100)*(100+'Модель рынка'!G5)</f>
        <v>300000</v>
      </c>
      <c r="K52" s="34">
        <f>(J52/100)*(100+'Модель рынка'!H5)</f>
        <v>300000</v>
      </c>
      <c r="L52" s="34">
        <f>(K52/100)*(100+'Модель рынка'!I5)</f>
        <v>300000</v>
      </c>
      <c r="M52" s="34">
        <f>(L52/100)*(100+'Модель рынка'!J5)</f>
        <v>300000</v>
      </c>
      <c r="N52" s="34">
        <f>(M52/100)*(100+'Модель рынка'!K5)</f>
        <v>300000</v>
      </c>
      <c r="O52" s="34">
        <f>(N52/100)*(100+'Модель рынка'!L5)</f>
        <v>300000</v>
      </c>
      <c r="P52" s="34">
        <f>(O52/100)*(100+'Модель рынка'!M5)</f>
        <v>300000</v>
      </c>
    </row>
    <row r="53" spans="1:16" x14ac:dyDescent="0.45">
      <c r="A53" s="31" t="s">
        <v>126</v>
      </c>
      <c r="B53" s="31"/>
      <c r="C53" s="31"/>
      <c r="D53" s="31"/>
      <c r="E53" s="31" t="s">
        <v>175</v>
      </c>
      <c r="F53" s="34">
        <f>((((F50*F49)+(F51*F52))*12)*1.1)*Моделирование!$C$16</f>
        <v>3432000.0000000005</v>
      </c>
      <c r="G53" s="34">
        <f>((((G50*G49)+(G51*G52))*12)*1.1)*Моделирование!$C$16</f>
        <v>3432000.0000000005</v>
      </c>
      <c r="H53" s="34">
        <f>((((H50*H49)+(H51*H52))*12)*1.1)*Моделирование!$C$16</f>
        <v>3432000.0000000005</v>
      </c>
      <c r="I53" s="34">
        <f>((((I50*I49)+(I51*I52))*12)*1.1)*Моделирование!$C$16</f>
        <v>3432000.0000000005</v>
      </c>
      <c r="J53" s="34">
        <f>((((J50*J49)+(J51*J52))*12)*1.1)*Моделирование!$C$16</f>
        <v>3432000.0000000005</v>
      </c>
      <c r="K53" s="34">
        <f>((((K50*K49)+(K51*K52))*12)*1.1)*Моделирование!$C$16</f>
        <v>3432000.0000000005</v>
      </c>
      <c r="L53" s="34">
        <f>((((L50*L49)+(L51*L52))*12)*1.1)*Моделирование!$C$16</f>
        <v>3432000.0000000005</v>
      </c>
      <c r="M53" s="34">
        <f>((((M50*M49)+(M51*M52))*12)*1.1)*Моделирование!$C$16</f>
        <v>3432000.0000000005</v>
      </c>
      <c r="N53" s="34">
        <f>((((N50*N49)+(N51*N52))*12)*1.1)*Моделирование!$C$16</f>
        <v>3432000.0000000005</v>
      </c>
      <c r="O53" s="34">
        <f>((((O50*O49)+(O51*O52))*12)*1.1)*Моделирование!$C$16</f>
        <v>3432000.0000000005</v>
      </c>
      <c r="P53" s="34">
        <f>((((P50*P49)+(P51*P52))*12)*1.1)*Моделирование!$C$16</f>
        <v>3432000.0000000005</v>
      </c>
    </row>
    <row r="54" spans="1:16" x14ac:dyDescent="0.45">
      <c r="A54" s="1" t="s">
        <v>96</v>
      </c>
      <c r="F54" s="27">
        <f>F56/0.5</f>
        <v>2</v>
      </c>
      <c r="G54" s="27">
        <f>G56/0.5</f>
        <v>2</v>
      </c>
      <c r="H54" s="27">
        <f t="shared" ref="H54:P54" si="20">H56/0.5</f>
        <v>2</v>
      </c>
      <c r="I54" s="27">
        <f t="shared" si="20"/>
        <v>2</v>
      </c>
      <c r="J54" s="27">
        <f t="shared" si="20"/>
        <v>2</v>
      </c>
      <c r="K54" s="27">
        <f t="shared" si="20"/>
        <v>2</v>
      </c>
      <c r="L54" s="27">
        <f t="shared" si="20"/>
        <v>2</v>
      </c>
      <c r="M54" s="27">
        <f t="shared" si="20"/>
        <v>2</v>
      </c>
      <c r="N54" s="27">
        <f t="shared" si="20"/>
        <v>2</v>
      </c>
      <c r="O54" s="27">
        <f t="shared" si="20"/>
        <v>2</v>
      </c>
      <c r="P54" s="27">
        <f t="shared" si="20"/>
        <v>2</v>
      </c>
    </row>
    <row r="55" spans="1:16" x14ac:dyDescent="0.45">
      <c r="A55" s="1" t="s">
        <v>97</v>
      </c>
      <c r="F55" s="3">
        <v>150000</v>
      </c>
      <c r="G55" s="36">
        <f>(F55/100)*(100+'Модель рынка'!D5)</f>
        <v>150000</v>
      </c>
      <c r="H55" s="36">
        <f>(G55/100)*(100+'Модель рынка'!E5)</f>
        <v>150000</v>
      </c>
      <c r="I55" s="36">
        <f>(H55/100)*(100+'Модель рынка'!F5)</f>
        <v>150000</v>
      </c>
      <c r="J55" s="36">
        <f>(I55/100)*(100+'Модель рынка'!G5)</f>
        <v>150000</v>
      </c>
      <c r="K55" s="36">
        <f>(J55/100)*(100+'Модель рынка'!H5)</f>
        <v>150000</v>
      </c>
      <c r="L55" s="36">
        <f>(K55/100)*(100+'Модель рынка'!I5)</f>
        <v>150000</v>
      </c>
      <c r="M55" s="36">
        <f>(L55/100)*(100+'Модель рынка'!J5)</f>
        <v>150000</v>
      </c>
      <c r="N55" s="36">
        <f>(M55/100)*(100+'Модель рынка'!K5)</f>
        <v>150000</v>
      </c>
      <c r="O55" s="36">
        <f>(N55/100)*(100+'Модель рынка'!L5)</f>
        <v>150000</v>
      </c>
      <c r="P55" s="36">
        <f>(O55/100)*(100+'Модель рынка'!M5)</f>
        <v>150000</v>
      </c>
    </row>
    <row r="56" spans="1:16" x14ac:dyDescent="0.45">
      <c r="A56" s="1" t="s">
        <v>98</v>
      </c>
      <c r="E56" s="1">
        <f>Моделирование!C16</f>
        <v>1</v>
      </c>
      <c r="F56" s="27">
        <f>1*$E$56</f>
        <v>1</v>
      </c>
      <c r="G56" s="27">
        <f t="shared" ref="G56:P56" si="21">1*$E$56</f>
        <v>1</v>
      </c>
      <c r="H56" s="27">
        <f t="shared" si="21"/>
        <v>1</v>
      </c>
      <c r="I56" s="27">
        <f t="shared" si="21"/>
        <v>1</v>
      </c>
      <c r="J56" s="27">
        <f t="shared" si="21"/>
        <v>1</v>
      </c>
      <c r="K56" s="27">
        <f t="shared" si="21"/>
        <v>1</v>
      </c>
      <c r="L56" s="27">
        <f t="shared" si="21"/>
        <v>1</v>
      </c>
      <c r="M56" s="27">
        <f t="shared" si="21"/>
        <v>1</v>
      </c>
      <c r="N56" s="27">
        <f t="shared" si="21"/>
        <v>1</v>
      </c>
      <c r="O56" s="27">
        <f t="shared" si="21"/>
        <v>1</v>
      </c>
      <c r="P56" s="27">
        <f t="shared" si="21"/>
        <v>1</v>
      </c>
    </row>
    <row r="57" spans="1:16" x14ac:dyDescent="0.45">
      <c r="A57" s="1" t="s">
        <v>99</v>
      </c>
      <c r="F57" s="3">
        <v>1000000</v>
      </c>
      <c r="G57" s="27">
        <f>(F57/100)*(100+'Модель рынка'!D5)</f>
        <v>1000000</v>
      </c>
      <c r="H57" s="27">
        <f>(G57/100)*(100+'Модель рынка'!E5)</f>
        <v>1000000</v>
      </c>
      <c r="I57" s="27">
        <f>(H57/100)*(100+'Модель рынка'!F5)</f>
        <v>1000000</v>
      </c>
      <c r="J57" s="27">
        <f>(I57/100)*(100+'Модель рынка'!G5)</f>
        <v>1000000</v>
      </c>
      <c r="K57" s="27">
        <f>(J57/100)*(100+'Модель рынка'!H5)</f>
        <v>1000000</v>
      </c>
      <c r="L57" s="27">
        <f>(K57/100)*(100+'Модель рынка'!I5)</f>
        <v>1000000</v>
      </c>
      <c r="M57" s="27">
        <f>(L57/100)*(100+'Модель рынка'!J5)</f>
        <v>1000000</v>
      </c>
      <c r="N57" s="27">
        <f>(M57/100)*(100+'Модель рынка'!K5)</f>
        <v>1000000</v>
      </c>
      <c r="O57" s="27">
        <f>(N57/100)*(100+'Модель рынка'!L5)</f>
        <v>1000000</v>
      </c>
      <c r="P57" s="27">
        <f>(O57/100)*(100+'Модель рынка'!M5)</f>
        <v>1000000</v>
      </c>
    </row>
    <row r="58" spans="1:16" x14ac:dyDescent="0.45">
      <c r="A58" s="1" t="s">
        <v>100</v>
      </c>
      <c r="E58" s="1" t="s">
        <v>175</v>
      </c>
      <c r="F58" s="27">
        <f>((((F55*F54)+(F56*F57))*12)*1.1)*Моделирование!$C$16</f>
        <v>17160000</v>
      </c>
      <c r="G58" s="27">
        <f>((((G55*G54)+(G56*G57))*12)*1.1)*Моделирование!$C$16</f>
        <v>17160000</v>
      </c>
      <c r="H58" s="27">
        <f>((((H55*H54)+(H56*H57))*12)*1.1)*Моделирование!$C$16</f>
        <v>17160000</v>
      </c>
      <c r="I58" s="27">
        <f>((((I55*I54)+(I56*I57))*12)*1.1)*Моделирование!$C$16</f>
        <v>17160000</v>
      </c>
      <c r="J58" s="27">
        <f>((((J55*J54)+(J56*J57))*12)*1.1)*Моделирование!$C$16</f>
        <v>17160000</v>
      </c>
      <c r="K58" s="27">
        <f>((((K55*K54)+(K56*K57))*12)*1.1)*Моделирование!$C$16</f>
        <v>17160000</v>
      </c>
      <c r="L58" s="27">
        <f>((((L55*L54)+(L56*L57))*12)*1.1)*Моделирование!$C$16</f>
        <v>17160000</v>
      </c>
      <c r="M58" s="27">
        <f>((((M55*M54)+(M56*M57))*12)*1.1)*Моделирование!$C$16</f>
        <v>17160000</v>
      </c>
      <c r="N58" s="27">
        <f>((((N55*N54)+(N56*N57))*12)*1.1)*Моделирование!$C$16</f>
        <v>17160000</v>
      </c>
      <c r="O58" s="27">
        <f>((((O55*O54)+(O56*O57))*12)*1.1)*Моделирование!$C$16</f>
        <v>17160000</v>
      </c>
      <c r="P58" s="27">
        <f>((((P55*P54)+(P56*P57))*12)*1.1)*Моделирование!$C$16</f>
        <v>17160000</v>
      </c>
    </row>
    <row r="59" spans="1:16" x14ac:dyDescent="0.45">
      <c r="A59" s="88" t="str">
        <f>'Модель рынка'!A42</f>
        <v>Как есть</v>
      </c>
      <c r="B59" s="88"/>
      <c r="C59" s="88"/>
      <c r="D59" s="88"/>
      <c r="E59" s="49" t="s">
        <v>37</v>
      </c>
      <c r="F59" s="66">
        <f>F68+F74+F79+F84+F89+F94+F99+F104+F109+F114</f>
        <v>0</v>
      </c>
      <c r="G59" s="66">
        <f t="shared" ref="G59:P59" si="22">G68+G74+G79+G84+G89+G94+G99+G104+G109+G114</f>
        <v>0</v>
      </c>
      <c r="H59" s="66">
        <f t="shared" si="22"/>
        <v>0</v>
      </c>
      <c r="I59" s="66">
        <f t="shared" si="22"/>
        <v>0</v>
      </c>
      <c r="J59" s="66">
        <f t="shared" si="22"/>
        <v>0</v>
      </c>
      <c r="K59" s="66">
        <f t="shared" si="22"/>
        <v>0</v>
      </c>
      <c r="L59" s="66">
        <f t="shared" si="22"/>
        <v>0</v>
      </c>
      <c r="M59" s="66">
        <f t="shared" si="22"/>
        <v>0</v>
      </c>
      <c r="N59" s="66">
        <f t="shared" si="22"/>
        <v>0</v>
      </c>
      <c r="O59" s="66">
        <f t="shared" si="22"/>
        <v>0</v>
      </c>
      <c r="P59" s="66">
        <f t="shared" si="22"/>
        <v>0</v>
      </c>
    </row>
    <row r="60" spans="1:16" x14ac:dyDescent="0.45">
      <c r="A60" s="1" t="s">
        <v>173</v>
      </c>
      <c r="B60" s="2"/>
      <c r="C60" s="2"/>
      <c r="D60" s="2"/>
      <c r="E60" s="2"/>
      <c r="F60" s="28">
        <f>SUMIF($E:$E,"Пост1",F:F)*БДР!$C$6</f>
        <v>0</v>
      </c>
      <c r="G60" s="28">
        <f>SUMIF($E:$E,"Пост1",G:G)*БДР!$C$6</f>
        <v>0</v>
      </c>
      <c r="H60" s="28">
        <f>SUMIF($E:$E,"Пост1",H:H)*БДР!$C$6</f>
        <v>0</v>
      </c>
      <c r="I60" s="28">
        <f>SUMIF($E:$E,"Пост1",I:I)*БДР!$C$6</f>
        <v>0</v>
      </c>
      <c r="J60" s="28">
        <f>SUMIF($E:$E,"Пост1",J:J)*БДР!$C$6</f>
        <v>0</v>
      </c>
      <c r="K60" s="28">
        <f>SUMIF($E:$E,"Пост1",K:K)*БДР!$C$6</f>
        <v>0</v>
      </c>
      <c r="L60" s="28">
        <f>SUMIF($E:$E,"Пост1",L:L)*БДР!$C$6</f>
        <v>0</v>
      </c>
      <c r="M60" s="28">
        <f>SUMIF($E:$E,"Пост1",M:M)*БДР!$C$6</f>
        <v>0</v>
      </c>
      <c r="N60" s="28">
        <f>SUMIF($E:$E,"Пост1",N:N)*БДР!$C$6</f>
        <v>0</v>
      </c>
      <c r="O60" s="28">
        <f>SUMIF($E:$E,"Пост1",O:O)*БДР!$C$6</f>
        <v>0</v>
      </c>
      <c r="P60" s="28">
        <f>SUMIF($E:$E,"Пост1",P:P)*БДР!$C$6</f>
        <v>0</v>
      </c>
    </row>
    <row r="61" spans="1:16" x14ac:dyDescent="0.45">
      <c r="A61" s="1" t="s">
        <v>174</v>
      </c>
      <c r="B61" s="2"/>
      <c r="C61" s="2"/>
      <c r="D61" s="2"/>
      <c r="E61" s="2"/>
      <c r="F61" s="28">
        <f>SUMIF($E:$E,"Пер1",F:F)*БДР!$C$6</f>
        <v>0</v>
      </c>
      <c r="G61" s="28">
        <f>SUMIF($E:$E,"Пер1",G:G)*БДР!$C$6</f>
        <v>0</v>
      </c>
      <c r="H61" s="28">
        <f>SUMIF($E:$E,"Пер1",H:H)*БДР!$C$6</f>
        <v>0</v>
      </c>
      <c r="I61" s="28">
        <f>SUMIF($E:$E,"Пер1",I:I)*БДР!$C$6</f>
        <v>0</v>
      </c>
      <c r="J61" s="28">
        <f>SUMIF($E:$E,"Пер1",J:J)*БДР!$C$6</f>
        <v>0</v>
      </c>
      <c r="K61" s="28">
        <f>SUMIF($E:$E,"Пер1",K:K)*БДР!$C$6</f>
        <v>0</v>
      </c>
      <c r="L61" s="28">
        <f>SUMIF($E:$E,"Пер1",L:L)*БДР!$C$6</f>
        <v>0</v>
      </c>
      <c r="M61" s="28">
        <f>SUMIF($E:$E,"Пер1",M:M)*БДР!$C$6</f>
        <v>0</v>
      </c>
      <c r="N61" s="28">
        <f>SUMIF($E:$E,"Пер1",N:N)*БДР!$C$6</f>
        <v>0</v>
      </c>
      <c r="O61" s="28">
        <f>SUMIF($E:$E,"Пер1",O:O)*БДР!$C$6</f>
        <v>0</v>
      </c>
      <c r="P61" s="28">
        <f>SUMIF($E:$E,"Пер1",P:P)*БДР!$C$6</f>
        <v>0</v>
      </c>
    </row>
    <row r="62" spans="1:16" x14ac:dyDescent="0.45">
      <c r="A62" s="2" t="s">
        <v>43</v>
      </c>
      <c r="B62" s="2"/>
      <c r="C62" s="2"/>
      <c r="D62" s="2"/>
      <c r="E62" s="2" t="s">
        <v>186</v>
      </c>
      <c r="F62" s="28">
        <f>F64+F66+F70+F72+F75+F77+F80+F82+F85+F87+F90+F92+F95+F97+F100+F102+F105+F107+F110+F112</f>
        <v>0</v>
      </c>
      <c r="G62" s="28">
        <f t="shared" ref="G62:P62" si="23">G64+G66+G70+G72+G75+G77+G80+G82+G85+G87+G90+G92+G95+G97+G100+G102+G105+G107+G110+G112</f>
        <v>0</v>
      </c>
      <c r="H62" s="28">
        <f t="shared" si="23"/>
        <v>0</v>
      </c>
      <c r="I62" s="28">
        <f t="shared" si="23"/>
        <v>0</v>
      </c>
      <c r="J62" s="28">
        <f t="shared" si="23"/>
        <v>0</v>
      </c>
      <c r="K62" s="28">
        <f t="shared" si="23"/>
        <v>0</v>
      </c>
      <c r="L62" s="28">
        <f t="shared" si="23"/>
        <v>0</v>
      </c>
      <c r="M62" s="28">
        <f t="shared" si="23"/>
        <v>0</v>
      </c>
      <c r="N62" s="79">
        <f>N64+N66+N70+N72+N75+N77+N80+N82+N85+N87+N90+N92+N95+N97+N100+N102+N105+N107+N110+N112</f>
        <v>0</v>
      </c>
      <c r="O62" s="28">
        <f t="shared" si="23"/>
        <v>0</v>
      </c>
      <c r="P62" s="28">
        <f t="shared" si="23"/>
        <v>0</v>
      </c>
    </row>
    <row r="63" spans="1:16" x14ac:dyDescent="0.45">
      <c r="A63" s="31" t="s">
        <v>75</v>
      </c>
      <c r="B63" s="31"/>
      <c r="C63" s="31"/>
      <c r="D63" s="31"/>
      <c r="E63" s="31"/>
      <c r="F63" s="35">
        <v>1000</v>
      </c>
      <c r="G63" s="35">
        <f>F63</f>
        <v>1000</v>
      </c>
      <c r="H63" s="35">
        <f t="shared" ref="H63:P63" si="24">G63</f>
        <v>1000</v>
      </c>
      <c r="I63" s="35">
        <f t="shared" si="24"/>
        <v>1000</v>
      </c>
      <c r="J63" s="35">
        <f t="shared" si="24"/>
        <v>1000</v>
      </c>
      <c r="K63" s="35">
        <f t="shared" si="24"/>
        <v>1000</v>
      </c>
      <c r="L63" s="35">
        <f t="shared" si="24"/>
        <v>1000</v>
      </c>
      <c r="M63" s="35">
        <f t="shared" si="24"/>
        <v>1000</v>
      </c>
      <c r="N63" s="35">
        <f t="shared" si="24"/>
        <v>1000</v>
      </c>
      <c r="O63" s="35">
        <f t="shared" si="24"/>
        <v>1000</v>
      </c>
      <c r="P63" s="35">
        <f t="shared" si="24"/>
        <v>1000</v>
      </c>
    </row>
    <row r="64" spans="1:16" x14ac:dyDescent="0.45">
      <c r="A64" s="31" t="s">
        <v>74</v>
      </c>
      <c r="B64" s="31"/>
      <c r="C64" s="31"/>
      <c r="D64" s="31"/>
      <c r="E64" s="31"/>
      <c r="F64" s="77">
        <f>(ROUNDUP(('Модель рынка'!D78+'Модель рынка'!D79)/'План по персоналу'!F63,0))*Моделирование!$D$16</f>
        <v>0</v>
      </c>
      <c r="G64" s="77">
        <f>(ROUNDUP(('Модель рынка'!E78+'Модель рынка'!E79)/'План по персоналу'!G63,0))*Моделирование!$D$16</f>
        <v>0</v>
      </c>
      <c r="H64" s="77">
        <f>(ROUNDUP(('Модель рынка'!F78+'Модель рынка'!F79)/'План по персоналу'!H63,0))*Моделирование!$D$16</f>
        <v>0</v>
      </c>
      <c r="I64" s="77">
        <f>(ROUNDUP(('Модель рынка'!G78+'Модель рынка'!G79)/'План по персоналу'!I63,0))*Моделирование!$D$16</f>
        <v>0</v>
      </c>
      <c r="J64" s="77">
        <f>(ROUNDUP(('Модель рынка'!H78+'Модель рынка'!H79)/'План по персоналу'!J63,0))*Моделирование!$D$16</f>
        <v>0</v>
      </c>
      <c r="K64" s="77">
        <f>(ROUNDUP(('Модель рынка'!I78+'Модель рынка'!I79)/'План по персоналу'!K63,0))*Моделирование!$D$16</f>
        <v>0</v>
      </c>
      <c r="L64" s="77">
        <f>(ROUNDUP(('Модель рынка'!J78+'Модель рынка'!J79)/'План по персоналу'!L63,0))*Моделирование!$D$16</f>
        <v>0</v>
      </c>
      <c r="M64" s="77">
        <f>(ROUNDUP(('Модель рынка'!K78+'Модель рынка'!K79)/'План по персоналу'!M63,0))*Моделирование!$D$16</f>
        <v>0</v>
      </c>
      <c r="N64" s="77">
        <f>(ROUNDUP(('Модель рынка'!L78+'Модель рынка'!L79)/'План по персоналу'!N63,0))*Моделирование!$D$16</f>
        <v>0</v>
      </c>
      <c r="O64" s="77">
        <f>(ROUNDUP(('Модель рынка'!M78+'Модель рынка'!M79)/'План по персоналу'!O63,0))*Моделирование!$D$16</f>
        <v>0</v>
      </c>
      <c r="P64" s="77">
        <f>(ROUNDUP(('Модель рынка'!N78+'Модель рынка'!N79)/'План по персоналу'!P63,0))*Моделирование!$D$16</f>
        <v>0</v>
      </c>
    </row>
    <row r="65" spans="1:16" x14ac:dyDescent="0.45">
      <c r="A65" s="31" t="s">
        <v>76</v>
      </c>
      <c r="B65" s="31"/>
      <c r="C65" s="31"/>
      <c r="D65" s="31"/>
      <c r="E65" s="31"/>
      <c r="F65" s="4">
        <v>60000</v>
      </c>
      <c r="G65" s="4">
        <f>(F65/100)*(100+'Модель рынка'!D43)</f>
        <v>60000</v>
      </c>
      <c r="H65" s="4">
        <f>(G65/100)*(100+'Модель рынка'!E43)</f>
        <v>60000</v>
      </c>
      <c r="I65" s="4">
        <f>(H65/100)*(100+'Модель рынка'!F43)</f>
        <v>60000</v>
      </c>
      <c r="J65" s="4">
        <f>(I65/100)*(100+'Модель рынка'!G43)</f>
        <v>60000</v>
      </c>
      <c r="K65" s="4">
        <f>(J65/100)*(100+'Модель рынка'!H43)</f>
        <v>60000</v>
      </c>
      <c r="L65" s="4">
        <f>(K65/100)*(100+'Модель рынка'!I43)</f>
        <v>60000</v>
      </c>
      <c r="M65" s="4">
        <f>(L65/100)*(100+'Модель рынка'!J43)</f>
        <v>60000</v>
      </c>
      <c r="N65" s="4">
        <f>(M65/100)*(100+'Модель рынка'!K43)</f>
        <v>60000</v>
      </c>
      <c r="O65" s="4">
        <f>(N65/100)*(100+'Модель рынка'!L43)</f>
        <v>60000</v>
      </c>
      <c r="P65" s="4">
        <f>(O65/100)*(100+'Модель рынка'!M43)</f>
        <v>60000</v>
      </c>
    </row>
    <row r="66" spans="1:16" x14ac:dyDescent="0.45">
      <c r="A66" s="31" t="s">
        <v>77</v>
      </c>
      <c r="B66" s="31"/>
      <c r="C66" s="31"/>
      <c r="D66" s="31"/>
      <c r="E66" s="31"/>
      <c r="F66" s="4">
        <f>F64/10</f>
        <v>0</v>
      </c>
      <c r="G66" s="4">
        <f t="shared" ref="G66:P66" si="25">G64/10</f>
        <v>0</v>
      </c>
      <c r="H66" s="4">
        <f t="shared" si="25"/>
        <v>0</v>
      </c>
      <c r="I66" s="4">
        <f t="shared" si="25"/>
        <v>0</v>
      </c>
      <c r="J66" s="4">
        <f t="shared" si="25"/>
        <v>0</v>
      </c>
      <c r="K66" s="4">
        <f t="shared" si="25"/>
        <v>0</v>
      </c>
      <c r="L66" s="4">
        <f t="shared" si="25"/>
        <v>0</v>
      </c>
      <c r="M66" s="4">
        <f t="shared" si="25"/>
        <v>0</v>
      </c>
      <c r="N66" s="4">
        <f t="shared" si="25"/>
        <v>0</v>
      </c>
      <c r="O66" s="4">
        <f t="shared" si="25"/>
        <v>0</v>
      </c>
      <c r="P66" s="4">
        <f t="shared" si="25"/>
        <v>0</v>
      </c>
    </row>
    <row r="67" spans="1:16" x14ac:dyDescent="0.45">
      <c r="A67" s="31" t="s">
        <v>78</v>
      </c>
      <c r="B67" s="31"/>
      <c r="C67" s="31"/>
      <c r="D67" s="31"/>
      <c r="E67" s="31"/>
      <c r="F67" s="4">
        <f>F65*2</f>
        <v>120000</v>
      </c>
      <c r="G67" s="4">
        <f t="shared" ref="G67:P67" si="26">G65*2</f>
        <v>120000</v>
      </c>
      <c r="H67" s="4">
        <f t="shared" si="26"/>
        <v>120000</v>
      </c>
      <c r="I67" s="4">
        <f t="shared" si="26"/>
        <v>120000</v>
      </c>
      <c r="J67" s="4">
        <f t="shared" si="26"/>
        <v>120000</v>
      </c>
      <c r="K67" s="4">
        <f t="shared" si="26"/>
        <v>120000</v>
      </c>
      <c r="L67" s="4">
        <f t="shared" si="26"/>
        <v>120000</v>
      </c>
      <c r="M67" s="4">
        <f t="shared" si="26"/>
        <v>120000</v>
      </c>
      <c r="N67" s="4">
        <f t="shared" si="26"/>
        <v>120000</v>
      </c>
      <c r="O67" s="4">
        <f t="shared" si="26"/>
        <v>120000</v>
      </c>
      <c r="P67" s="4">
        <f t="shared" si="26"/>
        <v>120000</v>
      </c>
    </row>
    <row r="68" spans="1:16" x14ac:dyDescent="0.45">
      <c r="A68" s="31" t="s">
        <v>73</v>
      </c>
      <c r="B68" s="31"/>
      <c r="C68" s="31"/>
      <c r="D68" s="31"/>
      <c r="E68" s="31" t="s">
        <v>215</v>
      </c>
      <c r="F68" s="34">
        <f>((((F65*F64)+(F66*F67))*12)*1.32)*Моделирование!$D$16</f>
        <v>0</v>
      </c>
      <c r="G68" s="34">
        <f>((((G65*G64)+(G66*G67))*12)*1.32)*Моделирование!$D$16</f>
        <v>0</v>
      </c>
      <c r="H68" s="34">
        <f>((((H65*H64)+(H66*H67))*12)*1.32)*Моделирование!$D$16</f>
        <v>0</v>
      </c>
      <c r="I68" s="34">
        <f>((((I65*I64)+(I66*I67))*12)*1.32)*Моделирование!$D$16</f>
        <v>0</v>
      </c>
      <c r="J68" s="34">
        <f>((((J65*J64)+(J66*J67))*12)*1.32)*Моделирование!$D$16</f>
        <v>0</v>
      </c>
      <c r="K68" s="34">
        <f>((((K65*K64)+(K66*K67))*12)*1.32)*Моделирование!$D$16</f>
        <v>0</v>
      </c>
      <c r="L68" s="34">
        <f>((((L65*L64)+(L66*L67))*12)*1.32)*Моделирование!$D$16</f>
        <v>0</v>
      </c>
      <c r="M68" s="34">
        <f>((((M65*M64)+(M66*M67))*12)*1.32)*Моделирование!$D$16</f>
        <v>0</v>
      </c>
      <c r="N68" s="34">
        <f>((((N65*N64)+(N66*N67))*12)*1.32)*Моделирование!$D$16</f>
        <v>0</v>
      </c>
      <c r="O68" s="34">
        <f>((((O65*O64)+(O66*O67))*12)*1.32)*Моделирование!$D$16</f>
        <v>0</v>
      </c>
      <c r="P68" s="34">
        <f>((((P65*P64)+(P66*P67))*12)*1.32)*Моделирование!$D$16</f>
        <v>0</v>
      </c>
    </row>
    <row r="69" spans="1:16" x14ac:dyDescent="0.45">
      <c r="A69" s="1" t="s">
        <v>69</v>
      </c>
      <c r="F69" s="37">
        <v>5000</v>
      </c>
      <c r="G69" s="12">
        <v>5000</v>
      </c>
      <c r="H69" s="12">
        <v>5000</v>
      </c>
      <c r="I69" s="12">
        <v>5000</v>
      </c>
      <c r="J69" s="12">
        <v>5000</v>
      </c>
      <c r="K69" s="12">
        <v>5000</v>
      </c>
      <c r="L69" s="12">
        <v>5000</v>
      </c>
      <c r="M69" s="12">
        <v>5000</v>
      </c>
      <c r="N69" s="12">
        <v>5000</v>
      </c>
      <c r="O69" s="12">
        <v>5000</v>
      </c>
      <c r="P69" s="12">
        <v>5000</v>
      </c>
    </row>
    <row r="70" spans="1:16" x14ac:dyDescent="0.45">
      <c r="A70" s="1" t="s">
        <v>70</v>
      </c>
      <c r="F70" s="76">
        <f>ROUNDDOWN(('Модель рынка'!D78+'Модель рынка'!D79)/F69,0)</f>
        <v>0</v>
      </c>
      <c r="G70" s="76">
        <f>ROUNDDOWN(('Модель рынка'!E78+'Модель рынка'!E79)/G69,0)</f>
        <v>0</v>
      </c>
      <c r="H70" s="76">
        <f>ROUNDDOWN(('Модель рынка'!F78+'Модель рынка'!F79)/H69,0)</f>
        <v>0</v>
      </c>
      <c r="I70" s="76">
        <f>ROUNDDOWN(('Модель рынка'!G78+'Модель рынка'!G79)/I69,0)</f>
        <v>0</v>
      </c>
      <c r="J70" s="76">
        <f>ROUNDDOWN(('Модель рынка'!H78+'Модель рынка'!H79)/J69,0)</f>
        <v>0</v>
      </c>
      <c r="K70" s="76">
        <f>ROUNDDOWN(('Модель рынка'!I78+'Модель рынка'!I79)/K69,0)</f>
        <v>0</v>
      </c>
      <c r="L70" s="76">
        <f>ROUNDDOWN(('Модель рынка'!J78+'Модель рынка'!J79)/L69,0)</f>
        <v>0</v>
      </c>
      <c r="M70" s="76">
        <f>ROUNDDOWN(('Модель рынка'!K78+'Модель рынка'!K79)/M69,0)</f>
        <v>0</v>
      </c>
      <c r="N70" s="76">
        <f>ROUNDDOWN(('Модель рынка'!L78+'Модель рынка'!L79)/N69,0)</f>
        <v>0</v>
      </c>
      <c r="O70" s="76">
        <f>ROUNDDOWN(('Модель рынка'!M78+'Модель рынка'!M79)/O69,0)</f>
        <v>0</v>
      </c>
      <c r="P70" s="76">
        <f>ROUNDDOWN(('Модель рынка'!N78+'Модель рынка'!N79)/P69,0)</f>
        <v>0</v>
      </c>
    </row>
    <row r="71" spans="1:16" x14ac:dyDescent="0.45">
      <c r="A71" s="1" t="s">
        <v>71</v>
      </c>
      <c r="F71" s="3">
        <v>200000</v>
      </c>
      <c r="G71" s="3">
        <f>(F71/100)*(100+'Модель рынка'!D43)</f>
        <v>200000</v>
      </c>
      <c r="H71" s="3">
        <f>(G71/100)*(100+'Модель рынка'!E43)</f>
        <v>200000</v>
      </c>
      <c r="I71" s="3">
        <f>(H71/100)*(100+'Модель рынка'!F43)</f>
        <v>200000</v>
      </c>
      <c r="J71" s="3">
        <f>(I71/100)*(100+'Модель рынка'!G43)</f>
        <v>200000</v>
      </c>
      <c r="K71" s="3">
        <f>(J71/100)*(100+'Модель рынка'!H43)</f>
        <v>200000</v>
      </c>
      <c r="L71" s="3">
        <f>(K71/100)*(100+'Модель рынка'!I43)</f>
        <v>200000</v>
      </c>
      <c r="M71" s="3">
        <f>(L71/100)*(100+'Модель рынка'!J43)</f>
        <v>200000</v>
      </c>
      <c r="N71" s="3">
        <f>(M71/100)*(100+'Модель рынка'!K43)</f>
        <v>200000</v>
      </c>
      <c r="O71" s="3">
        <f>(N71/100)*(100+'Модель рынка'!L43)</f>
        <v>200000</v>
      </c>
      <c r="P71" s="3">
        <f>(O71/100)*(100+'Модель рынка'!M43)</f>
        <v>200000</v>
      </c>
    </row>
    <row r="72" spans="1:16" x14ac:dyDescent="0.45">
      <c r="A72" s="1" t="s">
        <v>79</v>
      </c>
      <c r="F72" s="3">
        <f>F70/10</f>
        <v>0</v>
      </c>
      <c r="G72" s="3">
        <f t="shared" ref="G72:P72" si="27">G70/10</f>
        <v>0</v>
      </c>
      <c r="H72" s="3">
        <f t="shared" si="27"/>
        <v>0</v>
      </c>
      <c r="I72" s="3">
        <f t="shared" si="27"/>
        <v>0</v>
      </c>
      <c r="J72" s="3">
        <f t="shared" si="27"/>
        <v>0</v>
      </c>
      <c r="K72" s="3">
        <f t="shared" si="27"/>
        <v>0</v>
      </c>
      <c r="L72" s="3">
        <f t="shared" si="27"/>
        <v>0</v>
      </c>
      <c r="M72" s="3">
        <f t="shared" si="27"/>
        <v>0</v>
      </c>
      <c r="N72" s="3">
        <f t="shared" si="27"/>
        <v>0</v>
      </c>
      <c r="O72" s="3">
        <f t="shared" si="27"/>
        <v>0</v>
      </c>
      <c r="P72" s="3">
        <f t="shared" si="27"/>
        <v>0</v>
      </c>
    </row>
    <row r="73" spans="1:16" x14ac:dyDescent="0.45">
      <c r="A73" s="1" t="s">
        <v>80</v>
      </c>
      <c r="F73" s="3">
        <v>250000</v>
      </c>
      <c r="G73" s="3">
        <f>G71*1.25</f>
        <v>250000</v>
      </c>
      <c r="H73" s="3">
        <f t="shared" ref="H73:P73" si="28">H71*1.25</f>
        <v>250000</v>
      </c>
      <c r="I73" s="3">
        <f t="shared" si="28"/>
        <v>250000</v>
      </c>
      <c r="J73" s="3">
        <f t="shared" si="28"/>
        <v>250000</v>
      </c>
      <c r="K73" s="3">
        <f t="shared" si="28"/>
        <v>250000</v>
      </c>
      <c r="L73" s="3">
        <f t="shared" si="28"/>
        <v>250000</v>
      </c>
      <c r="M73" s="3">
        <f t="shared" si="28"/>
        <v>250000</v>
      </c>
      <c r="N73" s="3">
        <f t="shared" si="28"/>
        <v>250000</v>
      </c>
      <c r="O73" s="3">
        <f t="shared" si="28"/>
        <v>250000</v>
      </c>
      <c r="P73" s="3">
        <f t="shared" si="28"/>
        <v>250000</v>
      </c>
    </row>
    <row r="74" spans="1:16" x14ac:dyDescent="0.45">
      <c r="A74" s="1" t="s">
        <v>72</v>
      </c>
      <c r="E74" s="1" t="s">
        <v>215</v>
      </c>
      <c r="F74" s="27">
        <f>((((F71*F70)+(F72*F73))*12)*1.32)*Моделирование!$D$16</f>
        <v>0</v>
      </c>
      <c r="G74" s="27">
        <f>((((G71*G70)+(G72*G73))*12)*1.32)*Моделирование!$D$16</f>
        <v>0</v>
      </c>
      <c r="H74" s="27">
        <f>((((H71*H70)+(H72*H73))*12)*1.32)*Моделирование!$D$16</f>
        <v>0</v>
      </c>
      <c r="I74" s="27">
        <f>((((I71*I70)+(I72*I73))*12)*1.32)*Моделирование!$D$16</f>
        <v>0</v>
      </c>
      <c r="J74" s="27">
        <f>((((J71*J70)+(J72*J73))*12)*1.32)*Моделирование!$D$16</f>
        <v>0</v>
      </c>
      <c r="K74" s="27">
        <f>((((K71*K70)+(K72*K73))*12)*1.32)*Моделирование!$D$16</f>
        <v>0</v>
      </c>
      <c r="L74" s="27">
        <f>((((L71*L70)+(L72*L73))*12)*1.32)*Моделирование!$D$16</f>
        <v>0</v>
      </c>
      <c r="M74" s="27">
        <f>((((M71*M70)+(M72*M73))*12)*1.32)*Моделирование!$D$16</f>
        <v>0</v>
      </c>
      <c r="N74" s="27">
        <f>((((N71*N70)+(N72*N73))*12)*1.32)*Моделирование!$D$16</f>
        <v>0</v>
      </c>
      <c r="O74" s="27">
        <f>((((O71*O70)+(O72*O73))*12)*1.32)*Моделирование!$D$16</f>
        <v>0</v>
      </c>
      <c r="P74" s="27">
        <f>((((P71*P70)+(P72*P73))*12)*1.32)*Моделирование!$D$16</f>
        <v>0</v>
      </c>
    </row>
    <row r="75" spans="1:16" x14ac:dyDescent="0.45">
      <c r="A75" s="31" t="s">
        <v>68</v>
      </c>
      <c r="B75" s="31"/>
      <c r="C75" s="31"/>
      <c r="D75" s="31"/>
      <c r="E75" s="31">
        <f>Моделирование!D12</f>
        <v>0</v>
      </c>
      <c r="F75" s="31">
        <f>E75*8</f>
        <v>0</v>
      </c>
      <c r="G75" s="31">
        <f>F75</f>
        <v>0</v>
      </c>
      <c r="H75" s="31">
        <f t="shared" ref="H75:P75" si="29">G75</f>
        <v>0</v>
      </c>
      <c r="I75" s="31">
        <f t="shared" si="29"/>
        <v>0</v>
      </c>
      <c r="J75" s="31">
        <f t="shared" si="29"/>
        <v>0</v>
      </c>
      <c r="K75" s="31">
        <f t="shared" si="29"/>
        <v>0</v>
      </c>
      <c r="L75" s="31">
        <f t="shared" si="29"/>
        <v>0</v>
      </c>
      <c r="M75" s="31">
        <f t="shared" si="29"/>
        <v>0</v>
      </c>
      <c r="N75" s="31">
        <f t="shared" si="29"/>
        <v>0</v>
      </c>
      <c r="O75" s="31">
        <f t="shared" si="29"/>
        <v>0</v>
      </c>
      <c r="P75" s="31">
        <f t="shared" si="29"/>
        <v>0</v>
      </c>
    </row>
    <row r="76" spans="1:16" x14ac:dyDescent="0.45">
      <c r="A76" s="31" t="s">
        <v>67</v>
      </c>
      <c r="B76" s="31"/>
      <c r="C76" s="31"/>
      <c r="D76" s="31"/>
      <c r="E76" s="31"/>
      <c r="F76" s="4">
        <v>700000</v>
      </c>
      <c r="G76" s="4">
        <f>(F76/100)*(100+'Модель рынка'!D43)</f>
        <v>700000</v>
      </c>
      <c r="H76" s="4">
        <f>(G76/100)*(100+'Модель рынка'!E43)</f>
        <v>700000</v>
      </c>
      <c r="I76" s="4">
        <f>(H76/100)*(100+'Модель рынка'!F43)</f>
        <v>700000</v>
      </c>
      <c r="J76" s="4">
        <f>(I76/100)*(100+'Модель рынка'!G43)</f>
        <v>700000</v>
      </c>
      <c r="K76" s="4">
        <f>(J76/100)*(100+'Модель рынка'!H43)</f>
        <v>700000</v>
      </c>
      <c r="L76" s="4">
        <f>(K76/100)*(100+'Модель рынка'!I43)</f>
        <v>700000</v>
      </c>
      <c r="M76" s="4">
        <f>(L76/100)*(100+'Модель рынка'!J43)</f>
        <v>700000</v>
      </c>
      <c r="N76" s="4">
        <f>(M76/100)*(100+'Модель рынка'!K43)</f>
        <v>700000</v>
      </c>
      <c r="O76" s="4">
        <f>(N76/100)*(100+'Модель рынка'!L43)</f>
        <v>700000</v>
      </c>
      <c r="P76" s="4">
        <f>(O76/100)*(100+'Модель рынка'!M43)</f>
        <v>700000</v>
      </c>
    </row>
    <row r="77" spans="1:16" x14ac:dyDescent="0.45">
      <c r="A77" s="31" t="s">
        <v>81</v>
      </c>
      <c r="B77" s="31"/>
      <c r="C77" s="31"/>
      <c r="D77" s="31"/>
      <c r="E77" s="31"/>
      <c r="F77" s="4">
        <f>ROUNDUP(F75/5,0)</f>
        <v>0</v>
      </c>
      <c r="G77" s="4">
        <f>ROUNDUP(G75/5,0)</f>
        <v>0</v>
      </c>
      <c r="H77" s="4">
        <f t="shared" ref="H77:P77" si="30">ROUNDUP(H75/5,0)</f>
        <v>0</v>
      </c>
      <c r="I77" s="4">
        <f t="shared" si="30"/>
        <v>0</v>
      </c>
      <c r="J77" s="4">
        <f t="shared" si="30"/>
        <v>0</v>
      </c>
      <c r="K77" s="4">
        <f t="shared" si="30"/>
        <v>0</v>
      </c>
      <c r="L77" s="4">
        <f t="shared" si="30"/>
        <v>0</v>
      </c>
      <c r="M77" s="4">
        <f t="shared" si="30"/>
        <v>0</v>
      </c>
      <c r="N77" s="4">
        <f t="shared" si="30"/>
        <v>0</v>
      </c>
      <c r="O77" s="4">
        <f t="shared" si="30"/>
        <v>0</v>
      </c>
      <c r="P77" s="4">
        <f t="shared" si="30"/>
        <v>0</v>
      </c>
    </row>
    <row r="78" spans="1:16" x14ac:dyDescent="0.45">
      <c r="A78" s="31" t="s">
        <v>82</v>
      </c>
      <c r="B78" s="31"/>
      <c r="C78" s="31"/>
      <c r="D78" s="31"/>
      <c r="E78" s="31"/>
      <c r="F78" s="4">
        <v>1000000</v>
      </c>
      <c r="G78" s="4">
        <f>(F78/100)*(100+'Модель рынка'!D43)</f>
        <v>1000000</v>
      </c>
      <c r="H78" s="4">
        <f>(G78/100)*(100+'Модель рынка'!E43)</f>
        <v>1000000</v>
      </c>
      <c r="I78" s="4">
        <f>(H78/100)*(100+'Модель рынка'!F43)</f>
        <v>1000000</v>
      </c>
      <c r="J78" s="4">
        <f>(I78/100)*(100+'Модель рынка'!G43)</f>
        <v>1000000</v>
      </c>
      <c r="K78" s="4">
        <f>(J78/100)*(100+'Модель рынка'!H43)</f>
        <v>1000000</v>
      </c>
      <c r="L78" s="4">
        <f>(K78/100)*(100+'Модель рынка'!I43)</f>
        <v>1000000</v>
      </c>
      <c r="M78" s="4">
        <f>(L78/100)*(100+'Модель рынка'!J43)</f>
        <v>1000000</v>
      </c>
      <c r="N78" s="4">
        <f>(M78/100)*(100+'Модель рынка'!K43)</f>
        <v>1000000</v>
      </c>
      <c r="O78" s="4">
        <f>(N78/100)*(100+'Модель рынка'!L43)</f>
        <v>1000000</v>
      </c>
      <c r="P78" s="4">
        <f>(O78/100)*(100+'Модель рынка'!M43)</f>
        <v>1000000</v>
      </c>
    </row>
    <row r="79" spans="1:16" x14ac:dyDescent="0.45">
      <c r="A79" s="31" t="s">
        <v>108</v>
      </c>
      <c r="B79" s="31"/>
      <c r="C79" s="31"/>
      <c r="D79" s="31"/>
      <c r="E79" s="31" t="s">
        <v>215</v>
      </c>
      <c r="F79" s="34">
        <f>((((F76*F75)+(F77*F78))*12)*1.1)*Моделирование!$D$12</f>
        <v>0</v>
      </c>
      <c r="G79" s="34">
        <f>((((G76*G75)+(G77*G78))*12)*1.1)*Моделирование!$D$12</f>
        <v>0</v>
      </c>
      <c r="H79" s="34">
        <f>((((H76*H75)+(H77*H78))*12)*1.1)*Моделирование!$D$12</f>
        <v>0</v>
      </c>
      <c r="I79" s="34">
        <f>((((I76*I75)+(I77*I78))*12)*1.1)*Моделирование!$D$12</f>
        <v>0</v>
      </c>
      <c r="J79" s="34">
        <f>((((J76*J75)+(J77*J78))*12)*1.1)*Моделирование!$D$12</f>
        <v>0</v>
      </c>
      <c r="K79" s="34">
        <f>((((K76*K75)+(K77*K78))*12)*1.1)*Моделирование!$D$12</f>
        <v>0</v>
      </c>
      <c r="L79" s="34">
        <f>((((L76*L75)+(L77*L78))*12)*1.1)*Моделирование!$D$12</f>
        <v>0</v>
      </c>
      <c r="M79" s="34">
        <f>((((M76*M75)+(M77*M78))*12)*1.1)*Моделирование!$D$12</f>
        <v>0</v>
      </c>
      <c r="N79" s="34">
        <f>((((N76*N75)+(N77*N78))*12)*1.1)*Моделирование!$D$12</f>
        <v>0</v>
      </c>
      <c r="O79" s="34">
        <f>((((O76*O75)+(O77*O78))*12)*1.1)*Моделирование!$D$12</f>
        <v>0</v>
      </c>
      <c r="P79" s="34">
        <f>((((P76*P75)+(P77*P78))*12)*1.1)*Моделирование!$D$12</f>
        <v>0</v>
      </c>
    </row>
    <row r="80" spans="1:16" x14ac:dyDescent="0.45">
      <c r="A80" s="1" t="s">
        <v>101</v>
      </c>
      <c r="F80" s="27">
        <f>F75/4</f>
        <v>0</v>
      </c>
      <c r="G80" s="27">
        <f t="shared" ref="G80:P80" si="31">G75/4</f>
        <v>0</v>
      </c>
      <c r="H80" s="27">
        <f t="shared" si="31"/>
        <v>0</v>
      </c>
      <c r="I80" s="27">
        <f t="shared" si="31"/>
        <v>0</v>
      </c>
      <c r="J80" s="27">
        <f t="shared" si="31"/>
        <v>0</v>
      </c>
      <c r="K80" s="27">
        <f t="shared" si="31"/>
        <v>0</v>
      </c>
      <c r="L80" s="27">
        <f t="shared" si="31"/>
        <v>0</v>
      </c>
      <c r="M80" s="27">
        <f t="shared" si="31"/>
        <v>0</v>
      </c>
      <c r="N80" s="27">
        <f t="shared" si="31"/>
        <v>0</v>
      </c>
      <c r="O80" s="27">
        <f t="shared" si="31"/>
        <v>0</v>
      </c>
      <c r="P80" s="27">
        <f t="shared" si="31"/>
        <v>0</v>
      </c>
    </row>
    <row r="81" spans="1:16" x14ac:dyDescent="0.45">
      <c r="A81" s="1" t="s">
        <v>102</v>
      </c>
      <c r="F81" s="27">
        <f>F76/3</f>
        <v>233333.33333333334</v>
      </c>
      <c r="G81" s="27">
        <f t="shared" ref="G81:P81" si="32">G76/3</f>
        <v>233333.33333333334</v>
      </c>
      <c r="H81" s="27">
        <f t="shared" si="32"/>
        <v>233333.33333333334</v>
      </c>
      <c r="I81" s="27">
        <f>I76/3</f>
        <v>233333.33333333334</v>
      </c>
      <c r="J81" s="27">
        <f t="shared" si="32"/>
        <v>233333.33333333334</v>
      </c>
      <c r="K81" s="27">
        <f t="shared" si="32"/>
        <v>233333.33333333334</v>
      </c>
      <c r="L81" s="27">
        <f t="shared" si="32"/>
        <v>233333.33333333334</v>
      </c>
      <c r="M81" s="27">
        <f t="shared" si="32"/>
        <v>233333.33333333334</v>
      </c>
      <c r="N81" s="27">
        <f t="shared" si="32"/>
        <v>233333.33333333334</v>
      </c>
      <c r="O81" s="27">
        <f t="shared" si="32"/>
        <v>233333.33333333334</v>
      </c>
      <c r="P81" s="27">
        <f t="shared" si="32"/>
        <v>233333.33333333334</v>
      </c>
    </row>
    <row r="82" spans="1:16" x14ac:dyDescent="0.45">
      <c r="A82" s="1" t="s">
        <v>103</v>
      </c>
      <c r="F82" s="27">
        <f t="shared" ref="F82:H82" si="33">ROUNDUP(F80/5,0)</f>
        <v>0</v>
      </c>
      <c r="G82" s="27">
        <f t="shared" si="33"/>
        <v>0</v>
      </c>
      <c r="H82" s="27">
        <f t="shared" si="33"/>
        <v>0</v>
      </c>
      <c r="I82" s="27">
        <f>ROUNDUP(I80/5,0)</f>
        <v>0</v>
      </c>
      <c r="J82" s="27">
        <f t="shared" ref="J82:P82" si="34">ROUNDUP(J80/5,0)</f>
        <v>0</v>
      </c>
      <c r="K82" s="27">
        <f t="shared" si="34"/>
        <v>0</v>
      </c>
      <c r="L82" s="27">
        <f t="shared" si="34"/>
        <v>0</v>
      </c>
      <c r="M82" s="27">
        <f t="shared" si="34"/>
        <v>0</v>
      </c>
      <c r="N82" s="27">
        <f t="shared" si="34"/>
        <v>0</v>
      </c>
      <c r="O82" s="27">
        <f t="shared" si="34"/>
        <v>0</v>
      </c>
      <c r="P82" s="27">
        <f t="shared" si="34"/>
        <v>0</v>
      </c>
    </row>
    <row r="83" spans="1:16" x14ac:dyDescent="0.45">
      <c r="A83" s="1" t="s">
        <v>104</v>
      </c>
      <c r="F83" s="27">
        <f t="shared" ref="F83:H83" si="35">(F81/100)*(100+30)</f>
        <v>303333.33333333337</v>
      </c>
      <c r="G83" s="27">
        <f t="shared" si="35"/>
        <v>303333.33333333337</v>
      </c>
      <c r="H83" s="27">
        <f t="shared" si="35"/>
        <v>303333.33333333337</v>
      </c>
      <c r="I83" s="27">
        <f>(I81/100)*(100+30)</f>
        <v>303333.33333333337</v>
      </c>
      <c r="J83" s="27">
        <f t="shared" ref="J83:P83" si="36">(J81/100)*(100+30)</f>
        <v>303333.33333333337</v>
      </c>
      <c r="K83" s="27">
        <f t="shared" si="36"/>
        <v>303333.33333333337</v>
      </c>
      <c r="L83" s="27">
        <f t="shared" si="36"/>
        <v>303333.33333333337</v>
      </c>
      <c r="M83" s="27">
        <f t="shared" si="36"/>
        <v>303333.33333333337</v>
      </c>
      <c r="N83" s="27">
        <f t="shared" si="36"/>
        <v>303333.33333333337</v>
      </c>
      <c r="O83" s="27">
        <f t="shared" si="36"/>
        <v>303333.33333333337</v>
      </c>
      <c r="P83" s="27">
        <f t="shared" si="36"/>
        <v>303333.33333333337</v>
      </c>
    </row>
    <row r="84" spans="1:16" x14ac:dyDescent="0.45">
      <c r="A84" s="1" t="s">
        <v>109</v>
      </c>
      <c r="E84" s="1" t="s">
        <v>215</v>
      </c>
      <c r="F84" s="27">
        <f>((((F81*F80)+(F82*F83))*12)*1.1)*Моделирование!$D$12</f>
        <v>0</v>
      </c>
      <c r="G84" s="27">
        <f>((((G81*G80)+(G82*G83))*12)*1.1)*Моделирование!$D$12</f>
        <v>0</v>
      </c>
      <c r="H84" s="27">
        <f>((((H81*H80)+(H82*H83))*12)*1.1)*Моделирование!$D$12</f>
        <v>0</v>
      </c>
      <c r="I84" s="27">
        <f>((((I81*I80)+(I82*I83))*12)*1.1)*Моделирование!$D$12</f>
        <v>0</v>
      </c>
      <c r="J84" s="27">
        <f>((((J81*J80)+(J82*J83))*12)*1.1)*Моделирование!$D$12</f>
        <v>0</v>
      </c>
      <c r="K84" s="27">
        <f>((((K81*K80)+(K82*K83))*12)*1.1)*Моделирование!$D$12</f>
        <v>0</v>
      </c>
      <c r="L84" s="27">
        <f>((((L81*L80)+(L82*L83))*12)*1.1)*Моделирование!$D$12</f>
        <v>0</v>
      </c>
      <c r="M84" s="27">
        <f>((((M81*M80)+(M82*M83))*12)*1.1)*Моделирование!$D$12</f>
        <v>0</v>
      </c>
      <c r="N84" s="27">
        <f>((((N81*N80)+(N82*N83))*12)*1.1)*Моделирование!$D$12</f>
        <v>0</v>
      </c>
      <c r="O84" s="27">
        <f>((((O81*O80)+(O82*O83))*12)*1.1)*Моделирование!$D$12</f>
        <v>0</v>
      </c>
      <c r="P84" s="27">
        <f>((((P81*P80)+(P82*P83))*12)*1.1)*Моделирование!$D$12</f>
        <v>0</v>
      </c>
    </row>
    <row r="85" spans="1:16" x14ac:dyDescent="0.45">
      <c r="A85" s="31" t="s">
        <v>105</v>
      </c>
      <c r="B85" s="31"/>
      <c r="C85" s="31"/>
      <c r="D85" s="31"/>
      <c r="E85" s="31">
        <f>Моделирование!D16</f>
        <v>0</v>
      </c>
      <c r="F85" s="34">
        <f>IF(IF(ROUNDDOWN(('Модель рынка'!D78+'Модель рынка'!D79)/F69,0)&gt;10,10,ROUNDDOWN(('Модель рынка'!D78+'Модель рынка'!D79)/F69,0))&lt;1,1,IF(ROUNDDOWN(('Модель рынка'!D78+'Модель рынка'!D79)/F69,0)&gt;10,10,ROUNDDOWN(('Модель рынка'!D78+'Модель рынка'!D79)/F69,0)))*$E$85</f>
        <v>0</v>
      </c>
      <c r="G85" s="34">
        <f>IF(IF(ROUNDDOWN(('Модель рынка'!E78+'Модель рынка'!E79)/G69,0)&gt;10,10,ROUNDDOWN(('Модель рынка'!E78+'Модель рынка'!E79)/G69,0))&lt;1,1,IF(ROUNDDOWN(('Модель рынка'!E78+'Модель рынка'!E79)/G69,0)&gt;10,10,ROUNDDOWN(('Модель рынка'!E78+'Модель рынка'!E79)/G69,0)))*$E$85</f>
        <v>0</v>
      </c>
      <c r="H85" s="34">
        <f>IF(IF(ROUNDDOWN(('Модель рынка'!F78+'Модель рынка'!F79)/H69,0)&gt;10,10,ROUNDDOWN(('Модель рынка'!F78+'Модель рынка'!F79)/H69,0))&lt;1,1,IF(ROUNDDOWN(('Модель рынка'!F78+'Модель рынка'!F79)/H69,0)&gt;10,10,ROUNDDOWN(('Модель рынка'!F78+'Модель рынка'!F79)/H69,0)))*$E$85</f>
        <v>0</v>
      </c>
      <c r="I85" s="34">
        <f>IF(IF(ROUNDDOWN(('Модель рынка'!G78+'Модель рынка'!G79)/I69,0)&gt;10,10,ROUNDDOWN(('Модель рынка'!G78+'Модель рынка'!G79)/I69,0))&lt;1,1,IF(ROUNDDOWN(('Модель рынка'!G78+'Модель рынка'!G79)/I69,0)&gt;10,10,ROUNDDOWN(('Модель рынка'!G78+'Модель рынка'!G79)/I69,0)))*$E$85</f>
        <v>0</v>
      </c>
      <c r="J85" s="34">
        <f>IF(IF(ROUNDDOWN(('Модель рынка'!H78+'Модель рынка'!H79)/J69,0)&gt;10,10,ROUNDDOWN(('Модель рынка'!H78+'Модель рынка'!H79)/J69,0))&lt;1,1,IF(ROUNDDOWN(('Модель рынка'!H78+'Модель рынка'!H79)/J69,0)&gt;10,10,ROUNDDOWN(('Модель рынка'!H78+'Модель рынка'!H79)/J69,0)))*$E$85</f>
        <v>0</v>
      </c>
      <c r="K85" s="34">
        <f>IF(IF(ROUNDDOWN(('Модель рынка'!I78+'Модель рынка'!I79)/K69,0)&gt;10,10,ROUNDDOWN(('Модель рынка'!I78+'Модель рынка'!I79)/K69,0))&lt;1,1,IF(ROUNDDOWN(('Модель рынка'!I78+'Модель рынка'!I79)/K69,0)&gt;10,10,ROUNDDOWN(('Модель рынка'!I78+'Модель рынка'!I79)/K69,0)))*$E$85</f>
        <v>0</v>
      </c>
      <c r="L85" s="34">
        <f>IF(IF(ROUNDDOWN(('Модель рынка'!J78+'Модель рынка'!J79)/L69,0)&gt;10,10,ROUNDDOWN(('Модель рынка'!J78+'Модель рынка'!J79)/L69,0))&lt;1,1,IF(ROUNDDOWN(('Модель рынка'!J78+'Модель рынка'!J79)/L69,0)&gt;10,10,ROUNDDOWN(('Модель рынка'!J78+'Модель рынка'!J79)/L69,0)))*$E$85</f>
        <v>0</v>
      </c>
      <c r="M85" s="34">
        <f>IF(IF(ROUNDDOWN(('Модель рынка'!K78+'Модель рынка'!K79)/M69,0)&gt;10,10,ROUNDDOWN(('Модель рынка'!K78+'Модель рынка'!K79)/M69,0))&lt;1,1,IF(ROUNDDOWN(('Модель рынка'!K78+'Модель рынка'!K79)/M69,0)&gt;10,10,ROUNDDOWN(('Модель рынка'!K78+'Модель рынка'!K79)/M69,0)))*$E$85</f>
        <v>0</v>
      </c>
      <c r="N85" s="34">
        <f>IF(IF(ROUNDDOWN(('Модель рынка'!L78+'Модель рынка'!L79)/N69,0)&gt;10,10,ROUNDDOWN(('Модель рынка'!L78+'Модель рынка'!L79)/N69,0))&lt;1,1,IF(ROUNDDOWN(('Модель рынка'!L78+'Модель рынка'!L79)/N69,0)&gt;10,10,ROUNDDOWN(('Модель рынка'!L78+'Модель рынка'!L79)/N69,0)))*$E$85</f>
        <v>0</v>
      </c>
      <c r="O85" s="34">
        <f>IF(IF(ROUNDDOWN(('Модель рынка'!M78+'Модель рынка'!M79)/O69,0)&gt;10,10,ROUNDDOWN(('Модель рынка'!M78+'Модель рынка'!M79)/O69,0))&lt;1,1,IF(ROUNDDOWN(('Модель рынка'!M78+'Модель рынка'!M79)/O69,0)&gt;10,10,ROUNDDOWN(('Модель рынка'!M78+'Модель рынка'!M79)/O69,0)))*$E$85</f>
        <v>0</v>
      </c>
      <c r="P85" s="34">
        <f>IF(IF(ROUNDDOWN(('Модель рынка'!N78+'Модель рынка'!N79)/P69,0)&gt;10,10,ROUNDDOWN(('Модель рынка'!N78+'Модель рынка'!N79)/P69,0))&lt;1,1,IF(ROUNDDOWN(('Модель рынка'!N78+'Модель рынка'!N79)/P69,0)&gt;10,10,ROUNDDOWN(('Модель рынка'!N78+'Модель рынка'!N79)/P69,0)))*$E$85</f>
        <v>0</v>
      </c>
    </row>
    <row r="86" spans="1:16" x14ac:dyDescent="0.45">
      <c r="A86" s="31" t="s">
        <v>110</v>
      </c>
      <c r="B86" s="31"/>
      <c r="C86" s="31"/>
      <c r="D86" s="31"/>
      <c r="E86" s="31"/>
      <c r="F86" s="34">
        <v>150000</v>
      </c>
      <c r="G86" s="34">
        <f>(F86/100)*(100+'Модель рынка'!D43)</f>
        <v>150000</v>
      </c>
      <c r="H86" s="34">
        <f>(G86/100)*(100+'Модель рынка'!E43)</f>
        <v>150000</v>
      </c>
      <c r="I86" s="34">
        <f>(H86/100)*(100+'Модель рынка'!F43)</f>
        <v>150000</v>
      </c>
      <c r="J86" s="34">
        <f>(I86/100)*(100+'Модель рынка'!G43)</f>
        <v>150000</v>
      </c>
      <c r="K86" s="34">
        <f>(J86/100)*(100+'Модель рынка'!H43)</f>
        <v>150000</v>
      </c>
      <c r="L86" s="34">
        <f>(K86/100)*(100+'Модель рынка'!I43)</f>
        <v>150000</v>
      </c>
      <c r="M86" s="34">
        <f>(L86/100)*(100+'Модель рынка'!J43)</f>
        <v>150000</v>
      </c>
      <c r="N86" s="34">
        <f>(M86/100)*(100+'Модель рынка'!K43)</f>
        <v>150000</v>
      </c>
      <c r="O86" s="34">
        <f>(N86/100)*(100+'Модель рынка'!L43)</f>
        <v>150000</v>
      </c>
      <c r="P86" s="34">
        <f>(O86/100)*(100+'Модель рынка'!M43)</f>
        <v>150000</v>
      </c>
    </row>
    <row r="87" spans="1:16" x14ac:dyDescent="0.45">
      <c r="A87" s="31" t="s">
        <v>111</v>
      </c>
      <c r="B87" s="31"/>
      <c r="C87" s="31"/>
      <c r="D87" s="31"/>
      <c r="E87" s="31"/>
      <c r="F87" s="34">
        <f>F85/5</f>
        <v>0</v>
      </c>
      <c r="G87" s="34">
        <f t="shared" ref="G87:P87" si="37">G85/5</f>
        <v>0</v>
      </c>
      <c r="H87" s="34">
        <f t="shared" si="37"/>
        <v>0</v>
      </c>
      <c r="I87" s="34">
        <f t="shared" si="37"/>
        <v>0</v>
      </c>
      <c r="J87" s="34">
        <f t="shared" si="37"/>
        <v>0</v>
      </c>
      <c r="K87" s="34">
        <f t="shared" si="37"/>
        <v>0</v>
      </c>
      <c r="L87" s="34">
        <f t="shared" si="37"/>
        <v>0</v>
      </c>
      <c r="M87" s="34">
        <f t="shared" si="37"/>
        <v>0</v>
      </c>
      <c r="N87" s="34">
        <f t="shared" si="37"/>
        <v>0</v>
      </c>
      <c r="O87" s="34">
        <f t="shared" si="37"/>
        <v>0</v>
      </c>
      <c r="P87" s="34">
        <f t="shared" si="37"/>
        <v>0</v>
      </c>
    </row>
    <row r="88" spans="1:16" x14ac:dyDescent="0.45">
      <c r="A88" s="31" t="s">
        <v>106</v>
      </c>
      <c r="B88" s="31"/>
      <c r="C88" s="31"/>
      <c r="D88" s="31"/>
      <c r="E88" s="31"/>
      <c r="F88" s="34">
        <v>300000</v>
      </c>
      <c r="G88" s="34">
        <f>(F88/100)*(100+'Модель рынка'!D43)</f>
        <v>300000</v>
      </c>
      <c r="H88" s="34">
        <f>(G88/100)*(100+'Модель рынка'!E43)</f>
        <v>300000</v>
      </c>
      <c r="I88" s="34">
        <f>(H88/100)*(100+'Модель рынка'!F43)</f>
        <v>300000</v>
      </c>
      <c r="J88" s="34">
        <f>(I88/100)*(100+'Модель рынка'!G43)</f>
        <v>300000</v>
      </c>
      <c r="K88" s="34">
        <f>(J88/100)*(100+'Модель рынка'!H43)</f>
        <v>300000</v>
      </c>
      <c r="L88" s="34">
        <f>(K88/100)*(100+'Модель рынка'!I43)</f>
        <v>300000</v>
      </c>
      <c r="M88" s="34">
        <f>(L88/100)*(100+'Модель рынка'!J43)</f>
        <v>300000</v>
      </c>
      <c r="N88" s="34">
        <f>(M88/100)*(100+'Модель рынка'!K43)</f>
        <v>300000</v>
      </c>
      <c r="O88" s="34">
        <f>(N88/100)*(100+'Модель рынка'!L43)</f>
        <v>300000</v>
      </c>
      <c r="P88" s="34">
        <f>(O88/100)*(100+'Модель рынка'!M43)</f>
        <v>300000</v>
      </c>
    </row>
    <row r="89" spans="1:16" x14ac:dyDescent="0.45">
      <c r="A89" s="31" t="s">
        <v>107</v>
      </c>
      <c r="B89" s="31"/>
      <c r="C89" s="31"/>
      <c r="D89" s="31"/>
      <c r="E89" s="31" t="s">
        <v>212</v>
      </c>
      <c r="F89" s="34">
        <f>(((F86*F85)+(F87*F88))*12)*1.1</f>
        <v>0</v>
      </c>
      <c r="G89" s="34">
        <f t="shared" ref="G89:P89" si="38">(((G86*G85)+(G87*G88))*12)*1.1</f>
        <v>0</v>
      </c>
      <c r="H89" s="34">
        <f t="shared" si="38"/>
        <v>0</v>
      </c>
      <c r="I89" s="34">
        <f t="shared" si="38"/>
        <v>0</v>
      </c>
      <c r="J89" s="34">
        <f t="shared" si="38"/>
        <v>0</v>
      </c>
      <c r="K89" s="34">
        <f t="shared" si="38"/>
        <v>0</v>
      </c>
      <c r="L89" s="34">
        <f t="shared" si="38"/>
        <v>0</v>
      </c>
      <c r="M89" s="34">
        <f t="shared" si="38"/>
        <v>0</v>
      </c>
      <c r="N89" s="34">
        <f t="shared" si="38"/>
        <v>0</v>
      </c>
      <c r="O89" s="34">
        <f t="shared" si="38"/>
        <v>0</v>
      </c>
      <c r="P89" s="34">
        <f t="shared" si="38"/>
        <v>0</v>
      </c>
    </row>
    <row r="90" spans="1:16" x14ac:dyDescent="0.45">
      <c r="A90" s="1" t="s">
        <v>83</v>
      </c>
      <c r="F90" s="1">
        <f>IF(IF(ROUNDDOWN(('Модель рынка'!D78+'Модель рынка'!D79)/F69,0)&gt;10,10,ROUNDDOWN(('Модель рынка'!D78+'Модель рынка'!D79)/F69,0))&lt;1,1,IF(ROUNDDOWN(('Модель рынка'!D78+'Модель рынка'!D79)/F69,0)&gt;10,10,ROUNDDOWN(('Модель рынка'!D78+'Модель рынка'!D79)/F69,0)))*$E$85</f>
        <v>0</v>
      </c>
      <c r="G90" s="1">
        <f>IF(IF(ROUNDDOWN(('Модель рынка'!E78+'Модель рынка'!E79)/G69,0)&gt;10,10,ROUNDDOWN(('Модель рынка'!E78+'Модель рынка'!E79)/G69,0))&lt;1,1,IF(ROUNDDOWN(('Модель рынка'!E78+'Модель рынка'!E79)/G69,0)&gt;10,10,ROUNDDOWN(('Модель рынка'!E78+'Модель рынка'!E79)/G69,0)))*$E$85</f>
        <v>0</v>
      </c>
      <c r="H90" s="1">
        <f>IF(IF(ROUNDDOWN(('Модель рынка'!F78+'Модель рынка'!F79)/H69,0)&gt;10,10,ROUNDDOWN(('Модель рынка'!F78+'Модель рынка'!F79)/H69,0))&lt;1,1,IF(ROUNDDOWN(('Модель рынка'!F78+'Модель рынка'!F79)/H69,0)&gt;10,10,ROUNDDOWN(('Модель рынка'!F78+'Модель рынка'!F79)/H69,0)))*$E$85</f>
        <v>0</v>
      </c>
      <c r="I90" s="1">
        <f>IF(IF(ROUNDDOWN(('Модель рынка'!G78+'Модель рынка'!G79)/I69,0)&gt;10,10,ROUNDDOWN(('Модель рынка'!G78+'Модель рынка'!G79)/I69,0))&lt;1,1,IF(ROUNDDOWN(('Модель рынка'!G78+'Модель рынка'!G79)/I69,0)&gt;10,10,ROUNDDOWN(('Модель рынка'!G78+'Модель рынка'!G79)/I69,0)))*$E$85</f>
        <v>0</v>
      </c>
      <c r="J90" s="1">
        <f>IF(IF(ROUNDDOWN(('Модель рынка'!H78+'Модель рынка'!H79)/J69,0)&gt;10,10,ROUNDDOWN(('Модель рынка'!H78+'Модель рынка'!H79)/J69,0))&lt;1,1,IF(ROUNDDOWN(('Модель рынка'!H78+'Модель рынка'!H79)/J69,0)&gt;10,10,ROUNDDOWN(('Модель рынка'!H78+'Модель рынка'!H79)/J69,0)))*$E$85</f>
        <v>0</v>
      </c>
      <c r="K90" s="1">
        <f>IF(IF(ROUNDDOWN(('Модель рынка'!I78+'Модель рынка'!I79)/K69,0)&gt;10,10,ROUNDDOWN(('Модель рынка'!I78+'Модель рынка'!I79)/K69,0))&lt;1,1,IF(ROUNDDOWN(('Модель рынка'!I78+'Модель рынка'!I79)/K69,0)&gt;10,10,ROUNDDOWN(('Модель рынка'!I78+'Модель рынка'!I79)/K69,0)))*$E$85</f>
        <v>0</v>
      </c>
      <c r="L90" s="1">
        <f>IF(IF(ROUNDDOWN(('Модель рынка'!J78+'Модель рынка'!J79)/L69,0)&gt;10,10,ROUNDDOWN(('Модель рынка'!J78+'Модель рынка'!J79)/L69,0))&lt;1,1,IF(ROUNDDOWN(('Модель рынка'!J78+'Модель рынка'!J79)/L69,0)&gt;10,10,ROUNDDOWN(('Модель рынка'!J78+'Модель рынка'!J79)/L69,0)))*$E$85</f>
        <v>0</v>
      </c>
      <c r="M90" s="1">
        <f>IF(IF(ROUNDDOWN(('Модель рынка'!K78+'Модель рынка'!K79)/M69,0)&gt;10,10,ROUNDDOWN(('Модель рынка'!K78+'Модель рынка'!K79)/M69,0))&lt;1,1,IF(ROUNDDOWN(('Модель рынка'!K78+'Модель рынка'!K79)/M69,0)&gt;10,10,ROUNDDOWN(('Модель рынка'!K78+'Модель рынка'!K79)/M69,0)))*$E$85</f>
        <v>0</v>
      </c>
      <c r="N90" s="1">
        <f>IF(IF(ROUNDDOWN(('Модель рынка'!L78+'Модель рынка'!L79)/N69,0)&gt;10,10,ROUNDDOWN(('Модель рынка'!L78+'Модель рынка'!L79)/N69,0))&lt;1,1,IF(ROUNDDOWN(('Модель рынка'!L78+'Модель рынка'!L79)/N69,0)&gt;10,10,ROUNDDOWN(('Модель рынка'!L78+'Модель рынка'!L79)/N69,0)))*$E$85</f>
        <v>0</v>
      </c>
      <c r="O90" s="1">
        <f>IF(IF(ROUNDDOWN(('Модель рынка'!M78+'Модель рынка'!M79)/O69,0)&gt;10,10,ROUNDDOWN(('Модель рынка'!M78+'Модель рынка'!M79)/O69,0))&lt;1,1,IF(ROUNDDOWN(('Модель рынка'!M78+'Модель рынка'!M79)/O69,0)&gt;10,10,ROUNDDOWN(('Модель рынка'!M78+'Модель рынка'!M79)/O69,0)))*$E$85</f>
        <v>0</v>
      </c>
      <c r="P90" s="1">
        <f>IF(IF(ROUNDDOWN(('Модель рынка'!N78+'Модель рынка'!N79)/P69,0)&gt;10,10,ROUNDDOWN(('Модель рынка'!N78+'Модель рынка'!N79)/P69,0))&lt;1,1,IF(ROUNDDOWN(('Модель рынка'!N78+'Модель рынка'!N79)/P69,0)&gt;10,10,ROUNDDOWN(('Модель рынка'!N78+'Модель рынка'!N79)/P69,0)))*$E$85</f>
        <v>0</v>
      </c>
    </row>
    <row r="91" spans="1:16" x14ac:dyDescent="0.45">
      <c r="A91" s="1" t="s">
        <v>84</v>
      </c>
      <c r="F91" s="3">
        <v>250000</v>
      </c>
      <c r="G91" s="27">
        <f>(F91/100)*(100+'Модель рынка'!D43)</f>
        <v>250000</v>
      </c>
      <c r="H91" s="27">
        <f>(G91/100)*(100+'Модель рынка'!E43)</f>
        <v>250000</v>
      </c>
      <c r="I91" s="27">
        <f>(H91/100)*(100+'Модель рынка'!F43)</f>
        <v>250000</v>
      </c>
      <c r="J91" s="27">
        <f>(I91/100)*(100+'Модель рынка'!G43)</f>
        <v>250000</v>
      </c>
      <c r="K91" s="27">
        <f>(J91/100)*(100+'Модель рынка'!H43)</f>
        <v>250000</v>
      </c>
      <c r="L91" s="27">
        <f>(K91/100)*(100+'Модель рынка'!I43)</f>
        <v>250000</v>
      </c>
      <c r="M91" s="27">
        <f>(L91/100)*(100+'Модель рынка'!J43)</f>
        <v>250000</v>
      </c>
      <c r="N91" s="27">
        <f>(M91/100)*(100+'Модель рынка'!K43)</f>
        <v>250000</v>
      </c>
      <c r="O91" s="27">
        <f>(N91/100)*(100+'Модель рынка'!L43)</f>
        <v>250000</v>
      </c>
      <c r="P91" s="27">
        <f>(O91/100)*(100+'Модель рынка'!M43)</f>
        <v>250000</v>
      </c>
    </row>
    <row r="92" spans="1:16" x14ac:dyDescent="0.45">
      <c r="A92" s="1" t="s">
        <v>85</v>
      </c>
      <c r="F92" s="1">
        <f t="shared" ref="F92:I92" si="39">ROUNDUP(F90/8,0)</f>
        <v>0</v>
      </c>
      <c r="G92" s="1">
        <f t="shared" si="39"/>
        <v>0</v>
      </c>
      <c r="H92" s="1">
        <f t="shared" si="39"/>
        <v>0</v>
      </c>
      <c r="I92" s="1">
        <f t="shared" si="39"/>
        <v>0</v>
      </c>
      <c r="J92" s="1">
        <f>ROUNDUP(J90/8,0)</f>
        <v>0</v>
      </c>
      <c r="K92" s="1">
        <f t="shared" ref="K92:P92" si="40">ROUNDUP(K90/8,0)</f>
        <v>0</v>
      </c>
      <c r="L92" s="1">
        <f t="shared" si="40"/>
        <v>0</v>
      </c>
      <c r="M92" s="1">
        <f t="shared" si="40"/>
        <v>0</v>
      </c>
      <c r="N92" s="1">
        <f t="shared" si="40"/>
        <v>0</v>
      </c>
      <c r="O92" s="1">
        <f t="shared" si="40"/>
        <v>0</v>
      </c>
      <c r="P92" s="1">
        <f t="shared" si="40"/>
        <v>0</v>
      </c>
    </row>
    <row r="93" spans="1:16" x14ac:dyDescent="0.45">
      <c r="A93" s="1" t="s">
        <v>86</v>
      </c>
      <c r="F93" s="3">
        <v>300000</v>
      </c>
      <c r="G93" s="27">
        <f>(F93/100)*(100+'Модель рынка'!D43)</f>
        <v>300000</v>
      </c>
      <c r="H93" s="27">
        <f>(G93/100)*(100+'Модель рынка'!E43)</f>
        <v>300000</v>
      </c>
      <c r="I93" s="27">
        <f>(H93/100)*(100+'Модель рынка'!F43)</f>
        <v>300000</v>
      </c>
      <c r="J93" s="27">
        <f>(I93/100)*(100+'Модель рынка'!G43)</f>
        <v>300000</v>
      </c>
      <c r="K93" s="27">
        <f>(J93/100)*(100+'Модель рынка'!H43)</f>
        <v>300000</v>
      </c>
      <c r="L93" s="27">
        <f>(K93/100)*(100+'Модель рынка'!I43)</f>
        <v>300000</v>
      </c>
      <c r="M93" s="27">
        <f>(L93/100)*(100+'Модель рынка'!J43)</f>
        <v>300000</v>
      </c>
      <c r="N93" s="27">
        <f>(M93/100)*(100+'Модель рынка'!K43)</f>
        <v>300000</v>
      </c>
      <c r="O93" s="27">
        <f>(N93/100)*(100+'Модель рынка'!L43)</f>
        <v>300000</v>
      </c>
      <c r="P93" s="27">
        <f>(O93/100)*(100+'Модель рынка'!M43)</f>
        <v>300000</v>
      </c>
    </row>
    <row r="94" spans="1:16" x14ac:dyDescent="0.45">
      <c r="A94" s="1" t="s">
        <v>87</v>
      </c>
      <c r="E94" s="1" t="s">
        <v>212</v>
      </c>
      <c r="F94" s="27">
        <f>(((F91*F90)+(F92*F93))*12)*1.1</f>
        <v>0</v>
      </c>
      <c r="G94" s="27">
        <f>(((G91*G90)+(G92*G93))*12)*1.1</f>
        <v>0</v>
      </c>
      <c r="H94" s="27">
        <f t="shared" ref="H94:P94" si="41">(((H91*H90)+(H92*H93))*12)*1.1</f>
        <v>0</v>
      </c>
      <c r="I94" s="27">
        <f t="shared" si="41"/>
        <v>0</v>
      </c>
      <c r="J94" s="27">
        <f t="shared" si="41"/>
        <v>0</v>
      </c>
      <c r="K94" s="27">
        <f t="shared" si="41"/>
        <v>0</v>
      </c>
      <c r="L94" s="27">
        <f t="shared" si="41"/>
        <v>0</v>
      </c>
      <c r="M94" s="27">
        <f t="shared" si="41"/>
        <v>0</v>
      </c>
      <c r="N94" s="27">
        <f t="shared" si="41"/>
        <v>0</v>
      </c>
      <c r="O94" s="27">
        <f t="shared" si="41"/>
        <v>0</v>
      </c>
      <c r="P94" s="27">
        <f t="shared" si="41"/>
        <v>0</v>
      </c>
    </row>
    <row r="95" spans="1:16" x14ac:dyDescent="0.45">
      <c r="A95" s="31" t="s">
        <v>117</v>
      </c>
      <c r="B95" s="31"/>
      <c r="C95" s="31"/>
      <c r="D95" s="31"/>
      <c r="E95" s="31"/>
      <c r="F95" s="31">
        <f>IF(IF(ROUNDDOWN(('Модель рынка'!D78+'Модель рынка'!D79)/F69,0)&gt;10,10,ROUNDDOWN(('Модель рынка'!D78+'Модель рынка'!D79)/F69,0))&lt;1,1,IF(ROUNDDOWN(('Модель рынка'!D78+'Модель рынка'!D79)/F69,0)&gt;10,10,ROUNDDOWN(('Модель рынка'!D78+'Модель рынка'!D79)/F69,0)))*$E$85</f>
        <v>0</v>
      </c>
      <c r="G95" s="31">
        <f>IF(IF(ROUNDDOWN(('Модель рынка'!E78+'Модель рынка'!E79)/G69,0)&gt;10,10,ROUNDDOWN(('Модель рынка'!E78+'Модель рынка'!E79)/G69,0))&lt;1,1,IF(ROUNDDOWN(('Модель рынка'!E78+'Модель рынка'!E79)/G69,0)&gt;10,10,ROUNDDOWN(('Модель рынка'!E78+'Модель рынка'!E79)/G69,0)))*$E$85</f>
        <v>0</v>
      </c>
      <c r="H95" s="31">
        <f>IF(IF(ROUNDDOWN(('Модель рынка'!F78+'Модель рынка'!F79)/H69,0)&gt;10,10,ROUNDDOWN(('Модель рынка'!F78+'Модель рынка'!F79)/H69,0))&lt;1,1,IF(ROUNDDOWN(('Модель рынка'!F78+'Модель рынка'!F79)/H69,0)&gt;10,10,ROUNDDOWN(('Модель рынка'!F78+'Модель рынка'!F79)/H69,0)))*$E$85</f>
        <v>0</v>
      </c>
      <c r="I95" s="31">
        <f>IF(IF(ROUNDDOWN(('Модель рынка'!G78+'Модель рынка'!G79)/I69,0)&gt;10,10,ROUNDDOWN(('Модель рынка'!G78+'Модель рынка'!G79)/I69,0))&lt;1,1,IF(ROUNDDOWN(('Модель рынка'!G78+'Модель рынка'!G79)/I69,0)&gt;10,10,ROUNDDOWN(('Модель рынка'!G78+'Модель рынка'!G79)/I69,0)))*$E$85</f>
        <v>0</v>
      </c>
      <c r="J95" s="31">
        <f>IF(IF(ROUNDDOWN(('Модель рынка'!H78+'Модель рынка'!H79)/J69,0)&gt;10,10,ROUNDDOWN(('Модель рынка'!H78+'Модель рынка'!H79)/J69,0))&lt;1,1,IF(ROUNDDOWN(('Модель рынка'!H78+'Модель рынка'!H79)/J69,0)&gt;10,10,ROUNDDOWN(('Модель рынка'!H78+'Модель рынка'!H79)/J69,0)))*$E$85</f>
        <v>0</v>
      </c>
      <c r="K95" s="31">
        <f>IF(IF(ROUNDDOWN(('Модель рынка'!I78+'Модель рынка'!I79)/K69,0)&gt;10,10,ROUNDDOWN(('Модель рынка'!I78+'Модель рынка'!I79)/K69,0))&lt;1,1,IF(ROUNDDOWN(('Модель рынка'!I78+'Модель рынка'!I79)/K69,0)&gt;10,10,ROUNDDOWN(('Модель рынка'!I78+'Модель рынка'!I79)/K69,0)))*$E$85</f>
        <v>0</v>
      </c>
      <c r="L95" s="31">
        <f>IF(IF(ROUNDDOWN(('Модель рынка'!J78+'Модель рынка'!J79)/L69,0)&gt;10,10,ROUNDDOWN(('Модель рынка'!J78+'Модель рынка'!J79)/L69,0))&lt;1,1,IF(ROUNDDOWN(('Модель рынка'!J78+'Модель рынка'!J79)/L69,0)&gt;10,10,ROUNDDOWN(('Модель рынка'!J78+'Модель рынка'!J79)/L69,0)))*$E$85</f>
        <v>0</v>
      </c>
      <c r="M95" s="31">
        <f>IF(IF(ROUNDDOWN(('Модель рынка'!K78+'Модель рынка'!K79)/M69,0)&gt;10,10,ROUNDDOWN(('Модель рынка'!K78+'Модель рынка'!K79)/M69,0))&lt;1,1,IF(ROUNDDOWN(('Модель рынка'!K78+'Модель рынка'!K79)/M69,0)&gt;10,10,ROUNDDOWN(('Модель рынка'!K78+'Модель рынка'!K79)/M69,0)))*$E$85</f>
        <v>0</v>
      </c>
      <c r="N95" s="31">
        <f>IF(IF(ROUNDDOWN(('Модель рынка'!L78+'Модель рынка'!L79)/N69,0)&gt;10,10,ROUNDDOWN(('Модель рынка'!L78+'Модель рынка'!L79)/N69,0))&lt;1,1,IF(ROUNDDOWN(('Модель рынка'!L78+'Модель рынка'!L79)/N69,0)&gt;10,10,ROUNDDOWN(('Модель рынка'!L78+'Модель рынка'!L79)/N69,0)))*$E$85</f>
        <v>0</v>
      </c>
      <c r="O95" s="31">
        <f>IF(IF(ROUNDDOWN(('Модель рынка'!M78+'Модель рынка'!M79)/O69,0)&gt;10,10,ROUNDDOWN(('Модель рынка'!M78+'Модель рынка'!M79)/O69,0))&lt;1,1,IF(ROUNDDOWN(('Модель рынка'!M78+'Модель рынка'!M79)/O69,0)&gt;10,10,ROUNDDOWN(('Модель рынка'!M78+'Модель рынка'!M79)/O69,0)))*$E$85</f>
        <v>0</v>
      </c>
      <c r="P95" s="31">
        <f>IF(IF(ROUNDDOWN(('Модель рынка'!N78+'Модель рынка'!N79)/P69,0)&gt;10,10,ROUNDDOWN(('Модель рынка'!N78+'Модель рынка'!N79)/P69,0))&lt;1,1,IF(ROUNDDOWN(('Модель рынка'!N78+'Модель рынка'!N79)/P69,0)&gt;10,10,ROUNDDOWN(('Модель рынка'!N78+'Модель рынка'!N79)/P69,0)))*$E$85</f>
        <v>0</v>
      </c>
    </row>
    <row r="96" spans="1:16" x14ac:dyDescent="0.45">
      <c r="A96" s="31" t="s">
        <v>118</v>
      </c>
      <c r="B96" s="31"/>
      <c r="C96" s="31"/>
      <c r="D96" s="31"/>
      <c r="E96" s="31"/>
      <c r="F96" s="4">
        <v>250000</v>
      </c>
      <c r="G96" s="34">
        <f>(F96/100)*(100+'Модель рынка'!D43)</f>
        <v>250000</v>
      </c>
      <c r="H96" s="34">
        <f>(G96/100)*(100+'Модель рынка'!E43)</f>
        <v>250000</v>
      </c>
      <c r="I96" s="34">
        <f>(H96/100)*(100+'Модель рынка'!F43)</f>
        <v>250000</v>
      </c>
      <c r="J96" s="34">
        <f>(I96/100)*(100+'Модель рынка'!G43)</f>
        <v>250000</v>
      </c>
      <c r="K96" s="34">
        <f>(J96/100)*(100+'Модель рынка'!H43)</f>
        <v>250000</v>
      </c>
      <c r="L96" s="34">
        <f>(K96/100)*(100+'Модель рынка'!I43)</f>
        <v>250000</v>
      </c>
      <c r="M96" s="34">
        <f>(L96/100)*(100+'Модель рынка'!J43)</f>
        <v>250000</v>
      </c>
      <c r="N96" s="34">
        <f>(M96/100)*(100+'Модель рынка'!K43)</f>
        <v>250000</v>
      </c>
      <c r="O96" s="34">
        <f>(N96/100)*(100+'Модель рынка'!L43)</f>
        <v>250000</v>
      </c>
      <c r="P96" s="34">
        <f>(O96/100)*(100+'Модель рынка'!M43)</f>
        <v>250000</v>
      </c>
    </row>
    <row r="97" spans="1:16" x14ac:dyDescent="0.45">
      <c r="A97" s="31" t="s">
        <v>119</v>
      </c>
      <c r="B97" s="31"/>
      <c r="C97" s="31"/>
      <c r="D97" s="31"/>
      <c r="E97" s="31"/>
      <c r="F97" s="31">
        <f>F95/5</f>
        <v>0</v>
      </c>
      <c r="G97" s="31">
        <f t="shared" ref="G97:P97" si="42">G95/5</f>
        <v>0</v>
      </c>
      <c r="H97" s="31">
        <f t="shared" si="42"/>
        <v>0</v>
      </c>
      <c r="I97" s="31">
        <f t="shared" si="42"/>
        <v>0</v>
      </c>
      <c r="J97" s="31">
        <f t="shared" si="42"/>
        <v>0</v>
      </c>
      <c r="K97" s="31">
        <f t="shared" si="42"/>
        <v>0</v>
      </c>
      <c r="L97" s="31">
        <f t="shared" si="42"/>
        <v>0</v>
      </c>
      <c r="M97" s="31">
        <f t="shared" si="42"/>
        <v>0</v>
      </c>
      <c r="N97" s="31">
        <f t="shared" si="42"/>
        <v>0</v>
      </c>
      <c r="O97" s="31">
        <f t="shared" si="42"/>
        <v>0</v>
      </c>
      <c r="P97" s="31">
        <f t="shared" si="42"/>
        <v>0</v>
      </c>
    </row>
    <row r="98" spans="1:16" x14ac:dyDescent="0.45">
      <c r="A98" s="31" t="s">
        <v>120</v>
      </c>
      <c r="B98" s="31"/>
      <c r="C98" s="31"/>
      <c r="D98" s="31"/>
      <c r="E98" s="31"/>
      <c r="F98" s="4">
        <v>300000</v>
      </c>
      <c r="G98" s="34">
        <f>(F98/100)*(100+'Модель рынка'!D43)</f>
        <v>300000</v>
      </c>
      <c r="H98" s="34">
        <f>(G98/100)*(100+'Модель рынка'!E43)</f>
        <v>300000</v>
      </c>
      <c r="I98" s="34">
        <f>(H98/100)*(100+'Модель рынка'!F43)</f>
        <v>300000</v>
      </c>
      <c r="J98" s="34">
        <f>(I98/100)*(100+'Модель рынка'!G43)</f>
        <v>300000</v>
      </c>
      <c r="K98" s="34">
        <f>(J98/100)*(100+'Модель рынка'!H43)</f>
        <v>300000</v>
      </c>
      <c r="L98" s="34">
        <f>(K98/100)*(100+'Модель рынка'!I43)</f>
        <v>300000</v>
      </c>
      <c r="M98" s="34">
        <f>(L98/100)*(100+'Модель рынка'!J43)</f>
        <v>300000</v>
      </c>
      <c r="N98" s="34">
        <f>(M98/100)*(100+'Модель рынка'!K43)</f>
        <v>300000</v>
      </c>
      <c r="O98" s="34">
        <f>(N98/100)*(100+'Модель рынка'!L43)</f>
        <v>300000</v>
      </c>
      <c r="P98" s="34">
        <f>(O98/100)*(100+'Модель рынка'!M43)</f>
        <v>300000</v>
      </c>
    </row>
    <row r="99" spans="1:16" x14ac:dyDescent="0.45">
      <c r="A99" s="31" t="s">
        <v>121</v>
      </c>
      <c r="B99" s="31"/>
      <c r="C99" s="31"/>
      <c r="D99" s="31"/>
      <c r="E99" s="31" t="s">
        <v>212</v>
      </c>
      <c r="F99" s="34">
        <f>(((F96*F95)+(F97*F98))*12)*1.1</f>
        <v>0</v>
      </c>
      <c r="G99" s="34">
        <f>(((G96*G95)+(G97*G98))*12)*1.1</f>
        <v>0</v>
      </c>
      <c r="H99" s="34">
        <f t="shared" ref="H99:P99" si="43">(((H96*H95)+(H97*H98))*12)*1.1</f>
        <v>0</v>
      </c>
      <c r="I99" s="34">
        <f t="shared" si="43"/>
        <v>0</v>
      </c>
      <c r="J99" s="34">
        <f t="shared" si="43"/>
        <v>0</v>
      </c>
      <c r="K99" s="34">
        <f t="shared" si="43"/>
        <v>0</v>
      </c>
      <c r="L99" s="34">
        <f t="shared" si="43"/>
        <v>0</v>
      </c>
      <c r="M99" s="34">
        <f t="shared" si="43"/>
        <v>0</v>
      </c>
      <c r="N99" s="34">
        <f t="shared" si="43"/>
        <v>0</v>
      </c>
      <c r="O99" s="34">
        <f t="shared" si="43"/>
        <v>0</v>
      </c>
      <c r="P99" s="34">
        <f t="shared" si="43"/>
        <v>0</v>
      </c>
    </row>
    <row r="100" spans="1:16" x14ac:dyDescent="0.45">
      <c r="A100" s="1" t="s">
        <v>112</v>
      </c>
      <c r="F100" s="27">
        <f>IF(IF(ROUNDDOWN(('Модель рынка'!D78+'Модель рынка'!D79)/F69,0)&gt;10,10,ROUNDDOWN(('Модель рынка'!D78+'Модель рынка'!D79)/F69,0))&lt;1,1,IF(ROUNDDOWN(('Модель рынка'!D78+'Модель рынка'!D79)/F69,0)&gt;10,10,ROUNDDOWN(('Модель рынка'!D78+'Модель рынка'!D79)/F69,0)))*$E$85</f>
        <v>0</v>
      </c>
      <c r="G100" s="27">
        <f>IF(IF(ROUNDDOWN(('Модель рынка'!E78+'Модель рынка'!E79)/G69,0)&gt;10,10,ROUNDDOWN(('Модель рынка'!E78+'Модель рынка'!E79)/G69,0))&lt;1,1,IF(ROUNDDOWN(('Модель рынка'!E78+'Модель рынка'!E79)/G69,0)&gt;10,10,ROUNDDOWN(('Модель рынка'!E78+'Модель рынка'!E79)/G69,0)))*$E$85</f>
        <v>0</v>
      </c>
      <c r="H100" s="27">
        <f>IF(IF(ROUNDDOWN(('Модель рынка'!F78+'Модель рынка'!F79)/H69,0)&gt;10,10,ROUNDDOWN(('Модель рынка'!F78+'Модель рынка'!F79)/H69,0))&lt;1,1,IF(ROUNDDOWN(('Модель рынка'!F78+'Модель рынка'!F79)/H69,0)&gt;10,10,ROUNDDOWN(('Модель рынка'!F78+'Модель рынка'!F79)/H69,0)))*$E$85</f>
        <v>0</v>
      </c>
      <c r="I100" s="27">
        <f>IF(IF(ROUNDDOWN(('Модель рынка'!G78+'Модель рынка'!G79)/I69,0)&gt;10,10,ROUNDDOWN(('Модель рынка'!G78+'Модель рынка'!G79)/I69,0))&lt;1,1,IF(ROUNDDOWN(('Модель рынка'!G78+'Модель рынка'!G79)/I69,0)&gt;10,10,ROUNDDOWN(('Модель рынка'!G78+'Модель рынка'!G79)/I69,0)))*$E$85</f>
        <v>0</v>
      </c>
      <c r="J100" s="27">
        <f>IF(IF(ROUNDDOWN(('Модель рынка'!H78+'Модель рынка'!H79)/J69,0)&gt;10,10,ROUNDDOWN(('Модель рынка'!H78+'Модель рынка'!H79)/J69,0))&lt;1,1,IF(ROUNDDOWN(('Модель рынка'!H78+'Модель рынка'!H79)/J69,0)&gt;10,10,ROUNDDOWN(('Модель рынка'!H78+'Модель рынка'!H79)/J69,0)))*$E$85</f>
        <v>0</v>
      </c>
      <c r="K100" s="27">
        <f>IF(IF(ROUNDDOWN(('Модель рынка'!I78+'Модель рынка'!I79)/K69,0)&gt;10,10,ROUNDDOWN(('Модель рынка'!I78+'Модель рынка'!I79)/K69,0))&lt;1,1,IF(ROUNDDOWN(('Модель рынка'!I78+'Модель рынка'!I79)/K69,0)&gt;10,10,ROUNDDOWN(('Модель рынка'!I78+'Модель рынка'!I79)/K69,0)))*$E$85</f>
        <v>0</v>
      </c>
      <c r="L100" s="27">
        <f>IF(IF(ROUNDDOWN(('Модель рынка'!J78+'Модель рынка'!J79)/L69,0)&gt;10,10,ROUNDDOWN(('Модель рынка'!J78+'Модель рынка'!J79)/L69,0))&lt;1,1,IF(ROUNDDOWN(('Модель рынка'!J78+'Модель рынка'!J79)/L69,0)&gt;10,10,ROUNDDOWN(('Модель рынка'!J78+'Модель рынка'!J79)/L69,0)))*$E$85</f>
        <v>0</v>
      </c>
      <c r="M100" s="27">
        <f>IF(IF(ROUNDDOWN(('Модель рынка'!K78+'Модель рынка'!K79)/M69,0)&gt;10,10,ROUNDDOWN(('Модель рынка'!K78+'Модель рынка'!K79)/M69,0))&lt;1,1,IF(ROUNDDOWN(('Модель рынка'!K78+'Модель рынка'!K79)/M69,0)&gt;10,10,ROUNDDOWN(('Модель рынка'!K78+'Модель рынка'!K79)/M69,0)))*$E$85</f>
        <v>0</v>
      </c>
      <c r="N100" s="27">
        <f>IF(IF(ROUNDDOWN(('Модель рынка'!L78+'Модель рынка'!L79)/N69,0)&gt;10,10,ROUNDDOWN(('Модель рынка'!L78+'Модель рынка'!L79)/N69,0))&lt;1,1,IF(ROUNDDOWN(('Модель рынка'!L78+'Модель рынка'!L79)/N69,0)&gt;10,10,ROUNDDOWN(('Модель рынка'!L78+'Модель рынка'!L79)/N69,0)))*$E$85</f>
        <v>0</v>
      </c>
      <c r="O100" s="27">
        <f>IF(IF(ROUNDDOWN(('Модель рынка'!M78+'Модель рынка'!M79)/O69,0)&gt;10,10,ROUNDDOWN(('Модель рынка'!M78+'Модель рынка'!M79)/O69,0))&lt;1,1,IF(ROUNDDOWN(('Модель рынка'!M78+'Модель рынка'!M79)/O69,0)&gt;10,10,ROUNDDOWN(('Модель рынка'!M78+'Модель рынка'!M79)/O69,0)))*$E$85</f>
        <v>0</v>
      </c>
      <c r="P100" s="27">
        <f>IF(IF(ROUNDDOWN(('Модель рынка'!N78+'Модель рынка'!N79)/P69,0)&gt;10,10,ROUNDDOWN(('Модель рынка'!N78+'Модель рынка'!N79)/P69,0))&lt;1,1,IF(ROUNDDOWN(('Модель рынка'!N78+'Модель рынка'!N79)/P69,0)&gt;10,10,ROUNDDOWN(('Модель рынка'!N78+'Модель рынка'!N79)/P69,0)))*$E$85</f>
        <v>0</v>
      </c>
    </row>
    <row r="101" spans="1:16" x14ac:dyDescent="0.45">
      <c r="A101" s="1" t="s">
        <v>113</v>
      </c>
      <c r="F101" s="27">
        <v>200000</v>
      </c>
      <c r="G101" s="27">
        <f>(F101/100)*(100+'Модель рынка'!D43)</f>
        <v>200000</v>
      </c>
      <c r="H101" s="27">
        <f>(G101/100)*(100+'Модель рынка'!E43)</f>
        <v>200000</v>
      </c>
      <c r="I101" s="27">
        <f>(H101/100)*(100+'Модель рынка'!F43)</f>
        <v>200000</v>
      </c>
      <c r="J101" s="27">
        <f>(I101/100)*(100+'Модель рынка'!G43)</f>
        <v>200000</v>
      </c>
      <c r="K101" s="27">
        <f>(J101/100)*(100+'Модель рынка'!H43)</f>
        <v>200000</v>
      </c>
      <c r="L101" s="27">
        <f>(K101/100)*(100+'Модель рынка'!I43)</f>
        <v>200000</v>
      </c>
      <c r="M101" s="27">
        <f>(L101/100)*(100+'Модель рынка'!J43)</f>
        <v>200000</v>
      </c>
      <c r="N101" s="27">
        <f>(M101/100)*(100+'Модель рынка'!K43)</f>
        <v>200000</v>
      </c>
      <c r="O101" s="27">
        <f>(N101/100)*(100+'Модель рынка'!L43)</f>
        <v>200000</v>
      </c>
      <c r="P101" s="27">
        <f>(O101/100)*(100+'Модель рынка'!M43)</f>
        <v>200000</v>
      </c>
    </row>
    <row r="102" spans="1:16" x14ac:dyDescent="0.45">
      <c r="A102" s="1" t="s">
        <v>114</v>
      </c>
      <c r="F102" s="27">
        <f>SUM(ROUNDUP(F100/8,0))</f>
        <v>0</v>
      </c>
      <c r="G102" s="27">
        <f>SUM(ROUNDUP(G100/8,0))</f>
        <v>0</v>
      </c>
      <c r="H102" s="27">
        <f t="shared" ref="H102:P102" si="44">SUM(ROUNDUP(H100/8,0))</f>
        <v>0</v>
      </c>
      <c r="I102" s="27">
        <f t="shared" si="44"/>
        <v>0</v>
      </c>
      <c r="J102" s="27">
        <f t="shared" si="44"/>
        <v>0</v>
      </c>
      <c r="K102" s="27">
        <f t="shared" si="44"/>
        <v>0</v>
      </c>
      <c r="L102" s="27">
        <f t="shared" si="44"/>
        <v>0</v>
      </c>
      <c r="M102" s="27">
        <f t="shared" si="44"/>
        <v>0</v>
      </c>
      <c r="N102" s="27">
        <f t="shared" si="44"/>
        <v>0</v>
      </c>
      <c r="O102" s="27">
        <f t="shared" si="44"/>
        <v>0</v>
      </c>
      <c r="P102" s="27">
        <f t="shared" si="44"/>
        <v>0</v>
      </c>
    </row>
    <row r="103" spans="1:16" x14ac:dyDescent="0.45">
      <c r="A103" s="1" t="s">
        <v>115</v>
      </c>
      <c r="F103" s="27">
        <v>300000</v>
      </c>
      <c r="G103" s="27">
        <f>(F103/100)*(100+'Модель рынка'!D43)</f>
        <v>300000</v>
      </c>
      <c r="H103" s="27">
        <f>(G103/100)*(100+'Модель рынка'!E43)</f>
        <v>300000</v>
      </c>
      <c r="I103" s="27">
        <f>(H103/100)*(100+'Модель рынка'!F43)</f>
        <v>300000</v>
      </c>
      <c r="J103" s="27">
        <f>(I103/100)*(100+'Модель рынка'!G43)</f>
        <v>300000</v>
      </c>
      <c r="K103" s="27">
        <f>(J103/100)*(100+'Модель рынка'!H43)</f>
        <v>300000</v>
      </c>
      <c r="L103" s="27">
        <f>(K103/100)*(100+'Модель рынка'!I43)</f>
        <v>300000</v>
      </c>
      <c r="M103" s="27">
        <f>(L103/100)*(100+'Модель рынка'!J43)</f>
        <v>300000</v>
      </c>
      <c r="N103" s="27">
        <f>(M103/100)*(100+'Модель рынка'!K43)</f>
        <v>300000</v>
      </c>
      <c r="O103" s="27">
        <f>(N103/100)*(100+'Модель рынка'!L43)</f>
        <v>300000</v>
      </c>
      <c r="P103" s="27">
        <f>(O103/100)*(100+'Модель рынка'!M43)</f>
        <v>300000</v>
      </c>
    </row>
    <row r="104" spans="1:16" x14ac:dyDescent="0.45">
      <c r="A104" s="1" t="s">
        <v>116</v>
      </c>
      <c r="E104" s="1" t="s">
        <v>212</v>
      </c>
      <c r="F104" s="27">
        <f>(((F101*F100)+(F102*F103))*12)*1.1</f>
        <v>0</v>
      </c>
      <c r="G104" s="27">
        <f t="shared" ref="G104:P104" si="45">(((G101*G100)+(G102*G103))*12)*1.1</f>
        <v>0</v>
      </c>
      <c r="H104" s="27">
        <f t="shared" si="45"/>
        <v>0</v>
      </c>
      <c r="I104" s="27">
        <f t="shared" si="45"/>
        <v>0</v>
      </c>
      <c r="J104" s="27">
        <f t="shared" si="45"/>
        <v>0</v>
      </c>
      <c r="K104" s="27">
        <f t="shared" si="45"/>
        <v>0</v>
      </c>
      <c r="L104" s="27">
        <f t="shared" si="45"/>
        <v>0</v>
      </c>
      <c r="M104" s="27">
        <f t="shared" si="45"/>
        <v>0</v>
      </c>
      <c r="N104" s="27">
        <f t="shared" si="45"/>
        <v>0</v>
      </c>
      <c r="O104" s="27">
        <f t="shared" si="45"/>
        <v>0</v>
      </c>
      <c r="P104" s="27">
        <f t="shared" si="45"/>
        <v>0</v>
      </c>
    </row>
    <row r="105" spans="1:16" x14ac:dyDescent="0.45">
      <c r="A105" s="31" t="s">
        <v>122</v>
      </c>
      <c r="B105" s="31"/>
      <c r="C105" s="31"/>
      <c r="D105" s="31"/>
      <c r="E105" s="31"/>
      <c r="F105" s="34">
        <f>IF(IF(ROUNDDOWN(('Модель рынка'!D78+'Модель рынка'!D79)/F69,0)&gt;10,10,ROUNDDOWN(('Модель рынка'!D78+'Модель рынка'!D79)/F69,0))&lt;1,1,IF(ROUNDDOWN(('Модель рынка'!D78+'Модель рынка'!D79)/F69,0)&gt;10,10,ROUNDDOWN(('Модель рынка'!D78+'Модель рынка'!D79)/F69,0)))*$E$85</f>
        <v>0</v>
      </c>
      <c r="G105" s="34">
        <f>IF(IF(ROUNDDOWN(('Модель рынка'!E78+'Модель рынка'!E79)/G69,0)&gt;10,10,ROUNDDOWN(('Модель рынка'!E78+'Модель рынка'!E79)/G69,0))&lt;1,1,IF(ROUNDDOWN(('Модель рынка'!E78+'Модель рынка'!E79)/G69,0)&gt;10,10,ROUNDDOWN(('Модель рынка'!E78+'Модель рынка'!E79)/G69,0)))*$E$85</f>
        <v>0</v>
      </c>
      <c r="H105" s="34">
        <f>IF(IF(ROUNDDOWN(('Модель рынка'!F78+'Модель рынка'!F79)/H69,0)&gt;10,10,ROUNDDOWN(('Модель рынка'!F78+'Модель рынка'!F79)/H69,0))&lt;1,1,IF(ROUNDDOWN(('Модель рынка'!F78+'Модель рынка'!F79)/H69,0)&gt;10,10,ROUNDDOWN(('Модель рынка'!F78+'Модель рынка'!F79)/H69,0)))*$E$85</f>
        <v>0</v>
      </c>
      <c r="I105" s="34">
        <f>IF(IF(ROUNDDOWN(('Модель рынка'!G78+'Модель рынка'!G79)/I69,0)&gt;10,10,ROUNDDOWN(('Модель рынка'!G78+'Модель рынка'!G79)/I69,0))&lt;1,1,IF(ROUNDDOWN(('Модель рынка'!G78+'Модель рынка'!G79)/I69,0)&gt;10,10,ROUNDDOWN(('Модель рынка'!G78+'Модель рынка'!G79)/I69,0)))*$E$85</f>
        <v>0</v>
      </c>
      <c r="J105" s="34">
        <f>IF(IF(ROUNDDOWN(('Модель рынка'!H78+'Модель рынка'!H79)/J69,0)&gt;10,10,ROUNDDOWN(('Модель рынка'!H78+'Модель рынка'!H79)/J69,0))&lt;1,1,IF(ROUNDDOWN(('Модель рынка'!H78+'Модель рынка'!H79)/J69,0)&gt;10,10,ROUNDDOWN(('Модель рынка'!H78+'Модель рынка'!H79)/J69,0)))*$E$85</f>
        <v>0</v>
      </c>
      <c r="K105" s="34">
        <f>IF(IF(ROUNDDOWN(('Модель рынка'!I78+'Модель рынка'!I79)/K69,0)&gt;10,10,ROUNDDOWN(('Модель рынка'!I78+'Модель рынка'!I79)/K69,0))&lt;1,1,IF(ROUNDDOWN(('Модель рынка'!I78+'Модель рынка'!I79)/K69,0)&gt;10,10,ROUNDDOWN(('Модель рынка'!I78+'Модель рынка'!I79)/K69,0)))*$E$85</f>
        <v>0</v>
      </c>
      <c r="L105" s="34">
        <f>IF(IF(ROUNDDOWN(('Модель рынка'!J78+'Модель рынка'!J79)/L69,0)&gt;10,10,ROUNDDOWN(('Модель рынка'!J78+'Модель рынка'!J79)/L69,0))&lt;1,1,IF(ROUNDDOWN(('Модель рынка'!J78+'Модель рынка'!J79)/L69,0)&gt;10,10,ROUNDDOWN(('Модель рынка'!J78+'Модель рынка'!J79)/L69,0)))*$E$85</f>
        <v>0</v>
      </c>
      <c r="M105" s="34">
        <f>IF(IF(ROUNDDOWN(('Модель рынка'!K78+'Модель рынка'!K79)/M69,0)&gt;10,10,ROUNDDOWN(('Модель рынка'!K78+'Модель рынка'!K79)/M69,0))&lt;1,1,IF(ROUNDDOWN(('Модель рынка'!K78+'Модель рынка'!K79)/M69,0)&gt;10,10,ROUNDDOWN(('Модель рынка'!K78+'Модель рынка'!K79)/M69,0)))*$E$85</f>
        <v>0</v>
      </c>
      <c r="N105" s="34">
        <f>IF(IF(ROUNDDOWN(('Модель рынка'!L78+'Модель рынка'!L79)/N69,0)&gt;10,10,ROUNDDOWN(('Модель рынка'!L78+'Модель рынка'!L79)/N69,0))&lt;1,1,IF(ROUNDDOWN(('Модель рынка'!L78+'Модель рынка'!L79)/N69,0)&gt;10,10,ROUNDDOWN(('Модель рынка'!L78+'Модель рынка'!L79)/N69,0)))*$E$85</f>
        <v>0</v>
      </c>
      <c r="O105" s="34">
        <f>IF(IF(ROUNDDOWN(('Модель рынка'!M78+'Модель рынка'!M79)/O69,0)&gt;10,10,ROUNDDOWN(('Модель рынка'!M78+'Модель рынка'!M79)/O69,0))&lt;1,1,IF(ROUNDDOWN(('Модель рынка'!M78+'Модель рынка'!M79)/O69,0)&gt;10,10,ROUNDDOWN(('Модель рынка'!M78+'Модель рынка'!M79)/O69,0)))*$E$85</f>
        <v>0</v>
      </c>
      <c r="P105" s="34">
        <f>IF(IF(ROUNDDOWN(('Модель рынка'!N78+'Модель рынка'!N79)/P69,0)&gt;10,10,ROUNDDOWN(('Модель рынка'!N78+'Модель рынка'!N79)/P69,0))&lt;1,1,IF(ROUNDDOWN(('Модель рынка'!N78+'Модель рынка'!N79)/P69,0)&gt;10,10,ROUNDDOWN(('Модель рынка'!N78+'Модель рынка'!N79)/P69,0)))*$E$85</f>
        <v>0</v>
      </c>
    </row>
    <row r="106" spans="1:16" x14ac:dyDescent="0.45">
      <c r="A106" s="31" t="s">
        <v>123</v>
      </c>
      <c r="B106" s="31"/>
      <c r="C106" s="31"/>
      <c r="D106" s="31"/>
      <c r="E106" s="31"/>
      <c r="F106" s="34">
        <v>200000</v>
      </c>
      <c r="G106" s="34">
        <f>(F106/100)*(100+'Модель рынка'!D43)</f>
        <v>200000</v>
      </c>
      <c r="H106" s="34">
        <f>(G106/100)*(100+'Модель рынка'!E43)</f>
        <v>200000</v>
      </c>
      <c r="I106" s="34">
        <f>(H106/100)*(100+'Модель рынка'!F43)</f>
        <v>200000</v>
      </c>
      <c r="J106" s="34">
        <f>(I106/100)*(100+'Модель рынка'!G43)</f>
        <v>200000</v>
      </c>
      <c r="K106" s="34">
        <f>(J106/100)*(100+'Модель рынка'!H43)</f>
        <v>200000</v>
      </c>
      <c r="L106" s="34">
        <f>(K106/100)*(100+'Модель рынка'!I43)</f>
        <v>200000</v>
      </c>
      <c r="M106" s="34">
        <f>(L106/100)*(100+'Модель рынка'!J43)</f>
        <v>200000</v>
      </c>
      <c r="N106" s="34">
        <f>(M106/100)*(100+'Модель рынка'!K43)</f>
        <v>200000</v>
      </c>
      <c r="O106" s="34">
        <f>(N106/100)*(100+'Модель рынка'!L43)</f>
        <v>200000</v>
      </c>
      <c r="P106" s="34">
        <f>(O106/100)*(100+'Модель рынка'!M43)</f>
        <v>200000</v>
      </c>
    </row>
    <row r="107" spans="1:16" x14ac:dyDescent="0.45">
      <c r="A107" s="31" t="s">
        <v>124</v>
      </c>
      <c r="B107" s="31"/>
      <c r="C107" s="31"/>
      <c r="D107" s="31"/>
      <c r="E107" s="31"/>
      <c r="F107" s="34">
        <f>SUM(ROUNDUP(F105/8,0))</f>
        <v>0</v>
      </c>
      <c r="G107" s="34">
        <f>SUM(ROUNDUP(G105/8,0))</f>
        <v>0</v>
      </c>
      <c r="H107" s="34">
        <f t="shared" ref="H107:P107" si="46">SUM(ROUNDUP(H105/8,0))</f>
        <v>0</v>
      </c>
      <c r="I107" s="34">
        <f t="shared" si="46"/>
        <v>0</v>
      </c>
      <c r="J107" s="34">
        <f t="shared" si="46"/>
        <v>0</v>
      </c>
      <c r="K107" s="34">
        <f t="shared" si="46"/>
        <v>0</v>
      </c>
      <c r="L107" s="34">
        <f t="shared" si="46"/>
        <v>0</v>
      </c>
      <c r="M107" s="34">
        <f t="shared" si="46"/>
        <v>0</v>
      </c>
      <c r="N107" s="34">
        <f t="shared" si="46"/>
        <v>0</v>
      </c>
      <c r="O107" s="34">
        <f t="shared" si="46"/>
        <v>0</v>
      </c>
      <c r="P107" s="34">
        <f t="shared" si="46"/>
        <v>0</v>
      </c>
    </row>
    <row r="108" spans="1:16" x14ac:dyDescent="0.45">
      <c r="A108" s="31" t="s">
        <v>125</v>
      </c>
      <c r="B108" s="31"/>
      <c r="C108" s="31"/>
      <c r="D108" s="31"/>
      <c r="E108" s="31"/>
      <c r="F108" s="34">
        <v>300000</v>
      </c>
      <c r="G108" s="34">
        <f>(F108/100)*(100+'Модель рынка'!D43)</f>
        <v>300000</v>
      </c>
      <c r="H108" s="34">
        <f>(G108/100)*(100+'Модель рынка'!E43)</f>
        <v>300000</v>
      </c>
      <c r="I108" s="34">
        <f>(H108/100)*(100+'Модель рынка'!F43)</f>
        <v>300000</v>
      </c>
      <c r="J108" s="34">
        <f>(I108/100)*(100+'Модель рынка'!G43)</f>
        <v>300000</v>
      </c>
      <c r="K108" s="34">
        <f>(J108/100)*(100+'Модель рынка'!H43)</f>
        <v>300000</v>
      </c>
      <c r="L108" s="34">
        <f>(K108/100)*(100+'Модель рынка'!I43)</f>
        <v>300000</v>
      </c>
      <c r="M108" s="34">
        <f>(L108/100)*(100+'Модель рынка'!J43)</f>
        <v>300000</v>
      </c>
      <c r="N108" s="34">
        <f>(M108/100)*(100+'Модель рынка'!K43)</f>
        <v>300000</v>
      </c>
      <c r="O108" s="34">
        <f>(N108/100)*(100+'Модель рынка'!L43)</f>
        <v>300000</v>
      </c>
      <c r="P108" s="34">
        <f>(O108/100)*(100+'Модель рынка'!M43)</f>
        <v>300000</v>
      </c>
    </row>
    <row r="109" spans="1:16" x14ac:dyDescent="0.45">
      <c r="A109" s="31" t="s">
        <v>126</v>
      </c>
      <c r="B109" s="31"/>
      <c r="C109" s="31"/>
      <c r="D109" s="31"/>
      <c r="E109" s="31" t="s">
        <v>212</v>
      </c>
      <c r="F109" s="34">
        <f>(((F106*F105)+(F107*F108))*12)*1.1</f>
        <v>0</v>
      </c>
      <c r="G109" s="34">
        <f t="shared" ref="G109:P109" si="47">(((G106*G105)+(G107*G108))*12)*1.1</f>
        <v>0</v>
      </c>
      <c r="H109" s="34">
        <f t="shared" si="47"/>
        <v>0</v>
      </c>
      <c r="I109" s="34">
        <f t="shared" si="47"/>
        <v>0</v>
      </c>
      <c r="J109" s="34">
        <f t="shared" si="47"/>
        <v>0</v>
      </c>
      <c r="K109" s="34">
        <f t="shared" si="47"/>
        <v>0</v>
      </c>
      <c r="L109" s="34">
        <f t="shared" si="47"/>
        <v>0</v>
      </c>
      <c r="M109" s="34">
        <f t="shared" si="47"/>
        <v>0</v>
      </c>
      <c r="N109" s="34">
        <f t="shared" si="47"/>
        <v>0</v>
      </c>
      <c r="O109" s="34">
        <f t="shared" si="47"/>
        <v>0</v>
      </c>
      <c r="P109" s="34">
        <f t="shared" si="47"/>
        <v>0</v>
      </c>
    </row>
    <row r="110" spans="1:16" x14ac:dyDescent="0.45">
      <c r="A110" s="1" t="s">
        <v>96</v>
      </c>
      <c r="F110" s="27">
        <f>(IF(IF(ROUNDDOWN(('Модель рынка'!D78+'Модель рынка'!D79)/F69,0)&gt;10,10,ROUNDDOWN(('Модель рынка'!D78+'Модель рынка'!D79)/F69,0))&lt;1,1,IF(ROUNDDOWN(('Модель рынка'!D78+'Модель рынка'!D79)/F69,0)&gt;10,10,ROUNDDOWN(('Модель рынка'!D78+'Модель рынка'!D79)/F69,0)))*$E$85)</f>
        <v>0</v>
      </c>
      <c r="G110" s="27">
        <f>(IF(IF(ROUNDDOWN(('Модель рынка'!E78+'Модель рынка'!E79)/G69,0)&gt;10,10,ROUNDDOWN(('Модель рынка'!E78+'Модель рынка'!E79)/G69,0))&lt;1,1,IF(ROUNDDOWN(('Модель рынка'!E78+'Модель рынка'!E79)/G69,0)&gt;10,10,ROUNDDOWN(('Модель рынка'!E78+'Модель рынка'!E79)/G69,0)))*$E$85)</f>
        <v>0</v>
      </c>
      <c r="H110" s="27">
        <f>(IF(IF(ROUNDDOWN(('Модель рынка'!F78+'Модель рынка'!F79)/H69,0)&gt;10,10,ROUNDDOWN(('Модель рынка'!F78+'Модель рынка'!F79)/H69,0))&lt;1,1,IF(ROUNDDOWN(('Модель рынка'!F78+'Модель рынка'!F79)/H69,0)&gt;10,10,ROUNDDOWN(('Модель рынка'!F78+'Модель рынка'!F79)/H69,0)))*$E$85)</f>
        <v>0</v>
      </c>
      <c r="I110" s="27">
        <f>(IF(IF(ROUNDDOWN(('Модель рынка'!G78+'Модель рынка'!G79)/I69,0)&gt;10,10,ROUNDDOWN(('Модель рынка'!G78+'Модель рынка'!G79)/I69,0))&lt;1,1,IF(ROUNDDOWN(('Модель рынка'!G78+'Модель рынка'!G79)/I69,0)&gt;10,10,ROUNDDOWN(('Модель рынка'!G78+'Модель рынка'!G79)/I69,0)))*$E$85)</f>
        <v>0</v>
      </c>
      <c r="J110" s="27">
        <f>(IF(IF(ROUNDDOWN(('Модель рынка'!H78+'Модель рынка'!H79)/J69,0)&gt;10,10,ROUNDDOWN(('Модель рынка'!H78+'Модель рынка'!H79)/J69,0))&lt;1,1,IF(ROUNDDOWN(('Модель рынка'!H78+'Модель рынка'!H79)/J69,0)&gt;10,10,ROUNDDOWN(('Модель рынка'!H78+'Модель рынка'!H79)/J69,0)))*$E$85)</f>
        <v>0</v>
      </c>
      <c r="K110" s="27">
        <f>(IF(IF(ROUNDDOWN(('Модель рынка'!I78+'Модель рынка'!I79)/K69,0)&gt;10,10,ROUNDDOWN(('Модель рынка'!I78+'Модель рынка'!I79)/K69,0))&lt;1,1,IF(ROUNDDOWN(('Модель рынка'!I78+'Модель рынка'!I79)/K69,0)&gt;10,10,ROUNDDOWN(('Модель рынка'!I78+'Модель рынка'!I79)/K69,0)))*$E$85)</f>
        <v>0</v>
      </c>
      <c r="L110" s="27">
        <f>(IF(IF(ROUNDDOWN(('Модель рынка'!J78+'Модель рынка'!J79)/L69,0)&gt;10,10,ROUNDDOWN(('Модель рынка'!J78+'Модель рынка'!J79)/L69,0))&lt;1,1,IF(ROUNDDOWN(('Модель рынка'!J78+'Модель рынка'!J79)/L69,0)&gt;10,10,ROUNDDOWN(('Модель рынка'!J78+'Модель рынка'!J79)/L69,0)))*$E$85)</f>
        <v>0</v>
      </c>
      <c r="M110" s="27">
        <f>(IF(IF(ROUNDDOWN(('Модель рынка'!K78+'Модель рынка'!K79)/M69,0)&gt;10,10,ROUNDDOWN(('Модель рынка'!K78+'Модель рынка'!K79)/M69,0))&lt;1,1,IF(ROUNDDOWN(('Модель рынка'!K78+'Модель рынка'!K79)/M69,0)&gt;10,10,ROUNDDOWN(('Модель рынка'!K78+'Модель рынка'!K79)/M69,0)))*$E$85)</f>
        <v>0</v>
      </c>
      <c r="N110" s="27">
        <f>(IF(IF(ROUNDDOWN(('Модель рынка'!L78+'Модель рынка'!L79)/N69,0)&gt;10,10,ROUNDDOWN(('Модель рынка'!L78+'Модель рынка'!L79)/N69,0))&lt;1,1,IF(ROUNDDOWN(('Модель рынка'!L78+'Модель рынка'!L79)/N69,0)&gt;10,10,ROUNDDOWN(('Модель рынка'!L78+'Модель рынка'!L79)/N69,0)))*$E$85)</f>
        <v>0</v>
      </c>
      <c r="O110" s="27">
        <f>(IF(IF(ROUNDDOWN(('Модель рынка'!M78+'Модель рынка'!M79)/O69,0)&gt;10,10,ROUNDDOWN(('Модель рынка'!M78+'Модель рынка'!M79)/O69,0))&lt;1,1,IF(ROUNDDOWN(('Модель рынка'!M78+'Модель рынка'!M79)/O69,0)&gt;10,10,ROUNDDOWN(('Модель рынка'!M78+'Модель рынка'!M79)/O69,0)))*$E$85)</f>
        <v>0</v>
      </c>
      <c r="P110" s="27">
        <f>(IF(IF(ROUNDDOWN(('Модель рынка'!N78+'Модель рынка'!N79)/P69,0)&gt;10,10,ROUNDDOWN(('Модель рынка'!N78+'Модель рынка'!N79)/P69,0))&lt;1,1,IF(ROUNDDOWN(('Модель рынка'!N78+'Модель рынка'!N79)/P69,0)&gt;10,10,ROUNDDOWN(('Модель рынка'!N78+'Модель рынка'!N79)/P69,0)))*$E$85)</f>
        <v>0</v>
      </c>
    </row>
    <row r="111" spans="1:16" x14ac:dyDescent="0.45">
      <c r="A111" s="1" t="s">
        <v>97</v>
      </c>
      <c r="F111" s="3">
        <v>150000</v>
      </c>
      <c r="G111" s="36">
        <f>(F111/100)*(100+'Модель рынка'!D43)</f>
        <v>150000</v>
      </c>
      <c r="H111" s="36">
        <f>(G111/100)*(100+'Модель рынка'!E43)</f>
        <v>150000</v>
      </c>
      <c r="I111" s="36">
        <f>(H111/100)*(100+'Модель рынка'!F43)</f>
        <v>150000</v>
      </c>
      <c r="J111" s="36">
        <f>(I111/100)*(100+'Модель рынка'!G43)</f>
        <v>150000</v>
      </c>
      <c r="K111" s="36">
        <f>(J111/100)*(100+'Модель рынка'!H43)</f>
        <v>150000</v>
      </c>
      <c r="L111" s="36">
        <f>(K111/100)*(100+'Модель рынка'!I43)</f>
        <v>150000</v>
      </c>
      <c r="M111" s="36">
        <f>(L111/100)*(100+'Модель рынка'!J43)</f>
        <v>150000</v>
      </c>
      <c r="N111" s="36">
        <f>(M111/100)*(100+'Модель рынка'!K43)</f>
        <v>150000</v>
      </c>
      <c r="O111" s="36">
        <f>(N111/100)*(100+'Модель рынка'!L43)</f>
        <v>150000</v>
      </c>
      <c r="P111" s="36">
        <f>(O111/100)*(100+'Модель рынка'!M43)</f>
        <v>150000</v>
      </c>
    </row>
    <row r="112" spans="1:16" x14ac:dyDescent="0.45">
      <c r="A112" s="1" t="s">
        <v>98</v>
      </c>
      <c r="F112" s="1">
        <f>1*Моделирование!$D$16</f>
        <v>0</v>
      </c>
      <c r="G112" s="1">
        <f>1*Моделирование!$D$16</f>
        <v>0</v>
      </c>
      <c r="H112" s="1">
        <f>1*Моделирование!$D$16</f>
        <v>0</v>
      </c>
      <c r="I112" s="1">
        <f>1*Моделирование!$D$16</f>
        <v>0</v>
      </c>
      <c r="J112" s="1">
        <f>1*Моделирование!$D$16</f>
        <v>0</v>
      </c>
      <c r="K112" s="1">
        <f>1*Моделирование!$D$16</f>
        <v>0</v>
      </c>
      <c r="L112" s="1">
        <f>1*Моделирование!$D$16</f>
        <v>0</v>
      </c>
      <c r="M112" s="1">
        <f>1*Моделирование!$D$16</f>
        <v>0</v>
      </c>
      <c r="N112" s="1">
        <f>1*Моделирование!$D$16</f>
        <v>0</v>
      </c>
      <c r="O112" s="1">
        <f>1*Моделирование!$D$16</f>
        <v>0</v>
      </c>
      <c r="P112" s="1">
        <f>1*Моделирование!$D$16</f>
        <v>0</v>
      </c>
    </row>
    <row r="113" spans="1:16" x14ac:dyDescent="0.45">
      <c r="A113" s="1" t="s">
        <v>99</v>
      </c>
      <c r="F113" s="3">
        <v>1000000</v>
      </c>
      <c r="G113" s="27">
        <f>(F113/100)*(100+'Модель рынка'!D43)</f>
        <v>1000000</v>
      </c>
      <c r="H113" s="27">
        <f>(G113/100)*(100+'Модель рынка'!E43)</f>
        <v>1000000</v>
      </c>
      <c r="I113" s="27">
        <f>(H113/100)*(100+'Модель рынка'!F43)</f>
        <v>1000000</v>
      </c>
      <c r="J113" s="27">
        <f>(I113/100)*(100+'Модель рынка'!G43)</f>
        <v>1000000</v>
      </c>
      <c r="K113" s="27">
        <f>(J113/100)*(100+'Модель рынка'!H43)</f>
        <v>1000000</v>
      </c>
      <c r="L113" s="27">
        <f>(K113/100)*(100+'Модель рынка'!I43)</f>
        <v>1000000</v>
      </c>
      <c r="M113" s="27">
        <f>(L113/100)*(100+'Модель рынка'!J43)</f>
        <v>1000000</v>
      </c>
      <c r="N113" s="27">
        <f>(M113/100)*(100+'Модель рынка'!K43)</f>
        <v>1000000</v>
      </c>
      <c r="O113" s="27">
        <f>(N113/100)*(100+'Модель рынка'!L43)</f>
        <v>1000000</v>
      </c>
      <c r="P113" s="27">
        <f>(O113/100)*(100+'Модель рынка'!M43)</f>
        <v>1000000</v>
      </c>
    </row>
    <row r="114" spans="1:16" x14ac:dyDescent="0.45">
      <c r="A114" s="1" t="s">
        <v>100</v>
      </c>
      <c r="E114" s="1" t="s">
        <v>212</v>
      </c>
      <c r="F114" s="27">
        <f>((((F111*F110)+(F112*F113))*12)*1.1)*Моделирование!$D$16</f>
        <v>0</v>
      </c>
      <c r="G114" s="27">
        <f>((((G111*G110)+(G112*G113))*12)*1.1)*Моделирование!$D$16</f>
        <v>0</v>
      </c>
      <c r="H114" s="27">
        <f>((((H111*H110)+(H112*H113))*12)*1.1)*Моделирование!$D$16</f>
        <v>0</v>
      </c>
      <c r="I114" s="27">
        <f>((((I111*I110)+(I112*I113))*12)*1.1)*Моделирование!$D$16</f>
        <v>0</v>
      </c>
      <c r="J114" s="27">
        <f>((((J111*J110)+(J112*J113))*12)*1.1)*Моделирование!$D$16</f>
        <v>0</v>
      </c>
      <c r="K114" s="27">
        <f>((((K111*K110)+(K112*K113))*12)*1.1)*Моделирование!$D$16</f>
        <v>0</v>
      </c>
      <c r="L114" s="27">
        <f>((((L111*L110)+(L112*L113))*12)*1.1)*Моделирование!$D$16</f>
        <v>0</v>
      </c>
      <c r="M114" s="27">
        <f>((((M111*M110)+(M112*M113))*12)*1.1)*Моделирование!$D$16</f>
        <v>0</v>
      </c>
      <c r="N114" s="27">
        <f>((((N111*N110)+(N112*N113))*12)*1.1)*Моделирование!$D$16</f>
        <v>0</v>
      </c>
      <c r="O114" s="27">
        <f>((((O111*O110)+(O112*O113))*12)*1.1)*Моделирование!$D$16</f>
        <v>0</v>
      </c>
      <c r="P114" s="27">
        <f>((((P111*P110)+(P112*P113))*12)*1.1)*Моделирование!$D$16</f>
        <v>0</v>
      </c>
    </row>
  </sheetData>
  <mergeCells count="2">
    <mergeCell ref="A3:D3"/>
    <mergeCell ref="A59:D5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workbookViewId="0">
      <pane ySplit="1" topLeftCell="A2" activePane="bottomLeft" state="frozenSplit"/>
      <selection pane="bottomLeft" activeCell="D11" sqref="D11"/>
    </sheetView>
  </sheetViews>
  <sheetFormatPr defaultColWidth="9.1328125" defaultRowHeight="14.25" x14ac:dyDescent="0.45"/>
  <cols>
    <col min="1" max="1" width="41.73046875" style="1" customWidth="1"/>
    <col min="2" max="2" width="22.59765625" style="1" bestFit="1" customWidth="1"/>
    <col min="3" max="7" width="20" style="1" bestFit="1" customWidth="1"/>
    <col min="8" max="13" width="21" style="1" bestFit="1" customWidth="1"/>
    <col min="14" max="14" width="9.1328125" style="1"/>
    <col min="15" max="15" width="12.265625" style="1" bestFit="1" customWidth="1"/>
    <col min="16" max="16384" width="9.1328125" style="1"/>
  </cols>
  <sheetData>
    <row r="1" spans="1:15" x14ac:dyDescent="0.45">
      <c r="C1" s="5" t="str">
        <f>'Модель рынка'!D3</f>
        <v>2022</v>
      </c>
      <c r="D1" s="5" t="str">
        <f>'Модель рынка'!E3</f>
        <v>2023</v>
      </c>
      <c r="E1" s="5" t="str">
        <f>'Модель рынка'!F3</f>
        <v>2024</v>
      </c>
      <c r="F1" s="5" t="str">
        <f>'Модель рынка'!G3</f>
        <v>2025</v>
      </c>
      <c r="G1" s="5" t="str">
        <f>'Модель рынка'!H3</f>
        <v>2026</v>
      </c>
      <c r="H1" s="5" t="str">
        <f>'Модель рынка'!I3</f>
        <v>2027</v>
      </c>
      <c r="I1" s="5" t="str">
        <f>'Модель рынка'!J3</f>
        <v>2028</v>
      </c>
      <c r="J1" s="5" t="str">
        <f>'Модель рынка'!K3</f>
        <v>2029</v>
      </c>
      <c r="K1" s="5" t="str">
        <f>'Модель рынка'!L3</f>
        <v>2030</v>
      </c>
      <c r="L1" s="5" t="str">
        <f>'Модель рынка'!M3</f>
        <v>2031</v>
      </c>
      <c r="M1" s="5" t="str">
        <f>'Модель рынка'!N3</f>
        <v>2032</v>
      </c>
    </row>
    <row r="2" spans="1:15" x14ac:dyDescent="0.45">
      <c r="A2" s="48" t="str" cm="1">
        <f t="array" ref="A2:D2">'План по персоналу'!A3:D3</f>
        <v>Развитие</v>
      </c>
      <c r="B2" s="48">
        <v>0</v>
      </c>
      <c r="C2" s="67">
        <v>0</v>
      </c>
      <c r="D2" s="67">
        <v>0</v>
      </c>
      <c r="E2" s="67"/>
      <c r="F2" s="67"/>
      <c r="G2" s="67"/>
      <c r="H2" s="67"/>
      <c r="I2" s="67"/>
      <c r="J2" s="67"/>
      <c r="K2" s="67"/>
      <c r="L2" s="67"/>
      <c r="M2" s="67"/>
    </row>
    <row r="3" spans="1:15" x14ac:dyDescent="0.45">
      <c r="A3" s="1" t="s">
        <v>66</v>
      </c>
      <c r="B3" s="40">
        <f>SUM(C3:M3)</f>
        <v>814653565408.22546</v>
      </c>
      <c r="C3" s="40">
        <f>C7+C10+C14+C16+C18+C22+C24+C26+C29+C32+C34+C36</f>
        <v>86880025</v>
      </c>
      <c r="D3" s="40">
        <f t="shared" ref="D3:M3" si="0">D7+D10+D14+D16+D18+D22+D24+D26+D29+D32+D34+D36</f>
        <v>3476919170.7142854</v>
      </c>
      <c r="E3" s="40">
        <f t="shared" si="0"/>
        <v>4139465036.9999995</v>
      </c>
      <c r="F3" s="40">
        <f t="shared" si="0"/>
        <v>8409760144.9314289</v>
      </c>
      <c r="G3" s="40">
        <f t="shared" si="0"/>
        <v>17325459501.14994</v>
      </c>
      <c r="H3" s="40">
        <f t="shared" si="0"/>
        <v>32070761201.491177</v>
      </c>
      <c r="I3" s="40">
        <f t="shared" si="0"/>
        <v>57978622021.469894</v>
      </c>
      <c r="J3" s="40">
        <f t="shared" si="0"/>
        <v>98183560801.258469</v>
      </c>
      <c r="K3" s="40">
        <f t="shared" si="0"/>
        <v>159397134318.32858</v>
      </c>
      <c r="L3" s="40">
        <f t="shared" si="0"/>
        <v>236945886501.51505</v>
      </c>
      <c r="M3" s="40">
        <f t="shared" si="0"/>
        <v>196639116685.3667</v>
      </c>
      <c r="O3" s="40">
        <f>K4-K41</f>
        <v>78958764458.411728</v>
      </c>
    </row>
    <row r="4" spans="1:15" x14ac:dyDescent="0.45">
      <c r="A4" s="1" t="s">
        <v>189</v>
      </c>
      <c r="B4" s="40"/>
      <c r="C4" s="40">
        <f>SUMIF($B:$B,"Пост",C:C)</f>
        <v>86880025</v>
      </c>
      <c r="D4" s="40">
        <f t="shared" ref="D4:M4" si="1">SUMIF($B:$B,"Пост",D:D)</f>
        <v>691717599.28571415</v>
      </c>
      <c r="E4" s="40">
        <f t="shared" si="1"/>
        <v>1354263465.5714288</v>
      </c>
      <c r="F4" s="40">
        <f t="shared" si="1"/>
        <v>2843126859.2171431</v>
      </c>
      <c r="G4" s="40">
        <f t="shared" si="1"/>
        <v>5941923072.5785141</v>
      </c>
      <c r="H4" s="40">
        <f t="shared" si="1"/>
        <v>12272137844.348312</v>
      </c>
      <c r="I4" s="40">
        <f t="shared" si="1"/>
        <v>24143862178.612755</v>
      </c>
      <c r="J4" s="40">
        <f t="shared" si="1"/>
        <v>44896333855.54422</v>
      </c>
      <c r="K4" s="40">
        <f t="shared" si="1"/>
        <v>78999312774.900024</v>
      </c>
      <c r="L4" s="40">
        <f t="shared" si="1"/>
        <v>130274269973.17235</v>
      </c>
      <c r="M4" s="40">
        <f t="shared" si="1"/>
        <v>197132609896.79526</v>
      </c>
    </row>
    <row r="5" spans="1:15" x14ac:dyDescent="0.45">
      <c r="A5" s="1" t="s">
        <v>230</v>
      </c>
      <c r="B5" s="40"/>
      <c r="C5" s="40">
        <f>C22+C18</f>
        <v>12.5</v>
      </c>
      <c r="D5" s="40">
        <f t="shared" ref="D5:M5" si="2">D22+D18</f>
        <v>2828571456.7857141</v>
      </c>
      <c r="E5" s="40">
        <f t="shared" si="2"/>
        <v>2828571488.2142854</v>
      </c>
      <c r="F5" s="40">
        <f t="shared" si="2"/>
        <v>5657142979.6428576</v>
      </c>
      <c r="G5" s="40">
        <f t="shared" si="2"/>
        <v>11564285962.499998</v>
      </c>
      <c r="H5" s="40">
        <f t="shared" si="2"/>
        <v>20115714760.357147</v>
      </c>
      <c r="I5" s="40">
        <f t="shared" si="2"/>
        <v>34395429523.785706</v>
      </c>
      <c r="J5" s="40">
        <f t="shared" si="2"/>
        <v>54172801812.242844</v>
      </c>
      <c r="K5" s="40">
        <f t="shared" si="2"/>
        <v>81766083274.048584</v>
      </c>
      <c r="L5" s="40">
        <f t="shared" si="2"/>
        <v>108528588470.08044</v>
      </c>
      <c r="M5" s="40">
        <f t="shared" si="2"/>
        <v>9076.2714285714283</v>
      </c>
    </row>
    <row r="6" spans="1:15" x14ac:dyDescent="0.45">
      <c r="A6" s="1" t="s">
        <v>38</v>
      </c>
      <c r="B6" s="40"/>
      <c r="C6" s="41">
        <v>300</v>
      </c>
      <c r="D6" s="42">
        <v>300</v>
      </c>
      <c r="E6" s="42">
        <v>300</v>
      </c>
      <c r="F6" s="42">
        <v>300</v>
      </c>
      <c r="G6" s="42">
        <v>300</v>
      </c>
      <c r="H6" s="42">
        <v>300</v>
      </c>
      <c r="I6" s="42">
        <v>300</v>
      </c>
      <c r="J6" s="42">
        <v>300</v>
      </c>
      <c r="K6" s="42">
        <v>300</v>
      </c>
      <c r="L6" s="42">
        <v>300</v>
      </c>
      <c r="M6" s="42">
        <v>300</v>
      </c>
    </row>
    <row r="7" spans="1:15" x14ac:dyDescent="0.45">
      <c r="A7" s="1" t="s">
        <v>39</v>
      </c>
      <c r="B7" s="40" t="s">
        <v>175</v>
      </c>
      <c r="C7" s="42">
        <f>(C6*(C11+C19))*12</f>
        <v>900000</v>
      </c>
      <c r="D7" s="42">
        <f t="shared" ref="D7:M7" si="3">(D6*(D11+D19))*12</f>
        <v>12214285.714285715</v>
      </c>
      <c r="E7" s="42">
        <f t="shared" si="3"/>
        <v>34842857.142857142</v>
      </c>
      <c r="F7" s="42">
        <f t="shared" si="3"/>
        <v>80100000</v>
      </c>
      <c r="G7" s="42">
        <f t="shared" si="3"/>
        <v>170614285.71428573</v>
      </c>
      <c r="H7" s="42">
        <f t="shared" si="3"/>
        <v>351642857.14285713</v>
      </c>
      <c r="I7" s="42">
        <f t="shared" si="3"/>
        <v>695597142.85714293</v>
      </c>
      <c r="J7" s="42">
        <f t="shared" si="3"/>
        <v>1314714857.1428573</v>
      </c>
      <c r="K7" s="42">
        <f t="shared" si="3"/>
        <v>2367214971.4285712</v>
      </c>
      <c r="L7" s="42">
        <f t="shared" si="3"/>
        <v>4051215154.2857141</v>
      </c>
      <c r="M7" s="42">
        <f t="shared" si="3"/>
        <v>6577215428.5714273</v>
      </c>
    </row>
    <row r="8" spans="1:15" x14ac:dyDescent="0.45">
      <c r="A8" s="1" t="s">
        <v>42</v>
      </c>
      <c r="B8" s="40"/>
      <c r="C8" s="42">
        <f>'План по персоналу'!F6</f>
        <v>10</v>
      </c>
      <c r="D8" s="42">
        <f>'План по персоналу'!G6-C8</f>
        <v>3</v>
      </c>
      <c r="E8" s="42">
        <f>'План по персоналу'!H6-D8-C8</f>
        <v>7.9999999999999964</v>
      </c>
      <c r="F8" s="42">
        <f>'План по персоналу'!I6-E8-D8-C8</f>
        <v>17.000000000000011</v>
      </c>
      <c r="G8" s="42">
        <f>'План по персоналу'!J6-F8-E8-D8-C8</f>
        <v>32</v>
      </c>
      <c r="H8" s="42">
        <f>'План по персоналу'!K6-G8-F8-E8-D8-C8</f>
        <v>65.999999999999929</v>
      </c>
      <c r="I8" s="42">
        <f>'План по персоналу'!L6-H8-G8-F8-E8-D8-C8</f>
        <v>127</v>
      </c>
      <c r="J8" s="42">
        <f>'План по персоналу'!M6-I8-H8-G8-F8-E8-D8-C8</f>
        <v>228</v>
      </c>
      <c r="K8" s="78">
        <f>'План по персоналу'!N6</f>
        <v>876.00000000000023</v>
      </c>
      <c r="L8" s="42">
        <f>'План по персоналу'!O6-K8</f>
        <v>618</v>
      </c>
      <c r="M8" s="42">
        <f>'План по персоналу'!P6-L8-K8</f>
        <v>925.99999999999886</v>
      </c>
    </row>
    <row r="9" spans="1:15" x14ac:dyDescent="0.45">
      <c r="A9" s="1" t="s">
        <v>40</v>
      </c>
      <c r="B9" s="40"/>
      <c r="C9" s="42">
        <v>150000</v>
      </c>
      <c r="D9" s="42">
        <f>(C9/100)*(100+'Модель рынка'!D5)</f>
        <v>150000</v>
      </c>
      <c r="E9" s="42">
        <f>(D9/100)*(100+'Модель рынка'!E5)</f>
        <v>150000</v>
      </c>
      <c r="F9" s="42">
        <f>(E9/100)*(100+'Модель рынка'!F5)</f>
        <v>150000</v>
      </c>
      <c r="G9" s="42">
        <f>(F9/100)*(100+'Модель рынка'!G5)</f>
        <v>150000</v>
      </c>
      <c r="H9" s="42">
        <f>(G9/100)*(100+'Модель рынка'!H5)</f>
        <v>150000</v>
      </c>
      <c r="I9" s="42">
        <f>(H9/100)*(100+'Модель рынка'!I5)</f>
        <v>150000</v>
      </c>
      <c r="J9" s="42">
        <f>(I9/100)*(100+'Модель рынка'!J5)</f>
        <v>150000</v>
      </c>
      <c r="K9" s="42">
        <f>(J9/100)*(100+'Модель рынка'!K5)</f>
        <v>150000</v>
      </c>
      <c r="L9" s="42">
        <f>(K9/100)*(100+'Модель рынка'!L5)</f>
        <v>150000</v>
      </c>
      <c r="M9" s="42">
        <f>(L9/100)*(100+'Модель рынка'!M5)</f>
        <v>150000</v>
      </c>
    </row>
    <row r="10" spans="1:15" x14ac:dyDescent="0.45">
      <c r="A10" s="1" t="s">
        <v>41</v>
      </c>
      <c r="B10" s="40" t="s">
        <v>175</v>
      </c>
      <c r="C10" s="42">
        <f>C8*C9</f>
        <v>1500000</v>
      </c>
      <c r="D10" s="42">
        <f>D8*D9</f>
        <v>450000</v>
      </c>
      <c r="E10" s="42">
        <f t="shared" ref="E10:M10" si="4">E8*E9</f>
        <v>1199999.9999999995</v>
      </c>
      <c r="F10" s="42">
        <f t="shared" si="4"/>
        <v>2550000.0000000014</v>
      </c>
      <c r="G10" s="42">
        <f t="shared" si="4"/>
        <v>4800000</v>
      </c>
      <c r="H10" s="42">
        <f t="shared" si="4"/>
        <v>9899999.9999999888</v>
      </c>
      <c r="I10" s="42">
        <f t="shared" si="4"/>
        <v>19050000</v>
      </c>
      <c r="J10" s="42">
        <f t="shared" si="4"/>
        <v>34200000</v>
      </c>
      <c r="K10" s="42">
        <f>K8*K9</f>
        <v>131400000.00000003</v>
      </c>
      <c r="L10" s="42">
        <f t="shared" si="4"/>
        <v>92700000</v>
      </c>
      <c r="M10" s="42">
        <f t="shared" si="4"/>
        <v>138899999.99999982</v>
      </c>
    </row>
    <row r="11" spans="1:15" x14ac:dyDescent="0.45">
      <c r="A11" s="1" t="s">
        <v>213</v>
      </c>
      <c r="B11" s="40"/>
      <c r="C11" s="42">
        <f>'Модель рынка'!D16</f>
        <v>250</v>
      </c>
      <c r="D11" s="42">
        <f>'Модель рынка'!E16+C11</f>
        <v>564.28571428571422</v>
      </c>
      <c r="E11" s="42">
        <f>'Модель рынка'!F16+D11</f>
        <v>1192.8571428571427</v>
      </c>
      <c r="F11" s="42">
        <f>'Модель рынка'!G16+E11</f>
        <v>2450</v>
      </c>
      <c r="G11" s="42">
        <f>'Модель рынка'!H16+F11</f>
        <v>4964.2857142857138</v>
      </c>
      <c r="H11" s="42">
        <f>'Модель рынка'!I16+G11</f>
        <v>9492.8571428571413</v>
      </c>
      <c r="I11" s="42">
        <f>'Модель рынка'!J16+H11</f>
        <v>19047.142857142855</v>
      </c>
      <c r="J11" s="42">
        <f>'Модель рынка'!K16+I11</f>
        <v>36244.857142857145</v>
      </c>
      <c r="K11" s="42">
        <f>'Модель рынка'!L16+J11</f>
        <v>65480.971428571429</v>
      </c>
      <c r="L11" s="42">
        <f>'Модель рынка'!M16+K11</f>
        <v>112258.75428571428</v>
      </c>
      <c r="M11" s="42">
        <f>'Модель рынка'!N16+L11</f>
        <v>181525.42857142855</v>
      </c>
    </row>
    <row r="12" spans="1:15" x14ac:dyDescent="0.45">
      <c r="A12" s="1" t="s">
        <v>48</v>
      </c>
      <c r="B12" s="40"/>
      <c r="C12" s="42">
        <v>0</v>
      </c>
      <c r="D12" s="42">
        <f>'Модель рынка'!E16-C12</f>
        <v>314.28571428571428</v>
      </c>
      <c r="E12" s="42">
        <f>'Модель рынка'!F16-D12</f>
        <v>314.28571428571428</v>
      </c>
      <c r="F12" s="42">
        <f>'Модель рынка'!G16-E12</f>
        <v>942.85714285714289</v>
      </c>
      <c r="G12" s="42">
        <f>'Модель рынка'!H16-F12</f>
        <v>1571.4285714285713</v>
      </c>
      <c r="H12" s="42">
        <f>'Модель рынка'!I16-G12</f>
        <v>2957.1428571428569</v>
      </c>
      <c r="I12" s="42">
        <f>'Модель рынка'!J16-H12</f>
        <v>6597.1428571428569</v>
      </c>
      <c r="J12" s="42">
        <f>'Модель рынка'!K16-I12</f>
        <v>10600.571428571429</v>
      </c>
      <c r="K12" s="42">
        <f>'Модель рынка'!L16-J12</f>
        <v>18635.542857142857</v>
      </c>
      <c r="L12" s="42">
        <f>'Модель рынка'!M16-K12</f>
        <v>28142.239999999998</v>
      </c>
      <c r="M12" s="42">
        <f>'Модель рынка'!N16-L12</f>
        <v>41124.434285714269</v>
      </c>
    </row>
    <row r="13" spans="1:15" x14ac:dyDescent="0.45">
      <c r="A13" s="1" t="s">
        <v>44</v>
      </c>
      <c r="B13" s="40"/>
      <c r="C13" s="41">
        <f>Моделирование!$C$9</f>
        <v>5</v>
      </c>
      <c r="D13" s="42">
        <f>(C13/100)*(100+'Модель рынка'!D5)</f>
        <v>5</v>
      </c>
      <c r="E13" s="42">
        <f>(D13/100)*(100+'Модель рынка'!E5)</f>
        <v>5</v>
      </c>
      <c r="F13" s="42">
        <f>(E13/100)*(100+'Модель рынка'!F5)</f>
        <v>5</v>
      </c>
      <c r="G13" s="42">
        <f>(F13/100)*(100+'Модель рынка'!G5)</f>
        <v>5</v>
      </c>
      <c r="H13" s="42">
        <f>(G13/100)*(100+'Модель рынка'!H5)</f>
        <v>5</v>
      </c>
      <c r="I13" s="42">
        <f>(H13/100)*(100+'Модель рынка'!I5)</f>
        <v>5</v>
      </c>
      <c r="J13" s="42">
        <f>(I13/100)*(100+'Модель рынка'!J5)</f>
        <v>5</v>
      </c>
      <c r="K13" s="42">
        <f>(J13/100)*(100+'Модель рынка'!K5)</f>
        <v>5</v>
      </c>
      <c r="L13" s="42">
        <f>(K13/100)*(100+'Модель рынка'!L5)</f>
        <v>5</v>
      </c>
      <c r="M13" s="42">
        <f>(L13/100)*(100+'Модель рынка'!M5)</f>
        <v>5</v>
      </c>
    </row>
    <row r="14" spans="1:15" x14ac:dyDescent="0.45">
      <c r="A14" s="1" t="s">
        <v>45</v>
      </c>
      <c r="B14" s="40"/>
      <c r="C14" s="42">
        <f>C12*C13</f>
        <v>0</v>
      </c>
      <c r="D14" s="42">
        <f t="shared" ref="D14:L14" si="5">D12*D13</f>
        <v>1571.4285714285713</v>
      </c>
      <c r="E14" s="42">
        <f t="shared" si="5"/>
        <v>1571.4285714285713</v>
      </c>
      <c r="F14" s="42">
        <f t="shared" si="5"/>
        <v>4714.2857142857147</v>
      </c>
      <c r="G14" s="42">
        <f t="shared" si="5"/>
        <v>7857.1428571428569</v>
      </c>
      <c r="H14" s="42">
        <f t="shared" si="5"/>
        <v>14785.714285714284</v>
      </c>
      <c r="I14" s="42">
        <f t="shared" si="5"/>
        <v>32985.714285714283</v>
      </c>
      <c r="J14" s="42">
        <f t="shared" si="5"/>
        <v>53002.857142857145</v>
      </c>
      <c r="K14" s="42">
        <f t="shared" si="5"/>
        <v>93177.71428571429</v>
      </c>
      <c r="L14" s="42">
        <f t="shared" si="5"/>
        <v>140711.19999999998</v>
      </c>
      <c r="M14" s="42"/>
      <c r="N14" s="1" t="s">
        <v>47</v>
      </c>
    </row>
    <row r="15" spans="1:15" x14ac:dyDescent="0.45">
      <c r="A15" s="1" t="s">
        <v>49</v>
      </c>
      <c r="B15" s="40"/>
      <c r="C15" s="41">
        <f>(C13/100)*1</f>
        <v>0.05</v>
      </c>
      <c r="D15" s="41">
        <f t="shared" ref="D15:M15" si="6">(D13/100)*1</f>
        <v>0.05</v>
      </c>
      <c r="E15" s="41">
        <f t="shared" si="6"/>
        <v>0.05</v>
      </c>
      <c r="F15" s="41">
        <f t="shared" si="6"/>
        <v>0.05</v>
      </c>
      <c r="G15" s="41">
        <f t="shared" si="6"/>
        <v>0.05</v>
      </c>
      <c r="H15" s="41">
        <f t="shared" si="6"/>
        <v>0.05</v>
      </c>
      <c r="I15" s="41">
        <f t="shared" si="6"/>
        <v>0.05</v>
      </c>
      <c r="J15" s="41">
        <f t="shared" si="6"/>
        <v>0.05</v>
      </c>
      <c r="K15" s="41">
        <f t="shared" si="6"/>
        <v>0.05</v>
      </c>
      <c r="L15" s="41">
        <f t="shared" si="6"/>
        <v>0.05</v>
      </c>
      <c r="M15" s="41">
        <f t="shared" si="6"/>
        <v>0.05</v>
      </c>
    </row>
    <row r="16" spans="1:15" x14ac:dyDescent="0.45">
      <c r="A16" s="1" t="s">
        <v>50</v>
      </c>
      <c r="B16" s="40" t="s">
        <v>175</v>
      </c>
      <c r="C16" s="42">
        <f>C15*C11</f>
        <v>12.5</v>
      </c>
      <c r="D16" s="42">
        <f>D15*D11</f>
        <v>28.214285714285712</v>
      </c>
      <c r="E16" s="42">
        <f t="shared" ref="E16:M16" si="7">E15*E11</f>
        <v>59.642857142857139</v>
      </c>
      <c r="F16" s="42">
        <f t="shared" si="7"/>
        <v>122.5</v>
      </c>
      <c r="G16" s="42">
        <f t="shared" si="7"/>
        <v>248.21428571428569</v>
      </c>
      <c r="H16" s="42">
        <f t="shared" si="7"/>
        <v>474.64285714285711</v>
      </c>
      <c r="I16" s="42">
        <f t="shared" si="7"/>
        <v>952.35714285714278</v>
      </c>
      <c r="J16" s="42">
        <f t="shared" si="7"/>
        <v>1812.2428571428572</v>
      </c>
      <c r="K16" s="42">
        <f t="shared" si="7"/>
        <v>3274.0485714285714</v>
      </c>
      <c r="L16" s="42">
        <f t="shared" si="7"/>
        <v>5612.9377142857147</v>
      </c>
      <c r="M16" s="42">
        <f t="shared" si="7"/>
        <v>9076.2714285714283</v>
      </c>
    </row>
    <row r="17" spans="1:13" x14ac:dyDescent="0.45">
      <c r="A17" s="1" t="s">
        <v>51</v>
      </c>
      <c r="B17" s="40"/>
      <c r="C17" s="41">
        <f>(C13/100)*1</f>
        <v>0.05</v>
      </c>
      <c r="D17" s="41">
        <f t="shared" ref="D17:M17" si="8">(D13/100)*1</f>
        <v>0.05</v>
      </c>
      <c r="E17" s="41">
        <f t="shared" si="8"/>
        <v>0.05</v>
      </c>
      <c r="F17" s="41">
        <f t="shared" si="8"/>
        <v>0.05</v>
      </c>
      <c r="G17" s="41">
        <f t="shared" si="8"/>
        <v>0.05</v>
      </c>
      <c r="H17" s="41">
        <f t="shared" si="8"/>
        <v>0.05</v>
      </c>
      <c r="I17" s="41">
        <f t="shared" si="8"/>
        <v>0.05</v>
      </c>
      <c r="J17" s="41">
        <f t="shared" si="8"/>
        <v>0.05</v>
      </c>
      <c r="K17" s="41">
        <f t="shared" si="8"/>
        <v>0.05</v>
      </c>
      <c r="L17" s="41">
        <f t="shared" si="8"/>
        <v>0.05</v>
      </c>
      <c r="M17" s="41">
        <f t="shared" si="8"/>
        <v>0.05</v>
      </c>
    </row>
    <row r="18" spans="1:13" x14ac:dyDescent="0.45">
      <c r="A18" s="1" t="s">
        <v>52</v>
      </c>
      <c r="B18" s="40" t="s">
        <v>175</v>
      </c>
      <c r="C18" s="42">
        <f>C17*C11</f>
        <v>12.5</v>
      </c>
      <c r="D18" s="42">
        <f t="shared" ref="D18:M18" si="9">D17*D11</f>
        <v>28.214285714285712</v>
      </c>
      <c r="E18" s="42">
        <f t="shared" si="9"/>
        <v>59.642857142857139</v>
      </c>
      <c r="F18" s="42">
        <f t="shared" si="9"/>
        <v>122.5</v>
      </c>
      <c r="G18" s="42">
        <f t="shared" si="9"/>
        <v>248.21428571428569</v>
      </c>
      <c r="H18" s="42">
        <f t="shared" si="9"/>
        <v>474.64285714285711</v>
      </c>
      <c r="I18" s="42">
        <f t="shared" si="9"/>
        <v>952.35714285714278</v>
      </c>
      <c r="J18" s="42">
        <f t="shared" si="9"/>
        <v>1812.2428571428572</v>
      </c>
      <c r="K18" s="42">
        <f t="shared" si="9"/>
        <v>3274.0485714285714</v>
      </c>
      <c r="L18" s="42">
        <f t="shared" si="9"/>
        <v>5612.9377142857147</v>
      </c>
      <c r="M18" s="42">
        <f t="shared" si="9"/>
        <v>9076.2714285714283</v>
      </c>
    </row>
    <row r="19" spans="1:13" x14ac:dyDescent="0.45">
      <c r="A19" s="1" t="s">
        <v>214</v>
      </c>
      <c r="B19" s="40"/>
      <c r="C19" s="42">
        <f>'Модель рынка'!D17</f>
        <v>0</v>
      </c>
      <c r="D19" s="42">
        <f>'Модель рынка'!E17+C19</f>
        <v>2828.5714285714284</v>
      </c>
      <c r="E19" s="42">
        <f>'Модель рынка'!F17+D19</f>
        <v>8485.7142857142862</v>
      </c>
      <c r="F19" s="42">
        <f>'Модель рынка'!G17+E19</f>
        <v>19800</v>
      </c>
      <c r="G19" s="42">
        <f>'Модель рынка'!H17+F19</f>
        <v>42428.571428571428</v>
      </c>
      <c r="H19" s="42">
        <f>'Модель рынка'!I17+G19</f>
        <v>88185.71428571429</v>
      </c>
      <c r="I19" s="42">
        <f>'Модель рынка'!J17+H19</f>
        <v>174174.28571428574</v>
      </c>
      <c r="J19" s="42">
        <f>'Модель рынка'!K17+I19</f>
        <v>328953.71428571432</v>
      </c>
      <c r="K19" s="42">
        <f>'Модель рынка'!L17+J19</f>
        <v>592078.74285714282</v>
      </c>
      <c r="L19" s="42">
        <f>'Модель рынка'!M17+K19</f>
        <v>1013078.7885714285</v>
      </c>
      <c r="M19" s="42">
        <f>'Модель рынка'!N17+L19</f>
        <v>1645478.8571428568</v>
      </c>
    </row>
    <row r="20" spans="1:13" x14ac:dyDescent="0.45">
      <c r="A20" s="1" t="s">
        <v>53</v>
      </c>
      <c r="B20" s="40"/>
      <c r="C20" s="42">
        <v>0</v>
      </c>
      <c r="D20" s="42">
        <f>'Модель рынка'!F17-C20</f>
        <v>5657.1428571428569</v>
      </c>
      <c r="E20" s="42">
        <f>'Модель рынка'!G17-C20-D20</f>
        <v>5657.1428571428569</v>
      </c>
      <c r="F20" s="42">
        <f>'Модель рынка'!H17-C20-D20-E20</f>
        <v>11314.285714285716</v>
      </c>
      <c r="G20" s="42">
        <f>'Модель рынка'!I17-C20-D20-E20-F20</f>
        <v>23128.571428571428</v>
      </c>
      <c r="H20" s="42">
        <f>'Модель рынка'!J17-C20-D20-E20-F20-G20</f>
        <v>40231.42857142858</v>
      </c>
      <c r="I20" s="42">
        <f>'Модель рынка'!K17-C20-D20-E20-F20-G20-H20</f>
        <v>68790.85714285713</v>
      </c>
      <c r="J20" s="42">
        <f>'Модель рынка'!L17-D20-E20-F20-G20-H20-I20</f>
        <v>108345.59999999998</v>
      </c>
      <c r="K20" s="42">
        <f>'Модель рынка'!M17-E20-F20-G20-H20-I20-J20</f>
        <v>163532.16000000003</v>
      </c>
      <c r="L20" s="42">
        <f>'Модель рынка'!N17-F20-G20-H20-I20-J20-K20</f>
        <v>217057.16571428545</v>
      </c>
      <c r="M20" s="42"/>
    </row>
    <row r="21" spans="1:13" x14ac:dyDescent="0.45">
      <c r="A21" s="1" t="s">
        <v>127</v>
      </c>
      <c r="B21" s="40"/>
      <c r="C21" s="42">
        <f>Моделирование!C10</f>
        <v>500000</v>
      </c>
      <c r="D21" s="42">
        <f>(C21/100)*(100+'Модель рынка'!D5)</f>
        <v>500000</v>
      </c>
      <c r="E21" s="42">
        <f>(D21/100)*(100+'Модель рынка'!E5)</f>
        <v>500000</v>
      </c>
      <c r="F21" s="42">
        <f>(E21/100)*(100+'Модель рынка'!F5)</f>
        <v>500000</v>
      </c>
      <c r="G21" s="42">
        <f>(F21/100)*(100+'Модель рынка'!G5)</f>
        <v>500000</v>
      </c>
      <c r="H21" s="42">
        <f>(G21/100)*(100+'Модель рынка'!H5)</f>
        <v>500000</v>
      </c>
      <c r="I21" s="42">
        <f>(H21/100)*(100+'Модель рынка'!I5)</f>
        <v>500000</v>
      </c>
      <c r="J21" s="42">
        <f>(I21/100)*(100+'Модель рынка'!J5)</f>
        <v>500000</v>
      </c>
      <c r="K21" s="42">
        <f>(J21/100)*(100+'Модель рынка'!K5)</f>
        <v>500000</v>
      </c>
      <c r="L21" s="42">
        <f>(K21/100)*(100+'Модель рынка'!L5)</f>
        <v>500000</v>
      </c>
      <c r="M21" s="42">
        <f>(L21/100)*(100+'Модель рынка'!M5)</f>
        <v>500000</v>
      </c>
    </row>
    <row r="22" spans="1:13" x14ac:dyDescent="0.45">
      <c r="A22" s="1" t="s">
        <v>46</v>
      </c>
      <c r="B22" s="40"/>
      <c r="C22" s="42">
        <f>C20*C21</f>
        <v>0</v>
      </c>
      <c r="D22" s="42">
        <f t="shared" ref="D22:M22" si="10">D20*D21</f>
        <v>2828571428.5714283</v>
      </c>
      <c r="E22" s="42">
        <f t="shared" si="10"/>
        <v>2828571428.5714283</v>
      </c>
      <c r="F22" s="42">
        <f t="shared" si="10"/>
        <v>5657142857.1428576</v>
      </c>
      <c r="G22" s="42">
        <f t="shared" si="10"/>
        <v>11564285714.285713</v>
      </c>
      <c r="H22" s="42">
        <f t="shared" si="10"/>
        <v>20115714285.714291</v>
      </c>
      <c r="I22" s="42">
        <f>I20*I21</f>
        <v>34395428571.428566</v>
      </c>
      <c r="J22" s="42">
        <f t="shared" si="10"/>
        <v>54172799999.999985</v>
      </c>
      <c r="K22" s="42">
        <f t="shared" si="10"/>
        <v>81766080000.000015</v>
      </c>
      <c r="L22" s="42">
        <f t="shared" si="10"/>
        <v>108528582857.14273</v>
      </c>
      <c r="M22" s="42">
        <f t="shared" si="10"/>
        <v>0</v>
      </c>
    </row>
    <row r="23" spans="1:13" x14ac:dyDescent="0.45">
      <c r="A23" s="1" t="s">
        <v>54</v>
      </c>
      <c r="B23" s="40"/>
      <c r="C23" s="41">
        <f>(C21/100)*1</f>
        <v>5000</v>
      </c>
      <c r="D23" s="41">
        <f t="shared" ref="D23:M23" si="11">(D21/100)*1</f>
        <v>5000</v>
      </c>
      <c r="E23" s="41">
        <f t="shared" si="11"/>
        <v>5000</v>
      </c>
      <c r="F23" s="41">
        <f t="shared" si="11"/>
        <v>5000</v>
      </c>
      <c r="G23" s="41">
        <f t="shared" si="11"/>
        <v>5000</v>
      </c>
      <c r="H23" s="41">
        <f t="shared" si="11"/>
        <v>5000</v>
      </c>
      <c r="I23" s="41">
        <f t="shared" si="11"/>
        <v>5000</v>
      </c>
      <c r="J23" s="41">
        <f t="shared" si="11"/>
        <v>5000</v>
      </c>
      <c r="K23" s="41">
        <f t="shared" si="11"/>
        <v>5000</v>
      </c>
      <c r="L23" s="41">
        <f t="shared" si="11"/>
        <v>5000</v>
      </c>
      <c r="M23" s="41">
        <f t="shared" si="11"/>
        <v>5000</v>
      </c>
    </row>
    <row r="24" spans="1:13" x14ac:dyDescent="0.45">
      <c r="A24" s="1" t="s">
        <v>55</v>
      </c>
      <c r="B24" s="40"/>
      <c r="C24" s="42">
        <f>C23*C20</f>
        <v>0</v>
      </c>
      <c r="D24" s="42">
        <f t="shared" ref="D24:M24" si="12">D23*D20</f>
        <v>28285714.285714284</v>
      </c>
      <c r="E24" s="42">
        <f t="shared" si="12"/>
        <v>28285714.285714284</v>
      </c>
      <c r="F24" s="42">
        <f t="shared" si="12"/>
        <v>56571428.571428575</v>
      </c>
      <c r="G24" s="42">
        <f t="shared" si="12"/>
        <v>115642857.14285713</v>
      </c>
      <c r="H24" s="42">
        <f t="shared" si="12"/>
        <v>201157142.8571429</v>
      </c>
      <c r="I24" s="42">
        <f t="shared" si="12"/>
        <v>343954285.71428567</v>
      </c>
      <c r="J24" s="42">
        <f t="shared" si="12"/>
        <v>541727999.99999988</v>
      </c>
      <c r="K24" s="42">
        <f t="shared" si="12"/>
        <v>817660800.00000012</v>
      </c>
      <c r="L24" s="42">
        <f t="shared" si="12"/>
        <v>1085285828.5714273</v>
      </c>
      <c r="M24" s="42">
        <f t="shared" si="12"/>
        <v>0</v>
      </c>
    </row>
    <row r="25" spans="1:13" x14ac:dyDescent="0.45">
      <c r="A25" s="1" t="s">
        <v>56</v>
      </c>
      <c r="B25" s="40"/>
      <c r="C25" s="41">
        <f>(C21/100)*1</f>
        <v>5000</v>
      </c>
      <c r="D25" s="41">
        <f t="shared" ref="D25:M25" si="13">(D21/100)*1</f>
        <v>5000</v>
      </c>
      <c r="E25" s="41">
        <f t="shared" si="13"/>
        <v>5000</v>
      </c>
      <c r="F25" s="41">
        <f t="shared" si="13"/>
        <v>5000</v>
      </c>
      <c r="G25" s="41">
        <f t="shared" si="13"/>
        <v>5000</v>
      </c>
      <c r="H25" s="41">
        <f t="shared" si="13"/>
        <v>5000</v>
      </c>
      <c r="I25" s="41">
        <f t="shared" si="13"/>
        <v>5000</v>
      </c>
      <c r="J25" s="41">
        <f t="shared" si="13"/>
        <v>5000</v>
      </c>
      <c r="K25" s="41">
        <f t="shared" si="13"/>
        <v>5000</v>
      </c>
      <c r="L25" s="41">
        <f t="shared" si="13"/>
        <v>5000</v>
      </c>
      <c r="M25" s="41">
        <f t="shared" si="13"/>
        <v>5000</v>
      </c>
    </row>
    <row r="26" spans="1:13" x14ac:dyDescent="0.45">
      <c r="A26" s="1" t="s">
        <v>57</v>
      </c>
      <c r="B26" s="40" t="s">
        <v>175</v>
      </c>
      <c r="C26" s="42">
        <f>C25*C20</f>
        <v>0</v>
      </c>
      <c r="D26" s="42">
        <f t="shared" ref="D26:M26" si="14">D25*D20</f>
        <v>28285714.285714284</v>
      </c>
      <c r="E26" s="42">
        <f t="shared" si="14"/>
        <v>28285714.285714284</v>
      </c>
      <c r="F26" s="42">
        <f t="shared" si="14"/>
        <v>56571428.571428575</v>
      </c>
      <c r="G26" s="42">
        <f t="shared" si="14"/>
        <v>115642857.14285713</v>
      </c>
      <c r="H26" s="42">
        <f t="shared" si="14"/>
        <v>201157142.8571429</v>
      </c>
      <c r="I26" s="42">
        <f t="shared" si="14"/>
        <v>343954285.71428567</v>
      </c>
      <c r="J26" s="42">
        <f t="shared" si="14"/>
        <v>541727999.99999988</v>
      </c>
      <c r="K26" s="42">
        <f t="shared" si="14"/>
        <v>817660800.00000012</v>
      </c>
      <c r="L26" s="42">
        <f t="shared" si="14"/>
        <v>1085285828.5714273</v>
      </c>
      <c r="M26" s="42">
        <f t="shared" si="14"/>
        <v>0</v>
      </c>
    </row>
    <row r="27" spans="1:13" x14ac:dyDescent="0.45">
      <c r="A27" s="1" t="s">
        <v>63</v>
      </c>
      <c r="B27" s="40"/>
      <c r="C27" s="42">
        <f>'Модель рынка'!D38/'Модель рынка'!D30</f>
        <v>10560000</v>
      </c>
      <c r="D27" s="42">
        <f>'Модель рынка'!E38/'Модель рынка'!E30</f>
        <v>25344000</v>
      </c>
      <c r="E27" s="42">
        <f>'Модель рынка'!F38/'Модель рынка'!F30</f>
        <v>59136000</v>
      </c>
      <c r="F27" s="42">
        <f>'Модель рынка'!G38/'Модель рынка'!G30</f>
        <v>135168000</v>
      </c>
      <c r="G27" s="42">
        <f>'Модель рынка'!H38/'Модель рынка'!H30</f>
        <v>304128000</v>
      </c>
      <c r="H27" s="42">
        <f>'Модель рынка'!I38/'Модель рынка'!I30</f>
        <v>675840000</v>
      </c>
      <c r="I27" s="42">
        <f>'Модель рынка'!J38/'Модель рынка'!J30</f>
        <v>1412505600</v>
      </c>
      <c r="J27" s="42">
        <f>'Модель рынка'!K38/'Модель рынка'!K30</f>
        <v>2773647360</v>
      </c>
      <c r="K27" s="42">
        <f>'Модель рынка'!L38/'Модель рынка'!L30</f>
        <v>5108133888</v>
      </c>
      <c r="L27" s="42">
        <f>'Модель рынка'!M38/'Модель рынка'!M30</f>
        <v>8801707622.3999996</v>
      </c>
      <c r="M27" s="42">
        <f>'Модель рынка'!N38/'Модель рынка'!N30</f>
        <v>14145601535.999994</v>
      </c>
    </row>
    <row r="28" spans="1:13" x14ac:dyDescent="0.45">
      <c r="A28" s="1" t="s">
        <v>64</v>
      </c>
      <c r="B28" s="40"/>
      <c r="C28" s="41">
        <f>Моделирование!$C$8</f>
        <v>7</v>
      </c>
      <c r="D28" s="42">
        <f>Моделирование!$C$8</f>
        <v>7</v>
      </c>
      <c r="E28" s="42">
        <f>Моделирование!$C$8</f>
        <v>7</v>
      </c>
      <c r="F28" s="42">
        <f>Моделирование!$C$8</f>
        <v>7</v>
      </c>
      <c r="G28" s="42">
        <f>Моделирование!$C$8</f>
        <v>7</v>
      </c>
      <c r="H28" s="42">
        <f>Моделирование!$C$8</f>
        <v>7</v>
      </c>
      <c r="I28" s="42">
        <f>Моделирование!$C$8</f>
        <v>7</v>
      </c>
      <c r="J28" s="42">
        <f>Моделирование!$C$8</f>
        <v>7</v>
      </c>
      <c r="K28" s="42">
        <f>Моделирование!$C$8</f>
        <v>7</v>
      </c>
      <c r="L28" s="42">
        <f>Моделирование!$C$8</f>
        <v>7</v>
      </c>
      <c r="M28" s="42">
        <f>Моделирование!$C$8</f>
        <v>7</v>
      </c>
    </row>
    <row r="29" spans="1:13" x14ac:dyDescent="0.45">
      <c r="A29" s="1" t="s">
        <v>65</v>
      </c>
      <c r="B29" s="40" t="s">
        <v>175</v>
      </c>
      <c r="C29" s="42">
        <f>C27*C28</f>
        <v>73920000</v>
      </c>
      <c r="D29" s="42">
        <f t="shared" ref="D29:M29" si="15">D27*D28</f>
        <v>177408000</v>
      </c>
      <c r="E29" s="42">
        <f t="shared" si="15"/>
        <v>413952000</v>
      </c>
      <c r="F29" s="42">
        <f t="shared" si="15"/>
        <v>946176000</v>
      </c>
      <c r="G29" s="42">
        <f t="shared" si="15"/>
        <v>2128896000</v>
      </c>
      <c r="H29" s="42">
        <f t="shared" si="15"/>
        <v>4730880000</v>
      </c>
      <c r="I29" s="42">
        <f t="shared" si="15"/>
        <v>9887539200</v>
      </c>
      <c r="J29" s="42">
        <f t="shared" si="15"/>
        <v>19415531520</v>
      </c>
      <c r="K29" s="42">
        <f t="shared" si="15"/>
        <v>35756937216</v>
      </c>
      <c r="L29" s="42">
        <f t="shared" si="15"/>
        <v>61611953356.799995</v>
      </c>
      <c r="M29" s="42">
        <f t="shared" si="15"/>
        <v>99019210751.999954</v>
      </c>
    </row>
    <row r="30" spans="1:13" x14ac:dyDescent="0.45">
      <c r="A30" s="1" t="s">
        <v>60</v>
      </c>
      <c r="B30" s="40"/>
      <c r="C30" s="42">
        <f>IF('Модель рынка'!D39=0,0,'Модель рынка'!D39/'Модель рынка'!D31)</f>
        <v>0</v>
      </c>
      <c r="D30" s="42">
        <f>IF('Модель рынка'!E39=0,0,'Модель рынка'!E39/'Модель рынка'!E31)</f>
        <v>47044799.999999993</v>
      </c>
      <c r="E30" s="42">
        <f>IF('Модель рынка'!F39=0,0,'Модель рынка'!F39/'Модель рынка'!F31)</f>
        <v>93148704</v>
      </c>
      <c r="F30" s="42">
        <f>IF('Модель рынка'!G39=0,0,'Модель рынка'!G39/'Модель рынка'!G31)</f>
        <v>184434433.92000005</v>
      </c>
      <c r="G30" s="42">
        <f>IF('Модель рынка'!H39=0,0,'Модель рынка'!H39/'Модель рынка'!H31)</f>
        <v>365180179.16160005</v>
      </c>
      <c r="H30" s="42">
        <f>IF('Модель рынка'!I39=0,0,'Модель рынка'!I39/'Модель рынка'!I31)</f>
        <v>723056754.73996794</v>
      </c>
      <c r="I30" s="42">
        <f>IF('Модель рынка'!J39=0,0,'Модель рынка'!J39/'Модель рынка'!J31)</f>
        <v>1360069755.6658802</v>
      </c>
      <c r="J30" s="42">
        <f>IF('Модель рынка'!K39=0,0,'Модель рынка'!K39/'Модель рынка'!K31)</f>
        <v>2423644304.5965977</v>
      </c>
      <c r="K30" s="42">
        <f>IF('Модель рынка'!L39=0,0,'Модель рынка'!L39/'Модель рынка'!L31)</f>
        <v>4078993364.6360741</v>
      </c>
      <c r="L30" s="42">
        <f>IF('Модель рынка'!M39=0,0,'Модель рынка'!M39/'Модель рынка'!M31)</f>
        <v>6461125489.5835428</v>
      </c>
      <c r="M30" s="42">
        <f>IF('Модель рынка'!N39=0,0,'Модель рынка'!N39/'Модель рынка'!N31)</f>
        <v>9594771352.0315571</v>
      </c>
    </row>
    <row r="31" spans="1:13" x14ac:dyDescent="0.45">
      <c r="A31" s="1" t="s">
        <v>61</v>
      </c>
      <c r="B31" s="40"/>
      <c r="C31" s="42">
        <f>C28</f>
        <v>7</v>
      </c>
      <c r="D31" s="42">
        <f t="shared" ref="D31:M31" si="16">D28</f>
        <v>7</v>
      </c>
      <c r="E31" s="42">
        <f t="shared" si="16"/>
        <v>7</v>
      </c>
      <c r="F31" s="42">
        <f t="shared" si="16"/>
        <v>7</v>
      </c>
      <c r="G31" s="42">
        <f t="shared" si="16"/>
        <v>7</v>
      </c>
      <c r="H31" s="42">
        <f t="shared" si="16"/>
        <v>7</v>
      </c>
      <c r="I31" s="42">
        <f t="shared" si="16"/>
        <v>7</v>
      </c>
      <c r="J31" s="42">
        <f t="shared" si="16"/>
        <v>7</v>
      </c>
      <c r="K31" s="42">
        <f t="shared" si="16"/>
        <v>7</v>
      </c>
      <c r="L31" s="42">
        <f t="shared" si="16"/>
        <v>7</v>
      </c>
      <c r="M31" s="42">
        <f t="shared" si="16"/>
        <v>7</v>
      </c>
    </row>
    <row r="32" spans="1:13" x14ac:dyDescent="0.45">
      <c r="A32" s="1" t="s">
        <v>62</v>
      </c>
      <c r="B32" s="40" t="s">
        <v>175</v>
      </c>
      <c r="C32" s="42">
        <f>C30*C31</f>
        <v>0</v>
      </c>
      <c r="D32" s="42">
        <f>D30*D31</f>
        <v>329313599.99999994</v>
      </c>
      <c r="E32" s="42">
        <f t="shared" ref="E32:M32" si="17">E30*E31</f>
        <v>652040928</v>
      </c>
      <c r="F32" s="42">
        <f t="shared" si="17"/>
        <v>1291041037.4400003</v>
      </c>
      <c r="G32" s="42">
        <f t="shared" si="17"/>
        <v>2556261254.1312003</v>
      </c>
      <c r="H32" s="42">
        <f t="shared" si="17"/>
        <v>5061397283.1797752</v>
      </c>
      <c r="I32" s="42">
        <f t="shared" si="17"/>
        <v>9520488289.6611614</v>
      </c>
      <c r="J32" s="42">
        <f t="shared" si="17"/>
        <v>16965510132.176184</v>
      </c>
      <c r="K32" s="42">
        <f t="shared" si="17"/>
        <v>28552953552.452518</v>
      </c>
      <c r="L32" s="42">
        <f t="shared" si="17"/>
        <v>45227878427.084801</v>
      </c>
      <c r="M32" s="42">
        <f t="shared" si="17"/>
        <v>67163399464.220901</v>
      </c>
    </row>
    <row r="33" spans="1:14" x14ac:dyDescent="0.45">
      <c r="A33" s="1" t="s">
        <v>153</v>
      </c>
      <c r="B33" s="40"/>
      <c r="C33" s="41">
        <f>IF(Моделирование!C12&gt;0,0,1)*1</f>
        <v>1</v>
      </c>
      <c r="D33" s="42">
        <f>C33</f>
        <v>1</v>
      </c>
      <c r="E33" s="42">
        <f t="shared" ref="E33:M33" si="18">D33</f>
        <v>1</v>
      </c>
      <c r="F33" s="42">
        <f t="shared" si="18"/>
        <v>1</v>
      </c>
      <c r="G33" s="42">
        <f t="shared" si="18"/>
        <v>1</v>
      </c>
      <c r="H33" s="42">
        <f t="shared" si="18"/>
        <v>1</v>
      </c>
      <c r="I33" s="42">
        <f t="shared" si="18"/>
        <v>1</v>
      </c>
      <c r="J33" s="42">
        <f t="shared" si="18"/>
        <v>1</v>
      </c>
      <c r="K33" s="42">
        <f t="shared" si="18"/>
        <v>1</v>
      </c>
      <c r="L33" s="42">
        <f t="shared" si="18"/>
        <v>1</v>
      </c>
      <c r="M33" s="42">
        <f t="shared" si="18"/>
        <v>1</v>
      </c>
    </row>
    <row r="34" spans="1:14" x14ac:dyDescent="0.45">
      <c r="A34" s="1" t="s">
        <v>152</v>
      </c>
      <c r="B34" s="40" t="s">
        <v>175</v>
      </c>
      <c r="C34" s="42">
        <f>(('Модель рынка'!D38+'Модель рынка'!D39)/100)*C33</f>
        <v>5280000</v>
      </c>
      <c r="D34" s="42">
        <f>(('Модель рынка'!E38+'Модель рынка'!E39)/100)*D33</f>
        <v>36194399.999999993</v>
      </c>
      <c r="E34" s="42">
        <f>(('Модель рынка'!F38+'Модель рынка'!F39)/100)*E33</f>
        <v>76142352</v>
      </c>
      <c r="F34" s="42">
        <f>(('Модель рынка'!G38+'Модель рынка'!G39)/100)*F33</f>
        <v>159801216.96000001</v>
      </c>
      <c r="G34" s="42">
        <f>(('Модель рынка'!H38+'Модель рынка'!H39)/100)*G33</f>
        <v>334654089.5808</v>
      </c>
      <c r="H34" s="42">
        <f>(('Модель рынка'!I38+'Модель рынка'!I39)/100)*H33</f>
        <v>699448377.36998403</v>
      </c>
      <c r="I34" s="42">
        <f>(('Модель рынка'!J38+'Модель рынка'!J39)/100)*I33</f>
        <v>1386287677.8329401</v>
      </c>
      <c r="J34" s="42">
        <f>(('Модель рынка'!K38+'Модель рынка'!K39)/100)*J33</f>
        <v>2598645832.2982988</v>
      </c>
      <c r="K34" s="42">
        <f>(('Модель рынка'!L38+'Модель рынка'!L39)/100)*K33</f>
        <v>4593563626.318037</v>
      </c>
      <c r="L34" s="42">
        <f>(('Модель рынка'!M38+'Модель рынка'!M39)/100)*L33</f>
        <v>7631416555.9917717</v>
      </c>
      <c r="M34" s="42">
        <f>(('Модель рынка'!N38+'Модель рынка'!N39)/100)*M33</f>
        <v>11870186444.015776</v>
      </c>
    </row>
    <row r="35" spans="1:14" x14ac:dyDescent="0.45">
      <c r="A35" s="1" t="s">
        <v>154</v>
      </c>
      <c r="B35" s="40"/>
      <c r="C35" s="41">
        <v>1</v>
      </c>
      <c r="D35" s="42">
        <f>C35</f>
        <v>1</v>
      </c>
      <c r="E35" s="42">
        <f t="shared" ref="E35:M35" si="19">D35</f>
        <v>1</v>
      </c>
      <c r="F35" s="42">
        <f t="shared" si="19"/>
        <v>1</v>
      </c>
      <c r="G35" s="42">
        <f t="shared" si="19"/>
        <v>1</v>
      </c>
      <c r="H35" s="42">
        <f t="shared" si="19"/>
        <v>1</v>
      </c>
      <c r="I35" s="42">
        <f t="shared" si="19"/>
        <v>1</v>
      </c>
      <c r="J35" s="42">
        <f t="shared" si="19"/>
        <v>1</v>
      </c>
      <c r="K35" s="42">
        <f t="shared" si="19"/>
        <v>1</v>
      </c>
      <c r="L35" s="42">
        <f t="shared" si="19"/>
        <v>1</v>
      </c>
      <c r="M35" s="42">
        <f t="shared" si="19"/>
        <v>1</v>
      </c>
    </row>
    <row r="36" spans="1:14" x14ac:dyDescent="0.45">
      <c r="A36" s="1" t="s">
        <v>155</v>
      </c>
      <c r="B36" s="40" t="s">
        <v>175</v>
      </c>
      <c r="C36" s="42">
        <f>(('Модель рынка'!D38+'Модель рынка'!D39)/100)*C35</f>
        <v>5280000</v>
      </c>
      <c r="D36" s="42">
        <f>(('Модель рынка'!E38+'Модель рынка'!E39)/100)*D35</f>
        <v>36194399.999999993</v>
      </c>
      <c r="E36" s="42">
        <f>(('Модель рынка'!F38+'Модель рынка'!F39)/100)*E35</f>
        <v>76142352</v>
      </c>
      <c r="F36" s="42">
        <f>(('Модель рынка'!G38+'Модель рынка'!G39)/100)*F35</f>
        <v>159801216.96000001</v>
      </c>
      <c r="G36" s="42">
        <f>(('Модель рынка'!H38+'Модель рынка'!H39)/100)*G35</f>
        <v>334654089.5808</v>
      </c>
      <c r="H36" s="42">
        <f>(('Модель рынка'!I38+'Модель рынка'!I39)/100)*H35</f>
        <v>699448377.36998403</v>
      </c>
      <c r="I36" s="42">
        <f>(('Модель рынка'!J38+'Модель рынка'!J39)/100)*I35</f>
        <v>1386287677.8329401</v>
      </c>
      <c r="J36" s="42">
        <f>(('Модель рынка'!K38+'Модель рынка'!K39)/100)*J35</f>
        <v>2598645832.2982988</v>
      </c>
      <c r="K36" s="42">
        <f>(('Модель рынка'!L38+'Модель рынка'!L39)/100)*K35</f>
        <v>4593563626.318037</v>
      </c>
      <c r="L36" s="42">
        <f>(('Модель рынка'!M38+'Модель рынка'!M39)/100)*L35</f>
        <v>7631416555.9917717</v>
      </c>
      <c r="M36" s="42">
        <f>(('Модель рынка'!N38+'Модель рынка'!N39)/100)*M35</f>
        <v>11870186444.015776</v>
      </c>
    </row>
    <row r="37" spans="1:14" x14ac:dyDescent="0.45">
      <c r="A37" s="1" t="s">
        <v>192</v>
      </c>
      <c r="C37" s="73">
        <v>12000</v>
      </c>
      <c r="D37" s="42">
        <f>(C37/100)*(100+'Модель рынка'!D5)</f>
        <v>12000</v>
      </c>
      <c r="E37" s="42">
        <f>(D37/100)*(100+'Модель рынка'!E5)</f>
        <v>12000</v>
      </c>
      <c r="F37" s="42">
        <f>(E37/100)*(100+'Модель рынка'!F5)</f>
        <v>12000</v>
      </c>
      <c r="G37" s="42">
        <f>(F37/100)*(100+'Модель рынка'!G5)</f>
        <v>12000</v>
      </c>
      <c r="H37" s="42">
        <f>(G37/100)*(100+'Модель рынка'!H5)</f>
        <v>12000</v>
      </c>
      <c r="I37" s="42">
        <f>(H37/100)*(100+'Модель рынка'!I5)</f>
        <v>12000</v>
      </c>
      <c r="J37" s="42">
        <f>(I37/100)*(100+'Модель рынка'!J5)</f>
        <v>12000</v>
      </c>
      <c r="K37" s="42">
        <f>(J37/100)*(100+'Модель рынка'!K5)</f>
        <v>12000</v>
      </c>
      <c r="L37" s="42">
        <f>(K37/100)*(100+'Модель рынка'!L5)</f>
        <v>12000</v>
      </c>
      <c r="M37" s="42">
        <f>(L37/100)*(100+'Модель рынка'!M5)</f>
        <v>12000</v>
      </c>
    </row>
    <row r="38" spans="1:14" x14ac:dyDescent="0.45">
      <c r="A38" s="1" t="s">
        <v>193</v>
      </c>
      <c r="B38" s="1" t="s">
        <v>175</v>
      </c>
      <c r="C38" s="42">
        <f>(C20+C12)*C37</f>
        <v>0</v>
      </c>
      <c r="D38" s="42">
        <f t="shared" ref="D38:M38" si="20">(D20+D12)*D37</f>
        <v>71657142.857142866</v>
      </c>
      <c r="E38" s="42">
        <f t="shared" si="20"/>
        <v>71657142.857142866</v>
      </c>
      <c r="F38" s="42">
        <f t="shared" si="20"/>
        <v>147085714.2857143</v>
      </c>
      <c r="G38" s="42">
        <f t="shared" si="20"/>
        <v>296400000</v>
      </c>
      <c r="H38" s="42">
        <f t="shared" si="20"/>
        <v>518262857.14285719</v>
      </c>
      <c r="I38" s="42">
        <f t="shared" si="20"/>
        <v>904655999.99999988</v>
      </c>
      <c r="J38" s="42">
        <f t="shared" si="20"/>
        <v>1427354057.1428568</v>
      </c>
      <c r="K38" s="42">
        <f t="shared" si="20"/>
        <v>2186012434.2857146</v>
      </c>
      <c r="L38" s="42">
        <f t="shared" si="20"/>
        <v>2942392868.5714254</v>
      </c>
      <c r="M38" s="42">
        <f t="shared" si="20"/>
        <v>493493211.42857122</v>
      </c>
    </row>
    <row r="39" spans="1:14" s="2" customFormat="1" x14ac:dyDescent="0.45">
      <c r="A39" s="49" t="str" cm="1">
        <f t="array" ref="A39:D39">'План по персоналу'!A59:D59</f>
        <v>Как есть</v>
      </c>
      <c r="B39" s="49">
        <v>0</v>
      </c>
      <c r="C39" s="68">
        <v>0</v>
      </c>
      <c r="D39" s="68">
        <v>0</v>
      </c>
      <c r="E39" s="68"/>
      <c r="F39" s="68"/>
      <c r="G39" s="68"/>
      <c r="H39" s="68"/>
      <c r="I39" s="68"/>
      <c r="J39" s="68"/>
      <c r="K39" s="68"/>
      <c r="L39" s="68"/>
      <c r="M39" s="68"/>
    </row>
    <row r="40" spans="1:14" x14ac:dyDescent="0.45">
      <c r="A40" s="1" t="s">
        <v>66</v>
      </c>
      <c r="B40" s="40">
        <f>SUM(C40:M40)</f>
        <v>280799822.60054338</v>
      </c>
      <c r="C40" s="40">
        <f>C44+C47+C51+C53+C55+C59+C61+C63+C66+C69+C71+C73</f>
        <v>7410873.6264444441</v>
      </c>
      <c r="D40" s="40">
        <f t="shared" ref="D40:M40" si="21">D44+D47+D51+D53+D55+D59+D61+D63+D66+D69+D71+D73</f>
        <v>10416672.039270001</v>
      </c>
      <c r="E40" s="40">
        <f t="shared" si="21"/>
        <v>13868196.419527959</v>
      </c>
      <c r="F40" s="40">
        <f t="shared" si="21"/>
        <v>17097705.659237895</v>
      </c>
      <c r="G40" s="40">
        <f t="shared" si="21"/>
        <v>18703821.713114295</v>
      </c>
      <c r="H40" s="40">
        <f t="shared" si="21"/>
        <v>15455704.204627329</v>
      </c>
      <c r="I40" s="40">
        <f t="shared" si="21"/>
        <v>22959547.927251942</v>
      </c>
      <c r="J40" s="40">
        <f t="shared" si="21"/>
        <v>31760357.078574091</v>
      </c>
      <c r="K40" s="40">
        <f t="shared" si="21"/>
        <v>40548316.48829335</v>
      </c>
      <c r="L40" s="40">
        <f t="shared" si="21"/>
        <v>47386676.821954958</v>
      </c>
      <c r="M40" s="40">
        <f t="shared" si="21"/>
        <v>55191950.62224707</v>
      </c>
    </row>
    <row r="41" spans="1:14" x14ac:dyDescent="0.45">
      <c r="A41" s="1" t="s">
        <v>189</v>
      </c>
      <c r="B41" s="40"/>
      <c r="C41" s="40">
        <f>SUMIF($B:$B,"Пост1",C:C)</f>
        <v>7410873.6264444441</v>
      </c>
      <c r="D41" s="40">
        <f t="shared" ref="D41:M41" si="22">SUMIF($B:$B,"Пост1",D:D)</f>
        <v>10416672.039270001</v>
      </c>
      <c r="E41" s="40">
        <f t="shared" si="22"/>
        <v>13868196.419527959</v>
      </c>
      <c r="F41" s="40">
        <f t="shared" si="22"/>
        <v>17097705.659237895</v>
      </c>
      <c r="G41" s="40">
        <f t="shared" si="22"/>
        <v>18703821.713114295</v>
      </c>
      <c r="H41" s="40">
        <f t="shared" si="22"/>
        <v>15455704.204627329</v>
      </c>
      <c r="I41" s="40">
        <f t="shared" si="22"/>
        <v>22959547.927251942</v>
      </c>
      <c r="J41" s="40">
        <f t="shared" si="22"/>
        <v>31760357.078574091</v>
      </c>
      <c r="K41" s="40">
        <f t="shared" si="22"/>
        <v>40548316.48829335</v>
      </c>
      <c r="L41" s="40">
        <f t="shared" si="22"/>
        <v>47386676.821954958</v>
      </c>
      <c r="M41" s="40">
        <f t="shared" si="22"/>
        <v>55191950.62224707</v>
      </c>
    </row>
    <row r="42" spans="1:14" x14ac:dyDescent="0.45">
      <c r="A42" s="1" t="s">
        <v>230</v>
      </c>
      <c r="B42" s="40"/>
      <c r="C42" s="40">
        <f>C59+C55</f>
        <v>0</v>
      </c>
      <c r="D42" s="40">
        <f t="shared" ref="D42:M42" si="23">D59+D55</f>
        <v>0</v>
      </c>
      <c r="E42" s="40">
        <f t="shared" si="23"/>
        <v>0</v>
      </c>
      <c r="F42" s="40">
        <f t="shared" si="23"/>
        <v>0</v>
      </c>
      <c r="G42" s="40">
        <f t="shared" si="23"/>
        <v>0</v>
      </c>
      <c r="H42" s="40">
        <f t="shared" si="23"/>
        <v>0</v>
      </c>
      <c r="I42" s="40">
        <f t="shared" si="23"/>
        <v>0</v>
      </c>
      <c r="J42" s="40">
        <f t="shared" si="23"/>
        <v>0</v>
      </c>
      <c r="K42" s="40">
        <f t="shared" si="23"/>
        <v>0</v>
      </c>
      <c r="L42" s="40">
        <f t="shared" si="23"/>
        <v>0</v>
      </c>
      <c r="M42" s="40">
        <f t="shared" si="23"/>
        <v>0</v>
      </c>
      <c r="N42" s="40"/>
    </row>
    <row r="43" spans="1:14" x14ac:dyDescent="0.45">
      <c r="A43" s="1" t="s">
        <v>38</v>
      </c>
      <c r="B43" s="40"/>
      <c r="C43" s="41">
        <v>300</v>
      </c>
      <c r="D43" s="42">
        <v>300</v>
      </c>
      <c r="E43" s="42">
        <v>300</v>
      </c>
      <c r="F43" s="42">
        <v>300</v>
      </c>
      <c r="G43" s="42">
        <v>300</v>
      </c>
      <c r="H43" s="42">
        <v>300</v>
      </c>
      <c r="I43" s="42">
        <v>300</v>
      </c>
      <c r="J43" s="42">
        <v>300</v>
      </c>
      <c r="K43" s="42">
        <v>300</v>
      </c>
      <c r="L43" s="42">
        <v>300</v>
      </c>
      <c r="M43" s="42">
        <v>300</v>
      </c>
    </row>
    <row r="44" spans="1:14" x14ac:dyDescent="0.45">
      <c r="A44" s="1" t="s">
        <v>39</v>
      </c>
      <c r="B44" s="40" t="s">
        <v>212</v>
      </c>
      <c r="C44" s="42">
        <f>C43*C48*12</f>
        <v>900000</v>
      </c>
      <c r="D44" s="42">
        <f>D43*D48*12</f>
        <v>900000</v>
      </c>
      <c r="E44" s="42">
        <f t="shared" ref="E44:M44" si="24">E43*E48*12</f>
        <v>900000</v>
      </c>
      <c r="F44" s="42">
        <f t="shared" si="24"/>
        <v>900000</v>
      </c>
      <c r="G44" s="42">
        <f t="shared" si="24"/>
        <v>900000</v>
      </c>
      <c r="H44" s="42">
        <f t="shared" si="24"/>
        <v>900000</v>
      </c>
      <c r="I44" s="42">
        <f t="shared" si="24"/>
        <v>900000</v>
      </c>
      <c r="J44" s="42">
        <f t="shared" si="24"/>
        <v>900000</v>
      </c>
      <c r="K44" s="42">
        <f t="shared" si="24"/>
        <v>900000</v>
      </c>
      <c r="L44" s="42">
        <f t="shared" si="24"/>
        <v>900000</v>
      </c>
      <c r="M44" s="42">
        <f t="shared" si="24"/>
        <v>900000</v>
      </c>
    </row>
    <row r="45" spans="1:14" x14ac:dyDescent="0.45">
      <c r="A45" s="1" t="s">
        <v>42</v>
      </c>
      <c r="B45" s="40"/>
      <c r="C45" s="42">
        <f>'План по персоналу'!F62</f>
        <v>0</v>
      </c>
      <c r="D45" s="42">
        <f>'План по персоналу'!G62-C45</f>
        <v>0</v>
      </c>
      <c r="E45" s="42">
        <f>'План по персоналу'!H62-D45-C45</f>
        <v>0</v>
      </c>
      <c r="F45" s="42">
        <f>'План по персоналу'!I62-E45-D45-C45</f>
        <v>0</v>
      </c>
      <c r="G45" s="42">
        <f>'План по персоналу'!J62-F45-E45-D45-C45</f>
        <v>0</v>
      </c>
      <c r="H45" s="42">
        <f>'План по персоналу'!K62-G45-F45-E45-D45-C45</f>
        <v>0</v>
      </c>
      <c r="I45" s="42">
        <f>'План по персоналу'!L62-H45-G45-F45-E45-D45-C45</f>
        <v>0</v>
      </c>
      <c r="J45" s="42">
        <f>'План по персоналу'!M62-I45-H45-G45-F45-E45-D45-C45</f>
        <v>0</v>
      </c>
      <c r="K45" s="78">
        <f>'План по персоналу'!N62</f>
        <v>0</v>
      </c>
      <c r="L45" s="42">
        <f>'План по персоналу'!O62-K45</f>
        <v>0</v>
      </c>
      <c r="M45" s="42">
        <f>'План по персоналу'!P62-L45-K45</f>
        <v>0</v>
      </c>
    </row>
    <row r="46" spans="1:14" x14ac:dyDescent="0.45">
      <c r="A46" s="1" t="s">
        <v>40</v>
      </c>
      <c r="B46" s="40"/>
      <c r="C46" s="42">
        <v>150000</v>
      </c>
      <c r="D46" s="42">
        <f>(C46/100)*(100+'Модель рынка'!D43)</f>
        <v>150000</v>
      </c>
      <c r="E46" s="42">
        <f>(D46/100)*(100+'Модель рынка'!E43)</f>
        <v>150000</v>
      </c>
      <c r="F46" s="42">
        <f>(E46/100)*(100+'Модель рынка'!F43)</f>
        <v>150000</v>
      </c>
      <c r="G46" s="42">
        <f>(F46/100)*(100+'Модель рынка'!G43)</f>
        <v>150000</v>
      </c>
      <c r="H46" s="42">
        <f>(G46/100)*(100+'Модель рынка'!H43)</f>
        <v>150000</v>
      </c>
      <c r="I46" s="42">
        <f>(H46/100)*(100+'Модель рынка'!I43)</f>
        <v>150000</v>
      </c>
      <c r="J46" s="42">
        <f>(I46/100)*(100+'Модель рынка'!J43)</f>
        <v>150000</v>
      </c>
      <c r="K46" s="42">
        <f>(J46/100)*(100+'Модель рынка'!K43)</f>
        <v>150000</v>
      </c>
      <c r="L46" s="42">
        <f>(K46/100)*(100+'Модель рынка'!L43)</f>
        <v>150000</v>
      </c>
      <c r="M46" s="42">
        <f>(L46/100)*(100+'Модель рынка'!M43)</f>
        <v>150000</v>
      </c>
    </row>
    <row r="47" spans="1:14" x14ac:dyDescent="0.45">
      <c r="A47" s="1" t="s">
        <v>41</v>
      </c>
      <c r="B47" s="40" t="s">
        <v>212</v>
      </c>
      <c r="C47" s="42">
        <f>C45*C46</f>
        <v>0</v>
      </c>
      <c r="D47" s="42">
        <f>D45*D46</f>
        <v>0</v>
      </c>
      <c r="E47" s="42">
        <f t="shared" ref="E47:M47" si="25">E45*E46</f>
        <v>0</v>
      </c>
      <c r="F47" s="42">
        <f t="shared" si="25"/>
        <v>0</v>
      </c>
      <c r="G47" s="42">
        <f t="shared" si="25"/>
        <v>0</v>
      </c>
      <c r="H47" s="42">
        <f t="shared" si="25"/>
        <v>0</v>
      </c>
      <c r="I47" s="42">
        <f t="shared" si="25"/>
        <v>0</v>
      </c>
      <c r="J47" s="42">
        <f t="shared" si="25"/>
        <v>0</v>
      </c>
      <c r="K47" s="42">
        <f>K45*K46</f>
        <v>0</v>
      </c>
      <c r="L47" s="42">
        <f t="shared" si="25"/>
        <v>0</v>
      </c>
      <c r="M47" s="42">
        <f t="shared" si="25"/>
        <v>0</v>
      </c>
    </row>
    <row r="48" spans="1:14" x14ac:dyDescent="0.45">
      <c r="A48" s="1" t="s">
        <v>213</v>
      </c>
      <c r="B48" s="40"/>
      <c r="C48" s="42">
        <f>'Модель рынка'!D54</f>
        <v>250</v>
      </c>
      <c r="D48" s="42">
        <f>C48+'Модель рынка'!E54</f>
        <v>250</v>
      </c>
      <c r="E48" s="42">
        <f>D48+'Модель рынка'!F54</f>
        <v>250</v>
      </c>
      <c r="F48" s="42">
        <f>E48+'Модель рынка'!G54</f>
        <v>250</v>
      </c>
      <c r="G48" s="42">
        <f>F48+'Модель рынка'!H54</f>
        <v>250</v>
      </c>
      <c r="H48" s="42">
        <f>G48+'Модель рынка'!I54</f>
        <v>250</v>
      </c>
      <c r="I48" s="42">
        <f>H48+'Модель рынка'!J54</f>
        <v>250</v>
      </c>
      <c r="J48" s="42">
        <f>I48+'Модель рынка'!K54</f>
        <v>250</v>
      </c>
      <c r="K48" s="42">
        <f>J48+'Модель рынка'!L54</f>
        <v>250</v>
      </c>
      <c r="L48" s="42">
        <f>K48+'Модель рынка'!M54</f>
        <v>250</v>
      </c>
      <c r="M48" s="42">
        <f>L48+'Модель рынка'!N54</f>
        <v>250</v>
      </c>
    </row>
    <row r="49" spans="1:13" x14ac:dyDescent="0.45">
      <c r="A49" s="1" t="s">
        <v>48</v>
      </c>
      <c r="B49" s="40"/>
      <c r="C49" s="42">
        <v>0</v>
      </c>
      <c r="D49" s="42">
        <f>'Модель рынка'!F54-C49</f>
        <v>0</v>
      </c>
      <c r="E49" s="42">
        <f>'Модель рынка'!G54-D49</f>
        <v>0</v>
      </c>
      <c r="F49" s="42">
        <f>'Модель рынка'!H54-E49</f>
        <v>0</v>
      </c>
      <c r="G49" s="42">
        <f>'Модель рынка'!I54-F49</f>
        <v>0</v>
      </c>
      <c r="H49" s="42">
        <f>'Модель рынка'!J54-G49</f>
        <v>0</v>
      </c>
      <c r="I49" s="42">
        <f>'Модель рынка'!K54-H49</f>
        <v>0</v>
      </c>
      <c r="J49" s="42">
        <f>'Модель рынка'!L54-I49</f>
        <v>0</v>
      </c>
      <c r="K49" s="42">
        <f>'Модель рынка'!M54-J49</f>
        <v>0</v>
      </c>
      <c r="L49" s="42">
        <f>'Модель рынка'!N54-K49</f>
        <v>0</v>
      </c>
      <c r="M49" s="42"/>
    </row>
    <row r="50" spans="1:13" x14ac:dyDescent="0.45">
      <c r="A50" s="1" t="s">
        <v>44</v>
      </c>
      <c r="B50" s="40"/>
      <c r="C50" s="41">
        <f>Моделирование!$D$9</f>
        <v>0</v>
      </c>
      <c r="D50" s="42">
        <f>(C50/100)*(100+'Модель рынка'!D43)</f>
        <v>0</v>
      </c>
      <c r="E50" s="42">
        <f>(D50/100)*(100+'Модель рынка'!E43)</f>
        <v>0</v>
      </c>
      <c r="F50" s="42">
        <f>(E50/100)*(100+'Модель рынка'!F43)</f>
        <v>0</v>
      </c>
      <c r="G50" s="42">
        <f>(F50/100)*(100+'Модель рынка'!G43)</f>
        <v>0</v>
      </c>
      <c r="H50" s="42">
        <f>(G50/100)*(100+'Модель рынка'!H43)</f>
        <v>0</v>
      </c>
      <c r="I50" s="42">
        <f>(H50/100)*(100+'Модель рынка'!I43)</f>
        <v>0</v>
      </c>
      <c r="J50" s="42">
        <f>(I50/100)*(100+'Модель рынка'!J43)</f>
        <v>0</v>
      </c>
      <c r="K50" s="42">
        <f>(J50/100)*(100+'Модель рынка'!K43)</f>
        <v>0</v>
      </c>
      <c r="L50" s="42">
        <f>(K50/100)*(100+'Модель рынка'!L43)</f>
        <v>0</v>
      </c>
      <c r="M50" s="42">
        <f>(L50/100)*(100+'Модель рынка'!M43)</f>
        <v>0</v>
      </c>
    </row>
    <row r="51" spans="1:13" x14ac:dyDescent="0.45">
      <c r="A51" s="1" t="s">
        <v>45</v>
      </c>
      <c r="B51" s="40"/>
      <c r="C51" s="42">
        <f>C49*C50</f>
        <v>0</v>
      </c>
      <c r="D51" s="42">
        <f>D49*D50</f>
        <v>0</v>
      </c>
      <c r="E51" s="42">
        <f t="shared" ref="E51:L51" si="26">E49*E50</f>
        <v>0</v>
      </c>
      <c r="F51" s="42">
        <f t="shared" si="26"/>
        <v>0</v>
      </c>
      <c r="G51" s="42">
        <f t="shared" si="26"/>
        <v>0</v>
      </c>
      <c r="H51" s="42">
        <f t="shared" si="26"/>
        <v>0</v>
      </c>
      <c r="I51" s="42">
        <f t="shared" si="26"/>
        <v>0</v>
      </c>
      <c r="J51" s="42">
        <f t="shared" si="26"/>
        <v>0</v>
      </c>
      <c r="K51" s="42">
        <f t="shared" si="26"/>
        <v>0</v>
      </c>
      <c r="L51" s="42">
        <f t="shared" si="26"/>
        <v>0</v>
      </c>
      <c r="M51" s="42"/>
    </row>
    <row r="52" spans="1:13" x14ac:dyDescent="0.45">
      <c r="A52" s="1" t="s">
        <v>49</v>
      </c>
      <c r="B52" s="40"/>
      <c r="C52" s="41">
        <f>(C50/100)*1</f>
        <v>0</v>
      </c>
      <c r="D52" s="41">
        <f t="shared" ref="D52:M52" si="27">(D50/100)*1</f>
        <v>0</v>
      </c>
      <c r="E52" s="41">
        <f t="shared" si="27"/>
        <v>0</v>
      </c>
      <c r="F52" s="41">
        <f t="shared" si="27"/>
        <v>0</v>
      </c>
      <c r="G52" s="41">
        <f t="shared" si="27"/>
        <v>0</v>
      </c>
      <c r="H52" s="41">
        <f t="shared" si="27"/>
        <v>0</v>
      </c>
      <c r="I52" s="41">
        <f t="shared" si="27"/>
        <v>0</v>
      </c>
      <c r="J52" s="41">
        <f t="shared" si="27"/>
        <v>0</v>
      </c>
      <c r="K52" s="41">
        <f t="shared" si="27"/>
        <v>0</v>
      </c>
      <c r="L52" s="41">
        <f t="shared" si="27"/>
        <v>0</v>
      </c>
      <c r="M52" s="41">
        <f t="shared" si="27"/>
        <v>0</v>
      </c>
    </row>
    <row r="53" spans="1:13" x14ac:dyDescent="0.45">
      <c r="A53" s="1" t="s">
        <v>50</v>
      </c>
      <c r="B53" s="40" t="s">
        <v>212</v>
      </c>
      <c r="C53" s="42">
        <f>C52*C49</f>
        <v>0</v>
      </c>
      <c r="D53" s="42">
        <f>D52*D49</f>
        <v>0</v>
      </c>
      <c r="E53" s="42">
        <f t="shared" ref="E53:M53" si="28">E52*E49</f>
        <v>0</v>
      </c>
      <c r="F53" s="42">
        <f t="shared" si="28"/>
        <v>0</v>
      </c>
      <c r="G53" s="42">
        <f t="shared" si="28"/>
        <v>0</v>
      </c>
      <c r="H53" s="42">
        <f t="shared" si="28"/>
        <v>0</v>
      </c>
      <c r="I53" s="42">
        <f t="shared" si="28"/>
        <v>0</v>
      </c>
      <c r="J53" s="42">
        <f t="shared" si="28"/>
        <v>0</v>
      </c>
      <c r="K53" s="42">
        <f t="shared" si="28"/>
        <v>0</v>
      </c>
      <c r="L53" s="42">
        <f t="shared" si="28"/>
        <v>0</v>
      </c>
      <c r="M53" s="42">
        <f t="shared" si="28"/>
        <v>0</v>
      </c>
    </row>
    <row r="54" spans="1:13" x14ac:dyDescent="0.45">
      <c r="A54" s="1" t="s">
        <v>51</v>
      </c>
      <c r="B54" s="40"/>
      <c r="C54" s="41">
        <f>(C50/100)*1</f>
        <v>0</v>
      </c>
      <c r="D54" s="41">
        <f t="shared" ref="D54:M54" si="29">(D50/100)*1</f>
        <v>0</v>
      </c>
      <c r="E54" s="41">
        <f t="shared" si="29"/>
        <v>0</v>
      </c>
      <c r="F54" s="41">
        <f t="shared" si="29"/>
        <v>0</v>
      </c>
      <c r="G54" s="41">
        <f t="shared" si="29"/>
        <v>0</v>
      </c>
      <c r="H54" s="41">
        <f t="shared" si="29"/>
        <v>0</v>
      </c>
      <c r="I54" s="41">
        <f t="shared" si="29"/>
        <v>0</v>
      </c>
      <c r="J54" s="41">
        <f t="shared" si="29"/>
        <v>0</v>
      </c>
      <c r="K54" s="41">
        <f t="shared" si="29"/>
        <v>0</v>
      </c>
      <c r="L54" s="41">
        <f t="shared" si="29"/>
        <v>0</v>
      </c>
      <c r="M54" s="41">
        <f t="shared" si="29"/>
        <v>0</v>
      </c>
    </row>
    <row r="55" spans="1:13" x14ac:dyDescent="0.45">
      <c r="A55" s="1" t="s">
        <v>52</v>
      </c>
      <c r="B55" s="40" t="s">
        <v>212</v>
      </c>
      <c r="C55" s="42">
        <f>C49*C54</f>
        <v>0</v>
      </c>
      <c r="D55" s="42">
        <f>D49*D54</f>
        <v>0</v>
      </c>
      <c r="E55" s="42">
        <f t="shared" ref="E55:M55" si="30">E49*E54</f>
        <v>0</v>
      </c>
      <c r="F55" s="42">
        <f t="shared" si="30"/>
        <v>0</v>
      </c>
      <c r="G55" s="42">
        <f t="shared" si="30"/>
        <v>0</v>
      </c>
      <c r="H55" s="42">
        <f t="shared" si="30"/>
        <v>0</v>
      </c>
      <c r="I55" s="42">
        <f t="shared" si="30"/>
        <v>0</v>
      </c>
      <c r="J55" s="42">
        <f t="shared" si="30"/>
        <v>0</v>
      </c>
      <c r="K55" s="42">
        <f t="shared" si="30"/>
        <v>0</v>
      </c>
      <c r="L55" s="42">
        <f t="shared" si="30"/>
        <v>0</v>
      </c>
      <c r="M55" s="42">
        <f t="shared" si="30"/>
        <v>0</v>
      </c>
    </row>
    <row r="56" spans="1:13" x14ac:dyDescent="0.45">
      <c r="A56" s="1" t="str">
        <f>A19</f>
        <v>Кол-во бытовых ЭЗС накопительно</v>
      </c>
      <c r="B56" s="40"/>
      <c r="C56" s="42">
        <f>'Модель рынка'!D55</f>
        <v>0</v>
      </c>
      <c r="D56" s="42">
        <f>'Модель рынка'!E55+C56</f>
        <v>0</v>
      </c>
      <c r="E56" s="42">
        <f>'Модель рынка'!F55+D56</f>
        <v>0</v>
      </c>
      <c r="F56" s="42">
        <f>'Модель рынка'!G55+E56</f>
        <v>0</v>
      </c>
      <c r="G56" s="42">
        <f>'Модель рынка'!H55+F56</f>
        <v>0</v>
      </c>
      <c r="H56" s="42">
        <f>'Модель рынка'!I55+G56</f>
        <v>0</v>
      </c>
      <c r="I56" s="42">
        <f>'Модель рынка'!J55+H56</f>
        <v>0</v>
      </c>
      <c r="J56" s="42">
        <f>'Модель рынка'!K55+I56</f>
        <v>0</v>
      </c>
      <c r="K56" s="42">
        <f>'Модель рынка'!L55+J56</f>
        <v>0</v>
      </c>
      <c r="L56" s="42">
        <f>'Модель рынка'!M55+K56</f>
        <v>0</v>
      </c>
      <c r="M56" s="42">
        <f>'Модель рынка'!N55+L56</f>
        <v>0</v>
      </c>
    </row>
    <row r="57" spans="1:13" x14ac:dyDescent="0.45">
      <c r="A57" s="1" t="s">
        <v>53</v>
      </c>
      <c r="B57" s="40"/>
      <c r="C57" s="42">
        <f>'Модель рынка'!E54</f>
        <v>0</v>
      </c>
      <c r="D57" s="42">
        <f>'Модель рынка'!F54-C57</f>
        <v>0</v>
      </c>
      <c r="E57" s="42">
        <f>'Модель рынка'!G54-C57-D57</f>
        <v>0</v>
      </c>
      <c r="F57" s="42">
        <f>'Модель рынка'!H54-C57-D57-E57</f>
        <v>0</v>
      </c>
      <c r="G57" s="42">
        <f>'Модель рынка'!I54-C57-D57-E57-F57</f>
        <v>0</v>
      </c>
      <c r="H57" s="42">
        <f>'Модель рынка'!J54-C57-D57-E57-F57-G57</f>
        <v>0</v>
      </c>
      <c r="I57" s="42">
        <f>'Модель рынка'!K54-C57-D57-E57-F57-G57-H57</f>
        <v>0</v>
      </c>
      <c r="J57" s="42">
        <f>'Модель рынка'!L54-D57-E57-F57-G57-H57-I57</f>
        <v>0</v>
      </c>
      <c r="K57" s="42">
        <f>'Модель рынка'!M54-E57-F57-G57-H57-I57-J57</f>
        <v>0</v>
      </c>
      <c r="L57" s="42">
        <f>'Модель рынка'!N54-F57-G57-H57-I57-J57-K57</f>
        <v>0</v>
      </c>
      <c r="M57" s="42"/>
    </row>
    <row r="58" spans="1:13" x14ac:dyDescent="0.45">
      <c r="A58" s="1" t="s">
        <v>127</v>
      </c>
      <c r="B58" s="40"/>
      <c r="C58" s="42">
        <f>Моделирование!D10</f>
        <v>0</v>
      </c>
      <c r="D58" s="42">
        <f>(C58/100)*(100+'Модель рынка'!D42)</f>
        <v>0</v>
      </c>
      <c r="E58" s="42">
        <f>(D58/100)*(100+'Модель рынка'!E42)</f>
        <v>0</v>
      </c>
      <c r="F58" s="42">
        <f>(E58/100)*(100+'Модель рынка'!F42)</f>
        <v>0</v>
      </c>
      <c r="G58" s="42">
        <f>(F58/100)*(100+'Модель рынка'!G42)</f>
        <v>0</v>
      </c>
      <c r="H58" s="42">
        <f>(G58/100)*(100+'Модель рынка'!H42)</f>
        <v>0</v>
      </c>
      <c r="I58" s="42">
        <f>(H58/100)*(100+'Модель рынка'!I42)</f>
        <v>0</v>
      </c>
      <c r="J58" s="42">
        <f>(I58/100)*(100+'Модель рынка'!J42)</f>
        <v>0</v>
      </c>
      <c r="K58" s="42">
        <f>(J58/100)*(100+'Модель рынка'!K42)</f>
        <v>0</v>
      </c>
      <c r="L58" s="42">
        <f>(K58/100)*(100+'Модель рынка'!L42)</f>
        <v>0</v>
      </c>
      <c r="M58" s="42">
        <f>(L58/100)*(100+'Модель рынка'!M42)</f>
        <v>0</v>
      </c>
    </row>
    <row r="59" spans="1:13" x14ac:dyDescent="0.45">
      <c r="A59" s="1" t="s">
        <v>46</v>
      </c>
      <c r="B59" s="40"/>
      <c r="C59" s="42">
        <f>C57*C58</f>
        <v>0</v>
      </c>
      <c r="D59" s="42">
        <f t="shared" ref="D59:H59" si="31">D57*D58</f>
        <v>0</v>
      </c>
      <c r="E59" s="42">
        <f t="shared" si="31"/>
        <v>0</v>
      </c>
      <c r="F59" s="42">
        <f t="shared" si="31"/>
        <v>0</v>
      </c>
      <c r="G59" s="42">
        <f t="shared" si="31"/>
        <v>0</v>
      </c>
      <c r="H59" s="42">
        <f t="shared" si="31"/>
        <v>0</v>
      </c>
      <c r="I59" s="42">
        <f>I57*I58</f>
        <v>0</v>
      </c>
      <c r="J59" s="42">
        <f t="shared" ref="J59:M59" si="32">J57*J58</f>
        <v>0</v>
      </c>
      <c r="K59" s="42">
        <f t="shared" si="32"/>
        <v>0</v>
      </c>
      <c r="L59" s="42">
        <f t="shared" si="32"/>
        <v>0</v>
      </c>
      <c r="M59" s="42">
        <f t="shared" si="32"/>
        <v>0</v>
      </c>
    </row>
    <row r="60" spans="1:13" x14ac:dyDescent="0.45">
      <c r="A60" s="1" t="s">
        <v>54</v>
      </c>
      <c r="B60" s="40"/>
      <c r="C60" s="41">
        <f>(C58/100)*1</f>
        <v>0</v>
      </c>
      <c r="D60" s="41">
        <f t="shared" ref="D60:M60" si="33">(D58/100)*1</f>
        <v>0</v>
      </c>
      <c r="E60" s="41">
        <f t="shared" si="33"/>
        <v>0</v>
      </c>
      <c r="F60" s="41">
        <f t="shared" si="33"/>
        <v>0</v>
      </c>
      <c r="G60" s="41">
        <f t="shared" si="33"/>
        <v>0</v>
      </c>
      <c r="H60" s="41">
        <f t="shared" si="33"/>
        <v>0</v>
      </c>
      <c r="I60" s="41">
        <f t="shared" si="33"/>
        <v>0</v>
      </c>
      <c r="J60" s="41">
        <f t="shared" si="33"/>
        <v>0</v>
      </c>
      <c r="K60" s="41">
        <f t="shared" si="33"/>
        <v>0</v>
      </c>
      <c r="L60" s="41">
        <f t="shared" si="33"/>
        <v>0</v>
      </c>
      <c r="M60" s="41">
        <f t="shared" si="33"/>
        <v>0</v>
      </c>
    </row>
    <row r="61" spans="1:13" x14ac:dyDescent="0.45">
      <c r="A61" s="1" t="s">
        <v>55</v>
      </c>
      <c r="B61" s="40"/>
      <c r="C61" s="42">
        <f>C60*C57</f>
        <v>0</v>
      </c>
      <c r="D61" s="42">
        <f t="shared" ref="D61:M61" si="34">D60*D57</f>
        <v>0</v>
      </c>
      <c r="E61" s="42">
        <f t="shared" si="34"/>
        <v>0</v>
      </c>
      <c r="F61" s="42">
        <f t="shared" si="34"/>
        <v>0</v>
      </c>
      <c r="G61" s="42">
        <f t="shared" si="34"/>
        <v>0</v>
      </c>
      <c r="H61" s="42">
        <f t="shared" si="34"/>
        <v>0</v>
      </c>
      <c r="I61" s="42">
        <f t="shared" si="34"/>
        <v>0</v>
      </c>
      <c r="J61" s="42">
        <f t="shared" si="34"/>
        <v>0</v>
      </c>
      <c r="K61" s="42">
        <f t="shared" si="34"/>
        <v>0</v>
      </c>
      <c r="L61" s="42">
        <f t="shared" si="34"/>
        <v>0</v>
      </c>
      <c r="M61" s="42">
        <f t="shared" si="34"/>
        <v>0</v>
      </c>
    </row>
    <row r="62" spans="1:13" x14ac:dyDescent="0.45">
      <c r="A62" s="1" t="s">
        <v>56</v>
      </c>
      <c r="B62" s="40"/>
      <c r="C62" s="41">
        <f>(C58/100)*1</f>
        <v>0</v>
      </c>
      <c r="D62" s="41">
        <f t="shared" ref="D62:M62" si="35">(D58/100)*1</f>
        <v>0</v>
      </c>
      <c r="E62" s="41">
        <f t="shared" si="35"/>
        <v>0</v>
      </c>
      <c r="F62" s="41">
        <f t="shared" si="35"/>
        <v>0</v>
      </c>
      <c r="G62" s="41">
        <f t="shared" si="35"/>
        <v>0</v>
      </c>
      <c r="H62" s="41">
        <f t="shared" si="35"/>
        <v>0</v>
      </c>
      <c r="I62" s="41">
        <f t="shared" si="35"/>
        <v>0</v>
      </c>
      <c r="J62" s="41">
        <f t="shared" si="35"/>
        <v>0</v>
      </c>
      <c r="K62" s="41">
        <f t="shared" si="35"/>
        <v>0</v>
      </c>
      <c r="L62" s="41">
        <f t="shared" si="35"/>
        <v>0</v>
      </c>
      <c r="M62" s="41">
        <f t="shared" si="35"/>
        <v>0</v>
      </c>
    </row>
    <row r="63" spans="1:13" x14ac:dyDescent="0.45">
      <c r="A63" s="1" t="s">
        <v>57</v>
      </c>
      <c r="B63" s="40" t="s">
        <v>212</v>
      </c>
      <c r="C63" s="42">
        <f>C62*C57</f>
        <v>0</v>
      </c>
      <c r="D63" s="42">
        <f t="shared" ref="D63:M63" si="36">D62*D57</f>
        <v>0</v>
      </c>
      <c r="E63" s="42">
        <f t="shared" si="36"/>
        <v>0</v>
      </c>
      <c r="F63" s="42">
        <f t="shared" si="36"/>
        <v>0</v>
      </c>
      <c r="G63" s="42">
        <f t="shared" si="36"/>
        <v>0</v>
      </c>
      <c r="H63" s="42">
        <f t="shared" si="36"/>
        <v>0</v>
      </c>
      <c r="I63" s="42">
        <f t="shared" si="36"/>
        <v>0</v>
      </c>
      <c r="J63" s="42">
        <f t="shared" si="36"/>
        <v>0</v>
      </c>
      <c r="K63" s="42">
        <f t="shared" si="36"/>
        <v>0</v>
      </c>
      <c r="L63" s="42">
        <f t="shared" si="36"/>
        <v>0</v>
      </c>
      <c r="M63" s="42">
        <f t="shared" si="36"/>
        <v>0</v>
      </c>
    </row>
    <row r="64" spans="1:13" x14ac:dyDescent="0.45">
      <c r="A64" s="1" t="s">
        <v>63</v>
      </c>
      <c r="B64" s="40"/>
      <c r="C64" s="74">
        <f>'Модель рынка'!D76/'Модель рынка'!D68</f>
        <v>887040</v>
      </c>
      <c r="D64" s="74">
        <f>'Модель рынка'!E76/'Модель рынка'!E68</f>
        <v>1267200</v>
      </c>
      <c r="E64" s="74">
        <f>'Модель рынка'!F76/'Модель рынка'!F68</f>
        <v>1710720</v>
      </c>
      <c r="F64" s="74">
        <f>'Модель рынка'!G76/'Модель рынка'!G68</f>
        <v>2138400</v>
      </c>
      <c r="G64" s="74">
        <f>'Модель рынка'!H76/'Модель рынка'!H68</f>
        <v>2352240</v>
      </c>
      <c r="H64" s="74">
        <f>'Модель рынка'!I76/'Модель рынка'!I68</f>
        <v>1924560</v>
      </c>
      <c r="I64" s="74">
        <f>'Модель рынка'!J76/'Модель рынка'!J68</f>
        <v>2918916</v>
      </c>
      <c r="J64" s="74">
        <f>'Модель рынка'!K76/'Модель рынка'!K68</f>
        <v>4086482.4000000004</v>
      </c>
      <c r="K64" s="74">
        <f>'Модель рынка'!L76/'Модель рынка'!L68</f>
        <v>5254048.8</v>
      </c>
      <c r="L64" s="74">
        <f>'Модель рынка'!M76/'Модель рынка'!M68</f>
        <v>6164750.5920000002</v>
      </c>
      <c r="M64" s="74">
        <f>'Модель рынка'!N76/'Модель рынка'!N68</f>
        <v>7205052.2544000009</v>
      </c>
    </row>
    <row r="65" spans="1:13" x14ac:dyDescent="0.45">
      <c r="A65" s="1" t="s">
        <v>64</v>
      </c>
      <c r="B65" s="40"/>
      <c r="C65" s="41">
        <f>Моделирование!$D$8</f>
        <v>7</v>
      </c>
      <c r="D65" s="41">
        <f>Моделирование!$D$8</f>
        <v>7</v>
      </c>
      <c r="E65" s="41">
        <f>Моделирование!$D$8</f>
        <v>7</v>
      </c>
      <c r="F65" s="41">
        <f>Моделирование!$D$8</f>
        <v>7</v>
      </c>
      <c r="G65" s="41">
        <f>Моделирование!$D$8</f>
        <v>7</v>
      </c>
      <c r="H65" s="41">
        <f>Моделирование!$D$8</f>
        <v>7</v>
      </c>
      <c r="I65" s="41">
        <f>Моделирование!$D$8</f>
        <v>7</v>
      </c>
      <c r="J65" s="41">
        <f>Моделирование!$D$8</f>
        <v>7</v>
      </c>
      <c r="K65" s="41">
        <f>Моделирование!$D$8</f>
        <v>7</v>
      </c>
      <c r="L65" s="41">
        <f>Моделирование!$D$8</f>
        <v>7</v>
      </c>
      <c r="M65" s="41">
        <f>Моделирование!$D$8</f>
        <v>7</v>
      </c>
    </row>
    <row r="66" spans="1:13" x14ac:dyDescent="0.45">
      <c r="A66" s="1" t="s">
        <v>65</v>
      </c>
      <c r="B66" s="40" t="s">
        <v>212</v>
      </c>
      <c r="C66" s="42">
        <f>C64*C65</f>
        <v>6209280</v>
      </c>
      <c r="D66" s="42">
        <f>D64*D65</f>
        <v>8870400</v>
      </c>
      <c r="E66" s="42">
        <f t="shared" ref="E66:M66" si="37">E64*E65</f>
        <v>11975040</v>
      </c>
      <c r="F66" s="42">
        <f t="shared" si="37"/>
        <v>14968800</v>
      </c>
      <c r="G66" s="42">
        <f t="shared" si="37"/>
        <v>16465680</v>
      </c>
      <c r="H66" s="42">
        <f t="shared" si="37"/>
        <v>13471920</v>
      </c>
      <c r="I66" s="42">
        <f t="shared" si="37"/>
        <v>20432412</v>
      </c>
      <c r="J66" s="42">
        <f t="shared" si="37"/>
        <v>28605376.800000004</v>
      </c>
      <c r="K66" s="42">
        <f t="shared" si="37"/>
        <v>36778341.600000001</v>
      </c>
      <c r="L66" s="42">
        <f t="shared" si="37"/>
        <v>43153254.144000001</v>
      </c>
      <c r="M66" s="42">
        <f t="shared" si="37"/>
        <v>50435365.780800007</v>
      </c>
    </row>
    <row r="67" spans="1:13" x14ac:dyDescent="0.45">
      <c r="A67" s="1" t="s">
        <v>60</v>
      </c>
      <c r="B67" s="40"/>
      <c r="C67" s="42">
        <f>IF(C56=0,0,(('Модель рынка'!D45/100)*'Модель рынка'!D52)*'Модель рынка'!D61*'Модель рынка'!D64*12
)</f>
        <v>0</v>
      </c>
      <c r="D67" s="42">
        <f>IF(D56=0,0,(('Модель рынка'!E45/100)*'Модель рынка'!E52)*'Модель рынка'!E61*'Модель рынка'!E64*12
)</f>
        <v>0</v>
      </c>
      <c r="E67" s="42">
        <f>IF(E56=0,0,(('Модель рынка'!F45/100)*'Модель рынка'!F52)*'Модель рынка'!F61*'Модель рынка'!F64*12
)</f>
        <v>0</v>
      </c>
      <c r="F67" s="42">
        <f>IF(F56=0,0,(('Модель рынка'!G45/100)*'Модель рынка'!G52)*'Модель рынка'!G61*'Модель рынка'!G64*12
)</f>
        <v>0</v>
      </c>
      <c r="G67" s="42">
        <f>IF(G56=0,0,(('Модель рынка'!H45/100)*'Модель рынка'!H52)*'Модель рынка'!H61*'Модель рынка'!H64*12
)</f>
        <v>0</v>
      </c>
      <c r="H67" s="42">
        <f>IF(H56=0,0,(('Модель рынка'!I45/100)*'Модель рынка'!I52)*'Модель рынка'!I61*'Модель рынка'!I64*12
)</f>
        <v>0</v>
      </c>
      <c r="I67" s="42">
        <f>IF(I56=0,0,(('Модель рынка'!J45/100)*'Модель рынка'!J52)*'Модель рынка'!J61*'Модель рынка'!J64*12
)</f>
        <v>0</v>
      </c>
      <c r="J67" s="42">
        <f>IF(J56=0,0,(('Модель рынка'!K45/100)*'Модель рынка'!K52)*'Модель рынка'!K61*'Модель рынка'!K64*12
)</f>
        <v>0</v>
      </c>
      <c r="K67" s="42">
        <f>IF(K56=0,0,(('Модель рынка'!L45/100)*'Модель рынка'!L52)*'Модель рынка'!L61*'Модель рынка'!L64*12
)</f>
        <v>0</v>
      </c>
      <c r="L67" s="42">
        <f>IF(L56=0,0,(('Модель рынка'!M45/100)*'Модель рынка'!M52)*'Модель рынка'!M61*'Модель рынка'!M64*12
)</f>
        <v>0</v>
      </c>
      <c r="M67" s="42">
        <f>IF(M56=0,0,(('Модель рынка'!N45/100)*'Модель рынка'!N52)*'Модель рынка'!N61*'Модель рынка'!N64*12
)</f>
        <v>0</v>
      </c>
    </row>
    <row r="68" spans="1:13" x14ac:dyDescent="0.45">
      <c r="A68" s="1" t="s">
        <v>61</v>
      </c>
      <c r="B68" s="40"/>
      <c r="C68" s="42">
        <f>C65</f>
        <v>7</v>
      </c>
      <c r="D68" s="42">
        <f t="shared" ref="D68:M68" si="38">D65</f>
        <v>7</v>
      </c>
      <c r="E68" s="42">
        <f t="shared" si="38"/>
        <v>7</v>
      </c>
      <c r="F68" s="42">
        <f t="shared" si="38"/>
        <v>7</v>
      </c>
      <c r="G68" s="42">
        <f t="shared" si="38"/>
        <v>7</v>
      </c>
      <c r="H68" s="42">
        <f t="shared" si="38"/>
        <v>7</v>
      </c>
      <c r="I68" s="42">
        <f t="shared" si="38"/>
        <v>7</v>
      </c>
      <c r="J68" s="42">
        <f t="shared" si="38"/>
        <v>7</v>
      </c>
      <c r="K68" s="42">
        <f t="shared" si="38"/>
        <v>7</v>
      </c>
      <c r="L68" s="42">
        <f t="shared" si="38"/>
        <v>7</v>
      </c>
      <c r="M68" s="42">
        <f t="shared" si="38"/>
        <v>7</v>
      </c>
    </row>
    <row r="69" spans="1:13" x14ac:dyDescent="0.45">
      <c r="A69" s="1" t="s">
        <v>62</v>
      </c>
      <c r="B69" s="40" t="s">
        <v>212</v>
      </c>
      <c r="C69" s="42">
        <f>C67*C68</f>
        <v>0</v>
      </c>
      <c r="D69" s="42">
        <f>D67*D68</f>
        <v>0</v>
      </c>
      <c r="E69" s="42">
        <f t="shared" ref="E69:M69" si="39">E67*E68</f>
        <v>0</v>
      </c>
      <c r="F69" s="42">
        <f t="shared" si="39"/>
        <v>0</v>
      </c>
      <c r="G69" s="42">
        <f t="shared" si="39"/>
        <v>0</v>
      </c>
      <c r="H69" s="42">
        <f t="shared" si="39"/>
        <v>0</v>
      </c>
      <c r="I69" s="42">
        <f t="shared" si="39"/>
        <v>0</v>
      </c>
      <c r="J69" s="42">
        <f t="shared" si="39"/>
        <v>0</v>
      </c>
      <c r="K69" s="42">
        <f t="shared" si="39"/>
        <v>0</v>
      </c>
      <c r="L69" s="42">
        <f t="shared" si="39"/>
        <v>0</v>
      </c>
      <c r="M69" s="42">
        <f t="shared" si="39"/>
        <v>0</v>
      </c>
    </row>
    <row r="70" spans="1:13" x14ac:dyDescent="0.45">
      <c r="A70" s="72" t="s">
        <v>225</v>
      </c>
      <c r="B70" s="75">
        <v>1</v>
      </c>
      <c r="C70" s="41">
        <f>IF(Моделирование!C12&gt;0,0,1)*B70</f>
        <v>1</v>
      </c>
      <c r="D70" s="42">
        <f>C70</f>
        <v>1</v>
      </c>
      <c r="E70" s="42">
        <f t="shared" ref="E70" si="40">D70</f>
        <v>1</v>
      </c>
      <c r="F70" s="42">
        <f t="shared" ref="F70" si="41">E70</f>
        <v>1</v>
      </c>
      <c r="G70" s="42">
        <f t="shared" ref="G70" si="42">F70</f>
        <v>1</v>
      </c>
      <c r="H70" s="42">
        <f t="shared" ref="H70" si="43">G70</f>
        <v>1</v>
      </c>
      <c r="I70" s="42">
        <f t="shared" ref="I70" si="44">H70</f>
        <v>1</v>
      </c>
      <c r="J70" s="42">
        <f t="shared" ref="J70" si="45">I70</f>
        <v>1</v>
      </c>
      <c r="K70" s="42">
        <f t="shared" ref="K70" si="46">J70</f>
        <v>1</v>
      </c>
      <c r="L70" s="42">
        <f t="shared" ref="L70" si="47">K70</f>
        <v>1</v>
      </c>
      <c r="M70" s="42">
        <f t="shared" ref="M70" si="48">L70</f>
        <v>1</v>
      </c>
    </row>
    <row r="71" spans="1:13" x14ac:dyDescent="0.45">
      <c r="A71" s="1" t="s">
        <v>152</v>
      </c>
      <c r="B71" s="40" t="s">
        <v>212</v>
      </c>
      <c r="C71" s="42">
        <f>(('Модель рынка'!D76+'Модель рынка'!D77)/100)*C70</f>
        <v>150796.79999999999</v>
      </c>
      <c r="D71" s="42">
        <f>(('Модель рынка'!E76+'Модель рынка'!E77)/100)*D70</f>
        <v>323136.00000000006</v>
      </c>
      <c r="E71" s="42">
        <f>(('Модель рынка'!F76+'Модель рынка'!F77)/100)*E70</f>
        <v>496578.18763636367</v>
      </c>
      <c r="F71" s="42">
        <f>(('Модель рынка'!G76+'Модель рынка'!G77)/100)*F70</f>
        <v>614452.80793388421</v>
      </c>
      <c r="G71" s="42">
        <f>(('Модель рынка'!H76+'Модель рынка'!H77)/100)*G70</f>
        <v>669070.83530578495</v>
      </c>
      <c r="H71" s="42">
        <f>(('Модель рынка'!I76+'Модель рынка'!I77)/100)*H70</f>
        <v>541892.08148733014</v>
      </c>
      <c r="I71" s="42">
        <f>(('Модель рынка'!J76+'Модель рынка'!J77)/100)*I70</f>
        <v>813567.9432161632</v>
      </c>
      <c r="J71" s="42">
        <f>(('Модель рынка'!K76+'Модель рынка'!K77)/100)*J70</f>
        <v>1127490.1192854301</v>
      </c>
      <c r="K71" s="42">
        <f>(('Модель рынка'!L76+'Модель рынка'!L77)/100)*K70</f>
        <v>1434987.4245450932</v>
      </c>
      <c r="L71" s="42">
        <f>(('Модель рынка'!M76+'Модель рынка'!M77)/100)*L70</f>
        <v>1666711.3197679303</v>
      </c>
      <c r="M71" s="42">
        <f>(('Модель рынка'!N76+'Модель рынка'!N77)/100)*M70</f>
        <v>1928292.4018981748</v>
      </c>
    </row>
    <row r="72" spans="1:13" x14ac:dyDescent="0.45">
      <c r="A72" s="1" t="s">
        <v>154</v>
      </c>
      <c r="B72" s="40"/>
      <c r="C72" s="41">
        <v>1</v>
      </c>
      <c r="D72" s="42">
        <f>C72</f>
        <v>1</v>
      </c>
      <c r="E72" s="42">
        <f t="shared" ref="E72" si="49">D72</f>
        <v>1</v>
      </c>
      <c r="F72" s="42">
        <f t="shared" ref="F72" si="50">E72</f>
        <v>1</v>
      </c>
      <c r="G72" s="42">
        <f t="shared" ref="G72" si="51">F72</f>
        <v>1</v>
      </c>
      <c r="H72" s="42">
        <f t="shared" ref="H72" si="52">G72</f>
        <v>1</v>
      </c>
      <c r="I72" s="42">
        <f t="shared" ref="I72" si="53">H72</f>
        <v>1</v>
      </c>
      <c r="J72" s="42">
        <f t="shared" ref="J72" si="54">I72</f>
        <v>1</v>
      </c>
      <c r="K72" s="42">
        <f t="shared" ref="K72" si="55">J72</f>
        <v>1</v>
      </c>
      <c r="L72" s="42">
        <f t="shared" ref="L72" si="56">K72</f>
        <v>1</v>
      </c>
      <c r="M72" s="42">
        <f t="shared" ref="M72" si="57">L72</f>
        <v>1</v>
      </c>
    </row>
    <row r="73" spans="1:13" x14ac:dyDescent="0.45">
      <c r="A73" s="1" t="s">
        <v>155</v>
      </c>
      <c r="B73" s="40" t="s">
        <v>212</v>
      </c>
      <c r="C73" s="42">
        <f>(('Модель рынка'!D75+'Модель рынка'!D76)/100)*C72</f>
        <v>150796.82644444445</v>
      </c>
      <c r="D73" s="42">
        <f>(('Модель рынка'!E75+'Модель рынка'!E76)/100)*D72</f>
        <v>323136.03927000007</v>
      </c>
      <c r="E73" s="42">
        <f>(('Модель рынка'!F75+'Модель рынка'!F76)/100)*E72</f>
        <v>496578.23189159564</v>
      </c>
      <c r="F73" s="42">
        <f>(('Модель рынка'!G75+'Модель рынка'!G76)/100)*F72</f>
        <v>614452.85130401154</v>
      </c>
      <c r="G73" s="42">
        <f>(('Модель рынка'!H75+'Модель рынка'!H76)/100)*G72</f>
        <v>669070.87780850974</v>
      </c>
      <c r="H73" s="42">
        <f>(('Модель рынка'!I75+'Модель рынка'!I76)/100)*H72</f>
        <v>541892.12314000051</v>
      </c>
      <c r="I73" s="42">
        <f>(('Модель рынка'!J75+'Модель рынка'!J76)/100)*I72</f>
        <v>813567.98403578019</v>
      </c>
      <c r="J73" s="42">
        <f>(('Модель рынка'!K75+'Модель рынка'!K76)/100)*J72</f>
        <v>1127490.1592886546</v>
      </c>
      <c r="K73" s="42">
        <f>(('Модель рынка'!L75+'Модель рынка'!L76)/100)*K72</f>
        <v>1434987.4637482532</v>
      </c>
      <c r="L73" s="42">
        <f>(('Модель рынка'!M75+'Модель рынка'!M76)/100)*L72</f>
        <v>1666711.358187027</v>
      </c>
      <c r="M73" s="42">
        <f>(('Модель рынка'!N75+'Модель рынка'!N76)/100)*M72</f>
        <v>1928292.4395488896</v>
      </c>
    </row>
    <row r="74" spans="1:13" x14ac:dyDescent="0.45">
      <c r="A74" s="1" t="s">
        <v>192</v>
      </c>
      <c r="C74" s="42">
        <v>12000</v>
      </c>
      <c r="D74" s="42">
        <f>(C74/100)*(100+'Модель рынка'!D42)</f>
        <v>14400</v>
      </c>
      <c r="E74" s="42">
        <f>(D74/100)*(100+'Модель рынка'!E42)</f>
        <v>17280</v>
      </c>
      <c r="F74" s="42">
        <f>(E74/100)*(100+'Модель рынка'!F42)</f>
        <v>20736</v>
      </c>
      <c r="G74" s="42">
        <f>(F74/100)*(100+'Модель рынка'!G42)</f>
        <v>24468.480000000003</v>
      </c>
      <c r="H74" s="42">
        <f>(G74/100)*(100+'Модель рынка'!H42)</f>
        <v>28628.121600000002</v>
      </c>
      <c r="I74" s="42">
        <f>(H74/100)*(100+'Модель рынка'!I42)</f>
        <v>33208.621056000004</v>
      </c>
      <c r="J74" s="42">
        <f>(I74/100)*(100+'Модель рынка'!J42)</f>
        <v>38189.914214400007</v>
      </c>
      <c r="K74" s="42">
        <f>(J74/100)*(100+'Модель рынка'!K42)</f>
        <v>43536.502204416007</v>
      </c>
      <c r="L74" s="42">
        <f>(K74/100)*(100+'Модель рынка'!L42)</f>
        <v>49196.247490990085</v>
      </c>
      <c r="M74" s="42">
        <f>(L74/100)*(100+'Модель рынка'!M42)</f>
        <v>55591.759664818797</v>
      </c>
    </row>
    <row r="75" spans="1:13" x14ac:dyDescent="0.45">
      <c r="A75" s="1" t="s">
        <v>193</v>
      </c>
      <c r="B75" s="1" t="s">
        <v>212</v>
      </c>
      <c r="C75" s="42">
        <f>(C57+C49)*C74</f>
        <v>0</v>
      </c>
      <c r="D75" s="42">
        <f t="shared" ref="D75:M75" si="58">(D57+D49)*D74</f>
        <v>0</v>
      </c>
      <c r="E75" s="42">
        <f t="shared" si="58"/>
        <v>0</v>
      </c>
      <c r="F75" s="42">
        <f t="shared" si="58"/>
        <v>0</v>
      </c>
      <c r="G75" s="42">
        <f t="shared" si="58"/>
        <v>0</v>
      </c>
      <c r="H75" s="42">
        <f t="shared" si="58"/>
        <v>0</v>
      </c>
      <c r="I75" s="42">
        <f t="shared" si="58"/>
        <v>0</v>
      </c>
      <c r="J75" s="42">
        <f t="shared" si="58"/>
        <v>0</v>
      </c>
      <c r="K75" s="42">
        <f t="shared" si="58"/>
        <v>0</v>
      </c>
      <c r="L75" s="42">
        <f t="shared" si="58"/>
        <v>0</v>
      </c>
      <c r="M75" s="42">
        <f t="shared" si="58"/>
        <v>0</v>
      </c>
    </row>
    <row r="77" spans="1:13" x14ac:dyDescent="0.45">
      <c r="C77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E56F-C958-4E41-8BAF-095E52AF481D}">
  <dimension ref="A1:M17"/>
  <sheetViews>
    <sheetView workbookViewId="0">
      <selection activeCell="L27" sqref="L27"/>
    </sheetView>
  </sheetViews>
  <sheetFormatPr defaultRowHeight="14.25" x14ac:dyDescent="0.45"/>
  <cols>
    <col min="1" max="1" width="19" bestFit="1" customWidth="1"/>
    <col min="2" max="7" width="12.265625" style="39" bestFit="1" customWidth="1"/>
    <col min="8" max="8" width="12.1328125" style="39" bestFit="1" customWidth="1"/>
    <col min="9" max="11" width="12.265625" style="39" bestFit="1" customWidth="1"/>
    <col min="12" max="14" width="18.265625" customWidth="1"/>
  </cols>
  <sheetData>
    <row r="1" spans="1:13" x14ac:dyDescent="0.45">
      <c r="B1" s="39">
        <v>1000</v>
      </c>
      <c r="C1" s="39">
        <f>B1</f>
        <v>1000</v>
      </c>
      <c r="D1" s="39">
        <f t="shared" ref="D1:K1" si="0">C1</f>
        <v>1000</v>
      </c>
      <c r="E1" s="39">
        <f t="shared" si="0"/>
        <v>1000</v>
      </c>
      <c r="F1" s="39">
        <f t="shared" si="0"/>
        <v>1000</v>
      </c>
      <c r="G1" s="39">
        <f t="shared" si="0"/>
        <v>1000</v>
      </c>
      <c r="H1" s="39">
        <f t="shared" si="0"/>
        <v>1000</v>
      </c>
      <c r="I1" s="39">
        <f t="shared" si="0"/>
        <v>1000</v>
      </c>
      <c r="J1" s="39">
        <f t="shared" si="0"/>
        <v>1000</v>
      </c>
      <c r="K1" s="39">
        <f t="shared" si="0"/>
        <v>1000</v>
      </c>
    </row>
    <row r="2" spans="1:13" x14ac:dyDescent="0.45">
      <c r="A2" s="48" t="s">
        <v>227</v>
      </c>
      <c r="B2" s="39" t="str">
        <f>'Модель рынка'!D3</f>
        <v>2022</v>
      </c>
      <c r="C2" s="39" t="str">
        <f>'Модель рынка'!E3</f>
        <v>2023</v>
      </c>
      <c r="D2" s="39" t="str">
        <f>'Модель рынка'!F3</f>
        <v>2024</v>
      </c>
      <c r="E2" s="39" t="str">
        <f>'Модель рынка'!G3</f>
        <v>2025</v>
      </c>
      <c r="F2" s="39" t="str">
        <f>'Модель рынка'!H3</f>
        <v>2026</v>
      </c>
      <c r="G2" s="39" t="str">
        <f>'Модель рынка'!I3</f>
        <v>2027</v>
      </c>
      <c r="H2" s="39" t="str">
        <f>'Модель рынка'!J3</f>
        <v>2028</v>
      </c>
      <c r="I2" s="39" t="str">
        <f>'Модель рынка'!K3</f>
        <v>2029</v>
      </c>
      <c r="J2" s="39" t="str">
        <f>'Модель рынка'!L3</f>
        <v>2030</v>
      </c>
      <c r="K2" s="39" t="str">
        <f>'Модель рынка'!M3</f>
        <v>2031</v>
      </c>
      <c r="L2" s="38"/>
      <c r="M2" s="38"/>
    </row>
    <row r="3" spans="1:13" x14ac:dyDescent="0.45">
      <c r="A3" t="str">
        <f>Моделирование!C2</f>
        <v>Развитие</v>
      </c>
      <c r="B3" s="80">
        <f>'Модель рынка'!D40+'Модель рынка'!D41</f>
        <v>250</v>
      </c>
      <c r="C3" s="80">
        <f>'Модель рынка'!E40+'Модель рынка'!E41</f>
        <v>3392.8571428571427</v>
      </c>
      <c r="D3" s="80">
        <f>'Модель рынка'!F40+'Модель рынка'!F41</f>
        <v>9678.5714285714294</v>
      </c>
      <c r="E3" s="80">
        <f>'Модель рынка'!G40+'Модель рынка'!G41</f>
        <v>22250</v>
      </c>
      <c r="F3" s="80">
        <f>'Модель рынка'!H40+'Модель рынка'!H41</f>
        <v>47392.857142857145</v>
      </c>
      <c r="G3" s="80">
        <f>'Модель рынка'!I40+'Модель рынка'!I41</f>
        <v>97678.571428571435</v>
      </c>
      <c r="H3" s="80">
        <f>'Модель рынка'!J40+'Модель рынка'!J41</f>
        <v>193221.42857142858</v>
      </c>
      <c r="I3" s="80">
        <f>'Модель рынка'!K40+'Модель рынка'!K41</f>
        <v>365198.57142857148</v>
      </c>
      <c r="J3" s="80">
        <f>'Модель рынка'!L40+'Модель рынка'!L41</f>
        <v>657559.7142857142</v>
      </c>
      <c r="K3" s="80">
        <f>'Модель рынка'!M40+'Модель рынка'!M41</f>
        <v>1125337.5428571429</v>
      </c>
      <c r="L3" s="38"/>
      <c r="M3" s="38"/>
    </row>
    <row r="4" spans="1:13" x14ac:dyDescent="0.45">
      <c r="A4" t="str">
        <f>Моделирование!D2</f>
        <v>Как есть</v>
      </c>
      <c r="B4" s="80">
        <f>'Модель рынка'!D78+'Модель рынка'!D79</f>
        <v>250</v>
      </c>
      <c r="C4" s="80">
        <f>'Модель рынка'!E78+'Модель рынка'!E79</f>
        <v>250</v>
      </c>
      <c r="D4" s="80">
        <f>'Модель рынка'!F78+'Модель рынка'!F79</f>
        <v>250</v>
      </c>
      <c r="E4" s="80">
        <f>'Модель рынка'!G78+'Модель рынка'!G79</f>
        <v>250</v>
      </c>
      <c r="F4" s="80">
        <f>'Модель рынка'!H78+'Модель рынка'!H79</f>
        <v>250</v>
      </c>
      <c r="G4" s="80">
        <f>'Модель рынка'!I78+'Модель рынка'!I79</f>
        <v>250</v>
      </c>
      <c r="H4" s="80">
        <f>'Модель рынка'!J78+'Модель рынка'!J79</f>
        <v>250</v>
      </c>
      <c r="I4" s="80">
        <f>'Модель рынка'!K78+'Модель рынка'!K79</f>
        <v>250</v>
      </c>
      <c r="J4" s="80">
        <f>'Модель рынка'!L78+'Модель рынка'!L79</f>
        <v>250</v>
      </c>
      <c r="K4" s="80">
        <f>'Модель рынка'!M78+'Модель рынка'!M79</f>
        <v>250</v>
      </c>
      <c r="L4" s="38"/>
      <c r="M4" s="38"/>
    </row>
    <row r="5" spans="1:13" x14ac:dyDescent="0.45">
      <c r="A5" s="48" t="s">
        <v>228</v>
      </c>
      <c r="B5" s="39" t="str">
        <f>B2</f>
        <v>2022</v>
      </c>
      <c r="C5" s="39" t="str">
        <f t="shared" ref="C5:K5" si="1">C2</f>
        <v>2023</v>
      </c>
      <c r="D5" s="39" t="str">
        <f t="shared" si="1"/>
        <v>2024</v>
      </c>
      <c r="E5" s="39" t="str">
        <f t="shared" si="1"/>
        <v>2025</v>
      </c>
      <c r="F5" s="39" t="str">
        <f t="shared" si="1"/>
        <v>2026</v>
      </c>
      <c r="G5" s="39" t="str">
        <f t="shared" si="1"/>
        <v>2027</v>
      </c>
      <c r="H5" s="39" t="str">
        <f t="shared" si="1"/>
        <v>2028</v>
      </c>
      <c r="I5" s="39" t="str">
        <f t="shared" si="1"/>
        <v>2029</v>
      </c>
      <c r="J5" s="39" t="str">
        <f t="shared" si="1"/>
        <v>2030</v>
      </c>
      <c r="K5" s="39" t="str">
        <f t="shared" si="1"/>
        <v>2031</v>
      </c>
    </row>
    <row r="6" spans="1:13" x14ac:dyDescent="0.45">
      <c r="A6" t="str">
        <f>A3</f>
        <v>Развитие</v>
      </c>
      <c r="B6" s="39">
        <f>БДР!C13/B1</f>
        <v>451343.58013796381</v>
      </c>
      <c r="C6" s="39">
        <f>БДР!D13/C1</f>
        <v>3179663.6423815615</v>
      </c>
      <c r="D6" s="39">
        <f>БДР!E13/D1</f>
        <v>9069470.0280722398</v>
      </c>
      <c r="E6" s="39">
        <f>БДР!F13/E1</f>
        <v>21465786.812337261</v>
      </c>
      <c r="F6" s="39">
        <f>БДР!G13/F1</f>
        <v>47442115.309073471</v>
      </c>
      <c r="G6" s="39">
        <f>БДР!H13/G1</f>
        <v>102149085.97473046</v>
      </c>
      <c r="H6" s="39">
        <f>БДР!I13/H1</f>
        <v>211085621.1139853</v>
      </c>
      <c r="I6" s="39">
        <f>БДР!J13/I1</f>
        <v>416175071.68043149</v>
      </c>
      <c r="J6" s="39">
        <f>БДР!K13/J1</f>
        <v>779616698.02464509</v>
      </c>
      <c r="K6" s="39">
        <f>БДР!L13/K1</f>
        <v>1385455984.8400016</v>
      </c>
    </row>
    <row r="7" spans="1:13" x14ac:dyDescent="0.45">
      <c r="A7" t="str">
        <f>A4</f>
        <v>Как есть</v>
      </c>
      <c r="B7" s="39">
        <f>БДР!C44/B1</f>
        <v>1418.8063735555559</v>
      </c>
      <c r="C7" s="39">
        <f>БДР!D44/C1</f>
        <v>17065.734334285564</v>
      </c>
      <c r="D7" s="39">
        <f>БДР!E44/D1</f>
        <v>46605.356678393975</v>
      </c>
      <c r="E7" s="39">
        <f>БДР!F44/E1</f>
        <v>84702.931812544499</v>
      </c>
      <c r="F7" s="39">
        <f>БДР!G44/F1</f>
        <v>126656.1936300087</v>
      </c>
      <c r="G7" s="39">
        <f>БДР!H44/G1</f>
        <v>159139.69757411437</v>
      </c>
      <c r="H7" s="39">
        <f>БДР!I44/H1</f>
        <v>211286.94396847876</v>
      </c>
      <c r="I7" s="39">
        <f>БДР!J44/I1</f>
        <v>286025.59881844773</v>
      </c>
      <c r="J7" s="39">
        <f>БДР!K44/J1</f>
        <v>382726.02478466369</v>
      </c>
      <c r="K7" s="39">
        <f>БДР!L44/K1</f>
        <v>495760.47993950179</v>
      </c>
    </row>
    <row r="8" spans="1:13" x14ac:dyDescent="0.45">
      <c r="A8" s="48" t="s">
        <v>229</v>
      </c>
      <c r="B8" s="39" t="str">
        <f>B5</f>
        <v>2022</v>
      </c>
      <c r="C8" s="39" t="str">
        <f t="shared" ref="C8:K8" si="2">C5</f>
        <v>2023</v>
      </c>
      <c r="D8" s="39" t="str">
        <f t="shared" si="2"/>
        <v>2024</v>
      </c>
      <c r="E8" s="39" t="str">
        <f t="shared" si="2"/>
        <v>2025</v>
      </c>
      <c r="F8" s="39" t="str">
        <f t="shared" si="2"/>
        <v>2026</v>
      </c>
      <c r="G8" s="39" t="str">
        <f t="shared" si="2"/>
        <v>2027</v>
      </c>
      <c r="H8" s="39" t="str">
        <f t="shared" si="2"/>
        <v>2028</v>
      </c>
      <c r="I8" s="39" t="str">
        <f t="shared" si="2"/>
        <v>2029</v>
      </c>
      <c r="J8" s="39" t="str">
        <f t="shared" si="2"/>
        <v>2030</v>
      </c>
      <c r="K8" s="39" t="str">
        <f t="shared" si="2"/>
        <v>2031</v>
      </c>
    </row>
    <row r="9" spans="1:13" x14ac:dyDescent="0.45">
      <c r="A9" t="str">
        <f>A6</f>
        <v>Развитие</v>
      </c>
      <c r="B9" s="39">
        <f>'План закупок'!C5/B1</f>
        <v>1.2500000000000001E-2</v>
      </c>
      <c r="C9" s="39">
        <f>'План закупок'!D5/C1</f>
        <v>2828571.4567857143</v>
      </c>
      <c r="D9" s="39">
        <f>'План закупок'!E5/D1</f>
        <v>2828571.4882142856</v>
      </c>
      <c r="E9" s="39">
        <f>'План закупок'!F5/E1</f>
        <v>5657142.9796428578</v>
      </c>
      <c r="F9" s="39">
        <f>'План закупок'!G5/F1</f>
        <v>11564285.962499999</v>
      </c>
      <c r="G9" s="39">
        <f>'План закупок'!H5/G1</f>
        <v>20115714.760357149</v>
      </c>
      <c r="H9" s="39">
        <f>'План закупок'!I5/H1</f>
        <v>34395429.523785703</v>
      </c>
      <c r="I9" s="39">
        <f>'План закупок'!J5/I1</f>
        <v>54172801.812242843</v>
      </c>
      <c r="J9" s="39">
        <f>'План закупок'!K5/J1</f>
        <v>81766083.274048582</v>
      </c>
      <c r="K9" s="39">
        <f>'План закупок'!L5/K1</f>
        <v>108528588.47008045</v>
      </c>
    </row>
    <row r="10" spans="1:13" x14ac:dyDescent="0.45">
      <c r="A10" t="str">
        <f>A7</f>
        <v>Как есть</v>
      </c>
      <c r="B10" s="39">
        <f>'План закупок'!C42/B1</f>
        <v>0</v>
      </c>
      <c r="C10" s="39">
        <f>'План закупок'!D42/C1</f>
        <v>0</v>
      </c>
      <c r="D10" s="39">
        <f>'План закупок'!E42/D1</f>
        <v>0</v>
      </c>
      <c r="E10" s="39">
        <f>'План закупок'!F42/E1</f>
        <v>0</v>
      </c>
      <c r="F10" s="39">
        <f>'План закупок'!G42/F1</f>
        <v>0</v>
      </c>
      <c r="G10" s="39">
        <f>'План закупок'!H42/G1</f>
        <v>0</v>
      </c>
      <c r="H10" s="39">
        <f>'План закупок'!I42/H1</f>
        <v>0</v>
      </c>
      <c r="I10" s="39">
        <f>'План закупок'!J42/I1</f>
        <v>0</v>
      </c>
      <c r="J10" s="39">
        <f>'План закупок'!K42/J1</f>
        <v>0</v>
      </c>
      <c r="K10" s="39">
        <f>'План закупок'!L42/K1</f>
        <v>0</v>
      </c>
    </row>
    <row r="14" spans="1:13" x14ac:dyDescent="0.45">
      <c r="A14" t="s">
        <v>235</v>
      </c>
      <c r="B14" s="39" t="str">
        <f>B8</f>
        <v>2022</v>
      </c>
      <c r="C14" s="39" t="str">
        <f t="shared" ref="C14:K14" si="3">C8</f>
        <v>2023</v>
      </c>
      <c r="D14" s="39" t="str">
        <f t="shared" si="3"/>
        <v>2024</v>
      </c>
      <c r="E14" s="39" t="str">
        <f t="shared" si="3"/>
        <v>2025</v>
      </c>
      <c r="F14" s="39" t="str">
        <f t="shared" si="3"/>
        <v>2026</v>
      </c>
      <c r="G14" s="39" t="str">
        <f t="shared" si="3"/>
        <v>2027</v>
      </c>
      <c r="H14" s="39" t="str">
        <f t="shared" si="3"/>
        <v>2028</v>
      </c>
      <c r="I14" s="39" t="str">
        <f t="shared" si="3"/>
        <v>2029</v>
      </c>
      <c r="J14" s="39" t="str">
        <f t="shared" si="3"/>
        <v>2030</v>
      </c>
      <c r="K14" s="39" t="str">
        <f t="shared" si="3"/>
        <v>2031</v>
      </c>
    </row>
    <row r="15" spans="1:13" x14ac:dyDescent="0.45">
      <c r="A15" t="str">
        <f>A6</f>
        <v>Развитие</v>
      </c>
      <c r="B15" s="39">
        <f>'Модель рынка'!D7/B17</f>
        <v>11</v>
      </c>
      <c r="C15" s="39">
        <f>'Модель рынка'!E7/C17</f>
        <v>22</v>
      </c>
      <c r="D15" s="39">
        <f>'Модель рынка'!F7/D17</f>
        <v>44</v>
      </c>
      <c r="E15" s="39">
        <f>'Модель рынка'!G7/E17</f>
        <v>88</v>
      </c>
      <c r="F15" s="39">
        <f>'Модель рынка'!H7/F17</f>
        <v>176</v>
      </c>
      <c r="G15" s="39">
        <f>'Модель рынка'!I7/G17</f>
        <v>352</v>
      </c>
      <c r="H15" s="39">
        <f>'Модель рынка'!J7/H17</f>
        <v>668.8</v>
      </c>
      <c r="I15" s="39">
        <f>'Модель рынка'!K7/I17</f>
        <v>1203.8399999999999</v>
      </c>
      <c r="J15" s="39">
        <f>'Модель рынка'!L7/J17</f>
        <v>2046.528</v>
      </c>
      <c r="K15" s="39">
        <f>'Модель рынка'!M7/K17</f>
        <v>3274.4447999999998</v>
      </c>
    </row>
    <row r="16" spans="1:13" x14ac:dyDescent="0.45">
      <c r="A16" t="str">
        <f>A7</f>
        <v>Как есть</v>
      </c>
      <c r="B16" s="39">
        <f>'Модель рынка'!D45/B17</f>
        <v>11</v>
      </c>
      <c r="C16" s="39">
        <f>'Модель рынка'!E45/C17</f>
        <v>16.5</v>
      </c>
      <c r="D16" s="39">
        <f>'Модель рынка'!F45/D17</f>
        <v>24.75</v>
      </c>
      <c r="E16" s="39">
        <f>'Модель рынка'!G45/E17</f>
        <v>37.125</v>
      </c>
      <c r="F16" s="39">
        <f>'Модель рынка'!H45/F17</f>
        <v>55.6875</v>
      </c>
      <c r="G16" s="39">
        <f>'Модель рынка'!I45/G17</f>
        <v>83.53125</v>
      </c>
      <c r="H16" s="39">
        <f>'Модель рынка'!J45/H17</f>
        <v>116.94374999999999</v>
      </c>
      <c r="I16" s="39">
        <f>'Модель рынка'!K45/I17</f>
        <v>152.02687499999999</v>
      </c>
      <c r="J16" s="39">
        <f>'Модель рынка'!L45/J17</f>
        <v>182.43225000000001</v>
      </c>
      <c r="K16" s="39">
        <f>'Модель рынка'!M45/K17</f>
        <v>200.67547500000001</v>
      </c>
    </row>
    <row r="17" spans="2:11" x14ac:dyDescent="0.45">
      <c r="B17" s="39">
        <v>1000</v>
      </c>
      <c r="C17" s="39">
        <v>1000</v>
      </c>
      <c r="D17" s="39">
        <v>1000</v>
      </c>
      <c r="E17" s="39">
        <v>1000</v>
      </c>
      <c r="F17" s="39">
        <v>1000</v>
      </c>
      <c r="G17" s="39">
        <v>1000</v>
      </c>
      <c r="H17" s="39">
        <v>1000</v>
      </c>
      <c r="I17" s="39">
        <v>1000</v>
      </c>
      <c r="J17" s="39">
        <v>1000</v>
      </c>
      <c r="K17" s="39">
        <v>1000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3811-A381-4687-A567-24355EFEBB69}">
  <dimension ref="A3:S71"/>
  <sheetViews>
    <sheetView topLeftCell="A9" workbookViewId="0">
      <selection activeCell="D47" sqref="D47"/>
    </sheetView>
  </sheetViews>
  <sheetFormatPr defaultRowHeight="14.25" x14ac:dyDescent="0.45"/>
  <cols>
    <col min="1" max="1" width="16.86328125" customWidth="1"/>
    <col min="2" max="2" width="28.73046875" customWidth="1"/>
    <col min="3" max="3" width="24.1328125" customWidth="1"/>
    <col min="4" max="5" width="23.73046875" bestFit="1" customWidth="1"/>
    <col min="6" max="8" width="25.1328125" bestFit="1" customWidth="1"/>
    <col min="9" max="14" width="26.265625" bestFit="1" customWidth="1"/>
  </cols>
  <sheetData>
    <row r="3" spans="1:19" x14ac:dyDescent="0.45">
      <c r="C3" t="s">
        <v>179</v>
      </c>
      <c r="D3" s="22" t="str">
        <f>'Модель рынка'!D3</f>
        <v>2022</v>
      </c>
      <c r="E3" s="22" t="str">
        <f>'Модель рынка'!E3</f>
        <v>2023</v>
      </c>
      <c r="F3" s="22" t="str">
        <f>'Модель рынка'!F3</f>
        <v>2024</v>
      </c>
      <c r="G3" s="22" t="str">
        <f>'Модель рынка'!G3</f>
        <v>2025</v>
      </c>
      <c r="H3" s="22" t="str">
        <f>'Модель рынка'!H3</f>
        <v>2026</v>
      </c>
      <c r="I3" s="22" t="str">
        <f>'Модель рынка'!I3</f>
        <v>2027</v>
      </c>
      <c r="J3" s="22" t="str">
        <f>'Модель рынка'!J3</f>
        <v>2028</v>
      </c>
      <c r="K3" s="22" t="str">
        <f>'Модель рынка'!K3</f>
        <v>2029</v>
      </c>
      <c r="L3" s="22" t="str">
        <f>'Модель рынка'!L3</f>
        <v>2030</v>
      </c>
      <c r="M3" s="22" t="str">
        <f>'Модель рынка'!M3</f>
        <v>2031</v>
      </c>
      <c r="N3" s="22" t="str">
        <f>'Модель рынка'!N3</f>
        <v>2032</v>
      </c>
      <c r="O3" s="22"/>
      <c r="P3" s="22"/>
      <c r="Q3" s="22"/>
      <c r="R3" s="22"/>
      <c r="S3" s="22"/>
    </row>
    <row r="4" spans="1:19" s="30" customFormat="1" x14ac:dyDescent="0.45">
      <c r="A4" s="30" t="s">
        <v>128</v>
      </c>
      <c r="D4" s="33">
        <f>D27-D30-D31-D32-D34</f>
        <v>50048999.999999993</v>
      </c>
      <c r="E4" s="33">
        <f t="shared" ref="E4:N4" si="0">E27-E30-E31-E32-E34</f>
        <v>92492379.999999985</v>
      </c>
      <c r="F4" s="33">
        <f t="shared" si="0"/>
        <v>170053864</v>
      </c>
      <c r="G4" s="33">
        <f t="shared" si="0"/>
        <v>310806155.68000007</v>
      </c>
      <c r="H4" s="33">
        <f t="shared" si="0"/>
        <v>564113188.85920012</v>
      </c>
      <c r="I4" s="33">
        <f t="shared" si="0"/>
        <v>1015401255.9465601</v>
      </c>
      <c r="J4" s="33">
        <f t="shared" si="0"/>
        <v>1718976817.2999315</v>
      </c>
      <c r="K4" s="33">
        <f t="shared" si="0"/>
        <v>2722859390.843092</v>
      </c>
      <c r="L4" s="33">
        <f t="shared" si="0"/>
        <v>4009750933.3228073</v>
      </c>
      <c r="M4" s="33">
        <f t="shared" si="0"/>
        <v>5444096217.33428</v>
      </c>
      <c r="N4" s="33">
        <f t="shared" si="0"/>
        <v>8084477943.8414049</v>
      </c>
    </row>
    <row r="5" spans="1:19" s="30" customFormat="1" x14ac:dyDescent="0.45">
      <c r="A5" s="30" t="s">
        <v>93</v>
      </c>
      <c r="D5" s="33">
        <f>D27-D30-D31-D32-D34</f>
        <v>50048999.999999993</v>
      </c>
      <c r="E5" s="33">
        <f>E27-E30-E31-E32-E34+D5</f>
        <v>142541379.99999997</v>
      </c>
      <c r="F5" s="33">
        <f t="shared" ref="F5:N5" si="1">F27-F30-F31-F32-F34+E5</f>
        <v>312595244</v>
      </c>
      <c r="G5" s="33">
        <f t="shared" si="1"/>
        <v>623401399.68000007</v>
      </c>
      <c r="H5" s="33">
        <f t="shared" si="1"/>
        <v>1187514588.5392003</v>
      </c>
      <c r="I5" s="33">
        <f t="shared" si="1"/>
        <v>2202915844.4857607</v>
      </c>
      <c r="J5" s="33">
        <f t="shared" si="1"/>
        <v>3921892661.7856922</v>
      </c>
      <c r="K5" s="33">
        <f t="shared" si="1"/>
        <v>6644752052.6287842</v>
      </c>
      <c r="L5" s="33">
        <f t="shared" si="1"/>
        <v>10654502985.951591</v>
      </c>
      <c r="M5" s="33">
        <f t="shared" si="1"/>
        <v>16098599203.285872</v>
      </c>
      <c r="N5" s="33">
        <f t="shared" si="1"/>
        <v>24183077147.127277</v>
      </c>
    </row>
    <row r="6" spans="1:19" s="30" customFormat="1" x14ac:dyDescent="0.45">
      <c r="A6" s="30" t="s">
        <v>159</v>
      </c>
      <c r="D6" s="33">
        <f>D28+D30+D31+D32+D34</f>
        <v>7007999.9999999991</v>
      </c>
      <c r="E6" s="33">
        <f t="shared" ref="E6:N6" si="2">E28+E30+E31+E32+E34</f>
        <v>12948955.999999998</v>
      </c>
      <c r="F6" s="33">
        <f t="shared" si="2"/>
        <v>23807563.760000002</v>
      </c>
      <c r="G6" s="33">
        <f t="shared" si="2"/>
        <v>43512884.59520001</v>
      </c>
      <c r="H6" s="33">
        <f t="shared" si="2"/>
        <v>78975869.240288019</v>
      </c>
      <c r="I6" s="33">
        <f t="shared" si="2"/>
        <v>142159048.63251841</v>
      </c>
      <c r="J6" s="33">
        <f t="shared" si="2"/>
        <v>240657022.32199043</v>
      </c>
      <c r="K6" s="33">
        <f t="shared" si="2"/>
        <v>381200611.11803287</v>
      </c>
      <c r="L6" s="33">
        <f t="shared" si="2"/>
        <v>561365427.06519306</v>
      </c>
      <c r="M6" s="33">
        <f t="shared" si="2"/>
        <v>762173766.82679915</v>
      </c>
      <c r="N6" s="33">
        <f t="shared" si="2"/>
        <v>1131832982.6377966</v>
      </c>
    </row>
    <row r="7" spans="1:19" s="30" customFormat="1" x14ac:dyDescent="0.45">
      <c r="A7" s="30" t="s">
        <v>160</v>
      </c>
      <c r="D7" s="33">
        <f>D27</f>
        <v>50049999.999999993</v>
      </c>
      <c r="E7" s="33">
        <f t="shared" ref="E7:N7" si="3">E27</f>
        <v>92492399.999999985</v>
      </c>
      <c r="F7" s="33">
        <f t="shared" si="3"/>
        <v>170053884</v>
      </c>
      <c r="G7" s="33">
        <f t="shared" si="3"/>
        <v>310806175.68000007</v>
      </c>
      <c r="H7" s="33">
        <f t="shared" si="3"/>
        <v>564113208.85920012</v>
      </c>
      <c r="I7" s="33">
        <f t="shared" si="3"/>
        <v>1015403775.9465601</v>
      </c>
      <c r="J7" s="33">
        <f t="shared" si="3"/>
        <v>1718977052.2999315</v>
      </c>
      <c r="K7" s="33">
        <f t="shared" si="3"/>
        <v>2722859650.843092</v>
      </c>
      <c r="L7" s="33">
        <f t="shared" si="3"/>
        <v>4009751193.3228073</v>
      </c>
      <c r="M7" s="33">
        <f t="shared" si="3"/>
        <v>5444096477.33428</v>
      </c>
      <c r="N7" s="33">
        <f t="shared" si="3"/>
        <v>8084483268.8414049</v>
      </c>
    </row>
    <row r="8" spans="1:19" s="30" customFormat="1" x14ac:dyDescent="0.45">
      <c r="A8" s="30" t="str">
        <f>'План закупок'!A4</f>
        <v>Затраты(закупка материалов и услуг)</v>
      </c>
      <c r="D8" s="33">
        <f t="shared" ref="D8:N8" si="4">SUMIF($C:$C,"Пост",D:D)</f>
        <v>7006999.9999999991</v>
      </c>
      <c r="E8" s="33">
        <f t="shared" si="4"/>
        <v>12948955.999999998</v>
      </c>
      <c r="F8" s="33">
        <f t="shared" si="4"/>
        <v>23807563.760000002</v>
      </c>
      <c r="G8" s="33">
        <f t="shared" si="4"/>
        <v>43512884.59520001</v>
      </c>
      <c r="H8" s="33">
        <f t="shared" si="4"/>
        <v>78975869.240288019</v>
      </c>
      <c r="I8" s="33">
        <f t="shared" si="4"/>
        <v>142156548.63251841</v>
      </c>
      <c r="J8" s="33">
        <f t="shared" si="4"/>
        <v>240657022.32199043</v>
      </c>
      <c r="K8" s="33">
        <f t="shared" si="4"/>
        <v>381200611.11803287</v>
      </c>
      <c r="L8" s="33">
        <f t="shared" si="4"/>
        <v>561365427.06519306</v>
      </c>
      <c r="M8" s="33">
        <f t="shared" si="4"/>
        <v>762173766.82679915</v>
      </c>
      <c r="N8" s="33">
        <f t="shared" si="4"/>
        <v>1131828482.6377966</v>
      </c>
    </row>
    <row r="9" spans="1:19" s="30" customFormat="1" x14ac:dyDescent="0.45">
      <c r="A9" s="30" t="str">
        <f>'План закупок'!A5</f>
        <v>Инвестиции в оборудование</v>
      </c>
      <c r="D9" s="33">
        <f t="shared" ref="D9:N9" si="5">SUMIF($C:$C,"Пер",D:D)</f>
        <v>0</v>
      </c>
      <c r="E9" s="33">
        <f t="shared" si="5"/>
        <v>0</v>
      </c>
      <c r="F9" s="33">
        <f t="shared" si="5"/>
        <v>0</v>
      </c>
      <c r="G9" s="33">
        <f t="shared" si="5"/>
        <v>0</v>
      </c>
      <c r="H9" s="33">
        <f t="shared" si="5"/>
        <v>0</v>
      </c>
      <c r="I9" s="33">
        <f t="shared" si="5"/>
        <v>0</v>
      </c>
      <c r="J9" s="33">
        <f t="shared" si="5"/>
        <v>0</v>
      </c>
      <c r="K9" s="33">
        <f t="shared" si="5"/>
        <v>0</v>
      </c>
      <c r="L9" s="33">
        <f t="shared" si="5"/>
        <v>0</v>
      </c>
      <c r="M9" s="33">
        <f t="shared" si="5"/>
        <v>0</v>
      </c>
      <c r="N9" s="33">
        <f t="shared" si="5"/>
        <v>0</v>
      </c>
    </row>
    <row r="10" spans="1:19" s="30" customFormat="1" x14ac:dyDescent="0.45">
      <c r="A10" s="30" t="s">
        <v>172</v>
      </c>
      <c r="D10" s="33">
        <f t="shared" ref="D10:N10" si="6">SUMIF($C:$C,"Выручка",D:D)</f>
        <v>50049999.999999993</v>
      </c>
      <c r="E10" s="33">
        <f t="shared" si="6"/>
        <v>92492399.999999985</v>
      </c>
      <c r="F10" s="33">
        <f t="shared" si="6"/>
        <v>170053884</v>
      </c>
      <c r="G10" s="33">
        <f t="shared" si="6"/>
        <v>310806175.68000007</v>
      </c>
      <c r="H10" s="33">
        <f t="shared" si="6"/>
        <v>564113208.85920012</v>
      </c>
      <c r="I10" s="33">
        <f t="shared" si="6"/>
        <v>1015403775.9465601</v>
      </c>
      <c r="J10" s="33">
        <f t="shared" si="6"/>
        <v>1718977052.2999315</v>
      </c>
      <c r="K10" s="33">
        <f t="shared" si="6"/>
        <v>2722859650.843092</v>
      </c>
      <c r="L10" s="33">
        <f t="shared" si="6"/>
        <v>4009751193.3228073</v>
      </c>
      <c r="M10" s="33">
        <f t="shared" si="6"/>
        <v>5444096477.33428</v>
      </c>
      <c r="N10" s="33">
        <f t="shared" si="6"/>
        <v>8084483268.8414049</v>
      </c>
      <c r="O10" s="33"/>
    </row>
    <row r="11" spans="1:19" x14ac:dyDescent="0.45">
      <c r="A11" t="s">
        <v>196</v>
      </c>
      <c r="D11">
        <f>('Модель рынка'!D7/100)*30</f>
        <v>3300</v>
      </c>
      <c r="E11">
        <f>('Модель рынка'!E7/100)*28</f>
        <v>6160</v>
      </c>
      <c r="F11">
        <f>('Модель рынка'!F7/100)*26</f>
        <v>11440</v>
      </c>
      <c r="G11">
        <f>('Модель рынка'!G7/100)*24</f>
        <v>21120</v>
      </c>
      <c r="H11">
        <f>('Модель рынка'!H7/100)*22</f>
        <v>38720</v>
      </c>
      <c r="I11">
        <f>('Модель рынка'!I7/100)*20</f>
        <v>70400</v>
      </c>
      <c r="J11">
        <f>('Модель рынка'!J7/100)*18</f>
        <v>120384</v>
      </c>
      <c r="K11">
        <f>('Модель рынка'!K7/100)*16</f>
        <v>192614.39999999999</v>
      </c>
      <c r="L11">
        <f>('Модель рынка'!L7/100)*14</f>
        <v>286513.91999999998</v>
      </c>
      <c r="M11">
        <f>('Модель рынка'!M7/100)*12</f>
        <v>392933.37599999993</v>
      </c>
      <c r="N11">
        <f>('Модель рынка'!N7/100)*12</f>
        <v>589400.0639999999</v>
      </c>
    </row>
    <row r="12" spans="1:19" x14ac:dyDescent="0.45">
      <c r="A12" t="s">
        <v>31</v>
      </c>
      <c r="D12" s="39">
        <f>D11/12</f>
        <v>275</v>
      </c>
      <c r="E12" s="39">
        <f t="shared" ref="E12:N12" si="7">E11/12</f>
        <v>513.33333333333337</v>
      </c>
      <c r="F12" s="39">
        <f t="shared" si="7"/>
        <v>953.33333333333337</v>
      </c>
      <c r="G12" s="39">
        <f t="shared" si="7"/>
        <v>1760</v>
      </c>
      <c r="H12" s="39">
        <f t="shared" si="7"/>
        <v>3226.6666666666665</v>
      </c>
      <c r="I12" s="39">
        <f t="shared" si="7"/>
        <v>5866.666666666667</v>
      </c>
      <c r="J12" s="39">
        <f t="shared" si="7"/>
        <v>10032</v>
      </c>
      <c r="K12" s="39">
        <f t="shared" si="7"/>
        <v>16051.199999999999</v>
      </c>
      <c r="L12" s="39">
        <f t="shared" si="7"/>
        <v>23876.16</v>
      </c>
      <c r="M12" s="39">
        <f t="shared" si="7"/>
        <v>32744.447999999993</v>
      </c>
      <c r="N12" s="39">
        <f t="shared" si="7"/>
        <v>49116.671999999991</v>
      </c>
    </row>
    <row r="13" spans="1:19" x14ac:dyDescent="0.45">
      <c r="A13" t="s">
        <v>94</v>
      </c>
      <c r="D13" s="26">
        <v>20</v>
      </c>
      <c r="E13" s="26">
        <f>D13</f>
        <v>20</v>
      </c>
      <c r="F13" s="26">
        <f t="shared" ref="F13:N13" si="8">E13</f>
        <v>20</v>
      </c>
      <c r="G13" s="26">
        <f t="shared" si="8"/>
        <v>20</v>
      </c>
      <c r="H13" s="26">
        <f t="shared" si="8"/>
        <v>20</v>
      </c>
      <c r="I13" s="26">
        <f t="shared" si="8"/>
        <v>20</v>
      </c>
      <c r="J13" s="26">
        <f t="shared" si="8"/>
        <v>20</v>
      </c>
      <c r="K13" s="26">
        <f t="shared" si="8"/>
        <v>20</v>
      </c>
      <c r="L13" s="26">
        <f t="shared" si="8"/>
        <v>20</v>
      </c>
      <c r="M13" s="26">
        <f t="shared" si="8"/>
        <v>20</v>
      </c>
      <c r="N13" s="26">
        <f t="shared" si="8"/>
        <v>20</v>
      </c>
    </row>
    <row r="14" spans="1:19" x14ac:dyDescent="0.45">
      <c r="A14" t="s">
        <v>95</v>
      </c>
      <c r="D14" s="26">
        <v>1</v>
      </c>
      <c r="E14" s="26">
        <f>D14</f>
        <v>1</v>
      </c>
      <c r="F14" s="26">
        <f t="shared" ref="F14:N14" si="9">E14</f>
        <v>1</v>
      </c>
      <c r="G14" s="26">
        <f t="shared" si="9"/>
        <v>1</v>
      </c>
      <c r="H14" s="26">
        <f t="shared" si="9"/>
        <v>1</v>
      </c>
      <c r="I14" s="26">
        <f t="shared" si="9"/>
        <v>1</v>
      </c>
      <c r="J14" s="26">
        <f t="shared" si="9"/>
        <v>1</v>
      </c>
      <c r="K14" s="26">
        <f t="shared" si="9"/>
        <v>1</v>
      </c>
      <c r="L14" s="26">
        <f t="shared" si="9"/>
        <v>1</v>
      </c>
      <c r="M14" s="26">
        <f t="shared" si="9"/>
        <v>1</v>
      </c>
      <c r="N14" s="26">
        <f t="shared" si="9"/>
        <v>1</v>
      </c>
    </row>
    <row r="15" spans="1:19" x14ac:dyDescent="0.45">
      <c r="A15" t="s">
        <v>32</v>
      </c>
      <c r="D15" s="38">
        <f>((((D12/30)/100)*D13)*D14)*2</f>
        <v>3.6666666666666665</v>
      </c>
      <c r="E15" s="38">
        <f t="shared" ref="E15:N15" si="10">((((E12/30)/100)*E13)*E14)*2</f>
        <v>6.8444444444444441</v>
      </c>
      <c r="F15" s="38">
        <f t="shared" si="10"/>
        <v>12.71111111111111</v>
      </c>
      <c r="G15" s="38">
        <f t="shared" si="10"/>
        <v>23.466666666666669</v>
      </c>
      <c r="H15" s="38">
        <f t="shared" si="10"/>
        <v>43.022222222222226</v>
      </c>
      <c r="I15" s="38">
        <f t="shared" si="10"/>
        <v>78.222222222222229</v>
      </c>
      <c r="J15" s="38">
        <f t="shared" si="10"/>
        <v>133.76</v>
      </c>
      <c r="K15" s="38">
        <f t="shared" si="10"/>
        <v>214.01599999999999</v>
      </c>
      <c r="L15" s="38">
        <f t="shared" si="10"/>
        <v>318.34879999999998</v>
      </c>
      <c r="M15" s="38">
        <f t="shared" si="10"/>
        <v>436.59263999999996</v>
      </c>
      <c r="N15" s="38">
        <f t="shared" si="10"/>
        <v>654.88895999999977</v>
      </c>
    </row>
    <row r="16" spans="1:19" x14ac:dyDescent="0.45">
      <c r="A16" t="s">
        <v>140</v>
      </c>
      <c r="D16" s="38">
        <v>200</v>
      </c>
      <c r="E16" s="38">
        <f>D16</f>
        <v>200</v>
      </c>
      <c r="F16" s="38">
        <f t="shared" ref="F16:N16" si="11">E16</f>
        <v>200</v>
      </c>
      <c r="G16" s="38">
        <f t="shared" si="11"/>
        <v>200</v>
      </c>
      <c r="H16" s="38">
        <f t="shared" si="11"/>
        <v>200</v>
      </c>
      <c r="I16" s="38">
        <f t="shared" si="11"/>
        <v>200</v>
      </c>
      <c r="J16" s="38">
        <f t="shared" si="11"/>
        <v>200</v>
      </c>
      <c r="K16" s="38">
        <f t="shared" si="11"/>
        <v>200</v>
      </c>
      <c r="L16" s="38">
        <f t="shared" si="11"/>
        <v>200</v>
      </c>
      <c r="M16" s="38">
        <f t="shared" si="11"/>
        <v>200</v>
      </c>
      <c r="N16" s="38">
        <f t="shared" si="11"/>
        <v>200</v>
      </c>
    </row>
    <row r="17" spans="1:14" x14ac:dyDescent="0.45">
      <c r="A17" t="s">
        <v>141</v>
      </c>
      <c r="D17" s="29">
        <f>(D18/D16)*2</f>
        <v>50</v>
      </c>
      <c r="E17" s="29">
        <f t="shared" ref="E17:N17" si="12">(E18/E16)*2</f>
        <v>50</v>
      </c>
      <c r="F17" s="29">
        <f t="shared" si="12"/>
        <v>50</v>
      </c>
      <c r="G17" s="29">
        <f t="shared" si="12"/>
        <v>50</v>
      </c>
      <c r="H17" s="29">
        <f t="shared" si="12"/>
        <v>50</v>
      </c>
      <c r="I17" s="29">
        <f t="shared" si="12"/>
        <v>50</v>
      </c>
      <c r="J17" s="29">
        <f t="shared" si="12"/>
        <v>50</v>
      </c>
      <c r="K17" s="29">
        <f t="shared" si="12"/>
        <v>50</v>
      </c>
      <c r="L17" s="29">
        <f t="shared" si="12"/>
        <v>50</v>
      </c>
      <c r="M17" s="29">
        <f t="shared" si="12"/>
        <v>50</v>
      </c>
      <c r="N17" s="29">
        <f t="shared" si="12"/>
        <v>50</v>
      </c>
    </row>
    <row r="18" spans="1:14" x14ac:dyDescent="0.45">
      <c r="A18" t="s">
        <v>131</v>
      </c>
      <c r="D18">
        <f>Моделирование!C15</f>
        <v>5000</v>
      </c>
      <c r="E18">
        <f>D18</f>
        <v>5000</v>
      </c>
      <c r="F18">
        <f t="shared" ref="F18:N18" si="13">E18</f>
        <v>5000</v>
      </c>
      <c r="G18">
        <f t="shared" si="13"/>
        <v>5000</v>
      </c>
      <c r="H18">
        <f t="shared" si="13"/>
        <v>5000</v>
      </c>
      <c r="I18">
        <f t="shared" si="13"/>
        <v>5000</v>
      </c>
      <c r="J18">
        <f t="shared" si="13"/>
        <v>5000</v>
      </c>
      <c r="K18">
        <f t="shared" si="13"/>
        <v>5000</v>
      </c>
      <c r="L18">
        <f t="shared" si="13"/>
        <v>5000</v>
      </c>
      <c r="M18">
        <f t="shared" si="13"/>
        <v>5000</v>
      </c>
      <c r="N18">
        <f t="shared" si="13"/>
        <v>5000</v>
      </c>
    </row>
    <row r="19" spans="1:14" x14ac:dyDescent="0.45">
      <c r="A19" t="s">
        <v>132</v>
      </c>
      <c r="D19" s="25">
        <f>'Модель рынка'!D21/100</f>
        <v>0.15</v>
      </c>
      <c r="E19" s="25">
        <f>'Модель рынка'!E21/100</f>
        <v>0.14849999999999999</v>
      </c>
      <c r="F19" s="25">
        <f>'Модель рынка'!F21/100</f>
        <v>0.14701500000000001</v>
      </c>
      <c r="G19" s="25">
        <f>'Модель рынка'!G21/100</f>
        <v>0.14554485</v>
      </c>
      <c r="H19" s="25">
        <f>'Модель рынка'!H21/100</f>
        <v>0.14408940150000002</v>
      </c>
      <c r="I19" s="25">
        <f>'Модель рынка'!I21/100</f>
        <v>0.14264850748500002</v>
      </c>
      <c r="J19" s="25">
        <f>'Модель рынка'!J21/100</f>
        <v>0.14122202241015003</v>
      </c>
      <c r="K19" s="25">
        <f>'Модель рынка'!K21/100</f>
        <v>0.13980980218604852</v>
      </c>
      <c r="L19" s="25">
        <f>'Модель рынка'!L21/100</f>
        <v>0.13841170416418802</v>
      </c>
      <c r="M19" s="25">
        <f>'Модель рынка'!M21/100</f>
        <v>0.13702758712254615</v>
      </c>
      <c r="N19" s="25">
        <f>'Модель рынка'!N21/100</f>
        <v>0.13565731125132069</v>
      </c>
    </row>
    <row r="20" spans="1:14" x14ac:dyDescent="0.45">
      <c r="A20" t="s">
        <v>33</v>
      </c>
      <c r="D20" s="25">
        <f>D15*D18*D19</f>
        <v>2749.9999999999995</v>
      </c>
      <c r="E20" s="25">
        <f t="shared" ref="E20:N20" si="14">(E15*E18)*E19</f>
        <v>5081.9999999999991</v>
      </c>
      <c r="F20" s="25">
        <f t="shared" si="14"/>
        <v>9343.6200000000008</v>
      </c>
      <c r="G20" s="25">
        <f t="shared" si="14"/>
        <v>17077.262400000003</v>
      </c>
      <c r="H20" s="25">
        <f t="shared" si="14"/>
        <v>30995.231256000006</v>
      </c>
      <c r="I20" s="25">
        <f t="shared" si="14"/>
        <v>55791.416260800012</v>
      </c>
      <c r="J20" s="25">
        <f t="shared" si="14"/>
        <v>94449.288587908333</v>
      </c>
      <c r="K20" s="25">
        <f t="shared" si="14"/>
        <v>149607.67312324682</v>
      </c>
      <c r="L20" s="25">
        <f t="shared" si="14"/>
        <v>220315.9996331213</v>
      </c>
      <c r="M20" s="25">
        <f t="shared" si="14"/>
        <v>299126.18007331208</v>
      </c>
      <c r="N20" s="25">
        <f t="shared" si="14"/>
        <v>444202.3774088684</v>
      </c>
    </row>
    <row r="21" spans="1:14" x14ac:dyDescent="0.45">
      <c r="A21" t="s">
        <v>34</v>
      </c>
      <c r="D21" s="25">
        <v>12</v>
      </c>
      <c r="E21" s="25">
        <f>D21</f>
        <v>12</v>
      </c>
      <c r="F21" s="25">
        <f t="shared" ref="F21:N21" si="15">E21</f>
        <v>12</v>
      </c>
      <c r="G21" s="25">
        <f t="shared" si="15"/>
        <v>12</v>
      </c>
      <c r="H21" s="25">
        <f t="shared" si="15"/>
        <v>12</v>
      </c>
      <c r="I21" s="25">
        <f t="shared" si="15"/>
        <v>12</v>
      </c>
      <c r="J21" s="25">
        <f t="shared" si="15"/>
        <v>12</v>
      </c>
      <c r="K21" s="25">
        <f t="shared" si="15"/>
        <v>12</v>
      </c>
      <c r="L21" s="25">
        <f t="shared" si="15"/>
        <v>12</v>
      </c>
      <c r="M21" s="25">
        <f t="shared" si="15"/>
        <v>12</v>
      </c>
      <c r="N21" s="25">
        <f t="shared" si="15"/>
        <v>12</v>
      </c>
    </row>
    <row r="22" spans="1:14" x14ac:dyDescent="0.45">
      <c r="A22" t="s">
        <v>35</v>
      </c>
      <c r="D22" s="25">
        <v>0.5</v>
      </c>
      <c r="E22" s="25">
        <v>0.5</v>
      </c>
      <c r="F22" s="25">
        <v>0.5</v>
      </c>
      <c r="G22" s="25">
        <v>0.5</v>
      </c>
      <c r="H22" s="25">
        <v>0.5</v>
      </c>
      <c r="I22" s="25">
        <v>0.5</v>
      </c>
      <c r="J22" s="25">
        <v>0.5</v>
      </c>
      <c r="K22" s="25">
        <v>0.5</v>
      </c>
      <c r="L22" s="25">
        <v>0.5</v>
      </c>
      <c r="M22" s="25">
        <v>0.5</v>
      </c>
      <c r="N22" s="25">
        <v>0.5</v>
      </c>
    </row>
    <row r="23" spans="1:14" x14ac:dyDescent="0.45">
      <c r="A23" t="s">
        <v>133</v>
      </c>
      <c r="D23" s="25">
        <f>D20/D21</f>
        <v>229.16666666666663</v>
      </c>
      <c r="E23" s="25">
        <f>E20/E21</f>
        <v>423.49999999999994</v>
      </c>
      <c r="F23" s="25">
        <f t="shared" ref="F23:N23" si="16">F20/12</f>
        <v>778.6350000000001</v>
      </c>
      <c r="G23" s="25">
        <f t="shared" si="16"/>
        <v>1423.1052000000002</v>
      </c>
      <c r="H23" s="25">
        <f t="shared" si="16"/>
        <v>2582.9359380000005</v>
      </c>
      <c r="I23" s="25">
        <f t="shared" si="16"/>
        <v>4649.284688400001</v>
      </c>
      <c r="J23" s="25">
        <f t="shared" si="16"/>
        <v>7870.7740489923608</v>
      </c>
      <c r="K23" s="25">
        <f t="shared" si="16"/>
        <v>12467.306093603902</v>
      </c>
      <c r="L23" s="25">
        <f t="shared" si="16"/>
        <v>18359.666636093443</v>
      </c>
      <c r="M23" s="25">
        <f t="shared" si="16"/>
        <v>24927.181672776005</v>
      </c>
      <c r="N23" s="25">
        <f t="shared" si="16"/>
        <v>37016.864784072364</v>
      </c>
    </row>
    <row r="24" spans="1:14" x14ac:dyDescent="0.45">
      <c r="A24" t="s">
        <v>142</v>
      </c>
      <c r="D24" s="25">
        <v>4</v>
      </c>
      <c r="E24" s="25">
        <f>D24</f>
        <v>4</v>
      </c>
      <c r="F24" s="25">
        <f t="shared" ref="F24:I24" si="17">E24</f>
        <v>4</v>
      </c>
      <c r="G24" s="25">
        <f t="shared" si="17"/>
        <v>4</v>
      </c>
      <c r="H24" s="25">
        <f t="shared" si="17"/>
        <v>4</v>
      </c>
      <c r="I24" s="25">
        <f t="shared" si="17"/>
        <v>4</v>
      </c>
      <c r="J24" s="25">
        <f>ROUNDUP(J15/(J21/J22),0)</f>
        <v>6</v>
      </c>
      <c r="K24" s="25">
        <f>ROUNDUP(K15/(K21/K22),0)</f>
        <v>9</v>
      </c>
      <c r="L24" s="25">
        <f>ROUNDUP(L15/(L21/L22),0)</f>
        <v>14</v>
      </c>
      <c r="M24" s="25">
        <f>ROUNDUP(M15/(M21/M22),0)</f>
        <v>19</v>
      </c>
      <c r="N24" s="25">
        <f>ROUNDUP(N15/(N21/N22),0)</f>
        <v>28</v>
      </c>
    </row>
    <row r="25" spans="1:14" x14ac:dyDescent="0.45">
      <c r="A25" t="s">
        <v>36</v>
      </c>
      <c r="D25" s="25">
        <f>I17*I24</f>
        <v>200</v>
      </c>
      <c r="I25" s="25">
        <f>(L17*L24)-D25</f>
        <v>500</v>
      </c>
      <c r="N25" s="25">
        <f>(N17*N24)-I25</f>
        <v>900</v>
      </c>
    </row>
    <row r="26" spans="1:14" x14ac:dyDescent="0.45">
      <c r="A26" t="s">
        <v>89</v>
      </c>
      <c r="D26" s="25">
        <f>I24*80</f>
        <v>320</v>
      </c>
      <c r="I26" s="25">
        <f>K24*150</f>
        <v>1350</v>
      </c>
      <c r="N26" s="25">
        <f>N24*150</f>
        <v>4200</v>
      </c>
    </row>
    <row r="27" spans="1:14" x14ac:dyDescent="0.45">
      <c r="A27" t="s">
        <v>134</v>
      </c>
      <c r="C27" t="s">
        <v>172</v>
      </c>
      <c r="D27" s="26">
        <f>('Модель рынка'!D30*'Модель Хаба Федеральные трассы'!D20)*364</f>
        <v>50049999.999999993</v>
      </c>
      <c r="E27" s="26">
        <f>E20*364*'Модель рынка'!E30</f>
        <v>92492399.999999985</v>
      </c>
      <c r="F27" s="26">
        <f>F20*364*'Модель рынка'!F30</f>
        <v>170053884</v>
      </c>
      <c r="G27" s="26">
        <f>G20*364*'Модель рынка'!G30</f>
        <v>310806175.68000007</v>
      </c>
      <c r="H27" s="26">
        <f>H20*364*'Модель рынка'!H30</f>
        <v>564113208.85920012</v>
      </c>
      <c r="I27" s="26">
        <f>I20*364*'Модель рынка'!I30</f>
        <v>1015403775.9465601</v>
      </c>
      <c r="J27" s="26">
        <f>J20*364*'Модель рынка'!J30</f>
        <v>1718977052.2999315</v>
      </c>
      <c r="K27" s="26">
        <f>K20*364*'Модель рынка'!K30</f>
        <v>2722859650.843092</v>
      </c>
      <c r="L27" s="26">
        <f>L20*364*'Модель рынка'!L30</f>
        <v>4009751193.3228073</v>
      </c>
      <c r="M27" s="26">
        <f>M20*364*'Модель рынка'!M30</f>
        <v>5444096477.33428</v>
      </c>
      <c r="N27" s="26">
        <f>N20*364*'Модель рынка'!N30</f>
        <v>8084483268.8414049</v>
      </c>
    </row>
    <row r="28" spans="1:14" x14ac:dyDescent="0.45">
      <c r="A28" t="s">
        <v>135</v>
      </c>
      <c r="C28" t="s">
        <v>175</v>
      </c>
      <c r="D28" s="26">
        <f>D20*364*'План закупок'!C28</f>
        <v>7006999.9999999991</v>
      </c>
      <c r="E28" s="26">
        <f>E20*364*'План закупок'!D28</f>
        <v>12948935.999999998</v>
      </c>
      <c r="F28" s="26">
        <f>F20*364*'План закупок'!E28</f>
        <v>23807543.760000002</v>
      </c>
      <c r="G28" s="26">
        <f>G20*364*'План закупок'!F28</f>
        <v>43512864.59520001</v>
      </c>
      <c r="H28" s="26">
        <f>H20*364*'План закупок'!G28</f>
        <v>78975849.240288019</v>
      </c>
      <c r="I28" s="26">
        <f>I20*364*'План закупок'!H28</f>
        <v>142156528.63251841</v>
      </c>
      <c r="J28" s="26">
        <f>J20*364*'План закупок'!I28</f>
        <v>240656787.32199043</v>
      </c>
      <c r="K28" s="26">
        <f>K20*364*'План закупок'!J28</f>
        <v>381200351.11803287</v>
      </c>
      <c r="L28" s="26">
        <f>L20*364*'План закупок'!K28</f>
        <v>561365167.06519306</v>
      </c>
      <c r="M28" s="26">
        <f>M20*364*'План закупок'!L28</f>
        <v>762173506.82679915</v>
      </c>
      <c r="N28" s="26">
        <f>N20*364*'План закупок'!M28</f>
        <v>1131827657.6377966</v>
      </c>
    </row>
    <row r="29" spans="1:14" x14ac:dyDescent="0.45">
      <c r="A29" t="s">
        <v>88</v>
      </c>
      <c r="D29" s="26">
        <f>SUM(D27-D28)</f>
        <v>43042999.999999993</v>
      </c>
      <c r="E29" s="26">
        <f t="shared" ref="E29:N29" si="18">SUM(E27-E28)</f>
        <v>79543463.999999985</v>
      </c>
      <c r="F29" s="26">
        <f t="shared" si="18"/>
        <v>146246340.24000001</v>
      </c>
      <c r="G29" s="26">
        <f t="shared" si="18"/>
        <v>267293311.08480006</v>
      </c>
      <c r="H29" s="26">
        <f t="shared" si="18"/>
        <v>485137359.6189121</v>
      </c>
      <c r="I29" s="26">
        <f t="shared" si="18"/>
        <v>873247247.31404173</v>
      </c>
      <c r="J29" s="26">
        <f t="shared" si="18"/>
        <v>1478320264.977941</v>
      </c>
      <c r="K29" s="26">
        <f t="shared" si="18"/>
        <v>2341659299.725059</v>
      </c>
      <c r="L29" s="26">
        <f t="shared" si="18"/>
        <v>3448386026.2576141</v>
      </c>
      <c r="M29" s="26">
        <f t="shared" si="18"/>
        <v>4681922970.5074806</v>
      </c>
      <c r="N29" s="26">
        <f t="shared" si="18"/>
        <v>6952655611.2036085</v>
      </c>
    </row>
    <row r="30" spans="1:14" x14ac:dyDescent="0.45">
      <c r="A30" t="s">
        <v>90</v>
      </c>
      <c r="C30" t="s">
        <v>181</v>
      </c>
      <c r="D30" s="26">
        <f>D25*'План закупок'!C13</f>
        <v>1000</v>
      </c>
      <c r="E30" s="26">
        <f>E25*'План закупок'!D13</f>
        <v>0</v>
      </c>
      <c r="F30" s="26">
        <f>F25*'План закупок'!E13</f>
        <v>0</v>
      </c>
      <c r="G30" s="26">
        <f>G25*'План закупок'!F13</f>
        <v>0</v>
      </c>
      <c r="H30" s="26">
        <f>H25*'План закупок'!G13</f>
        <v>0</v>
      </c>
      <c r="I30" s="26">
        <f>I25*'План закупок'!H13</f>
        <v>2500</v>
      </c>
      <c r="J30" s="26">
        <f>J25*'План закупок'!I13</f>
        <v>0</v>
      </c>
      <c r="K30" s="26">
        <f>K25*'План закупок'!J13</f>
        <v>0</v>
      </c>
      <c r="L30" s="26">
        <f>L25*'План закупок'!K13</f>
        <v>0</v>
      </c>
      <c r="M30" s="26">
        <f>M25*'План закупок'!L13</f>
        <v>0</v>
      </c>
      <c r="N30" s="26">
        <f>N25*'План закупок'!M13</f>
        <v>4500</v>
      </c>
    </row>
    <row r="31" spans="1:14" x14ac:dyDescent="0.45">
      <c r="A31" t="s">
        <v>91</v>
      </c>
      <c r="C31" t="s">
        <v>175</v>
      </c>
      <c r="E31" s="26">
        <f>$D$25*'План закупок'!D15</f>
        <v>10</v>
      </c>
      <c r="F31" s="26">
        <f>$D$25*'План закупок'!E15</f>
        <v>10</v>
      </c>
      <c r="G31" s="26">
        <f>$D$25*'План закупок'!F15</f>
        <v>10</v>
      </c>
      <c r="H31" s="26">
        <f>$D$25*'План закупок'!G15</f>
        <v>10</v>
      </c>
      <c r="I31" s="26">
        <f>$D$25*'План закупок'!H15</f>
        <v>10</v>
      </c>
      <c r="J31" s="26">
        <f>$D$25*'План закупок'!I15</f>
        <v>10</v>
      </c>
      <c r="K31" s="26">
        <f>($D$25+$I$25)*'План закупок'!J15</f>
        <v>35</v>
      </c>
      <c r="L31" s="26">
        <f>($D$25+$I$25)*'План закупок'!K15</f>
        <v>35</v>
      </c>
      <c r="M31" s="26">
        <f>($D$25+$I$25)*'План закупок'!L15</f>
        <v>35</v>
      </c>
      <c r="N31" s="26">
        <f>($D$25+$I$25+N25)*'План закупок'!M15</f>
        <v>80</v>
      </c>
    </row>
    <row r="32" spans="1:14" x14ac:dyDescent="0.45">
      <c r="A32" t="s">
        <v>92</v>
      </c>
      <c r="C32" t="s">
        <v>175</v>
      </c>
      <c r="E32" s="26">
        <f>$D$25*'План закупок'!D17</f>
        <v>10</v>
      </c>
      <c r="F32" s="26">
        <f>$D$25*'План закупок'!E17</f>
        <v>10</v>
      </c>
      <c r="G32" s="26">
        <f>$D$25*'План закупок'!F17</f>
        <v>10</v>
      </c>
      <c r="H32" s="26">
        <f>$D$25*'План закупок'!G17</f>
        <v>10</v>
      </c>
      <c r="I32" s="26">
        <f>$D$25*'План закупок'!H17</f>
        <v>10</v>
      </c>
      <c r="J32" s="26">
        <f>$D$25+$I$25*'План закупок'!I17</f>
        <v>225</v>
      </c>
      <c r="K32" s="26">
        <f>$D$25+$I$25*'План закупок'!J17</f>
        <v>225</v>
      </c>
      <c r="L32" s="26">
        <f>$D$25+$I$25*'План закупок'!K17</f>
        <v>225</v>
      </c>
      <c r="M32" s="26">
        <f>$D$25+$I$25*'План закупок'!L17</f>
        <v>225</v>
      </c>
      <c r="N32" s="26">
        <f>$D$25+$I$25+N25*'План закупок'!M17</f>
        <v>745</v>
      </c>
    </row>
    <row r="33" spans="1:14" x14ac:dyDescent="0.45">
      <c r="A33" s="72" t="s">
        <v>150</v>
      </c>
      <c r="B33" s="72"/>
      <c r="C33" s="72">
        <v>0</v>
      </c>
      <c r="D33" s="29">
        <f>IF(C33=0,0,C33)</f>
        <v>0</v>
      </c>
      <c r="E33" s="29">
        <f>(D33/100)*(100+'Модель рынка'!D5)</f>
        <v>0</v>
      </c>
      <c r="F33" s="29">
        <f>(E33/100)*(100+'Модель рынка'!E5)</f>
        <v>0</v>
      </c>
      <c r="G33" s="29">
        <f>(F33/100)*(100+'Модель рынка'!F5)</f>
        <v>0</v>
      </c>
      <c r="H33" s="29">
        <f>(G33/100)*(100+'Модель рынка'!G5)</f>
        <v>0</v>
      </c>
      <c r="I33" s="29">
        <f>(H33/100)*(100+'Модель рынка'!H5)</f>
        <v>0</v>
      </c>
      <c r="J33" s="29">
        <f>(I33/100)*(100+'Модель рынка'!I5)</f>
        <v>0</v>
      </c>
      <c r="K33" s="29">
        <f>(J33/100)*(100+'Модель рынка'!J5)</f>
        <v>0</v>
      </c>
      <c r="L33" s="29">
        <f>(K33/100)*(100+'Модель рынка'!K5)</f>
        <v>0</v>
      </c>
      <c r="M33" s="29">
        <f>(L33/100)*(100+'Модель рынка'!L5)</f>
        <v>0</v>
      </c>
      <c r="N33" s="29">
        <f>(M33/100)*(100+'Модель рынка'!M5)</f>
        <v>0</v>
      </c>
    </row>
    <row r="34" spans="1:14" x14ac:dyDescent="0.45">
      <c r="A34" t="s">
        <v>151</v>
      </c>
      <c r="C34" t="s">
        <v>207</v>
      </c>
      <c r="D34" s="29">
        <f>IF(D25&gt;0,D33*D17,0)</f>
        <v>0</v>
      </c>
      <c r="E34" s="29">
        <f t="shared" ref="E34:N34" si="19">IF(E25&gt;0,E33*E17,0)</f>
        <v>0</v>
      </c>
      <c r="F34" s="29">
        <f t="shared" si="19"/>
        <v>0</v>
      </c>
      <c r="G34" s="29">
        <f t="shared" si="19"/>
        <v>0</v>
      </c>
      <c r="H34" s="29">
        <f t="shared" si="19"/>
        <v>0</v>
      </c>
      <c r="I34" s="29">
        <f t="shared" si="19"/>
        <v>0</v>
      </c>
      <c r="J34" s="29">
        <f t="shared" si="19"/>
        <v>0</v>
      </c>
      <c r="K34" s="29">
        <f t="shared" si="19"/>
        <v>0</v>
      </c>
      <c r="L34" s="29">
        <f t="shared" si="19"/>
        <v>0</v>
      </c>
      <c r="M34" s="29">
        <f t="shared" si="19"/>
        <v>0</v>
      </c>
      <c r="N34" s="29">
        <f t="shared" si="19"/>
        <v>0</v>
      </c>
    </row>
    <row r="35" spans="1:14" x14ac:dyDescent="0.45">
      <c r="A35" t="s">
        <v>139</v>
      </c>
      <c r="D35" s="25">
        <f>D18*D19*'Модель рынка'!D30</f>
        <v>37500</v>
      </c>
      <c r="E35" s="25">
        <f>E18*E19*'Модель рынка'!E30</f>
        <v>37125</v>
      </c>
      <c r="F35" s="25">
        <f>F18*F19*'Модель рынка'!F30</f>
        <v>36753.75</v>
      </c>
      <c r="G35" s="25">
        <f>G18*G19*'Модель рынка'!G30</f>
        <v>36386.212500000001</v>
      </c>
      <c r="H35" s="25">
        <f>H18*H19*'Модель рынка'!H30</f>
        <v>36022.350375000002</v>
      </c>
      <c r="I35" s="25">
        <f>I18*I19*'Модель рынка'!I30</f>
        <v>35662.12687125001</v>
      </c>
      <c r="J35" s="25">
        <f>J18*J19*'Модель рынка'!J30</f>
        <v>35305.505602537509</v>
      </c>
      <c r="K35" s="25">
        <f>K18*K19*'Модель рынка'!K30</f>
        <v>34952.450546512133</v>
      </c>
      <c r="L35" s="25">
        <f>L18*L19*'Модель рынка'!L30</f>
        <v>34602.926041047001</v>
      </c>
      <c r="M35" s="25">
        <f>M18*M19*'Модель рынка'!M30</f>
        <v>34256.89678063654</v>
      </c>
      <c r="N35" s="25">
        <f>N18*N19*'Модель рынка'!N30</f>
        <v>33914.327812830175</v>
      </c>
    </row>
    <row r="36" spans="1:14" x14ac:dyDescent="0.45">
      <c r="A36" t="s">
        <v>130</v>
      </c>
      <c r="D36" s="25">
        <f>IF(D17=0,0,D35/(D17/2))</f>
        <v>1500</v>
      </c>
      <c r="E36" s="25">
        <f t="shared" ref="E36:N36" si="20">IF(E17=0,0,E35/(E17/2))</f>
        <v>1485</v>
      </c>
      <c r="F36" s="25">
        <f t="shared" si="20"/>
        <v>1470.15</v>
      </c>
      <c r="G36" s="25">
        <f t="shared" si="20"/>
        <v>1455.4485</v>
      </c>
      <c r="H36" s="25">
        <f t="shared" si="20"/>
        <v>1440.8940150000001</v>
      </c>
      <c r="I36" s="25">
        <f t="shared" si="20"/>
        <v>1426.4850748500003</v>
      </c>
      <c r="J36" s="25">
        <f t="shared" si="20"/>
        <v>1412.2202241015004</v>
      </c>
      <c r="K36" s="25">
        <f t="shared" si="20"/>
        <v>1398.0980218604852</v>
      </c>
      <c r="L36" s="25">
        <f t="shared" si="20"/>
        <v>1384.11704164188</v>
      </c>
      <c r="M36" s="25">
        <f t="shared" si="20"/>
        <v>1370.2758712254615</v>
      </c>
      <c r="N36" s="25">
        <f t="shared" si="20"/>
        <v>1356.573112513207</v>
      </c>
    </row>
    <row r="38" spans="1:14" x14ac:dyDescent="0.45"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45">
      <c r="A39" s="30"/>
      <c r="B39" s="30"/>
      <c r="C39" s="30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x14ac:dyDescent="0.45">
      <c r="A40" s="30"/>
      <c r="B40" s="30"/>
      <c r="C40" s="30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x14ac:dyDescent="0.45">
      <c r="A41" s="30"/>
      <c r="B41" s="30"/>
      <c r="C41" s="30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x14ac:dyDescent="0.45">
      <c r="A42" s="30"/>
      <c r="B42" s="30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4" x14ac:dyDescent="0.45">
      <c r="A43" s="30"/>
      <c r="B43" s="30"/>
      <c r="C43" s="30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4" x14ac:dyDescent="0.45">
      <c r="A44" s="30"/>
      <c r="B44" s="30"/>
      <c r="C44" s="30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1:14" x14ac:dyDescent="0.45">
      <c r="A45" s="30"/>
      <c r="B45" s="30"/>
      <c r="C45" s="30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7" spans="1:14" x14ac:dyDescent="0.45"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4" x14ac:dyDescent="0.45"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4:14" x14ac:dyDescent="0.45"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4:14" x14ac:dyDescent="0.45"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4:14" x14ac:dyDescent="0.45"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4:14" x14ac:dyDescent="0.45"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4" spans="4:14" x14ac:dyDescent="0.45"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4:14" x14ac:dyDescent="0.45"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4:14" x14ac:dyDescent="0.4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4:14" x14ac:dyDescent="0.45"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4:14" x14ac:dyDescent="0.45"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4:14" x14ac:dyDescent="0.45"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4:14" x14ac:dyDescent="0.45">
      <c r="D60" s="25"/>
      <c r="I60" s="25"/>
      <c r="N60" s="25"/>
    </row>
    <row r="61" spans="4:14" x14ac:dyDescent="0.45">
      <c r="D61" s="25"/>
      <c r="I61" s="25"/>
      <c r="N61" s="25"/>
    </row>
    <row r="62" spans="4:14" x14ac:dyDescent="0.45"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4:14" x14ac:dyDescent="0.45"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4:14" x14ac:dyDescent="0.45"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 x14ac:dyDescent="0.45"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x14ac:dyDescent="0.45"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x14ac:dyDescent="0.45"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 x14ac:dyDescent="0.45">
      <c r="A68" s="70"/>
      <c r="B68" s="70"/>
      <c r="C68" s="70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spans="1:14" x14ac:dyDescent="0.45"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spans="1:14" x14ac:dyDescent="0.45"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x14ac:dyDescent="0.45"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</sheetData>
  <conditionalFormatting sqref="D10:O10 D4:N9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D39:N45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8E46-5A93-4051-84B0-9D1FD06F4E7B}">
  <dimension ref="A3:L79"/>
  <sheetViews>
    <sheetView topLeftCell="A26" workbookViewId="0">
      <selection activeCell="D50" sqref="D50"/>
    </sheetView>
  </sheetViews>
  <sheetFormatPr defaultRowHeight="14.25" x14ac:dyDescent="0.45"/>
  <cols>
    <col min="1" max="1" width="35.73046875" bestFit="1" customWidth="1"/>
    <col min="2" max="2" width="15.265625" customWidth="1"/>
    <col min="3" max="12" width="21.73046875" style="38" customWidth="1"/>
  </cols>
  <sheetData>
    <row r="3" spans="1:12" x14ac:dyDescent="0.45">
      <c r="A3" s="49" t="str">
        <f>Моделирование!C2</f>
        <v>Развитие</v>
      </c>
      <c r="B3" s="48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12" x14ac:dyDescent="0.45">
      <c r="A4" s="89" t="s">
        <v>216</v>
      </c>
      <c r="B4" s="89"/>
      <c r="C4" s="38">
        <f>IF(C15=0,0,C15/(C14/100))</f>
        <v>91.341579448144628</v>
      </c>
      <c r="D4" s="38">
        <f t="shared" ref="D4:L4" si="0">IF(D15=0,0,D15/(D14/100))</f>
        <v>97.508241259997092</v>
      </c>
      <c r="E4" s="38">
        <f t="shared" si="0"/>
        <v>97.815421778855395</v>
      </c>
      <c r="F4" s="38">
        <f t="shared" si="0"/>
        <v>98.092151790688945</v>
      </c>
      <c r="G4" s="38">
        <f t="shared" si="0"/>
        <v>98.34228289750348</v>
      </c>
      <c r="H4" s="38">
        <f t="shared" si="0"/>
        <v>98.569052536607657</v>
      </c>
      <c r="I4" s="38">
        <f t="shared" si="0"/>
        <v>98.775201515126895</v>
      </c>
      <c r="J4" s="38">
        <f t="shared" si="0"/>
        <v>98.963065552193811</v>
      </c>
      <c r="K4" s="38">
        <f t="shared" si="0"/>
        <v>99.134647296449458</v>
      </c>
      <c r="L4" s="38">
        <f t="shared" si="0"/>
        <v>99.291673510388947</v>
      </c>
    </row>
    <row r="5" spans="1:12" x14ac:dyDescent="0.45">
      <c r="A5" s="89" t="s">
        <v>217</v>
      </c>
      <c r="B5" s="89"/>
      <c r="C5" s="38">
        <f>IF(C16=0,0,C16/(C14/100))</f>
        <v>8.6584205518553752</v>
      </c>
      <c r="D5" s="38">
        <f t="shared" ref="D5:L5" si="1">IF(D16=0,0,D16/(D14/100))</f>
        <v>2.4917587400029162</v>
      </c>
      <c r="E5" s="38">
        <f t="shared" si="1"/>
        <v>2.1845782211445939</v>
      </c>
      <c r="F5" s="38">
        <f t="shared" si="1"/>
        <v>1.90784820931104</v>
      </c>
      <c r="G5" s="38">
        <f t="shared" si="1"/>
        <v>1.6577171024965336</v>
      </c>
      <c r="H5" s="38">
        <f t="shared" si="1"/>
        <v>1.4309474633923345</v>
      </c>
      <c r="I5" s="38">
        <f t="shared" si="1"/>
        <v>1.2247984848731088</v>
      </c>
      <c r="J5" s="38">
        <f t="shared" si="1"/>
        <v>1.0369344478061866</v>
      </c>
      <c r="K5" s="38">
        <f t="shared" si="1"/>
        <v>0.8653527035505405</v>
      </c>
      <c r="L5" s="38">
        <f t="shared" si="1"/>
        <v>0.70832648961105504</v>
      </c>
    </row>
    <row r="6" spans="1:12" x14ac:dyDescent="0.45">
      <c r="A6" s="90" t="s">
        <v>223</v>
      </c>
      <c r="B6" s="90"/>
      <c r="C6" s="71">
        <v>1</v>
      </c>
    </row>
    <row r="7" spans="1:12" x14ac:dyDescent="0.45">
      <c r="C7" s="38" t="str">
        <f>'Модель рынка'!D3</f>
        <v>2022</v>
      </c>
      <c r="D7" s="38" t="str">
        <f>'Модель рынка'!E3</f>
        <v>2023</v>
      </c>
      <c r="E7" s="38" t="str">
        <f>'Модель рынка'!F3</f>
        <v>2024</v>
      </c>
      <c r="F7" s="38" t="str">
        <f>'Модель рынка'!G3</f>
        <v>2025</v>
      </c>
      <c r="G7" s="38" t="str">
        <f>'Модель рынка'!H3</f>
        <v>2026</v>
      </c>
      <c r="H7" s="38" t="str">
        <f>'Модель рынка'!I3</f>
        <v>2027</v>
      </c>
      <c r="I7" s="38" t="str">
        <f>'Модель рынка'!J3</f>
        <v>2028</v>
      </c>
      <c r="J7" s="38" t="str">
        <f>'Модель рынка'!K3</f>
        <v>2029</v>
      </c>
      <c r="K7" s="38" t="str">
        <f>'Модель рынка'!L3</f>
        <v>2030</v>
      </c>
      <c r="L7" s="38" t="str">
        <f>'Модель рынка'!M3</f>
        <v>2031</v>
      </c>
    </row>
    <row r="8" spans="1:12" x14ac:dyDescent="0.45">
      <c r="A8" t="s">
        <v>183</v>
      </c>
      <c r="B8" t="s">
        <v>177</v>
      </c>
      <c r="C8" s="38">
        <f>C15-C18-C19</f>
        <v>441119975</v>
      </c>
      <c r="D8" s="38">
        <f t="shared" ref="D8:L8" si="2">D14-D17</f>
        <v>2686591874.3360844</v>
      </c>
      <c r="E8" s="38">
        <f t="shared" si="2"/>
        <v>5792030345.7739105</v>
      </c>
      <c r="F8" s="38">
        <f t="shared" si="2"/>
        <v>12200937596.238226</v>
      </c>
      <c r="G8" s="38">
        <f t="shared" si="2"/>
        <v>25605970762.547417</v>
      </c>
      <c r="H8" s="38">
        <f t="shared" si="2"/>
        <v>54040105743.439255</v>
      </c>
      <c r="I8" s="38">
        <f t="shared" si="2"/>
        <v>107841202914.82516</v>
      </c>
      <c r="J8" s="38">
        <f t="shared" si="2"/>
        <v>203450666011.79449</v>
      </c>
      <c r="K8" s="38">
        <f t="shared" si="2"/>
        <v>361232803553.13013</v>
      </c>
      <c r="L8" s="38">
        <f t="shared" si="2"/>
        <v>603260302174.79492</v>
      </c>
    </row>
    <row r="9" spans="1:12" x14ac:dyDescent="0.45">
      <c r="A9" t="s">
        <v>183</v>
      </c>
      <c r="B9" t="s">
        <v>178</v>
      </c>
      <c r="C9" s="38">
        <f>C16-C20-C21</f>
        <v>10223605.137963835</v>
      </c>
      <c r="D9" s="38">
        <f t="shared" ref="D9:L9" si="3">D16-D20-D21</f>
        <v>41728187.907512955</v>
      </c>
      <c r="E9" s="38">
        <f t="shared" si="3"/>
        <v>97776039.916767344</v>
      </c>
      <c r="F9" s="38">
        <f t="shared" si="3"/>
        <v>195379188.02679586</v>
      </c>
      <c r="G9" s="38">
        <f t="shared" si="3"/>
        <v>370357734.18878829</v>
      </c>
      <c r="H9" s="38">
        <f t="shared" si="3"/>
        <v>666864922.21773326</v>
      </c>
      <c r="I9" s="38">
        <f t="shared" si="3"/>
        <v>1095332224.4296365</v>
      </c>
      <c r="J9" s="38">
        <f t="shared" si="3"/>
        <v>1638784554.6516821</v>
      </c>
      <c r="K9" s="38">
        <f t="shared" si="3"/>
        <v>2208822791.0835562</v>
      </c>
      <c r="L9" s="38">
        <f t="shared" si="3"/>
        <v>2578984640.5615492</v>
      </c>
    </row>
    <row r="10" spans="1:12" x14ac:dyDescent="0.45">
      <c r="A10" t="s">
        <v>184</v>
      </c>
      <c r="B10" t="s">
        <v>177</v>
      </c>
      <c r="C10" s="38">
        <f>C8</f>
        <v>441119975</v>
      </c>
      <c r="D10" s="38">
        <f>C10+D8</f>
        <v>3127711849.3360844</v>
      </c>
      <c r="E10" s="38">
        <f t="shared" ref="E10:L10" si="4">D10+E8</f>
        <v>8919742195.1099949</v>
      </c>
      <c r="F10" s="38">
        <f t="shared" si="4"/>
        <v>21120679791.348221</v>
      </c>
      <c r="G10" s="38">
        <f t="shared" si="4"/>
        <v>46726650553.895638</v>
      </c>
      <c r="H10" s="38">
        <f t="shared" si="4"/>
        <v>100766756297.3349</v>
      </c>
      <c r="I10" s="38">
        <f t="shared" si="4"/>
        <v>208607959212.16006</v>
      </c>
      <c r="J10" s="38">
        <f t="shared" si="4"/>
        <v>412058625223.95459</v>
      </c>
      <c r="K10" s="38">
        <f t="shared" si="4"/>
        <v>773291428777.08472</v>
      </c>
      <c r="L10" s="38">
        <f t="shared" si="4"/>
        <v>1376551730951.8796</v>
      </c>
    </row>
    <row r="11" spans="1:12" x14ac:dyDescent="0.45">
      <c r="A11" t="s">
        <v>184</v>
      </c>
      <c r="B11" t="s">
        <v>178</v>
      </c>
      <c r="C11" s="38">
        <f>C9</f>
        <v>10223605.137963835</v>
      </c>
      <c r="D11" s="38">
        <f>C11+D9</f>
        <v>51951793.045476794</v>
      </c>
      <c r="E11" s="38">
        <f t="shared" ref="E11:L11" si="5">D11+E9</f>
        <v>149727832.96224415</v>
      </c>
      <c r="F11" s="38">
        <f t="shared" si="5"/>
        <v>345107020.98904002</v>
      </c>
      <c r="G11" s="38">
        <f t="shared" si="5"/>
        <v>715464755.17782831</v>
      </c>
      <c r="H11" s="38">
        <f t="shared" si="5"/>
        <v>1382329677.3955617</v>
      </c>
      <c r="I11" s="38">
        <f t="shared" si="5"/>
        <v>2477661901.8251982</v>
      </c>
      <c r="J11" s="38">
        <f t="shared" si="5"/>
        <v>4116446456.4768801</v>
      </c>
      <c r="K11" s="38">
        <f t="shared" si="5"/>
        <v>6325269247.5604362</v>
      </c>
      <c r="L11" s="38">
        <f t="shared" si="5"/>
        <v>8904253888.1219864</v>
      </c>
    </row>
    <row r="12" spans="1:12" x14ac:dyDescent="0.45">
      <c r="A12" t="s">
        <v>183</v>
      </c>
      <c r="B12" t="s">
        <v>180</v>
      </c>
      <c r="C12" s="38">
        <f>C8+C9</f>
        <v>451343580.13796383</v>
      </c>
      <c r="D12" s="38">
        <f t="shared" ref="D12:K12" si="6">D8+D9</f>
        <v>2728320062.2435975</v>
      </c>
      <c r="E12" s="38">
        <f t="shared" si="6"/>
        <v>5889806385.6906776</v>
      </c>
      <c r="F12" s="38">
        <f t="shared" si="6"/>
        <v>12396316784.265022</v>
      </c>
      <c r="G12" s="38">
        <f t="shared" si="6"/>
        <v>25976328496.736206</v>
      </c>
      <c r="H12" s="38">
        <f t="shared" si="6"/>
        <v>54706970665.65699</v>
      </c>
      <c r="I12" s="38">
        <f t="shared" si="6"/>
        <v>108936535139.25481</v>
      </c>
      <c r="J12" s="38">
        <f t="shared" si="6"/>
        <v>205089450566.44617</v>
      </c>
      <c r="K12" s="38">
        <f t="shared" si="6"/>
        <v>363441626344.21368</v>
      </c>
      <c r="L12" s="38">
        <f>L8+L9</f>
        <v>605839286815.35645</v>
      </c>
    </row>
    <row r="13" spans="1:12" x14ac:dyDescent="0.45">
      <c r="A13" t="s">
        <v>184</v>
      </c>
      <c r="B13" t="s">
        <v>180</v>
      </c>
      <c r="C13" s="38">
        <f>C12</f>
        <v>451343580.13796383</v>
      </c>
      <c r="D13" s="38">
        <f>C13+D12</f>
        <v>3179663642.3815613</v>
      </c>
      <c r="E13" s="38">
        <f t="shared" ref="E13:L13" si="7">D13+E12</f>
        <v>9069470028.0722389</v>
      </c>
      <c r="F13" s="38">
        <f t="shared" si="7"/>
        <v>21465786812.337261</v>
      </c>
      <c r="G13" s="38">
        <f t="shared" si="7"/>
        <v>47442115309.073471</v>
      </c>
      <c r="H13" s="38">
        <f t="shared" si="7"/>
        <v>102149085974.73047</v>
      </c>
      <c r="I13" s="38">
        <f t="shared" si="7"/>
        <v>211085621113.98529</v>
      </c>
      <c r="J13" s="38">
        <f t="shared" si="7"/>
        <v>416175071680.43146</v>
      </c>
      <c r="K13" s="38">
        <f t="shared" si="7"/>
        <v>779616698024.64514</v>
      </c>
      <c r="L13" s="38">
        <f t="shared" si="7"/>
        <v>1385455984840.0015</v>
      </c>
    </row>
    <row r="14" spans="1:12" x14ac:dyDescent="0.45">
      <c r="A14" s="44" t="s">
        <v>172</v>
      </c>
      <c r="B14" s="30"/>
      <c r="C14" s="43">
        <f>C15+C16</f>
        <v>578050000</v>
      </c>
      <c r="D14" s="43">
        <f t="shared" ref="D14:L14" si="8">D15+D16</f>
        <v>3711932399.9999995</v>
      </c>
      <c r="E14" s="43">
        <f t="shared" si="8"/>
        <v>7784289084</v>
      </c>
      <c r="F14" s="43">
        <f t="shared" si="8"/>
        <v>16290927871.680002</v>
      </c>
      <c r="G14" s="43">
        <f t="shared" si="8"/>
        <v>34029522166.939201</v>
      </c>
      <c r="H14" s="43">
        <f t="shared" si="8"/>
        <v>70960241512.944962</v>
      </c>
      <c r="I14" s="43">
        <f t="shared" si="8"/>
        <v>140347744835.59393</v>
      </c>
      <c r="J14" s="43">
        <f t="shared" si="8"/>
        <v>262587442880.67297</v>
      </c>
      <c r="K14" s="43">
        <f t="shared" si="8"/>
        <v>463366113825.12653</v>
      </c>
      <c r="L14" s="43">
        <f t="shared" si="8"/>
        <v>768585752076.51135</v>
      </c>
    </row>
    <row r="15" spans="1:12" x14ac:dyDescent="0.45">
      <c r="A15" s="45"/>
      <c r="B15" t="s">
        <v>177</v>
      </c>
      <c r="C15" s="38">
        <f>'Модель рынка'!D38+'Модель рынка'!D39</f>
        <v>528000000</v>
      </c>
      <c r="D15" s="38">
        <f>'Модель рынка'!E38+'Модель рынка'!E39</f>
        <v>3619439999.9999995</v>
      </c>
      <c r="E15" s="38">
        <f>'Модель рынка'!F38+'Модель рынка'!F39</f>
        <v>7614235200</v>
      </c>
      <c r="F15" s="38">
        <f>'Модель рынка'!G38+'Модель рынка'!G39</f>
        <v>15980121696.000002</v>
      </c>
      <c r="G15" s="38">
        <f>'Модель рынка'!H38+'Модель рынка'!H39</f>
        <v>33465408958.080002</v>
      </c>
      <c r="H15" s="38">
        <f>'Модель рынка'!I38+'Модель рынка'!I39</f>
        <v>69944837736.998398</v>
      </c>
      <c r="I15" s="38">
        <f>'Модель рынка'!J38+'Модель рынка'!J39</f>
        <v>138628767783.29401</v>
      </c>
      <c r="J15" s="38">
        <f>'Модель рынка'!K38+'Модель рынка'!K39</f>
        <v>259864583229.8299</v>
      </c>
      <c r="K15" s="38">
        <f>'Модель рынка'!L38+'Модель рынка'!L39</f>
        <v>459356362631.80371</v>
      </c>
      <c r="L15" s="38">
        <f>'Модель рынка'!M38+'Модель рынка'!M39</f>
        <v>763141655599.17712</v>
      </c>
    </row>
    <row r="16" spans="1:12" x14ac:dyDescent="0.45">
      <c r="A16" s="45"/>
      <c r="B16" t="s">
        <v>178</v>
      </c>
      <c r="C16" s="38">
        <f>'Модель Хаба Федеральные трассы'!D7</f>
        <v>50049999.999999993</v>
      </c>
      <c r="D16" s="38">
        <f>'Модель Хаба Федеральные трассы'!E7</f>
        <v>92492399.999999985</v>
      </c>
      <c r="E16" s="38">
        <f>'Модель Хаба Федеральные трассы'!F7</f>
        <v>170053884</v>
      </c>
      <c r="F16" s="38">
        <f>'Модель Хаба Федеральные трассы'!G7</f>
        <v>310806175.68000007</v>
      </c>
      <c r="G16" s="38">
        <f>'Модель Хаба Федеральные трассы'!H7</f>
        <v>564113208.85920012</v>
      </c>
      <c r="H16" s="38">
        <f>'Модель Хаба Федеральные трассы'!I7</f>
        <v>1015403775.9465601</v>
      </c>
      <c r="I16" s="38">
        <f>'Модель Хаба Федеральные трассы'!J7</f>
        <v>1718977052.2999315</v>
      </c>
      <c r="J16" s="38">
        <f>'Модель Хаба Федеральные трассы'!K7</f>
        <v>2722859650.843092</v>
      </c>
      <c r="K16" s="38">
        <f>'Модель Хаба Федеральные трассы'!L7</f>
        <v>4009751193.3228073</v>
      </c>
      <c r="L16" s="38">
        <f>'Модель Хаба Федеральные трассы'!M7</f>
        <v>5444096477.33428</v>
      </c>
    </row>
    <row r="17" spans="1:12" x14ac:dyDescent="0.45">
      <c r="A17" s="44" t="s">
        <v>185</v>
      </c>
      <c r="B17" s="30"/>
      <c r="C17" s="43">
        <f>SUM(C18:C21)</f>
        <v>126706419.86203615</v>
      </c>
      <c r="D17" s="43">
        <f t="shared" ref="D17:L17" si="9">SUM(D18:D21)</f>
        <v>1025340525.6639153</v>
      </c>
      <c r="E17" s="43">
        <f t="shared" si="9"/>
        <v>1992258738.2260897</v>
      </c>
      <c r="F17" s="43">
        <f t="shared" si="9"/>
        <v>4089990275.4417758</v>
      </c>
      <c r="G17" s="43">
        <f t="shared" si="9"/>
        <v>8423551404.3917828</v>
      </c>
      <c r="H17" s="43">
        <f t="shared" si="9"/>
        <v>16920135769.505711</v>
      </c>
      <c r="I17" s="43">
        <f t="shared" si="9"/>
        <v>32506541920.768764</v>
      </c>
      <c r="J17" s="43">
        <f t="shared" si="9"/>
        <v>59136776868.878487</v>
      </c>
      <c r="K17" s="43">
        <f t="shared" si="9"/>
        <v>102133310271.99641</v>
      </c>
      <c r="L17" s="43">
        <f t="shared" si="9"/>
        <v>165325449901.71649</v>
      </c>
    </row>
    <row r="18" spans="1:12" x14ac:dyDescent="0.45">
      <c r="A18" t="s">
        <v>189</v>
      </c>
      <c r="B18" t="s">
        <v>177</v>
      </c>
      <c r="C18" s="38">
        <f>'План закупок'!C4</f>
        <v>86880025</v>
      </c>
      <c r="D18" s="38">
        <f>'План закупок'!D4</f>
        <v>691717599.28571415</v>
      </c>
      <c r="E18" s="38">
        <f>'План закупок'!E4</f>
        <v>1354263465.5714288</v>
      </c>
      <c r="F18" s="38">
        <f>'План закупок'!F4</f>
        <v>2843126859.2171431</v>
      </c>
      <c r="G18" s="38">
        <f>'План закупок'!G4</f>
        <v>5941923072.5785141</v>
      </c>
      <c r="H18" s="38">
        <f>'План закупок'!H4</f>
        <v>12272137844.348312</v>
      </c>
      <c r="I18" s="38">
        <f>'План закупок'!I4</f>
        <v>24143862178.612755</v>
      </c>
      <c r="J18" s="38">
        <f>'План закупок'!J4</f>
        <v>44896333855.54422</v>
      </c>
      <c r="K18" s="38">
        <f>'План закупок'!K4</f>
        <v>78999312774.900024</v>
      </c>
      <c r="L18" s="38">
        <f>'План закупок'!L4</f>
        <v>130274269973.17235</v>
      </c>
    </row>
    <row r="19" spans="1:12" x14ac:dyDescent="0.45">
      <c r="A19" t="s">
        <v>182</v>
      </c>
      <c r="B19" t="s">
        <v>177</v>
      </c>
      <c r="C19" s="38">
        <f>'Амортизация и РБП'!B3</f>
        <v>0</v>
      </c>
      <c r="D19" s="38">
        <f>'Амортизация и РБП'!C3</f>
        <v>282858714.28571421</v>
      </c>
      <c r="E19" s="38">
        <f>'Амортизация и РБП'!D3</f>
        <v>565717428.57142842</v>
      </c>
      <c r="F19" s="38">
        <f>'Амортизация и РБП'!E3</f>
        <v>1131436428.5714283</v>
      </c>
      <c r="G19" s="38">
        <f>'Амортизация и РБП'!F3</f>
        <v>2287872857.1428566</v>
      </c>
      <c r="H19" s="38">
        <f>'Амортизация и РБП'!G3</f>
        <v>4299459071.4285717</v>
      </c>
      <c r="I19" s="38">
        <f>'Амортизация и РБП'!H3</f>
        <v>7739034914.2857141</v>
      </c>
      <c r="J19" s="38">
        <f>'Амортизация и РБП'!I3</f>
        <v>13156367917.142855</v>
      </c>
      <c r="K19" s="38">
        <f>'Амортизация и РБП'!J3</f>
        <v>21333069094.857143</v>
      </c>
      <c r="L19" s="38">
        <f>'Амортизация и РБП'!K3</f>
        <v>32186068091.771416</v>
      </c>
    </row>
    <row r="20" spans="1:12" x14ac:dyDescent="0.45">
      <c r="A20" t="s">
        <v>158</v>
      </c>
      <c r="B20" t="s">
        <v>177</v>
      </c>
      <c r="C20" s="38">
        <f>IF(('План по персоналу'!F4+'План по персоналу'!F5)=0,0,(('План по персоналу'!F4+'План по персоналу'!F5)/100)*C4)</f>
        <v>32819394.862036157</v>
      </c>
      <c r="D20" s="38">
        <f>(('План по персоналу'!G4+'План по персоналу'!G5)/100)*D4</f>
        <v>37815256.09248703</v>
      </c>
      <c r="E20" s="38">
        <f>(('План по персоналу'!H4+'План по персоналу'!H5)/100)*E4</f>
        <v>48470280.323232658</v>
      </c>
      <c r="F20" s="38">
        <f>(('План по персоналу'!I4+'План по персоналу'!I5)/100)*F4</f>
        <v>71914103.0580042</v>
      </c>
      <c r="G20" s="38">
        <f>(('План по персоналу'!J4+'План по персоналу'!J5)/100)*G4</f>
        <v>114779605.43012381</v>
      </c>
      <c r="H20" s="38">
        <f>(('План по персоналу'!K4+'План по персоналу'!K5)/100)*H4</f>
        <v>206382305.09630853</v>
      </c>
      <c r="I20" s="38">
        <f>(('План по персоналу'!L4+'План по персоналу'!L5)/100)*I4</f>
        <v>382987805.54830456</v>
      </c>
      <c r="J20" s="38">
        <f>(('План по персоналу'!M4+'План по персоналу'!M5)/100)*J4</f>
        <v>702874485.07337689</v>
      </c>
      <c r="K20" s="38">
        <f>(('План по персоналу'!N4+'План по персоналу'!N5)/100)*K4</f>
        <v>1239562975.1740582</v>
      </c>
      <c r="L20" s="38">
        <f>(('План по персоналу'!O4+'План по персоналу'!O5)/100)*L4</f>
        <v>2102938069.9459317</v>
      </c>
    </row>
    <row r="21" spans="1:12" x14ac:dyDescent="0.45">
      <c r="A21" t="s">
        <v>189</v>
      </c>
      <c r="B21" t="s">
        <v>178</v>
      </c>
      <c r="C21" s="38">
        <f>'Модель Хаба Федеральные трассы'!D8</f>
        <v>7006999.9999999991</v>
      </c>
      <c r="D21" s="38">
        <f>'Модель Хаба Федеральные трассы'!E8</f>
        <v>12948955.999999998</v>
      </c>
      <c r="E21" s="38">
        <f>'Модель Хаба Федеральные трассы'!F8</f>
        <v>23807563.760000002</v>
      </c>
      <c r="F21" s="38">
        <f>'Модель Хаба Федеральные трассы'!G8</f>
        <v>43512884.59520001</v>
      </c>
      <c r="G21" s="38">
        <f>'Модель Хаба Федеральные трассы'!H8</f>
        <v>78975869.240288019</v>
      </c>
      <c r="H21" s="38">
        <f>'Модель Хаба Федеральные трассы'!I8</f>
        <v>142156548.63251841</v>
      </c>
      <c r="I21" s="38">
        <f>'Модель Хаба Федеральные трассы'!J8</f>
        <v>240657022.32199043</v>
      </c>
      <c r="J21" s="38">
        <f>'Модель Хаба Федеральные трассы'!K8</f>
        <v>381200611.11803287</v>
      </c>
      <c r="K21" s="38">
        <f>'Модель Хаба Федеральные трассы'!L8</f>
        <v>561365427.06519306</v>
      </c>
      <c r="L21" s="38">
        <f>'Модель Хаба Федеральные трассы'!M8</f>
        <v>762173766.82679915</v>
      </c>
    </row>
    <row r="22" spans="1:12" x14ac:dyDescent="0.45">
      <c r="A22" t="s">
        <v>182</v>
      </c>
      <c r="B22" t="s">
        <v>178</v>
      </c>
      <c r="C22" s="38">
        <f>'Амортизация и РБП'!B4</f>
        <v>100</v>
      </c>
      <c r="D22" s="38">
        <f>'Амортизация и РБП'!C4</f>
        <v>100</v>
      </c>
      <c r="E22" s="38">
        <f>'Амортизация и РБП'!D4</f>
        <v>100</v>
      </c>
      <c r="F22" s="38">
        <f>'Амортизация и РБП'!E4</f>
        <v>100</v>
      </c>
      <c r="G22" s="38">
        <f>'Амортизация и РБП'!F4</f>
        <v>100</v>
      </c>
      <c r="H22" s="38">
        <f>'Амортизация и РБП'!G4</f>
        <v>100</v>
      </c>
      <c r="I22" s="38">
        <f>'Амортизация и РБП'!H4</f>
        <v>350</v>
      </c>
      <c r="J22" s="38">
        <f>'Амортизация и РБП'!I4</f>
        <v>350</v>
      </c>
      <c r="K22" s="38">
        <f>'Амортизация и РБП'!J4</f>
        <v>350</v>
      </c>
      <c r="L22" s="38">
        <f>'Амортизация и РБП'!K4</f>
        <v>350</v>
      </c>
    </row>
    <row r="23" spans="1:12" x14ac:dyDescent="0.45">
      <c r="A23" t="s">
        <v>158</v>
      </c>
      <c r="B23" t="s">
        <v>178</v>
      </c>
      <c r="C23" s="38">
        <f>(('План по персоналу'!F4+'План по персоналу'!F5)/100)*C5</f>
        <v>3111005.1379638435</v>
      </c>
      <c r="D23" s="38">
        <f>(('План по персоналу'!G4+'План по персоналу'!G5)/100)*D5</f>
        <v>966343.90751297097</v>
      </c>
      <c r="E23" s="38">
        <f>(('План по персоналу'!H4+'План по персоналу'!H5)/100)*E5</f>
        <v>1082519.6767673383</v>
      </c>
      <c r="F23" s="38">
        <f>(('План по персоналу'!I4+'План по персоналу'!I5)/100)*F5</f>
        <v>1398696.9419957842</v>
      </c>
      <c r="G23" s="38">
        <f>(('План по персоналу'!J4+'План по персоналу'!J5)/100)*G5</f>
        <v>1934794.5698762143</v>
      </c>
      <c r="H23" s="38">
        <f>(('План по персоналу'!K4+'План по персоналу'!K5)/100)*H5</f>
        <v>2996094.9036914557</v>
      </c>
      <c r="I23" s="38">
        <f>(('План по персоналу'!L4+'План по персоналу'!L5)/100)*I5</f>
        <v>4748994.4516954767</v>
      </c>
      <c r="J23" s="38">
        <f>(('План по персоналу'!M4+'План по персоналу'!M5)/100)*J5</f>
        <v>7364714.9266230771</v>
      </c>
      <c r="K23" s="38">
        <f>(('План по персоналу'!N4+'План по персоналу'!N5)/100)*K5</f>
        <v>10820224.825941762</v>
      </c>
      <c r="L23" s="38">
        <f>(('План по персоналу'!O4+'План по персоналу'!O5)/100)*L5</f>
        <v>15001930.054068379</v>
      </c>
    </row>
    <row r="24" spans="1:12" x14ac:dyDescent="0.45">
      <c r="C24" s="38">
        <v>1000</v>
      </c>
      <c r="D24" s="38">
        <v>1000</v>
      </c>
      <c r="E24" s="38">
        <v>1000</v>
      </c>
      <c r="F24" s="38">
        <v>1000</v>
      </c>
      <c r="G24" s="38">
        <v>1000</v>
      </c>
      <c r="H24" s="38">
        <v>1000</v>
      </c>
      <c r="I24" s="38">
        <v>1000</v>
      </c>
      <c r="J24" s="38">
        <v>1000</v>
      </c>
      <c r="K24" s="38">
        <v>1000</v>
      </c>
      <c r="L24" s="38">
        <v>1000</v>
      </c>
    </row>
    <row r="25" spans="1:12" x14ac:dyDescent="0.45">
      <c r="B25" t="s">
        <v>177</v>
      </c>
      <c r="C25" s="38" t="str">
        <f>C7</f>
        <v>2022</v>
      </c>
      <c r="D25" s="38" t="str">
        <f t="shared" ref="D25:L25" si="10">D7</f>
        <v>2023</v>
      </c>
      <c r="E25" s="38" t="str">
        <f t="shared" si="10"/>
        <v>2024</v>
      </c>
      <c r="F25" s="38" t="str">
        <f t="shared" si="10"/>
        <v>2025</v>
      </c>
      <c r="G25" s="38" t="str">
        <f t="shared" si="10"/>
        <v>2026</v>
      </c>
      <c r="H25" s="38" t="str">
        <f t="shared" si="10"/>
        <v>2027</v>
      </c>
      <c r="I25" s="38" t="str">
        <f t="shared" si="10"/>
        <v>2028</v>
      </c>
      <c r="J25" s="38" t="str">
        <f t="shared" si="10"/>
        <v>2029</v>
      </c>
      <c r="K25" s="38" t="str">
        <f t="shared" si="10"/>
        <v>2030</v>
      </c>
      <c r="L25" s="38" t="str">
        <f t="shared" si="10"/>
        <v>2031</v>
      </c>
    </row>
    <row r="26" spans="1:12" x14ac:dyDescent="0.45">
      <c r="B26" t="s">
        <v>156</v>
      </c>
      <c r="C26" s="38">
        <f>C15/C24</f>
        <v>528000</v>
      </c>
      <c r="D26" s="38">
        <f t="shared" ref="D26:L26" si="11">D15/D24</f>
        <v>3619439.9999999995</v>
      </c>
      <c r="E26" s="38">
        <f t="shared" si="11"/>
        <v>7614235.2000000002</v>
      </c>
      <c r="F26" s="38">
        <f t="shared" si="11"/>
        <v>15980121.696000002</v>
      </c>
      <c r="G26" s="38">
        <f t="shared" si="11"/>
        <v>33465408.958080001</v>
      </c>
      <c r="H26" s="38">
        <f t="shared" si="11"/>
        <v>69944837.736998394</v>
      </c>
      <c r="I26" s="38">
        <f t="shared" si="11"/>
        <v>138628767.78329399</v>
      </c>
      <c r="J26" s="38">
        <f t="shared" si="11"/>
        <v>259864583.22982991</v>
      </c>
      <c r="K26" s="38">
        <f t="shared" si="11"/>
        <v>459356362.63180369</v>
      </c>
      <c r="L26" s="38">
        <f t="shared" si="11"/>
        <v>763141655.59917712</v>
      </c>
    </row>
    <row r="27" spans="1:12" x14ac:dyDescent="0.45">
      <c r="B27" t="s">
        <v>157</v>
      </c>
      <c r="C27" s="38">
        <f>(C18+C19+C20)/C24</f>
        <v>119699.41986203616</v>
      </c>
      <c r="D27" s="38">
        <f t="shared" ref="D27:L27" si="12">(D18+D19+D20)/D24</f>
        <v>1012391.5696639153</v>
      </c>
      <c r="E27" s="38">
        <f t="shared" si="12"/>
        <v>1968451.1744660898</v>
      </c>
      <c r="F27" s="38">
        <f t="shared" si="12"/>
        <v>4046477.3908465756</v>
      </c>
      <c r="G27" s="38">
        <f t="shared" si="12"/>
        <v>8344575.5351514947</v>
      </c>
      <c r="H27" s="38">
        <f t="shared" si="12"/>
        <v>16777979.220873192</v>
      </c>
      <c r="I27" s="38">
        <f t="shared" si="12"/>
        <v>32265884.898446772</v>
      </c>
      <c r="J27" s="38">
        <f t="shared" si="12"/>
        <v>58755576.25776045</v>
      </c>
      <c r="K27" s="38">
        <f t="shared" si="12"/>
        <v>101571944.84493123</v>
      </c>
      <c r="L27" s="38">
        <f t="shared" si="12"/>
        <v>164563276.13488969</v>
      </c>
    </row>
    <row r="28" spans="1:12" x14ac:dyDescent="0.45">
      <c r="C28" s="38" t="str">
        <f>C25</f>
        <v>2022</v>
      </c>
      <c r="D28" s="38" t="str">
        <f t="shared" ref="D28:L28" si="13">D25</f>
        <v>2023</v>
      </c>
      <c r="E28" s="38" t="str">
        <f t="shared" si="13"/>
        <v>2024</v>
      </c>
      <c r="F28" s="38" t="str">
        <f t="shared" si="13"/>
        <v>2025</v>
      </c>
      <c r="G28" s="38" t="str">
        <f t="shared" si="13"/>
        <v>2026</v>
      </c>
      <c r="H28" s="38" t="str">
        <f t="shared" si="13"/>
        <v>2027</v>
      </c>
      <c r="I28" s="38" t="str">
        <f t="shared" si="13"/>
        <v>2028</v>
      </c>
      <c r="J28" s="38" t="str">
        <f t="shared" si="13"/>
        <v>2029</v>
      </c>
      <c r="K28" s="38" t="str">
        <f t="shared" si="13"/>
        <v>2030</v>
      </c>
      <c r="L28" s="38" t="str">
        <f t="shared" si="13"/>
        <v>2031</v>
      </c>
    </row>
    <row r="29" spans="1:12" x14ac:dyDescent="0.45">
      <c r="B29" t="str">
        <f>B26</f>
        <v>Доходы</v>
      </c>
      <c r="C29" s="38">
        <f>C16/C24</f>
        <v>50049.999999999993</v>
      </c>
      <c r="D29" s="38">
        <f t="shared" ref="D29:L29" si="14">D16/D24</f>
        <v>92492.39999999998</v>
      </c>
      <c r="E29" s="38">
        <f t="shared" si="14"/>
        <v>170053.88399999999</v>
      </c>
      <c r="F29" s="38">
        <f t="shared" si="14"/>
        <v>310806.17568000004</v>
      </c>
      <c r="G29" s="38">
        <f t="shared" si="14"/>
        <v>564113.20885920012</v>
      </c>
      <c r="H29" s="38">
        <f t="shared" si="14"/>
        <v>1015403.7759465602</v>
      </c>
      <c r="I29" s="38">
        <f t="shared" si="14"/>
        <v>1718977.0522999314</v>
      </c>
      <c r="J29" s="38">
        <f t="shared" si="14"/>
        <v>2722859.6508430918</v>
      </c>
      <c r="K29" s="38">
        <f t="shared" si="14"/>
        <v>4009751.1933228071</v>
      </c>
      <c r="L29" s="38">
        <f t="shared" si="14"/>
        <v>5444096.4773342796</v>
      </c>
    </row>
    <row r="30" spans="1:12" x14ac:dyDescent="0.45">
      <c r="B30" t="str">
        <f>B27</f>
        <v>Расходы</v>
      </c>
      <c r="C30" s="38">
        <f>(C21+C22+C23)/1000</f>
        <v>10118.105137963843</v>
      </c>
      <c r="D30" s="38">
        <f t="shared" ref="D30:L30" si="15">(D21+D22+D23)/1000</f>
        <v>13915.399907512969</v>
      </c>
      <c r="E30" s="38">
        <f t="shared" si="15"/>
        <v>24890.18343676734</v>
      </c>
      <c r="F30" s="38">
        <f t="shared" si="15"/>
        <v>44911.681537195793</v>
      </c>
      <c r="G30" s="38">
        <f t="shared" si="15"/>
        <v>80910.763810164222</v>
      </c>
      <c r="H30" s="38">
        <f t="shared" si="15"/>
        <v>145152.74353620989</v>
      </c>
      <c r="I30" s="38">
        <f t="shared" si="15"/>
        <v>245406.36677368591</v>
      </c>
      <c r="J30" s="38">
        <f t="shared" si="15"/>
        <v>388565.67604465596</v>
      </c>
      <c r="K30" s="38">
        <f t="shared" si="15"/>
        <v>572186.00189113489</v>
      </c>
      <c r="L30" s="38">
        <f t="shared" si="15"/>
        <v>777176.04688086745</v>
      </c>
    </row>
    <row r="31" spans="1:12" x14ac:dyDescent="0.45">
      <c r="C31" s="38" t="str">
        <f>C28</f>
        <v>2022</v>
      </c>
      <c r="D31" s="38" t="str">
        <f t="shared" ref="D31:L31" si="16">D28</f>
        <v>2023</v>
      </c>
      <c r="E31" s="38" t="str">
        <f t="shared" si="16"/>
        <v>2024</v>
      </c>
      <c r="F31" s="38" t="str">
        <f t="shared" si="16"/>
        <v>2025</v>
      </c>
      <c r="G31" s="38" t="str">
        <f t="shared" si="16"/>
        <v>2026</v>
      </c>
      <c r="H31" s="38" t="str">
        <f t="shared" si="16"/>
        <v>2027</v>
      </c>
      <c r="I31" s="38" t="str">
        <f t="shared" si="16"/>
        <v>2028</v>
      </c>
      <c r="J31" s="38" t="str">
        <f t="shared" si="16"/>
        <v>2029</v>
      </c>
      <c r="K31" s="38" t="str">
        <f t="shared" si="16"/>
        <v>2030</v>
      </c>
      <c r="L31" s="38" t="str">
        <f t="shared" si="16"/>
        <v>2031</v>
      </c>
    </row>
    <row r="32" spans="1:12" x14ac:dyDescent="0.45">
      <c r="B32" t="s">
        <v>177</v>
      </c>
      <c r="C32" s="38">
        <f>C10/C24</f>
        <v>441119.97499999998</v>
      </c>
      <c r="D32" s="38">
        <f t="shared" ref="D32:L32" si="17">D10/D24</f>
        <v>3127711.8493360844</v>
      </c>
      <c r="E32" s="38">
        <f t="shared" si="17"/>
        <v>8919742.1951099951</v>
      </c>
      <c r="F32" s="38">
        <f t="shared" si="17"/>
        <v>21120679.791348223</v>
      </c>
      <c r="G32" s="38">
        <f t="shared" si="17"/>
        <v>46726650.553895637</v>
      </c>
      <c r="H32" s="38">
        <f t="shared" si="17"/>
        <v>100766756.29733489</v>
      </c>
      <c r="I32" s="38">
        <f t="shared" si="17"/>
        <v>208607959.21216005</v>
      </c>
      <c r="J32" s="38">
        <f t="shared" si="17"/>
        <v>412058625.22395462</v>
      </c>
      <c r="K32" s="38">
        <f t="shared" si="17"/>
        <v>773291428.77708471</v>
      </c>
      <c r="L32" s="38">
        <f t="shared" si="17"/>
        <v>1376551730.9518797</v>
      </c>
    </row>
    <row r="33" spans="1:12" x14ac:dyDescent="0.45">
      <c r="B33" t="s">
        <v>178</v>
      </c>
      <c r="C33" s="38">
        <f>C11/C24</f>
        <v>10223.605137963836</v>
      </c>
      <c r="D33" s="38">
        <f t="shared" ref="D33:L33" si="18">D11/D24</f>
        <v>51951.793045476792</v>
      </c>
      <c r="E33" s="38">
        <f t="shared" si="18"/>
        <v>149727.83296224417</v>
      </c>
      <c r="F33" s="38">
        <f t="shared" si="18"/>
        <v>345107.02098904003</v>
      </c>
      <c r="G33" s="38">
        <f t="shared" si="18"/>
        <v>715464.75517782837</v>
      </c>
      <c r="H33" s="38">
        <f t="shared" si="18"/>
        <v>1382329.6773955617</v>
      </c>
      <c r="I33" s="38">
        <f t="shared" si="18"/>
        <v>2477661.901825198</v>
      </c>
      <c r="J33" s="38">
        <f t="shared" si="18"/>
        <v>4116446.4564768802</v>
      </c>
      <c r="K33" s="38">
        <f t="shared" si="18"/>
        <v>6325269.2475604359</v>
      </c>
      <c r="L33" s="38">
        <f t="shared" si="18"/>
        <v>8904253.8881219868</v>
      </c>
    </row>
    <row r="34" spans="1:12" x14ac:dyDescent="0.45">
      <c r="A34" s="49" t="str">
        <f>Моделирование!D2</f>
        <v>Как есть</v>
      </c>
      <c r="B34" s="48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1:12" x14ac:dyDescent="0.45">
      <c r="A35" s="89" t="s">
        <v>216</v>
      </c>
      <c r="B35" s="89"/>
      <c r="C35" s="38">
        <f>IF(C46=0,0,C46/(C45/100))</f>
        <v>100.00000000000001</v>
      </c>
      <c r="D35" s="38">
        <f t="shared" ref="D35:L35" si="19">IF(D46=0,0,D46/(D45/100))</f>
        <v>100</v>
      </c>
      <c r="E35" s="38">
        <f t="shared" si="19"/>
        <v>100</v>
      </c>
      <c r="F35" s="38">
        <f t="shared" si="19"/>
        <v>100</v>
      </c>
      <c r="G35" s="38">
        <f t="shared" si="19"/>
        <v>100</v>
      </c>
      <c r="H35" s="38">
        <f t="shared" si="19"/>
        <v>100</v>
      </c>
      <c r="I35" s="38">
        <f t="shared" si="19"/>
        <v>100</v>
      </c>
      <c r="J35" s="38">
        <f t="shared" si="19"/>
        <v>100</v>
      </c>
      <c r="K35" s="38">
        <f t="shared" si="19"/>
        <v>100</v>
      </c>
      <c r="L35" s="38">
        <f t="shared" si="19"/>
        <v>100</v>
      </c>
    </row>
    <row r="36" spans="1:12" x14ac:dyDescent="0.45">
      <c r="A36" s="89" t="s">
        <v>217</v>
      </c>
      <c r="B36" s="89"/>
      <c r="C36" s="38">
        <f>IF(C47=0,0,C47/(C45/100))</f>
        <v>0</v>
      </c>
      <c r="D36" s="38">
        <f t="shared" ref="D36:L36" si="20">IF(D47=0,0,D47/(D45/100))</f>
        <v>0</v>
      </c>
      <c r="E36" s="38">
        <f t="shared" si="20"/>
        <v>0</v>
      </c>
      <c r="F36" s="38">
        <f t="shared" si="20"/>
        <v>0</v>
      </c>
      <c r="G36" s="38">
        <f t="shared" si="20"/>
        <v>0</v>
      </c>
      <c r="H36" s="38">
        <f t="shared" si="20"/>
        <v>0</v>
      </c>
      <c r="I36" s="38">
        <f t="shared" si="20"/>
        <v>0</v>
      </c>
      <c r="J36" s="38">
        <f t="shared" si="20"/>
        <v>0</v>
      </c>
      <c r="K36" s="38">
        <f t="shared" si="20"/>
        <v>0</v>
      </c>
      <c r="L36" s="38">
        <f t="shared" si="20"/>
        <v>0</v>
      </c>
    </row>
    <row r="38" spans="1:12" x14ac:dyDescent="0.45">
      <c r="C38" s="38" t="str">
        <f>C7</f>
        <v>2022</v>
      </c>
      <c r="D38" s="38" t="str">
        <f t="shared" ref="D38:L38" si="21">D7</f>
        <v>2023</v>
      </c>
      <c r="E38" s="38" t="str">
        <f t="shared" si="21"/>
        <v>2024</v>
      </c>
      <c r="F38" s="38" t="str">
        <f t="shared" si="21"/>
        <v>2025</v>
      </c>
      <c r="G38" s="38" t="str">
        <f t="shared" si="21"/>
        <v>2026</v>
      </c>
      <c r="H38" s="38" t="str">
        <f t="shared" si="21"/>
        <v>2027</v>
      </c>
      <c r="I38" s="38" t="str">
        <f t="shared" si="21"/>
        <v>2028</v>
      </c>
      <c r="J38" s="38" t="str">
        <f t="shared" si="21"/>
        <v>2029</v>
      </c>
      <c r="K38" s="38" t="str">
        <f t="shared" si="21"/>
        <v>2030</v>
      </c>
      <c r="L38" s="38" t="str">
        <f t="shared" si="21"/>
        <v>2031</v>
      </c>
    </row>
    <row r="39" spans="1:12" x14ac:dyDescent="0.45">
      <c r="A39" t="s">
        <v>183</v>
      </c>
      <c r="B39" t="s">
        <v>177</v>
      </c>
      <c r="C39" s="38">
        <f>C46-C49-C50</f>
        <v>1418806.3735555559</v>
      </c>
      <c r="D39" s="38">
        <f t="shared" ref="D39:L39" si="22">D45-D48</f>
        <v>15646927.960730007</v>
      </c>
      <c r="E39" s="38">
        <f t="shared" si="22"/>
        <v>29539622.344108406</v>
      </c>
      <c r="F39" s="38">
        <f t="shared" si="22"/>
        <v>38097575.13415052</v>
      </c>
      <c r="G39" s="38">
        <f t="shared" si="22"/>
        <v>41953261.817464203</v>
      </c>
      <c r="H39" s="38">
        <f t="shared" si="22"/>
        <v>32483503.944105685</v>
      </c>
      <c r="I39" s="38">
        <f t="shared" si="22"/>
        <v>52147246.394364379</v>
      </c>
      <c r="J39" s="38">
        <f t="shared" si="22"/>
        <v>74738654.84996891</v>
      </c>
      <c r="K39" s="38">
        <f t="shared" si="22"/>
        <v>96700425.966215968</v>
      </c>
      <c r="L39" s="38">
        <f t="shared" si="22"/>
        <v>113034455.15483806</v>
      </c>
    </row>
    <row r="40" spans="1:12" x14ac:dyDescent="0.45">
      <c r="A40" t="s">
        <v>183</v>
      </c>
      <c r="B40" t="s">
        <v>178</v>
      </c>
      <c r="C40" s="38">
        <f>C47-C51-C52</f>
        <v>0</v>
      </c>
      <c r="D40" s="38">
        <f t="shared" ref="D40:L40" si="23">D47-D51-D52</f>
        <v>0</v>
      </c>
      <c r="E40" s="38">
        <f t="shared" si="23"/>
        <v>0</v>
      </c>
      <c r="F40" s="38">
        <f t="shared" si="23"/>
        <v>0</v>
      </c>
      <c r="G40" s="38">
        <f t="shared" si="23"/>
        <v>0</v>
      </c>
      <c r="H40" s="38">
        <f t="shared" si="23"/>
        <v>0</v>
      </c>
      <c r="I40" s="38">
        <f t="shared" si="23"/>
        <v>0</v>
      </c>
      <c r="J40" s="38">
        <f t="shared" si="23"/>
        <v>0</v>
      </c>
      <c r="K40" s="38">
        <f t="shared" si="23"/>
        <v>0</v>
      </c>
      <c r="L40" s="38">
        <f t="shared" si="23"/>
        <v>0</v>
      </c>
    </row>
    <row r="41" spans="1:12" x14ac:dyDescent="0.45">
      <c r="A41" t="s">
        <v>184</v>
      </c>
      <c r="B41" t="s">
        <v>177</v>
      </c>
      <c r="C41" s="38">
        <f>C39</f>
        <v>1418806.3735555559</v>
      </c>
      <c r="D41" s="38">
        <f>C41+D39</f>
        <v>17065734.334285565</v>
      </c>
      <c r="E41" s="38">
        <f t="shared" ref="E41:E42" si="24">D41+E39</f>
        <v>46605356.678393975</v>
      </c>
      <c r="F41" s="38">
        <f t="shared" ref="F41:F42" si="25">E41+F39</f>
        <v>84702931.812544495</v>
      </c>
      <c r="G41" s="38">
        <f t="shared" ref="G41:G42" si="26">F41+G39</f>
        <v>126656193.6300087</v>
      </c>
      <c r="H41" s="38">
        <f t="shared" ref="H41:H42" si="27">G41+H39</f>
        <v>159139697.57411438</v>
      </c>
      <c r="I41" s="38">
        <f t="shared" ref="I41:I42" si="28">H41+I39</f>
        <v>211286943.96847877</v>
      </c>
      <c r="J41" s="38">
        <f t="shared" ref="J41:J42" si="29">I41+J39</f>
        <v>286025598.81844771</v>
      </c>
      <c r="K41" s="38">
        <f t="shared" ref="K41:K42" si="30">J41+K39</f>
        <v>382726024.78466368</v>
      </c>
      <c r="L41" s="38">
        <f t="shared" ref="L41:L42" si="31">K41+L39</f>
        <v>495760479.93950176</v>
      </c>
    </row>
    <row r="42" spans="1:12" x14ac:dyDescent="0.45">
      <c r="A42" t="s">
        <v>184</v>
      </c>
      <c r="B42" t="s">
        <v>178</v>
      </c>
      <c r="C42" s="38">
        <f>C40</f>
        <v>0</v>
      </c>
      <c r="D42" s="38">
        <f>C42+D40</f>
        <v>0</v>
      </c>
      <c r="E42" s="38">
        <f t="shared" si="24"/>
        <v>0</v>
      </c>
      <c r="F42" s="38">
        <f t="shared" si="25"/>
        <v>0</v>
      </c>
      <c r="G42" s="38">
        <f t="shared" si="26"/>
        <v>0</v>
      </c>
      <c r="H42" s="38">
        <f t="shared" si="27"/>
        <v>0</v>
      </c>
      <c r="I42" s="38">
        <f t="shared" si="28"/>
        <v>0</v>
      </c>
      <c r="J42" s="38">
        <f t="shared" si="29"/>
        <v>0</v>
      </c>
      <c r="K42" s="38">
        <f t="shared" si="30"/>
        <v>0</v>
      </c>
      <c r="L42" s="38">
        <f t="shared" si="31"/>
        <v>0</v>
      </c>
    </row>
    <row r="43" spans="1:12" x14ac:dyDescent="0.45">
      <c r="A43" t="s">
        <v>183</v>
      </c>
      <c r="B43" t="s">
        <v>180</v>
      </c>
      <c r="C43" s="38">
        <f>C39+C40</f>
        <v>1418806.3735555559</v>
      </c>
      <c r="D43" s="38">
        <f t="shared" ref="D43:L43" si="32">D39+D40</f>
        <v>15646927.960730007</v>
      </c>
      <c r="E43" s="38">
        <f t="shared" si="32"/>
        <v>29539622.344108406</v>
      </c>
      <c r="F43" s="38">
        <f t="shared" si="32"/>
        <v>38097575.13415052</v>
      </c>
      <c r="G43" s="38">
        <f t="shared" si="32"/>
        <v>41953261.817464203</v>
      </c>
      <c r="H43" s="38">
        <f t="shared" si="32"/>
        <v>32483503.944105685</v>
      </c>
      <c r="I43" s="38">
        <f t="shared" si="32"/>
        <v>52147246.394364379</v>
      </c>
      <c r="J43" s="38">
        <f t="shared" si="32"/>
        <v>74738654.84996891</v>
      </c>
      <c r="K43" s="38">
        <f t="shared" si="32"/>
        <v>96700425.966215968</v>
      </c>
      <c r="L43" s="38">
        <f t="shared" si="32"/>
        <v>113034455.15483806</v>
      </c>
    </row>
    <row r="44" spans="1:12" x14ac:dyDescent="0.45">
      <c r="A44" t="s">
        <v>184</v>
      </c>
      <c r="B44" t="s">
        <v>180</v>
      </c>
      <c r="C44" s="38">
        <f>C43</f>
        <v>1418806.3735555559</v>
      </c>
      <c r="D44" s="38">
        <f>C44+D43</f>
        <v>17065734.334285565</v>
      </c>
      <c r="E44" s="38">
        <f t="shared" ref="E44" si="33">D44+E43</f>
        <v>46605356.678393975</v>
      </c>
      <c r="F44" s="38">
        <f t="shared" ref="F44" si="34">E44+F43</f>
        <v>84702931.812544495</v>
      </c>
      <c r="G44" s="38">
        <f t="shared" ref="G44" si="35">F44+G43</f>
        <v>126656193.6300087</v>
      </c>
      <c r="H44" s="38">
        <f t="shared" ref="H44" si="36">G44+H43</f>
        <v>159139697.57411438</v>
      </c>
      <c r="I44" s="38">
        <f t="shared" ref="I44" si="37">H44+I43</f>
        <v>211286943.96847877</v>
      </c>
      <c r="J44" s="38">
        <f t="shared" ref="J44" si="38">I44+J43</f>
        <v>286025598.81844771</v>
      </c>
      <c r="K44" s="38">
        <f t="shared" ref="K44" si="39">J44+K43</f>
        <v>382726024.78466368</v>
      </c>
      <c r="L44" s="38">
        <f t="shared" ref="L44" si="40">K44+L43</f>
        <v>495760479.93950176</v>
      </c>
    </row>
    <row r="45" spans="1:12" x14ac:dyDescent="0.45">
      <c r="A45" s="44" t="s">
        <v>172</v>
      </c>
      <c r="B45" s="30"/>
      <c r="C45" s="43">
        <f>C46+C47</f>
        <v>15079680</v>
      </c>
      <c r="D45" s="43">
        <f t="shared" ref="D45:L45" si="41">D46+D47</f>
        <v>32313600.000000007</v>
      </c>
      <c r="E45" s="43">
        <f t="shared" si="41"/>
        <v>49657818.763636366</v>
      </c>
      <c r="F45" s="43">
        <f t="shared" si="41"/>
        <v>61445280.793388419</v>
      </c>
      <c r="G45" s="43">
        <f t="shared" si="41"/>
        <v>66907083.530578494</v>
      </c>
      <c r="H45" s="43">
        <f t="shared" si="41"/>
        <v>54189208.148733012</v>
      </c>
      <c r="I45" s="43">
        <f t="shared" si="41"/>
        <v>81356794.321616322</v>
      </c>
      <c r="J45" s="43">
        <f t="shared" si="41"/>
        <v>112749011.928543</v>
      </c>
      <c r="K45" s="43">
        <f t="shared" si="41"/>
        <v>143498742.45450932</v>
      </c>
      <c r="L45" s="43">
        <f t="shared" si="41"/>
        <v>166671131.97679302</v>
      </c>
    </row>
    <row r="46" spans="1:12" x14ac:dyDescent="0.45">
      <c r="A46" s="45"/>
      <c r="B46" t="s">
        <v>177</v>
      </c>
      <c r="C46" s="38">
        <f>'Модель рынка'!D76+'Модель рынка'!D77</f>
        <v>15079680</v>
      </c>
      <c r="D46" s="38">
        <f>'Модель рынка'!E76+'Модель рынка'!E77</f>
        <v>32313600.000000007</v>
      </c>
      <c r="E46" s="38">
        <f>'Модель рынка'!F76+'Модель рынка'!F77</f>
        <v>49657818.763636366</v>
      </c>
      <c r="F46" s="38">
        <f>'Модель рынка'!G76+'Модель рынка'!G77</f>
        <v>61445280.793388419</v>
      </c>
      <c r="G46" s="38">
        <f>'Модель рынка'!H76+'Модель рынка'!H77</f>
        <v>66907083.530578494</v>
      </c>
      <c r="H46" s="38">
        <f>'Модель рынка'!I76+'Модель рынка'!I77</f>
        <v>54189208.148733012</v>
      </c>
      <c r="I46" s="38">
        <f>'Модель рынка'!J76+'Модель рынка'!J77</f>
        <v>81356794.321616322</v>
      </c>
      <c r="J46" s="38">
        <f>'Модель рынка'!K76+'Модель рынка'!K77</f>
        <v>112749011.928543</v>
      </c>
      <c r="K46" s="38">
        <f>'Модель рынка'!L76+'Модель рынка'!L77</f>
        <v>143498742.45450932</v>
      </c>
      <c r="L46" s="38">
        <f>'Модель рынка'!M76+'Модель рынка'!M77</f>
        <v>166671131.97679302</v>
      </c>
    </row>
    <row r="47" spans="1:12" x14ac:dyDescent="0.45">
      <c r="A47" s="45"/>
      <c r="B47" t="s">
        <v>178</v>
      </c>
      <c r="C47" s="38">
        <f>'Модель Хаба Федеральные трассы'!D42</f>
        <v>0</v>
      </c>
      <c r="D47" s="38">
        <f>'Модель Хаба Федеральные трассы'!E42</f>
        <v>0</v>
      </c>
      <c r="E47" s="38">
        <f>'Модель Хаба Федеральные трассы'!F42</f>
        <v>0</v>
      </c>
      <c r="F47" s="38">
        <f>'Модель Хаба Федеральные трассы'!G42</f>
        <v>0</v>
      </c>
      <c r="G47" s="38">
        <f>'Модель Хаба Федеральные трассы'!H42</f>
        <v>0</v>
      </c>
      <c r="H47" s="38">
        <f>'Модель Хаба Федеральные трассы'!I42</f>
        <v>0</v>
      </c>
      <c r="I47" s="38">
        <f>'Модель Хаба Федеральные трассы'!J42</f>
        <v>0</v>
      </c>
      <c r="J47" s="38">
        <f>'Модель Хаба Федеральные трассы'!K42</f>
        <v>0</v>
      </c>
      <c r="K47" s="38">
        <f>'Модель Хаба Федеральные трассы'!L42</f>
        <v>0</v>
      </c>
      <c r="L47" s="38">
        <f>'Модель Хаба Федеральные трассы'!M42</f>
        <v>0</v>
      </c>
    </row>
    <row r="48" spans="1:12" x14ac:dyDescent="0.45">
      <c r="A48" s="44" t="s">
        <v>185</v>
      </c>
      <c r="B48" s="30"/>
      <c r="C48" s="43">
        <f>SUM(C49:C52)</f>
        <v>13660873.626444444</v>
      </c>
      <c r="D48" s="43">
        <f t="shared" ref="D48:L48" si="42">SUM(D49:D52)</f>
        <v>16666672.039270001</v>
      </c>
      <c r="E48" s="43">
        <f t="shared" si="42"/>
        <v>20118196.419527959</v>
      </c>
      <c r="F48" s="43">
        <f t="shared" si="42"/>
        <v>23347705.659237895</v>
      </c>
      <c r="G48" s="43">
        <f t="shared" si="42"/>
        <v>24953821.713114295</v>
      </c>
      <c r="H48" s="43">
        <f t="shared" si="42"/>
        <v>21705704.204627328</v>
      </c>
      <c r="I48" s="43">
        <f t="shared" si="42"/>
        <v>29209547.927251942</v>
      </c>
      <c r="J48" s="43">
        <f t="shared" si="42"/>
        <v>38010357.078574091</v>
      </c>
      <c r="K48" s="43">
        <f t="shared" si="42"/>
        <v>46798316.48829335</v>
      </c>
      <c r="L48" s="43">
        <f t="shared" si="42"/>
        <v>53636676.821954958</v>
      </c>
    </row>
    <row r="49" spans="1:12" x14ac:dyDescent="0.45">
      <c r="A49" t="s">
        <v>189</v>
      </c>
      <c r="B49" t="s">
        <v>177</v>
      </c>
      <c r="C49" s="38">
        <f>'План закупок'!C41</f>
        <v>7410873.6264444441</v>
      </c>
      <c r="D49" s="38">
        <f>'План закупок'!D41</f>
        <v>10416672.039270001</v>
      </c>
      <c r="E49" s="38">
        <f>'План закупок'!E41</f>
        <v>13868196.419527959</v>
      </c>
      <c r="F49" s="38">
        <f>'План закупок'!F41</f>
        <v>17097705.659237895</v>
      </c>
      <c r="G49" s="38">
        <f>'План закупок'!G41</f>
        <v>18703821.713114295</v>
      </c>
      <c r="H49" s="38">
        <f>'План закупок'!H41</f>
        <v>15455704.204627329</v>
      </c>
      <c r="I49" s="38">
        <f>'План закупок'!I41</f>
        <v>22959547.927251942</v>
      </c>
      <c r="J49" s="38">
        <f>'План закупок'!J41</f>
        <v>31760357.078574091</v>
      </c>
      <c r="K49" s="38">
        <f>'План закупок'!K41</f>
        <v>40548316.48829335</v>
      </c>
      <c r="L49" s="38">
        <f>'План закупок'!L41</f>
        <v>47386676.821954958</v>
      </c>
    </row>
    <row r="50" spans="1:12" x14ac:dyDescent="0.45">
      <c r="A50" t="s">
        <v>182</v>
      </c>
      <c r="B50" t="s">
        <v>177</v>
      </c>
      <c r="C50" s="38">
        <f>(250*250000)/10</f>
        <v>6250000</v>
      </c>
      <c r="D50" s="38">
        <f t="shared" ref="D50:L50" si="43">(250*250000)/10</f>
        <v>6250000</v>
      </c>
      <c r="E50" s="38">
        <f t="shared" si="43"/>
        <v>6250000</v>
      </c>
      <c r="F50" s="38">
        <f t="shared" si="43"/>
        <v>6250000</v>
      </c>
      <c r="G50" s="38">
        <f t="shared" si="43"/>
        <v>6250000</v>
      </c>
      <c r="H50" s="38">
        <f t="shared" si="43"/>
        <v>6250000</v>
      </c>
      <c r="I50" s="38">
        <f t="shared" si="43"/>
        <v>6250000</v>
      </c>
      <c r="J50" s="38">
        <f t="shared" si="43"/>
        <v>6250000</v>
      </c>
      <c r="K50" s="38">
        <f t="shared" si="43"/>
        <v>6250000</v>
      </c>
      <c r="L50" s="38">
        <f t="shared" si="43"/>
        <v>6250000</v>
      </c>
    </row>
    <row r="51" spans="1:12" x14ac:dyDescent="0.45">
      <c r="A51" t="s">
        <v>158</v>
      </c>
      <c r="B51" t="s">
        <v>177</v>
      </c>
      <c r="C51" s="38">
        <f>(('План по персоналу'!F60+'План по персоналу'!F61)/100)*C35</f>
        <v>0</v>
      </c>
      <c r="D51" s="38">
        <f>(('План по персоналу'!G60+'План по персоналу'!G61)/100)*D35</f>
        <v>0</v>
      </c>
      <c r="E51" s="38">
        <f>(('План по персоналу'!H60+'План по персоналу'!H61)/100)*E35</f>
        <v>0</v>
      </c>
      <c r="F51" s="38">
        <f>(('План по персоналу'!I60+'План по персоналу'!I61)/100)*F35</f>
        <v>0</v>
      </c>
      <c r="G51" s="38">
        <f>(('План по персоналу'!J60+'План по персоналу'!J61)/100)*G35</f>
        <v>0</v>
      </c>
      <c r="H51" s="38">
        <f>(('План по персоналу'!K60+'План по персоналу'!K61)/100)*H35</f>
        <v>0</v>
      </c>
      <c r="I51" s="38">
        <f>(('План по персоналу'!L60+'План по персоналу'!L61)/100)*I35</f>
        <v>0</v>
      </c>
      <c r="J51" s="38">
        <f>(('План по персоналу'!M60+'План по персоналу'!M61)/100)*J35</f>
        <v>0</v>
      </c>
      <c r="K51" s="38">
        <f>(('План по персоналу'!N60+'План по персоналу'!N61)/100)*K35</f>
        <v>0</v>
      </c>
      <c r="L51" s="38">
        <f>(('План по персоналу'!O60+'План по персоналу'!O61)/100)*L35</f>
        <v>0</v>
      </c>
    </row>
    <row r="52" spans="1:12" x14ac:dyDescent="0.45">
      <c r="A52" t="s">
        <v>189</v>
      </c>
      <c r="B52" t="s">
        <v>178</v>
      </c>
      <c r="C52" s="38">
        <f>'Модель Хаба Федеральные трассы'!D44</f>
        <v>0</v>
      </c>
      <c r="D52" s="38">
        <f>'Модель Хаба Федеральные трассы'!E44</f>
        <v>0</v>
      </c>
      <c r="E52" s="38">
        <f>'Модель Хаба Федеральные трассы'!F44</f>
        <v>0</v>
      </c>
      <c r="F52" s="38">
        <f>'Модель Хаба Федеральные трассы'!G44</f>
        <v>0</v>
      </c>
      <c r="G52" s="38">
        <f>'Модель Хаба Федеральные трассы'!H44</f>
        <v>0</v>
      </c>
      <c r="H52" s="38">
        <f>'Модель Хаба Федеральные трассы'!I44</f>
        <v>0</v>
      </c>
      <c r="I52" s="38">
        <f>'Модель Хаба Федеральные трассы'!J44</f>
        <v>0</v>
      </c>
      <c r="J52" s="38">
        <f>'Модель Хаба Федеральные трассы'!K44</f>
        <v>0</v>
      </c>
      <c r="K52" s="38">
        <f>'Модель Хаба Федеральные трассы'!L44</f>
        <v>0</v>
      </c>
      <c r="L52" s="38">
        <f>'Модель Хаба Федеральные трассы'!M44</f>
        <v>0</v>
      </c>
    </row>
    <row r="53" spans="1:12" x14ac:dyDescent="0.45">
      <c r="A53" t="s">
        <v>182</v>
      </c>
      <c r="B53" t="s">
        <v>178</v>
      </c>
    </row>
    <row r="54" spans="1:12" x14ac:dyDescent="0.45">
      <c r="A54" t="s">
        <v>158</v>
      </c>
      <c r="B54" t="s">
        <v>178</v>
      </c>
      <c r="C54" s="38">
        <f>(('План по персоналу'!F60+'План по персоналу'!F61)/100)*C29</f>
        <v>0</v>
      </c>
      <c r="D54" s="38">
        <f>(('План по персоналу'!G60+'План по персоналу'!G61)/100)*D29</f>
        <v>0</v>
      </c>
      <c r="E54" s="38">
        <f>(('План по персоналу'!H60+'План по персоналу'!H61)/100)*E29</f>
        <v>0</v>
      </c>
      <c r="F54" s="38">
        <f>(('План по персоналу'!I60+'План по персоналу'!I61)/100)*F29</f>
        <v>0</v>
      </c>
      <c r="G54" s="38">
        <f>(('План по персоналу'!J60+'План по персоналу'!J61)/100)*G29</f>
        <v>0</v>
      </c>
      <c r="H54" s="38">
        <f>(('План по персоналу'!K60+'План по персоналу'!K61)/100)*H29</f>
        <v>0</v>
      </c>
      <c r="I54" s="38">
        <f>(('План по персоналу'!L60+'План по персоналу'!L61)/100)*I29</f>
        <v>0</v>
      </c>
      <c r="J54" s="38">
        <f>(('План по персоналу'!M60+'План по персоналу'!M61)/100)*J29</f>
        <v>0</v>
      </c>
      <c r="K54" s="38">
        <f>(('План по персоналу'!N60+'План по персоналу'!N61)/100)*K29</f>
        <v>0</v>
      </c>
      <c r="L54" s="38">
        <f>(('План по персоналу'!O60+'План по персоналу'!O61)/100)*L29</f>
        <v>0</v>
      </c>
    </row>
    <row r="55" spans="1:12" x14ac:dyDescent="0.45">
      <c r="C55" s="38">
        <v>1000</v>
      </c>
      <c r="D55" s="38">
        <v>1000</v>
      </c>
      <c r="E55" s="38">
        <v>1000</v>
      </c>
      <c r="F55" s="38">
        <v>1000</v>
      </c>
      <c r="G55" s="38">
        <v>1000</v>
      </c>
      <c r="H55" s="38">
        <v>1000</v>
      </c>
      <c r="I55" s="38">
        <v>1000</v>
      </c>
      <c r="J55" s="38">
        <v>1000</v>
      </c>
      <c r="K55" s="38">
        <v>1000</v>
      </c>
      <c r="L55" s="38">
        <v>1000</v>
      </c>
    </row>
    <row r="56" spans="1:12" x14ac:dyDescent="0.45">
      <c r="B56" t="s">
        <v>177</v>
      </c>
      <c r="C56" s="38" t="str">
        <f>C38</f>
        <v>2022</v>
      </c>
      <c r="D56" s="38" t="str">
        <f t="shared" ref="D56:L56" si="44">D38</f>
        <v>2023</v>
      </c>
      <c r="E56" s="38" t="str">
        <f t="shared" si="44"/>
        <v>2024</v>
      </c>
      <c r="F56" s="38" t="str">
        <f t="shared" si="44"/>
        <v>2025</v>
      </c>
      <c r="G56" s="38" t="str">
        <f t="shared" si="44"/>
        <v>2026</v>
      </c>
      <c r="H56" s="38" t="str">
        <f t="shared" si="44"/>
        <v>2027</v>
      </c>
      <c r="I56" s="38" t="str">
        <f t="shared" si="44"/>
        <v>2028</v>
      </c>
      <c r="J56" s="38" t="str">
        <f t="shared" si="44"/>
        <v>2029</v>
      </c>
      <c r="K56" s="38" t="str">
        <f t="shared" si="44"/>
        <v>2030</v>
      </c>
      <c r="L56" s="38" t="str">
        <f t="shared" si="44"/>
        <v>2031</v>
      </c>
    </row>
    <row r="57" spans="1:12" x14ac:dyDescent="0.45">
      <c r="B57" t="s">
        <v>156</v>
      </c>
      <c r="C57" s="38">
        <f>C46/C55</f>
        <v>15079.68</v>
      </c>
      <c r="D57" s="38">
        <f t="shared" ref="D57:L57" si="45">D46/D55</f>
        <v>32313.600000000006</v>
      </c>
      <c r="E57" s="38">
        <f t="shared" si="45"/>
        <v>49657.818763636365</v>
      </c>
      <c r="F57" s="38">
        <f t="shared" si="45"/>
        <v>61445.280793388418</v>
      </c>
      <c r="G57" s="38">
        <f t="shared" si="45"/>
        <v>66907.0835305785</v>
      </c>
      <c r="H57" s="38">
        <f t="shared" si="45"/>
        <v>54189.208148733014</v>
      </c>
      <c r="I57" s="38">
        <f>I46/I55</f>
        <v>81356.794321616326</v>
      </c>
      <c r="J57" s="38">
        <f t="shared" si="45"/>
        <v>112749.011928543</v>
      </c>
      <c r="K57" s="38">
        <f t="shared" si="45"/>
        <v>143498.74245450931</v>
      </c>
      <c r="L57" s="38">
        <f t="shared" si="45"/>
        <v>166671.13197679303</v>
      </c>
    </row>
    <row r="58" spans="1:12" x14ac:dyDescent="0.45">
      <c r="B58" t="s">
        <v>157</v>
      </c>
      <c r="C58" s="38">
        <f>(C49+C50+C51)/C55</f>
        <v>13660.873626444443</v>
      </c>
      <c r="D58" s="38">
        <f t="shared" ref="D58:L58" si="46">(D49+D50+D51)/D55</f>
        <v>16666.672039270001</v>
      </c>
      <c r="E58" s="38">
        <f t="shared" si="46"/>
        <v>20118.196419527958</v>
      </c>
      <c r="F58" s="38">
        <f t="shared" si="46"/>
        <v>23347.705659237894</v>
      </c>
      <c r="G58" s="38">
        <f t="shared" si="46"/>
        <v>24953.821713114296</v>
      </c>
      <c r="H58" s="38">
        <f t="shared" si="46"/>
        <v>21705.704204627327</v>
      </c>
      <c r="I58" s="38">
        <f t="shared" si="46"/>
        <v>29209.547927251944</v>
      </c>
      <c r="J58" s="38">
        <f t="shared" si="46"/>
        <v>38010.357078574089</v>
      </c>
      <c r="K58" s="38">
        <f t="shared" si="46"/>
        <v>46798.316488293349</v>
      </c>
      <c r="L58" s="38">
        <f t="shared" si="46"/>
        <v>53636.676821954956</v>
      </c>
    </row>
    <row r="59" spans="1:12" x14ac:dyDescent="0.45">
      <c r="C59" s="38" t="str">
        <f>C56</f>
        <v>2022</v>
      </c>
      <c r="D59" s="38" t="str">
        <f t="shared" ref="D59:L59" si="47">D56</f>
        <v>2023</v>
      </c>
      <c r="E59" s="38" t="str">
        <f t="shared" si="47"/>
        <v>2024</v>
      </c>
      <c r="F59" s="38" t="str">
        <f t="shared" si="47"/>
        <v>2025</v>
      </c>
      <c r="G59" s="38" t="str">
        <f t="shared" si="47"/>
        <v>2026</v>
      </c>
      <c r="H59" s="38" t="str">
        <f t="shared" si="47"/>
        <v>2027</v>
      </c>
      <c r="I59" s="38" t="str">
        <f t="shared" si="47"/>
        <v>2028</v>
      </c>
      <c r="J59" s="38" t="str">
        <f t="shared" si="47"/>
        <v>2029</v>
      </c>
      <c r="K59" s="38" t="str">
        <f t="shared" si="47"/>
        <v>2030</v>
      </c>
      <c r="L59" s="38" t="str">
        <f t="shared" si="47"/>
        <v>2031</v>
      </c>
    </row>
    <row r="60" spans="1:12" x14ac:dyDescent="0.45">
      <c r="B60" t="str">
        <f>B57</f>
        <v>Доходы</v>
      </c>
      <c r="C60" s="38">
        <f>C47/C55</f>
        <v>0</v>
      </c>
      <c r="D60" s="38">
        <f t="shared" ref="D60:L60" si="48">D47/D55</f>
        <v>0</v>
      </c>
      <c r="E60" s="38">
        <f t="shared" si="48"/>
        <v>0</v>
      </c>
      <c r="F60" s="38">
        <f t="shared" si="48"/>
        <v>0</v>
      </c>
      <c r="G60" s="38">
        <f t="shared" si="48"/>
        <v>0</v>
      </c>
      <c r="H60" s="38">
        <f t="shared" si="48"/>
        <v>0</v>
      </c>
      <c r="I60" s="38">
        <f t="shared" si="48"/>
        <v>0</v>
      </c>
      <c r="J60" s="38">
        <f t="shared" si="48"/>
        <v>0</v>
      </c>
      <c r="K60" s="38">
        <f t="shared" si="48"/>
        <v>0</v>
      </c>
      <c r="L60" s="38">
        <f t="shared" si="48"/>
        <v>0</v>
      </c>
    </row>
    <row r="61" spans="1:12" x14ac:dyDescent="0.45">
      <c r="B61" t="str">
        <f>B58</f>
        <v>Расходы</v>
      </c>
      <c r="C61" s="38">
        <f>(C52+C53+C54)/1000</f>
        <v>0</v>
      </c>
      <c r="D61" s="38">
        <f t="shared" ref="D61:L61" si="49">(D52+D53+D54)/1000</f>
        <v>0</v>
      </c>
      <c r="E61" s="38">
        <f t="shared" si="49"/>
        <v>0</v>
      </c>
      <c r="F61" s="38">
        <f t="shared" si="49"/>
        <v>0</v>
      </c>
      <c r="G61" s="38">
        <f t="shared" si="49"/>
        <v>0</v>
      </c>
      <c r="H61" s="38">
        <f t="shared" si="49"/>
        <v>0</v>
      </c>
      <c r="I61" s="38">
        <f t="shared" si="49"/>
        <v>0</v>
      </c>
      <c r="J61" s="38">
        <f t="shared" si="49"/>
        <v>0</v>
      </c>
      <c r="K61" s="38">
        <f t="shared" si="49"/>
        <v>0</v>
      </c>
      <c r="L61" s="38">
        <f t="shared" si="49"/>
        <v>0</v>
      </c>
    </row>
    <row r="62" spans="1:12" x14ac:dyDescent="0.45">
      <c r="C62" s="38" t="str">
        <f>C59</f>
        <v>2022</v>
      </c>
      <c r="D62" s="38" t="str">
        <f t="shared" ref="D62:L62" si="50">D59</f>
        <v>2023</v>
      </c>
      <c r="E62" s="38" t="str">
        <f t="shared" si="50"/>
        <v>2024</v>
      </c>
      <c r="F62" s="38" t="str">
        <f t="shared" si="50"/>
        <v>2025</v>
      </c>
      <c r="G62" s="38" t="str">
        <f t="shared" si="50"/>
        <v>2026</v>
      </c>
      <c r="H62" s="38" t="str">
        <f t="shared" si="50"/>
        <v>2027</v>
      </c>
      <c r="I62" s="38" t="str">
        <f t="shared" si="50"/>
        <v>2028</v>
      </c>
      <c r="J62" s="38" t="str">
        <f t="shared" si="50"/>
        <v>2029</v>
      </c>
      <c r="K62" s="38" t="str">
        <f t="shared" si="50"/>
        <v>2030</v>
      </c>
      <c r="L62" s="38" t="str">
        <f t="shared" si="50"/>
        <v>2031</v>
      </c>
    </row>
    <row r="63" spans="1:12" x14ac:dyDescent="0.45">
      <c r="B63" t="s">
        <v>177</v>
      </c>
      <c r="C63" s="38">
        <f>C41/C55</f>
        <v>1418.8063735555559</v>
      </c>
      <c r="D63" s="38">
        <f t="shared" ref="D63:L63" si="51">D41/D55</f>
        <v>17065.734334285564</v>
      </c>
      <c r="E63" s="38">
        <f t="shared" si="51"/>
        <v>46605.356678393975</v>
      </c>
      <c r="F63" s="38">
        <f t="shared" si="51"/>
        <v>84702.931812544499</v>
      </c>
      <c r="G63" s="38">
        <f t="shared" si="51"/>
        <v>126656.1936300087</v>
      </c>
      <c r="H63" s="38">
        <f t="shared" si="51"/>
        <v>159139.69757411437</v>
      </c>
      <c r="I63" s="38">
        <f t="shared" si="51"/>
        <v>211286.94396847876</v>
      </c>
      <c r="J63" s="38">
        <f t="shared" si="51"/>
        <v>286025.59881844773</v>
      </c>
      <c r="K63" s="38">
        <f t="shared" si="51"/>
        <v>382726.02478466369</v>
      </c>
      <c r="L63" s="38">
        <f t="shared" si="51"/>
        <v>495760.47993950179</v>
      </c>
    </row>
    <row r="64" spans="1:12" x14ac:dyDescent="0.45">
      <c r="B64" t="s">
        <v>178</v>
      </c>
      <c r="C64" s="38">
        <f>C42/C55</f>
        <v>0</v>
      </c>
      <c r="D64" s="38">
        <f t="shared" ref="D64:L64" si="52">D42/D55</f>
        <v>0</v>
      </c>
      <c r="E64" s="38">
        <f t="shared" si="52"/>
        <v>0</v>
      </c>
      <c r="F64" s="38">
        <f t="shared" si="52"/>
        <v>0</v>
      </c>
      <c r="G64" s="38">
        <f t="shared" si="52"/>
        <v>0</v>
      </c>
      <c r="H64" s="38">
        <f t="shared" si="52"/>
        <v>0</v>
      </c>
      <c r="I64" s="38">
        <f t="shared" si="52"/>
        <v>0</v>
      </c>
      <c r="J64" s="38">
        <f t="shared" si="52"/>
        <v>0</v>
      </c>
      <c r="K64" s="38">
        <f t="shared" si="52"/>
        <v>0</v>
      </c>
      <c r="L64" s="38">
        <f t="shared" si="52"/>
        <v>0</v>
      </c>
    </row>
    <row r="69" spans="2:12" x14ac:dyDescent="0.45">
      <c r="B69" t="s">
        <v>218</v>
      </c>
      <c r="C69" s="38" t="str">
        <f>C38</f>
        <v>2022</v>
      </c>
      <c r="D69" s="38" t="str">
        <f t="shared" ref="D69:L69" si="53">D38</f>
        <v>2023</v>
      </c>
      <c r="E69" s="38" t="str">
        <f t="shared" si="53"/>
        <v>2024</v>
      </c>
      <c r="F69" s="38" t="str">
        <f t="shared" si="53"/>
        <v>2025</v>
      </c>
      <c r="G69" s="38" t="str">
        <f t="shared" si="53"/>
        <v>2026</v>
      </c>
      <c r="H69" s="38" t="str">
        <f t="shared" si="53"/>
        <v>2027</v>
      </c>
      <c r="I69" s="38" t="str">
        <f t="shared" si="53"/>
        <v>2028</v>
      </c>
      <c r="J69" s="38" t="str">
        <f t="shared" si="53"/>
        <v>2029</v>
      </c>
      <c r="K69" s="38" t="str">
        <f t="shared" si="53"/>
        <v>2030</v>
      </c>
      <c r="L69" s="38" t="str">
        <f t="shared" si="53"/>
        <v>2031</v>
      </c>
    </row>
    <row r="70" spans="2:12" x14ac:dyDescent="0.45">
      <c r="B70" t="str">
        <f>Моделирование!C2</f>
        <v>Развитие</v>
      </c>
      <c r="C70" s="38">
        <f>C15/C55</f>
        <v>528000</v>
      </c>
      <c r="D70" s="38">
        <f t="shared" ref="D70:L70" si="54">D15/D55</f>
        <v>3619439.9999999995</v>
      </c>
      <c r="E70" s="38">
        <f t="shared" si="54"/>
        <v>7614235.2000000002</v>
      </c>
      <c r="F70" s="38">
        <f t="shared" si="54"/>
        <v>15980121.696000002</v>
      </c>
      <c r="G70" s="38">
        <f t="shared" si="54"/>
        <v>33465408.958080001</v>
      </c>
      <c r="H70" s="38">
        <f t="shared" si="54"/>
        <v>69944837.736998394</v>
      </c>
      <c r="I70" s="38">
        <f t="shared" si="54"/>
        <v>138628767.78329399</v>
      </c>
      <c r="J70" s="38">
        <f t="shared" si="54"/>
        <v>259864583.22982991</v>
      </c>
      <c r="K70" s="38">
        <f t="shared" si="54"/>
        <v>459356362.63180369</v>
      </c>
      <c r="L70" s="38">
        <f t="shared" si="54"/>
        <v>763141655.59917712</v>
      </c>
    </row>
    <row r="71" spans="2:12" x14ac:dyDescent="0.45">
      <c r="B71" t="str">
        <f>Моделирование!D2</f>
        <v>Как есть</v>
      </c>
      <c r="C71" s="38">
        <f>C46/C55</f>
        <v>15079.68</v>
      </c>
      <c r="D71" s="38">
        <f>D46/D55</f>
        <v>32313.600000000006</v>
      </c>
      <c r="E71" s="38">
        <f t="shared" ref="E71:L71" si="55">E46/E55</f>
        <v>49657.818763636365</v>
      </c>
      <c r="F71" s="38">
        <f t="shared" si="55"/>
        <v>61445.280793388418</v>
      </c>
      <c r="G71" s="38">
        <f t="shared" si="55"/>
        <v>66907.0835305785</v>
      </c>
      <c r="H71" s="38">
        <f t="shared" si="55"/>
        <v>54189.208148733014</v>
      </c>
      <c r="I71" s="38">
        <f t="shared" si="55"/>
        <v>81356.794321616326</v>
      </c>
      <c r="J71" s="38">
        <f t="shared" si="55"/>
        <v>112749.011928543</v>
      </c>
      <c r="K71" s="38">
        <f t="shared" si="55"/>
        <v>143498.74245450931</v>
      </c>
      <c r="L71" s="38">
        <f t="shared" si="55"/>
        <v>166671.13197679303</v>
      </c>
    </row>
    <row r="73" spans="2:12" x14ac:dyDescent="0.45">
      <c r="B73" t="s">
        <v>219</v>
      </c>
      <c r="C73" s="38" t="str">
        <f>C69</f>
        <v>2022</v>
      </c>
      <c r="D73" s="38" t="str">
        <f t="shared" ref="D73:L73" si="56">D69</f>
        <v>2023</v>
      </c>
      <c r="E73" s="38" t="str">
        <f t="shared" si="56"/>
        <v>2024</v>
      </c>
      <c r="F73" s="38" t="str">
        <f t="shared" si="56"/>
        <v>2025</v>
      </c>
      <c r="G73" s="38" t="str">
        <f t="shared" si="56"/>
        <v>2026</v>
      </c>
      <c r="H73" s="38" t="str">
        <f t="shared" si="56"/>
        <v>2027</v>
      </c>
      <c r="I73" s="38" t="str">
        <f t="shared" si="56"/>
        <v>2028</v>
      </c>
      <c r="J73" s="38" t="str">
        <f t="shared" si="56"/>
        <v>2029</v>
      </c>
      <c r="K73" s="38" t="str">
        <f t="shared" si="56"/>
        <v>2030</v>
      </c>
      <c r="L73" s="38" t="str">
        <f t="shared" si="56"/>
        <v>2031</v>
      </c>
    </row>
    <row r="74" spans="2:12" x14ac:dyDescent="0.45">
      <c r="B74" t="str">
        <f>B70</f>
        <v>Развитие</v>
      </c>
      <c r="C74" s="38">
        <f>C10/C55</f>
        <v>441119.97499999998</v>
      </c>
      <c r="D74" s="38">
        <f>D10/D55</f>
        <v>3127711.8493360844</v>
      </c>
      <c r="E74" s="38">
        <f t="shared" ref="E74:L74" si="57">E10/E55</f>
        <v>8919742.1951099951</v>
      </c>
      <c r="F74" s="38">
        <f t="shared" si="57"/>
        <v>21120679.791348223</v>
      </c>
      <c r="G74" s="38">
        <f t="shared" si="57"/>
        <v>46726650.553895637</v>
      </c>
      <c r="H74" s="38">
        <f t="shared" si="57"/>
        <v>100766756.29733489</v>
      </c>
      <c r="I74" s="38">
        <f t="shared" si="57"/>
        <v>208607959.21216005</v>
      </c>
      <c r="J74" s="38">
        <f t="shared" si="57"/>
        <v>412058625.22395462</v>
      </c>
      <c r="K74" s="38">
        <f t="shared" si="57"/>
        <v>773291428.77708471</v>
      </c>
      <c r="L74" s="38">
        <f t="shared" si="57"/>
        <v>1376551730.9518797</v>
      </c>
    </row>
    <row r="75" spans="2:12" x14ac:dyDescent="0.45">
      <c r="B75" t="str">
        <f>B71</f>
        <v>Как есть</v>
      </c>
      <c r="C75" s="38">
        <f>C41/C55</f>
        <v>1418.8063735555559</v>
      </c>
      <c r="D75" s="38">
        <f t="shared" ref="D75:L75" si="58">D41/D55</f>
        <v>17065.734334285564</v>
      </c>
      <c r="E75" s="38">
        <f t="shared" si="58"/>
        <v>46605.356678393975</v>
      </c>
      <c r="F75" s="38">
        <f t="shared" si="58"/>
        <v>84702.931812544499</v>
      </c>
      <c r="G75" s="38">
        <f t="shared" si="58"/>
        <v>126656.1936300087</v>
      </c>
      <c r="H75" s="38">
        <f t="shared" si="58"/>
        <v>159139.69757411437</v>
      </c>
      <c r="I75" s="38">
        <f t="shared" si="58"/>
        <v>211286.94396847876</v>
      </c>
      <c r="J75" s="38">
        <f t="shared" si="58"/>
        <v>286025.59881844773</v>
      </c>
      <c r="K75" s="38">
        <f t="shared" si="58"/>
        <v>382726.02478466369</v>
      </c>
      <c r="L75" s="38">
        <f t="shared" si="58"/>
        <v>495760.47993950179</v>
      </c>
    </row>
    <row r="77" spans="2:12" x14ac:dyDescent="0.45">
      <c r="B77" t="s">
        <v>226</v>
      </c>
      <c r="C77" s="38" t="str">
        <f>C73</f>
        <v>2022</v>
      </c>
      <c r="D77" s="38" t="str">
        <f t="shared" ref="D77:L77" si="59">D73</f>
        <v>2023</v>
      </c>
      <c r="E77" s="38" t="str">
        <f t="shared" si="59"/>
        <v>2024</v>
      </c>
      <c r="F77" s="38" t="str">
        <f t="shared" si="59"/>
        <v>2025</v>
      </c>
      <c r="G77" s="38" t="str">
        <f t="shared" si="59"/>
        <v>2026</v>
      </c>
      <c r="H77" s="38" t="str">
        <f t="shared" si="59"/>
        <v>2027</v>
      </c>
      <c r="I77" s="38" t="str">
        <f t="shared" si="59"/>
        <v>2028</v>
      </c>
      <c r="J77" s="38" t="str">
        <f t="shared" si="59"/>
        <v>2029</v>
      </c>
      <c r="K77" s="38" t="str">
        <f t="shared" si="59"/>
        <v>2030</v>
      </c>
      <c r="L77" s="38" t="str">
        <f t="shared" si="59"/>
        <v>2031</v>
      </c>
    </row>
    <row r="78" spans="2:12" x14ac:dyDescent="0.45">
      <c r="B78" t="str">
        <f>B74</f>
        <v>Развитие</v>
      </c>
      <c r="C78" s="38">
        <f>C18/C55</f>
        <v>86880.024999999994</v>
      </c>
      <c r="D78" s="38">
        <f t="shared" ref="D78:L78" si="60">D18/D55</f>
        <v>691717.5992857141</v>
      </c>
      <c r="E78" s="38">
        <f t="shared" si="60"/>
        <v>1354263.4655714289</v>
      </c>
      <c r="F78" s="38">
        <f t="shared" si="60"/>
        <v>2843126.8592171432</v>
      </c>
      <c r="G78" s="38">
        <f t="shared" si="60"/>
        <v>5941923.072578514</v>
      </c>
      <c r="H78" s="38">
        <f t="shared" si="60"/>
        <v>12272137.844348313</v>
      </c>
      <c r="I78" s="38">
        <f t="shared" si="60"/>
        <v>24143862.178612754</v>
      </c>
      <c r="J78" s="38">
        <f t="shared" si="60"/>
        <v>44896333.855544217</v>
      </c>
      <c r="K78" s="38">
        <f t="shared" si="60"/>
        <v>78999312.774900019</v>
      </c>
      <c r="L78" s="38">
        <f t="shared" si="60"/>
        <v>130274269.97317235</v>
      </c>
    </row>
    <row r="79" spans="2:12" x14ac:dyDescent="0.45">
      <c r="B79" t="str">
        <f>B75</f>
        <v>Как есть</v>
      </c>
      <c r="C79" s="38">
        <f>C49/C55</f>
        <v>7410.8736264444442</v>
      </c>
      <c r="D79" s="38">
        <f t="shared" ref="D79:L79" si="61">D49/D55</f>
        <v>10416.672039270001</v>
      </c>
      <c r="E79" s="38">
        <f t="shared" si="61"/>
        <v>13868.19641952796</v>
      </c>
      <c r="F79" s="38">
        <f t="shared" si="61"/>
        <v>17097.705659237894</v>
      </c>
      <c r="G79" s="38">
        <f t="shared" si="61"/>
        <v>18703.821713114296</v>
      </c>
      <c r="H79" s="38">
        <f t="shared" si="61"/>
        <v>15455.704204627329</v>
      </c>
      <c r="I79" s="38">
        <f>I49/I55</f>
        <v>22959.547927251944</v>
      </c>
      <c r="J79" s="38">
        <f t="shared" si="61"/>
        <v>31760.357078574092</v>
      </c>
      <c r="K79" s="38">
        <f t="shared" si="61"/>
        <v>40548.316488293349</v>
      </c>
      <c r="L79" s="38">
        <f t="shared" si="61"/>
        <v>47386.676821954956</v>
      </c>
    </row>
  </sheetData>
  <mergeCells count="5">
    <mergeCell ref="A4:B4"/>
    <mergeCell ref="A5:B5"/>
    <mergeCell ref="A35:B35"/>
    <mergeCell ref="A36:B36"/>
    <mergeCell ref="A6:B6"/>
  </mergeCells>
  <conditionalFormatting sqref="C8:L1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39:L4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0ECA-5C20-4586-8F1D-62E9AECAB04E}">
  <dimension ref="A1:L38"/>
  <sheetViews>
    <sheetView topLeftCell="A31" workbookViewId="0">
      <selection activeCell="F28" sqref="F28"/>
    </sheetView>
  </sheetViews>
  <sheetFormatPr defaultRowHeight="14.25" x14ac:dyDescent="0.45"/>
  <cols>
    <col min="1" max="1" width="15.1328125" customWidth="1"/>
    <col min="2" max="2" width="14.1328125" bestFit="1" customWidth="1"/>
    <col min="3" max="5" width="15" bestFit="1" customWidth="1"/>
    <col min="6" max="8" width="16.3984375" bestFit="1" customWidth="1"/>
    <col min="9" max="12" width="17.59765625" bestFit="1" customWidth="1"/>
  </cols>
  <sheetData>
    <row r="1" spans="1:12" x14ac:dyDescent="0.45"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</row>
    <row r="2" spans="1:12" x14ac:dyDescent="0.45">
      <c r="A2" s="30" t="s">
        <v>182</v>
      </c>
      <c r="B2" s="38">
        <f t="shared" ref="B2:L2" si="0">SUM(B5:B25)</f>
        <v>100</v>
      </c>
      <c r="C2" s="38">
        <f t="shared" si="0"/>
        <v>282858814.28571421</v>
      </c>
      <c r="D2" s="38">
        <f t="shared" si="0"/>
        <v>565717528.57142842</v>
      </c>
      <c r="E2" s="38">
        <f t="shared" si="0"/>
        <v>1131436528.5714283</v>
      </c>
      <c r="F2" s="38">
        <f t="shared" si="0"/>
        <v>2287872957.1428566</v>
      </c>
      <c r="G2" s="38">
        <f t="shared" si="0"/>
        <v>4299459171.4285717</v>
      </c>
      <c r="H2" s="38">
        <f t="shared" si="0"/>
        <v>7739035264.2857141</v>
      </c>
      <c r="I2" s="38">
        <f t="shared" si="0"/>
        <v>13156368267.142855</v>
      </c>
      <c r="J2" s="38">
        <f t="shared" si="0"/>
        <v>21333069444.857143</v>
      </c>
      <c r="K2" s="38">
        <f t="shared" si="0"/>
        <v>32186068441.771416</v>
      </c>
      <c r="L2" s="38">
        <f t="shared" si="0"/>
        <v>32186068441.771416</v>
      </c>
    </row>
    <row r="3" spans="1:12" x14ac:dyDescent="0.45">
      <c r="A3" s="30" t="s">
        <v>187</v>
      </c>
      <c r="B3" s="43">
        <f>SUMIF($A:$A,"Город",B:B)</f>
        <v>0</v>
      </c>
      <c r="C3" s="43">
        <f t="shared" ref="C3:L3" si="1">SUMIF($A:$A,"Город",C:C)</f>
        <v>282858714.28571421</v>
      </c>
      <c r="D3" s="43">
        <f t="shared" si="1"/>
        <v>565717428.57142842</v>
      </c>
      <c r="E3" s="43">
        <f t="shared" si="1"/>
        <v>1131436428.5714283</v>
      </c>
      <c r="F3" s="43">
        <f t="shared" si="1"/>
        <v>2287872857.1428566</v>
      </c>
      <c r="G3" s="43">
        <f t="shared" si="1"/>
        <v>4299459071.4285717</v>
      </c>
      <c r="H3" s="43">
        <f t="shared" si="1"/>
        <v>7739034914.2857141</v>
      </c>
      <c r="I3" s="43">
        <f t="shared" si="1"/>
        <v>13156367917.142855</v>
      </c>
      <c r="J3" s="43">
        <f t="shared" si="1"/>
        <v>21333069094.857143</v>
      </c>
      <c r="K3" s="43">
        <f t="shared" si="1"/>
        <v>32186068091.771416</v>
      </c>
      <c r="L3" s="43">
        <f t="shared" si="1"/>
        <v>32186068091.771416</v>
      </c>
    </row>
    <row r="4" spans="1:12" x14ac:dyDescent="0.45">
      <c r="A4" s="30" t="s">
        <v>188</v>
      </c>
      <c r="B4" s="43">
        <f>SUMIF($A:$A,"Хаб",B:B)</f>
        <v>100</v>
      </c>
      <c r="C4" s="43">
        <f t="shared" ref="C4:L4" si="2">SUMIF($A:$A,"Хаб",C:C)</f>
        <v>100</v>
      </c>
      <c r="D4" s="43">
        <f t="shared" si="2"/>
        <v>100</v>
      </c>
      <c r="E4" s="43">
        <f t="shared" si="2"/>
        <v>100</v>
      </c>
      <c r="F4" s="43">
        <f t="shared" si="2"/>
        <v>100</v>
      </c>
      <c r="G4" s="43">
        <f t="shared" si="2"/>
        <v>100</v>
      </c>
      <c r="H4" s="43">
        <f t="shared" si="2"/>
        <v>350</v>
      </c>
      <c r="I4" s="43">
        <f t="shared" si="2"/>
        <v>350</v>
      </c>
      <c r="J4" s="43">
        <f t="shared" si="2"/>
        <v>350</v>
      </c>
      <c r="K4" s="43">
        <f t="shared" si="2"/>
        <v>350</v>
      </c>
      <c r="L4" s="43">
        <f t="shared" si="2"/>
        <v>350</v>
      </c>
    </row>
    <row r="5" spans="1:12" x14ac:dyDescent="0.45">
      <c r="A5" t="s">
        <v>177</v>
      </c>
      <c r="B5" s="38">
        <f>'План закупок'!C14+'План закупок'!C22/10</f>
        <v>0</v>
      </c>
      <c r="C5" s="38">
        <f>B5</f>
        <v>0</v>
      </c>
      <c r="D5" s="38">
        <f t="shared" ref="D5:L5" si="3">C5</f>
        <v>0</v>
      </c>
      <c r="E5" s="38">
        <f t="shared" si="3"/>
        <v>0</v>
      </c>
      <c r="F5" s="38">
        <f t="shared" si="3"/>
        <v>0</v>
      </c>
      <c r="G5" s="38">
        <f t="shared" si="3"/>
        <v>0</v>
      </c>
      <c r="H5" s="38">
        <f t="shared" si="3"/>
        <v>0</v>
      </c>
      <c r="I5" s="38">
        <f t="shared" si="3"/>
        <v>0</v>
      </c>
      <c r="J5" s="38">
        <f t="shared" si="3"/>
        <v>0</v>
      </c>
      <c r="K5" s="38">
        <f t="shared" si="3"/>
        <v>0</v>
      </c>
      <c r="L5" s="38">
        <f t="shared" si="3"/>
        <v>0</v>
      </c>
    </row>
    <row r="6" spans="1:12" x14ac:dyDescent="0.45">
      <c r="A6" t="s">
        <v>177</v>
      </c>
      <c r="B6" s="38"/>
      <c r="C6" s="38">
        <f>'План закупок'!D14+'План закупок'!D22/10</f>
        <v>282858714.28571421</v>
      </c>
      <c r="D6" s="38">
        <f>C6</f>
        <v>282858714.28571421</v>
      </c>
      <c r="E6" s="38">
        <f t="shared" ref="E6:L6" si="4">D6</f>
        <v>282858714.28571421</v>
      </c>
      <c r="F6" s="38">
        <f t="shared" si="4"/>
        <v>282858714.28571421</v>
      </c>
      <c r="G6" s="38">
        <f t="shared" si="4"/>
        <v>282858714.28571421</v>
      </c>
      <c r="H6" s="38">
        <f t="shared" si="4"/>
        <v>282858714.28571421</v>
      </c>
      <c r="I6" s="38">
        <f t="shared" si="4"/>
        <v>282858714.28571421</v>
      </c>
      <c r="J6" s="38">
        <f t="shared" si="4"/>
        <v>282858714.28571421</v>
      </c>
      <c r="K6" s="38">
        <f t="shared" si="4"/>
        <v>282858714.28571421</v>
      </c>
      <c r="L6" s="38">
        <f t="shared" si="4"/>
        <v>282858714.28571421</v>
      </c>
    </row>
    <row r="7" spans="1:12" x14ac:dyDescent="0.45">
      <c r="A7" t="s">
        <v>177</v>
      </c>
      <c r="B7" s="38"/>
      <c r="C7" s="38"/>
      <c r="D7" s="38">
        <f>'План закупок'!E14+'План закупок'!E22/10</f>
        <v>282858714.28571421</v>
      </c>
      <c r="E7" s="38">
        <f>D7</f>
        <v>282858714.28571421</v>
      </c>
      <c r="F7" s="38">
        <f t="shared" ref="F7:L7" si="5">E7</f>
        <v>282858714.28571421</v>
      </c>
      <c r="G7" s="38">
        <f t="shared" si="5"/>
        <v>282858714.28571421</v>
      </c>
      <c r="H7" s="38">
        <f t="shared" si="5"/>
        <v>282858714.28571421</v>
      </c>
      <c r="I7" s="38">
        <f t="shared" si="5"/>
        <v>282858714.28571421</v>
      </c>
      <c r="J7" s="38">
        <f t="shared" si="5"/>
        <v>282858714.28571421</v>
      </c>
      <c r="K7" s="38">
        <f t="shared" si="5"/>
        <v>282858714.28571421</v>
      </c>
      <c r="L7" s="38">
        <f t="shared" si="5"/>
        <v>282858714.28571421</v>
      </c>
    </row>
    <row r="8" spans="1:12" x14ac:dyDescent="0.45">
      <c r="A8" t="s">
        <v>177</v>
      </c>
      <c r="B8" s="38"/>
      <c r="C8" s="38"/>
      <c r="D8" s="38"/>
      <c r="E8" s="38">
        <f>'План закупок'!F14+'План закупок'!F22/10</f>
        <v>565719000</v>
      </c>
      <c r="F8" s="38">
        <f>E8</f>
        <v>565719000</v>
      </c>
      <c r="G8" s="38">
        <f t="shared" ref="G8:L14" si="6">F8</f>
        <v>565719000</v>
      </c>
      <c r="H8" s="38">
        <f t="shared" si="6"/>
        <v>565719000</v>
      </c>
      <c r="I8" s="38">
        <f t="shared" si="6"/>
        <v>565719000</v>
      </c>
      <c r="J8" s="38">
        <f t="shared" si="6"/>
        <v>565719000</v>
      </c>
      <c r="K8" s="38">
        <f t="shared" si="6"/>
        <v>565719000</v>
      </c>
      <c r="L8" s="38">
        <f t="shared" si="6"/>
        <v>565719000</v>
      </c>
    </row>
    <row r="9" spans="1:12" x14ac:dyDescent="0.45">
      <c r="A9" t="s">
        <v>177</v>
      </c>
      <c r="B9" s="38"/>
      <c r="C9" s="38"/>
      <c r="D9" s="38"/>
      <c r="E9" s="38"/>
      <c r="F9" s="38">
        <f>'План закупок'!G14+'План закупок'!G22/10</f>
        <v>1156436428.5714283</v>
      </c>
      <c r="G9" s="38">
        <f t="shared" si="6"/>
        <v>1156436428.5714283</v>
      </c>
      <c r="H9" s="38">
        <f t="shared" si="6"/>
        <v>1156436428.5714283</v>
      </c>
      <c r="I9" s="38">
        <f t="shared" si="6"/>
        <v>1156436428.5714283</v>
      </c>
      <c r="J9" s="38">
        <f t="shared" si="6"/>
        <v>1156436428.5714283</v>
      </c>
      <c r="K9" s="38">
        <f t="shared" si="6"/>
        <v>1156436428.5714283</v>
      </c>
      <c r="L9" s="38">
        <f t="shared" si="6"/>
        <v>1156436428.5714283</v>
      </c>
    </row>
    <row r="10" spans="1:12" x14ac:dyDescent="0.45">
      <c r="A10" t="s">
        <v>177</v>
      </c>
      <c r="B10" s="38"/>
      <c r="C10" s="38"/>
      <c r="D10" s="38"/>
      <c r="E10" s="38"/>
      <c r="F10" s="38"/>
      <c r="G10" s="38">
        <f>'План закупок'!H14+'План закупок'!H22/10</f>
        <v>2011586214.2857146</v>
      </c>
      <c r="H10" s="38">
        <f t="shared" si="6"/>
        <v>2011586214.2857146</v>
      </c>
      <c r="I10" s="38">
        <f t="shared" si="6"/>
        <v>2011586214.2857146</v>
      </c>
      <c r="J10" s="38">
        <f t="shared" si="6"/>
        <v>2011586214.2857146</v>
      </c>
      <c r="K10" s="38">
        <f t="shared" si="6"/>
        <v>2011586214.2857146</v>
      </c>
      <c r="L10" s="38">
        <f t="shared" si="6"/>
        <v>2011586214.2857146</v>
      </c>
    </row>
    <row r="11" spans="1:12" x14ac:dyDescent="0.45">
      <c r="A11" t="s">
        <v>177</v>
      </c>
      <c r="B11" s="38"/>
      <c r="C11" s="38"/>
      <c r="D11" s="38"/>
      <c r="E11" s="38"/>
      <c r="F11" s="38"/>
      <c r="G11" s="38"/>
      <c r="H11" s="38">
        <f>'План закупок'!I14+'План закупок'!I22/10</f>
        <v>3439575842.8571424</v>
      </c>
      <c r="I11" s="38">
        <f t="shared" si="6"/>
        <v>3439575842.8571424</v>
      </c>
      <c r="J11" s="38">
        <f t="shared" si="6"/>
        <v>3439575842.8571424</v>
      </c>
      <c r="K11" s="38">
        <f t="shared" si="6"/>
        <v>3439575842.8571424</v>
      </c>
      <c r="L11" s="38">
        <f t="shared" si="6"/>
        <v>3439575842.8571424</v>
      </c>
    </row>
    <row r="12" spans="1:12" x14ac:dyDescent="0.45">
      <c r="A12" t="s">
        <v>177</v>
      </c>
      <c r="B12" s="38"/>
      <c r="C12" s="38"/>
      <c r="D12" s="38"/>
      <c r="E12" s="38"/>
      <c r="F12" s="38"/>
      <c r="G12" s="38"/>
      <c r="H12" s="38"/>
      <c r="I12" s="38">
        <f>'План закупок'!J14+'План закупок'!J22/10</f>
        <v>5417333002.8571405</v>
      </c>
      <c r="J12" s="38">
        <f t="shared" si="6"/>
        <v>5417333002.8571405</v>
      </c>
      <c r="K12" s="38">
        <f t="shared" si="6"/>
        <v>5417333002.8571405</v>
      </c>
      <c r="L12" s="38">
        <f t="shared" si="6"/>
        <v>5417333002.8571405</v>
      </c>
    </row>
    <row r="13" spans="1:12" x14ac:dyDescent="0.45">
      <c r="A13" t="s">
        <v>177</v>
      </c>
      <c r="B13" s="38"/>
      <c r="C13" s="38"/>
      <c r="D13" s="38"/>
      <c r="E13" s="38"/>
      <c r="F13" s="38"/>
      <c r="G13" s="38"/>
      <c r="H13" s="38"/>
      <c r="I13" s="38"/>
      <c r="J13" s="38">
        <f>'План закупок'!K14+'План закупок'!K22/10</f>
        <v>8176701177.7142878</v>
      </c>
      <c r="K13" s="38">
        <f t="shared" si="6"/>
        <v>8176701177.7142878</v>
      </c>
      <c r="L13" s="38">
        <f t="shared" si="6"/>
        <v>8176701177.7142878</v>
      </c>
    </row>
    <row r="14" spans="1:12" x14ac:dyDescent="0.45">
      <c r="A14" t="s">
        <v>177</v>
      </c>
      <c r="B14" s="38"/>
      <c r="C14" s="38"/>
      <c r="D14" s="38"/>
      <c r="E14" s="38"/>
      <c r="F14" s="38"/>
      <c r="G14" s="38"/>
      <c r="H14" s="38"/>
      <c r="I14" s="38"/>
      <c r="J14" s="38"/>
      <c r="K14" s="38">
        <f>'План закупок'!L14+'План закупок'!L22/10</f>
        <v>10852998996.914274</v>
      </c>
      <c r="L14" s="38">
        <f t="shared" si="6"/>
        <v>10852998996.914274</v>
      </c>
    </row>
    <row r="15" spans="1:12" x14ac:dyDescent="0.45">
      <c r="A15" t="s">
        <v>178</v>
      </c>
      <c r="B15" s="38">
        <f>'Модель Хаба Федеральные трассы'!D30/10</f>
        <v>100</v>
      </c>
      <c r="C15" s="38">
        <f>B15</f>
        <v>100</v>
      </c>
      <c r="D15" s="38">
        <f t="shared" ref="D15:L15" si="7">C15</f>
        <v>100</v>
      </c>
      <c r="E15" s="38">
        <f t="shared" si="7"/>
        <v>100</v>
      </c>
      <c r="F15" s="38">
        <f t="shared" si="7"/>
        <v>100</v>
      </c>
      <c r="G15" s="38">
        <f t="shared" si="7"/>
        <v>100</v>
      </c>
      <c r="H15" s="38">
        <f t="shared" si="7"/>
        <v>100</v>
      </c>
      <c r="I15" s="38">
        <f t="shared" si="7"/>
        <v>100</v>
      </c>
      <c r="J15" s="38">
        <f t="shared" si="7"/>
        <v>100</v>
      </c>
      <c r="K15" s="38">
        <f t="shared" si="7"/>
        <v>100</v>
      </c>
      <c r="L15" s="38">
        <f t="shared" si="7"/>
        <v>100</v>
      </c>
    </row>
    <row r="16" spans="1:12" x14ac:dyDescent="0.45">
      <c r="A16" t="s">
        <v>178</v>
      </c>
      <c r="B16" s="38"/>
      <c r="C16" s="38">
        <f>'Модель Хаба Федеральные трассы'!E30/10</f>
        <v>0</v>
      </c>
      <c r="D16" s="38">
        <f>C16</f>
        <v>0</v>
      </c>
      <c r="E16" s="38">
        <f t="shared" ref="E16:L16" si="8">D16</f>
        <v>0</v>
      </c>
      <c r="F16" s="38">
        <f t="shared" si="8"/>
        <v>0</v>
      </c>
      <c r="G16" s="38">
        <f t="shared" si="8"/>
        <v>0</v>
      </c>
      <c r="H16" s="38">
        <f t="shared" si="8"/>
        <v>0</v>
      </c>
      <c r="I16" s="38">
        <f t="shared" si="8"/>
        <v>0</v>
      </c>
      <c r="J16" s="38">
        <f t="shared" si="8"/>
        <v>0</v>
      </c>
      <c r="K16" s="38">
        <f t="shared" si="8"/>
        <v>0</v>
      </c>
      <c r="L16" s="38">
        <f t="shared" si="8"/>
        <v>0</v>
      </c>
    </row>
    <row r="17" spans="1:12" x14ac:dyDescent="0.45">
      <c r="A17" t="s">
        <v>178</v>
      </c>
      <c r="B17" s="38"/>
      <c r="C17" s="38"/>
      <c r="D17" s="38">
        <f>'Модель Хаба Федеральные трассы'!F30/10</f>
        <v>0</v>
      </c>
      <c r="E17" s="38">
        <f>D17</f>
        <v>0</v>
      </c>
      <c r="F17" s="38">
        <f t="shared" ref="F17:L17" si="9">E17</f>
        <v>0</v>
      </c>
      <c r="G17" s="38">
        <f t="shared" si="9"/>
        <v>0</v>
      </c>
      <c r="H17" s="38">
        <f t="shared" si="9"/>
        <v>0</v>
      </c>
      <c r="I17" s="38">
        <f t="shared" si="9"/>
        <v>0</v>
      </c>
      <c r="J17" s="38">
        <f t="shared" si="9"/>
        <v>0</v>
      </c>
      <c r="K17" s="38">
        <f t="shared" si="9"/>
        <v>0</v>
      </c>
      <c r="L17" s="38">
        <f t="shared" si="9"/>
        <v>0</v>
      </c>
    </row>
    <row r="18" spans="1:12" x14ac:dyDescent="0.45">
      <c r="A18" t="s">
        <v>178</v>
      </c>
      <c r="B18" s="38"/>
      <c r="C18" s="38"/>
      <c r="D18" s="38"/>
      <c r="E18" s="38">
        <f>'Модель Хаба Федеральные трассы'!F30/10</f>
        <v>0</v>
      </c>
      <c r="F18" s="38">
        <f>E18</f>
        <v>0</v>
      </c>
      <c r="G18" s="38">
        <f t="shared" ref="G18:L24" si="10">F18</f>
        <v>0</v>
      </c>
      <c r="H18" s="38">
        <f t="shared" si="10"/>
        <v>0</v>
      </c>
      <c r="I18" s="38">
        <f t="shared" si="10"/>
        <v>0</v>
      </c>
      <c r="J18" s="38">
        <f t="shared" si="10"/>
        <v>0</v>
      </c>
      <c r="K18" s="38">
        <f t="shared" si="10"/>
        <v>0</v>
      </c>
      <c r="L18" s="38">
        <f t="shared" si="10"/>
        <v>0</v>
      </c>
    </row>
    <row r="19" spans="1:12" x14ac:dyDescent="0.45">
      <c r="A19" t="s">
        <v>178</v>
      </c>
      <c r="B19" s="38"/>
      <c r="C19" s="38"/>
      <c r="D19" s="38"/>
      <c r="E19" s="38"/>
      <c r="F19" s="38">
        <f>'Модель Хаба Федеральные трассы'!G30/10</f>
        <v>0</v>
      </c>
      <c r="G19" s="38">
        <f t="shared" si="10"/>
        <v>0</v>
      </c>
      <c r="H19" s="38">
        <f t="shared" si="10"/>
        <v>0</v>
      </c>
      <c r="I19" s="38">
        <f t="shared" si="10"/>
        <v>0</v>
      </c>
      <c r="J19" s="38">
        <f t="shared" si="10"/>
        <v>0</v>
      </c>
      <c r="K19" s="38">
        <f t="shared" si="10"/>
        <v>0</v>
      </c>
      <c r="L19" s="38">
        <f t="shared" si="10"/>
        <v>0</v>
      </c>
    </row>
    <row r="20" spans="1:12" x14ac:dyDescent="0.45">
      <c r="A20" t="s">
        <v>178</v>
      </c>
      <c r="B20" s="38"/>
      <c r="C20" s="38"/>
      <c r="D20" s="38"/>
      <c r="E20" s="38"/>
      <c r="F20" s="38"/>
      <c r="G20" s="38">
        <f>'Модель Хаба Федеральные трассы'!H30/10</f>
        <v>0</v>
      </c>
      <c r="H20" s="38">
        <f t="shared" si="10"/>
        <v>0</v>
      </c>
      <c r="I20" s="38">
        <f t="shared" si="10"/>
        <v>0</v>
      </c>
      <c r="J20" s="38">
        <f t="shared" si="10"/>
        <v>0</v>
      </c>
      <c r="K20" s="38">
        <f t="shared" si="10"/>
        <v>0</v>
      </c>
      <c r="L20" s="38">
        <f t="shared" si="10"/>
        <v>0</v>
      </c>
    </row>
    <row r="21" spans="1:12" x14ac:dyDescent="0.45">
      <c r="A21" t="s">
        <v>178</v>
      </c>
      <c r="B21" s="38"/>
      <c r="C21" s="38"/>
      <c r="D21" s="38"/>
      <c r="E21" s="38"/>
      <c r="F21" s="38"/>
      <c r="G21" s="38"/>
      <c r="H21" s="38">
        <f>'Модель Хаба Федеральные трассы'!I30/10</f>
        <v>250</v>
      </c>
      <c r="I21" s="38">
        <f t="shared" si="10"/>
        <v>250</v>
      </c>
      <c r="J21" s="38">
        <f t="shared" si="10"/>
        <v>250</v>
      </c>
      <c r="K21" s="38">
        <f t="shared" si="10"/>
        <v>250</v>
      </c>
      <c r="L21" s="38">
        <f t="shared" si="10"/>
        <v>250</v>
      </c>
    </row>
    <row r="22" spans="1:12" x14ac:dyDescent="0.45">
      <c r="A22" t="s">
        <v>178</v>
      </c>
      <c r="B22" s="38"/>
      <c r="C22" s="38"/>
      <c r="D22" s="38"/>
      <c r="E22" s="38"/>
      <c r="F22" s="38"/>
      <c r="G22" s="38"/>
      <c r="H22" s="38"/>
      <c r="I22" s="38">
        <f>'Модель Хаба Федеральные трассы'!J30/10</f>
        <v>0</v>
      </c>
      <c r="J22" s="38">
        <f>I22</f>
        <v>0</v>
      </c>
      <c r="K22" s="38">
        <f t="shared" si="10"/>
        <v>0</v>
      </c>
      <c r="L22" s="38">
        <f t="shared" si="10"/>
        <v>0</v>
      </c>
    </row>
    <row r="23" spans="1:12" x14ac:dyDescent="0.45">
      <c r="A23" t="s">
        <v>178</v>
      </c>
      <c r="B23" s="38"/>
      <c r="C23" s="38"/>
      <c r="D23" s="38"/>
      <c r="E23" s="38"/>
      <c r="F23" s="38"/>
      <c r="G23" s="38"/>
      <c r="H23" s="38"/>
      <c r="I23" s="38"/>
      <c r="J23" s="38">
        <f>'Модель Хаба Федеральные трассы'!K30/10</f>
        <v>0</v>
      </c>
      <c r="K23" s="38">
        <f t="shared" si="10"/>
        <v>0</v>
      </c>
      <c r="L23" s="38">
        <f t="shared" si="10"/>
        <v>0</v>
      </c>
    </row>
    <row r="24" spans="1:12" x14ac:dyDescent="0.45">
      <c r="A24" t="s">
        <v>178</v>
      </c>
      <c r="B24" s="38"/>
      <c r="C24" s="38"/>
      <c r="D24" s="38"/>
      <c r="E24" s="38"/>
      <c r="F24" s="38"/>
      <c r="G24" s="38"/>
      <c r="H24" s="38"/>
      <c r="I24" s="38"/>
      <c r="J24" s="38"/>
      <c r="K24" s="38">
        <f>'Модель Хаба Федеральные трассы'!L30/10</f>
        <v>0</v>
      </c>
      <c r="L24" s="38">
        <f t="shared" si="10"/>
        <v>0</v>
      </c>
    </row>
    <row r="25" spans="1:12" x14ac:dyDescent="0.45">
      <c r="A25" t="s">
        <v>178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>
        <f>'Модель Хаба Федеральные трассы'!M30/10</f>
        <v>0</v>
      </c>
    </row>
    <row r="26" spans="1:12" x14ac:dyDescent="0.45">
      <c r="A26" t="s">
        <v>178</v>
      </c>
      <c r="B26" s="38">
        <f>'Модель Хаба Федеральные трассы'!D34/5</f>
        <v>0</v>
      </c>
      <c r="C26" s="38">
        <f>B26</f>
        <v>0</v>
      </c>
      <c r="D26" s="38">
        <f t="shared" ref="D26:F26" si="11">C26</f>
        <v>0</v>
      </c>
      <c r="E26" s="38">
        <f t="shared" si="11"/>
        <v>0</v>
      </c>
      <c r="F26" s="38">
        <f t="shared" si="11"/>
        <v>0</v>
      </c>
      <c r="G26" s="38"/>
      <c r="H26" s="38"/>
      <c r="I26" s="38"/>
      <c r="J26" s="38"/>
      <c r="K26" s="38"/>
      <c r="L26" s="38"/>
    </row>
    <row r="27" spans="1:12" x14ac:dyDescent="0.45">
      <c r="A27" t="s">
        <v>178</v>
      </c>
      <c r="B27" s="38"/>
      <c r="C27" s="38">
        <f>'Модель Хаба Федеральные трассы'!E34/10</f>
        <v>0</v>
      </c>
      <c r="D27" s="38">
        <f>C27</f>
        <v>0</v>
      </c>
      <c r="E27" s="38">
        <f t="shared" ref="E27:G27" si="12">D27</f>
        <v>0</v>
      </c>
      <c r="F27" s="38">
        <f t="shared" si="12"/>
        <v>0</v>
      </c>
      <c r="G27" s="38">
        <f t="shared" si="12"/>
        <v>0</v>
      </c>
      <c r="H27" s="38"/>
      <c r="I27" s="38"/>
      <c r="J27" s="38"/>
      <c r="K27" s="38"/>
      <c r="L27" s="38"/>
    </row>
    <row r="28" spans="1:12" x14ac:dyDescent="0.45">
      <c r="A28" t="s">
        <v>178</v>
      </c>
      <c r="B28" s="38"/>
      <c r="C28" s="38"/>
      <c r="D28" s="38">
        <f>'Модель Хаба Федеральные трассы'!F34/5</f>
        <v>0</v>
      </c>
      <c r="E28" s="38">
        <f>D28</f>
        <v>0</v>
      </c>
      <c r="F28" s="38">
        <f t="shared" ref="F28:H28" si="13">E28</f>
        <v>0</v>
      </c>
      <c r="G28" s="38">
        <f t="shared" si="13"/>
        <v>0</v>
      </c>
      <c r="H28" s="38">
        <f t="shared" si="13"/>
        <v>0</v>
      </c>
      <c r="I28" s="38"/>
      <c r="J28" s="38"/>
      <c r="K28" s="38"/>
      <c r="L28" s="38"/>
    </row>
    <row r="29" spans="1:12" x14ac:dyDescent="0.45">
      <c r="A29" t="s">
        <v>178</v>
      </c>
      <c r="B29" s="38"/>
      <c r="C29" s="38"/>
      <c r="D29" s="38"/>
      <c r="E29" s="38">
        <f>'Модель Хаба Федеральные трассы'!F34/5</f>
        <v>0</v>
      </c>
      <c r="F29" s="38">
        <f>E29</f>
        <v>0</v>
      </c>
      <c r="G29" s="38">
        <f t="shared" ref="G29:I29" si="14">F29</f>
        <v>0</v>
      </c>
      <c r="H29" s="38">
        <f t="shared" si="14"/>
        <v>0</v>
      </c>
      <c r="I29" s="38">
        <f t="shared" si="14"/>
        <v>0</v>
      </c>
      <c r="J29" s="38"/>
      <c r="K29" s="38"/>
      <c r="L29" s="38"/>
    </row>
    <row r="30" spans="1:12" x14ac:dyDescent="0.45">
      <c r="A30" t="s">
        <v>178</v>
      </c>
      <c r="B30" s="38"/>
      <c r="C30" s="38"/>
      <c r="D30" s="38"/>
      <c r="E30" s="38"/>
      <c r="F30" s="38">
        <f>'Модель Хаба Федеральные трассы'!G34/5</f>
        <v>0</v>
      </c>
      <c r="G30" s="38">
        <f t="shared" ref="G30:J30" si="15">F30</f>
        <v>0</v>
      </c>
      <c r="H30" s="38">
        <f t="shared" si="15"/>
        <v>0</v>
      </c>
      <c r="I30" s="38">
        <f t="shared" si="15"/>
        <v>0</v>
      </c>
      <c r="J30" s="38">
        <f t="shared" si="15"/>
        <v>0</v>
      </c>
      <c r="K30" s="38"/>
      <c r="L30" s="38"/>
    </row>
    <row r="31" spans="1:12" x14ac:dyDescent="0.45">
      <c r="A31" t="s">
        <v>178</v>
      </c>
      <c r="B31" s="38"/>
      <c r="C31" s="38"/>
      <c r="D31" s="38"/>
      <c r="E31" s="38"/>
      <c r="F31" s="38"/>
      <c r="G31" s="38">
        <f>'Модель Хаба Федеральные трассы'!H34/5</f>
        <v>0</v>
      </c>
      <c r="H31" s="38">
        <f t="shared" ref="H31:K31" si="16">G31</f>
        <v>0</v>
      </c>
      <c r="I31" s="38">
        <f t="shared" si="16"/>
        <v>0</v>
      </c>
      <c r="J31" s="38">
        <f t="shared" si="16"/>
        <v>0</v>
      </c>
      <c r="K31" s="38">
        <f t="shared" si="16"/>
        <v>0</v>
      </c>
      <c r="L31" s="38"/>
    </row>
    <row r="32" spans="1:12" x14ac:dyDescent="0.45">
      <c r="A32" t="s">
        <v>178</v>
      </c>
      <c r="B32" s="38"/>
      <c r="C32" s="38"/>
      <c r="D32" s="38"/>
      <c r="E32" s="38"/>
      <c r="F32" s="38"/>
      <c r="G32" s="38"/>
      <c r="H32" s="38">
        <f>'Модель Хаба Федеральные трассы'!I34/5</f>
        <v>0</v>
      </c>
      <c r="I32" s="38">
        <f t="shared" ref="I32:L32" si="17">H32</f>
        <v>0</v>
      </c>
      <c r="J32" s="38">
        <f t="shared" si="17"/>
        <v>0</v>
      </c>
      <c r="K32" s="38">
        <f t="shared" si="17"/>
        <v>0</v>
      </c>
      <c r="L32" s="38">
        <f t="shared" si="17"/>
        <v>0</v>
      </c>
    </row>
    <row r="33" spans="1:12" x14ac:dyDescent="0.45">
      <c r="A33" t="s">
        <v>178</v>
      </c>
      <c r="B33" s="38"/>
      <c r="C33" s="38"/>
      <c r="D33" s="38"/>
      <c r="E33" s="38"/>
      <c r="F33" s="38"/>
      <c r="G33" s="38"/>
      <c r="H33" s="38"/>
      <c r="I33" s="38">
        <f>'Модель Хаба Федеральные трассы'!J34/5</f>
        <v>0</v>
      </c>
      <c r="J33" s="38">
        <f>I33</f>
        <v>0</v>
      </c>
      <c r="K33" s="38">
        <f t="shared" ref="K33:L33" si="18">J33</f>
        <v>0</v>
      </c>
      <c r="L33" s="38">
        <f t="shared" si="18"/>
        <v>0</v>
      </c>
    </row>
    <row r="34" spans="1:12" x14ac:dyDescent="0.45">
      <c r="A34" t="s">
        <v>178</v>
      </c>
      <c r="B34" s="38"/>
      <c r="C34" s="38"/>
      <c r="D34" s="38"/>
      <c r="E34" s="38"/>
      <c r="F34" s="38"/>
      <c r="G34" s="38"/>
      <c r="H34" s="38"/>
      <c r="I34" s="38"/>
      <c r="J34" s="38">
        <f>'Модель Хаба Федеральные трассы'!K34/5</f>
        <v>0</v>
      </c>
      <c r="K34" s="38">
        <f t="shared" ref="K34:L34" si="19">J34</f>
        <v>0</v>
      </c>
      <c r="L34" s="38">
        <f t="shared" si="19"/>
        <v>0</v>
      </c>
    </row>
    <row r="35" spans="1:12" x14ac:dyDescent="0.45">
      <c r="A35" t="s">
        <v>178</v>
      </c>
      <c r="B35" s="38"/>
      <c r="C35" s="38"/>
      <c r="D35" s="38"/>
      <c r="E35" s="38"/>
      <c r="F35" s="38"/>
      <c r="G35" s="38"/>
      <c r="H35" s="38"/>
      <c r="I35" s="38"/>
      <c r="J35" s="38"/>
      <c r="K35" s="38">
        <f>'Модель Хаба Федеральные трассы'!L34/5</f>
        <v>0</v>
      </c>
      <c r="L35" s="38">
        <f t="shared" ref="L35" si="20">K35</f>
        <v>0</v>
      </c>
    </row>
    <row r="36" spans="1:12" x14ac:dyDescent="0.45">
      <c r="A36" t="s">
        <v>178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>
        <f>'Модель Хаба Федеральные трассы'!M34/5</f>
        <v>0</v>
      </c>
    </row>
    <row r="38" spans="1:12" x14ac:dyDescent="0.45">
      <c r="A38" s="30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2C48-6CBC-4D61-AA96-2F4BEB2747A5}">
  <dimension ref="A1:A2"/>
  <sheetViews>
    <sheetView workbookViewId="0">
      <selection activeCell="A2" sqref="A2"/>
    </sheetView>
  </sheetViews>
  <sheetFormatPr defaultRowHeight="14.25" x14ac:dyDescent="0.45"/>
  <cols>
    <col min="1" max="1" width="18.3984375" bestFit="1" customWidth="1"/>
  </cols>
  <sheetData>
    <row r="1" spans="1:1" x14ac:dyDescent="0.45">
      <c r="A1">
        <v>1</v>
      </c>
    </row>
    <row r="2" spans="1:1" x14ac:dyDescent="0.45">
      <c r="A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Моделирование</vt:lpstr>
      <vt:lpstr>Лист1</vt:lpstr>
      <vt:lpstr>Модель рынка</vt:lpstr>
      <vt:lpstr>План по персоналу</vt:lpstr>
      <vt:lpstr>План закупок</vt:lpstr>
      <vt:lpstr>Запросы</vt:lpstr>
      <vt:lpstr>Модель Хаба Федеральные трассы</vt:lpstr>
      <vt:lpstr>БДР</vt:lpstr>
      <vt:lpstr>Амортизация и РБП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grabarenko-vv@rosseti.digital</dc:creator>
  <cp:keywords/>
  <dc:description/>
  <cp:lastModifiedBy>Grabarenko Vadim</cp:lastModifiedBy>
  <cp:revision/>
  <dcterms:created xsi:type="dcterms:W3CDTF">2022-02-02T13:40:17Z</dcterms:created>
  <dcterms:modified xsi:type="dcterms:W3CDTF">2022-10-12T12:37:31Z</dcterms:modified>
  <cp:category/>
  <cp:contentStatus/>
</cp:coreProperties>
</file>