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mas/Dropbox/Publications/1. Over the top/"/>
    </mc:Choice>
  </mc:AlternateContent>
  <xr:revisionPtr revIDLastSave="0" documentId="13_ncr:1_{2F176A0A-8FAD-464B-9ED1-5895255281D3}" xr6:coauthVersionLast="45" xr6:coauthVersionMax="45" xr10:uidLastSave="{00000000-0000-0000-0000-000000000000}"/>
  <bookViews>
    <workbookView xWindow="0" yWindow="460" windowWidth="28800" windowHeight="16520" activeTab="5" xr2:uid="{F6D7671D-995B-4F4A-9063-DD88C076EF52}"/>
  </bookViews>
  <sheets>
    <sheet name="Summary" sheetId="1" r:id="rId1"/>
    <sheet name="Politics" sheetId="2" r:id="rId2"/>
    <sheet name="Economic" sheetId="3" r:id="rId3"/>
    <sheet name="EcData" sheetId="4" r:id="rId4"/>
    <sheet name="Power" sheetId="5" r:id="rId5"/>
    <sheet name="Institu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5" l="1"/>
  <c r="M4" i="5"/>
  <c r="B11" i="3"/>
  <c r="F21" i="3"/>
  <c r="B20" i="3"/>
  <c r="G3" i="2"/>
  <c r="K3" i="2"/>
  <c r="K8" i="2"/>
  <c r="E28" i="3" l="1"/>
  <c r="D28" i="3"/>
  <c r="D27" i="3"/>
  <c r="E27" i="3"/>
  <c r="E25" i="3"/>
  <c r="D25" i="3"/>
  <c r="E26" i="3"/>
  <c r="D26" i="3"/>
  <c r="M25" i="6" l="1"/>
  <c r="L25" i="6"/>
  <c r="N43" i="6"/>
  <c r="N39" i="6"/>
  <c r="N32" i="6" s="1"/>
  <c r="N38" i="6"/>
  <c r="N35" i="6"/>
  <c r="N34" i="6"/>
  <c r="N33" i="6"/>
  <c r="M32" i="6"/>
  <c r="M36" i="6" s="1"/>
  <c r="L32" i="6"/>
  <c r="L36" i="6" s="1"/>
  <c r="N31" i="6"/>
  <c r="N30" i="6"/>
  <c r="N29" i="6"/>
  <c r="N28" i="6"/>
  <c r="N24" i="6"/>
  <c r="N23" i="6"/>
  <c r="N22" i="6"/>
  <c r="N21" i="6"/>
  <c r="N20" i="6"/>
  <c r="N25" i="6" s="1"/>
  <c r="N36" i="6" l="1"/>
  <c r="R161" i="5"/>
  <c r="M157" i="5"/>
  <c r="N156" i="5"/>
  <c r="M156" i="5"/>
  <c r="J156" i="5"/>
  <c r="K154" i="5" s="1"/>
  <c r="M154" i="5" s="1"/>
  <c r="N154" i="5" s="1"/>
  <c r="I156" i="5"/>
  <c r="K155" i="5"/>
  <c r="S153" i="5"/>
  <c r="M137" i="5"/>
  <c r="J137" i="5"/>
  <c r="K135" i="5" s="1"/>
  <c r="I137" i="5"/>
  <c r="M118" i="5"/>
  <c r="J118" i="5"/>
  <c r="K117" i="5"/>
  <c r="L117" i="5" s="1"/>
  <c r="K116" i="5"/>
  <c r="L116" i="5" s="1"/>
  <c r="M113" i="5"/>
  <c r="J113" i="5"/>
  <c r="I113" i="5"/>
  <c r="K112" i="5"/>
  <c r="K111" i="5"/>
  <c r="K110" i="5"/>
  <c r="K109" i="5"/>
  <c r="K108" i="5"/>
  <c r="J105" i="5"/>
  <c r="K101" i="5" s="1"/>
  <c r="I105" i="5"/>
  <c r="K103" i="5"/>
  <c r="K102" i="5"/>
  <c r="K99" i="5"/>
  <c r="M93" i="5"/>
  <c r="J93" i="5"/>
  <c r="K92" i="5" s="1"/>
  <c r="M92" i="5" s="1"/>
  <c r="N92" i="5" s="1"/>
  <c r="I93" i="5"/>
  <c r="M84" i="5"/>
  <c r="J84" i="5"/>
  <c r="I84" i="5"/>
  <c r="M77" i="5"/>
  <c r="J77" i="5"/>
  <c r="K76" i="5" s="1"/>
  <c r="L76" i="5" s="1"/>
  <c r="I77" i="5"/>
  <c r="J67" i="5"/>
  <c r="K66" i="5" s="1"/>
  <c r="I67" i="5"/>
  <c r="J60" i="5"/>
  <c r="I60" i="5"/>
  <c r="K59" i="5"/>
  <c r="L59" i="5" s="1"/>
  <c r="K57" i="5"/>
  <c r="L57" i="5" s="1"/>
  <c r="K55" i="5"/>
  <c r="L55" i="5" s="1"/>
  <c r="K53" i="5"/>
  <c r="L53" i="5" s="1"/>
  <c r="K51" i="5"/>
  <c r="L51" i="5" s="1"/>
  <c r="K49" i="5"/>
  <c r="L49" i="5" s="1"/>
  <c r="M46" i="5"/>
  <c r="J46" i="5"/>
  <c r="I46" i="5"/>
  <c r="J39" i="5"/>
  <c r="K36" i="5" s="1"/>
  <c r="M36" i="5" s="1"/>
  <c r="N36" i="5" s="1"/>
  <c r="I39" i="5"/>
  <c r="K38" i="5"/>
  <c r="M38" i="5" s="1"/>
  <c r="N38" i="5" s="1"/>
  <c r="K37" i="5"/>
  <c r="K35" i="5"/>
  <c r="M35" i="5" s="1"/>
  <c r="N35" i="5" s="1"/>
  <c r="K34" i="5"/>
  <c r="M34" i="5" s="1"/>
  <c r="N34" i="5" s="1"/>
  <c r="K33" i="5"/>
  <c r="M33" i="5" s="1"/>
  <c r="N33" i="5" s="1"/>
  <c r="J29" i="5"/>
  <c r="I29" i="5"/>
  <c r="K28" i="5"/>
  <c r="M28" i="5" s="1"/>
  <c r="N28" i="5" s="1"/>
  <c r="K27" i="5"/>
  <c r="M27" i="5" s="1"/>
  <c r="N27" i="5" s="1"/>
  <c r="K26" i="5"/>
  <c r="M26" i="5" s="1"/>
  <c r="N26" i="5" s="1"/>
  <c r="K25" i="5"/>
  <c r="M25" i="5" s="1"/>
  <c r="N25" i="5" s="1"/>
  <c r="K24" i="5"/>
  <c r="M24" i="5" s="1"/>
  <c r="N24" i="5" s="1"/>
  <c r="K23" i="5"/>
  <c r="M23" i="5" s="1"/>
  <c r="N23" i="5" s="1"/>
  <c r="M19" i="5"/>
  <c r="J19" i="5"/>
  <c r="K6" i="5" s="1"/>
  <c r="M6" i="5" s="1"/>
  <c r="N6" i="5" s="1"/>
  <c r="I19" i="5"/>
  <c r="K18" i="5"/>
  <c r="K16" i="5"/>
  <c r="K15" i="5"/>
  <c r="K12" i="5"/>
  <c r="M12" i="5" s="1"/>
  <c r="N12" i="5" s="1"/>
  <c r="K11" i="5"/>
  <c r="M11" i="5" s="1"/>
  <c r="N11" i="5" s="1"/>
  <c r="K10" i="5"/>
  <c r="M10" i="5" s="1"/>
  <c r="N10" i="5" s="1"/>
  <c r="K9" i="5"/>
  <c r="M9" i="5" s="1"/>
  <c r="N9" i="5" s="1"/>
  <c r="K8" i="5"/>
  <c r="M8" i="5" s="1"/>
  <c r="N8" i="5" s="1"/>
  <c r="K7" i="5"/>
  <c r="M7" i="5" s="1"/>
  <c r="N7" i="5" s="1"/>
  <c r="W6" i="5"/>
  <c r="W5" i="5"/>
  <c r="W4" i="5"/>
  <c r="K4" i="5"/>
  <c r="L8" i="5" l="1"/>
  <c r="K123" i="5"/>
  <c r="L123" i="5" s="1"/>
  <c r="K14" i="5"/>
  <c r="K98" i="5"/>
  <c r="L98" i="5" s="1"/>
  <c r="M117" i="5"/>
  <c r="N117" i="5" s="1"/>
  <c r="K125" i="5"/>
  <c r="L125" i="5" s="1"/>
  <c r="L38" i="5"/>
  <c r="K132" i="5"/>
  <c r="L132" i="5" s="1"/>
  <c r="L135" i="5"/>
  <c r="M135" i="5"/>
  <c r="N135" i="5" s="1"/>
  <c r="K87" i="5"/>
  <c r="M87" i="5" s="1"/>
  <c r="N87" i="5" s="1"/>
  <c r="K134" i="5"/>
  <c r="L12" i="5"/>
  <c r="K89" i="5"/>
  <c r="M89" i="5" s="1"/>
  <c r="N89" i="5" s="1"/>
  <c r="K100" i="5"/>
  <c r="K104" i="5"/>
  <c r="M104" i="5" s="1"/>
  <c r="N104" i="5" s="1"/>
  <c r="M116" i="5"/>
  <c r="N116" i="5" s="1"/>
  <c r="N118" i="5" s="1"/>
  <c r="K122" i="5"/>
  <c r="M125" i="5"/>
  <c r="N125" i="5" s="1"/>
  <c r="K127" i="5"/>
  <c r="K129" i="5"/>
  <c r="K136" i="5"/>
  <c r="L10" i="5"/>
  <c r="K13" i="5"/>
  <c r="M13" i="5" s="1"/>
  <c r="N13" i="5" s="1"/>
  <c r="K17" i="5"/>
  <c r="K91" i="5"/>
  <c r="M91" i="5" s="1"/>
  <c r="N91" i="5" s="1"/>
  <c r="K97" i="5"/>
  <c r="K124" i="5"/>
  <c r="K126" i="5"/>
  <c r="K131" i="5"/>
  <c r="K133" i="5"/>
  <c r="K121" i="5"/>
  <c r="K128" i="5"/>
  <c r="K130" i="5"/>
  <c r="N29" i="5"/>
  <c r="N4" i="5"/>
  <c r="L17" i="5"/>
  <c r="M17" i="5"/>
  <c r="N17" i="5" s="1"/>
  <c r="K44" i="5"/>
  <c r="K42" i="5"/>
  <c r="K45" i="5"/>
  <c r="K43" i="5"/>
  <c r="L66" i="5"/>
  <c r="M66" i="5"/>
  <c r="N66" i="5" s="1"/>
  <c r="M155" i="5"/>
  <c r="N155" i="5" s="1"/>
  <c r="L155" i="5"/>
  <c r="L7" i="5"/>
  <c r="M14" i="5"/>
  <c r="N14" i="5" s="1"/>
  <c r="L14" i="5"/>
  <c r="M108" i="5"/>
  <c r="N108" i="5" s="1"/>
  <c r="L108" i="5"/>
  <c r="M112" i="5"/>
  <c r="N112" i="5" s="1"/>
  <c r="L112" i="5"/>
  <c r="M16" i="5"/>
  <c r="N16" i="5" s="1"/>
  <c r="L16" i="5"/>
  <c r="M110" i="5"/>
  <c r="N110" i="5" s="1"/>
  <c r="L110" i="5"/>
  <c r="L13" i="5"/>
  <c r="M37" i="5"/>
  <c r="N37" i="5" s="1"/>
  <c r="N39" i="5" s="1"/>
  <c r="L37" i="5"/>
  <c r="L6" i="5"/>
  <c r="L9" i="5"/>
  <c r="L11" i="5"/>
  <c r="L18" i="5"/>
  <c r="M18" i="5"/>
  <c r="N18" i="5" s="1"/>
  <c r="M15" i="5"/>
  <c r="N15" i="5" s="1"/>
  <c r="L15" i="5"/>
  <c r="L92" i="5"/>
  <c r="M97" i="5"/>
  <c r="N97" i="5" s="1"/>
  <c r="L97" i="5"/>
  <c r="M101" i="5"/>
  <c r="N101" i="5" s="1"/>
  <c r="L101" i="5"/>
  <c r="M103" i="5"/>
  <c r="N103" i="5" s="1"/>
  <c r="L103" i="5"/>
  <c r="K5" i="5"/>
  <c r="L23" i="5"/>
  <c r="L24" i="5"/>
  <c r="L25" i="5"/>
  <c r="L26" i="5"/>
  <c r="L27" i="5"/>
  <c r="L28" i="5"/>
  <c r="L33" i="5"/>
  <c r="L34" i="5"/>
  <c r="L35" i="5"/>
  <c r="L36" i="5"/>
  <c r="K83" i="5"/>
  <c r="K82" i="5"/>
  <c r="K81" i="5"/>
  <c r="K80" i="5"/>
  <c r="L87" i="5"/>
  <c r="L89" i="5"/>
  <c r="L91" i="5"/>
  <c r="M109" i="5"/>
  <c r="N109" i="5" s="1"/>
  <c r="L109" i="5"/>
  <c r="M111" i="5"/>
  <c r="N111" i="5" s="1"/>
  <c r="L111" i="5"/>
  <c r="L118" i="5"/>
  <c r="M99" i="5"/>
  <c r="N99" i="5" s="1"/>
  <c r="L99" i="5"/>
  <c r="K58" i="5"/>
  <c r="L58" i="5" s="1"/>
  <c r="K56" i="5"/>
  <c r="L56" i="5" s="1"/>
  <c r="K54" i="5"/>
  <c r="L54" i="5" s="1"/>
  <c r="K52" i="5"/>
  <c r="L52" i="5" s="1"/>
  <c r="K50" i="5"/>
  <c r="L50" i="5" s="1"/>
  <c r="M76" i="5"/>
  <c r="N76" i="5" s="1"/>
  <c r="K88" i="5"/>
  <c r="K90" i="5"/>
  <c r="M98" i="5"/>
  <c r="N98" i="5" s="1"/>
  <c r="M100" i="5"/>
  <c r="N100" i="5" s="1"/>
  <c r="L100" i="5"/>
  <c r="M102" i="5"/>
  <c r="N102" i="5" s="1"/>
  <c r="L102" i="5"/>
  <c r="L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63" i="5"/>
  <c r="K64" i="5"/>
  <c r="K65" i="5"/>
  <c r="K70" i="5"/>
  <c r="K71" i="5"/>
  <c r="K72" i="5"/>
  <c r="K73" i="5"/>
  <c r="K74" i="5"/>
  <c r="K75" i="5"/>
  <c r="M132" i="5" l="1"/>
  <c r="N132" i="5" s="1"/>
  <c r="M123" i="5"/>
  <c r="N123" i="5" s="1"/>
  <c r="L104" i="5"/>
  <c r="L128" i="5"/>
  <c r="M128" i="5"/>
  <c r="N128" i="5" s="1"/>
  <c r="L134" i="5"/>
  <c r="M134" i="5"/>
  <c r="N134" i="5" s="1"/>
  <c r="L39" i="5"/>
  <c r="L121" i="5"/>
  <c r="M121" i="5"/>
  <c r="N121" i="5" s="1"/>
  <c r="L124" i="5"/>
  <c r="M124" i="5"/>
  <c r="N124" i="5" s="1"/>
  <c r="L136" i="5"/>
  <c r="M136" i="5"/>
  <c r="N136" i="5" s="1"/>
  <c r="L133" i="5"/>
  <c r="M133" i="5"/>
  <c r="N133" i="5" s="1"/>
  <c r="L129" i="5"/>
  <c r="M129" i="5"/>
  <c r="N129" i="5" s="1"/>
  <c r="L122" i="5"/>
  <c r="M122" i="5"/>
  <c r="N122" i="5" s="1"/>
  <c r="L126" i="5"/>
  <c r="M126" i="5"/>
  <c r="N126" i="5" s="1"/>
  <c r="L130" i="5"/>
  <c r="M130" i="5"/>
  <c r="N130" i="5" s="1"/>
  <c r="L131" i="5"/>
  <c r="M131" i="5"/>
  <c r="N131" i="5" s="1"/>
  <c r="L127" i="5"/>
  <c r="M127" i="5"/>
  <c r="N127" i="5" s="1"/>
  <c r="L65" i="5"/>
  <c r="M65" i="5"/>
  <c r="N65" i="5" s="1"/>
  <c r="M144" i="5"/>
  <c r="N144" i="5" s="1"/>
  <c r="L144" i="5"/>
  <c r="M152" i="5"/>
  <c r="N152" i="5" s="1"/>
  <c r="L152" i="5"/>
  <c r="L83" i="5"/>
  <c r="M83" i="5"/>
  <c r="N83" i="5" s="1"/>
  <c r="L64" i="5"/>
  <c r="M64" i="5"/>
  <c r="N64" i="5" s="1"/>
  <c r="L145" i="5"/>
  <c r="M145" i="5"/>
  <c r="N145" i="5" s="1"/>
  <c r="L149" i="5"/>
  <c r="M149" i="5"/>
  <c r="N149" i="5" s="1"/>
  <c r="N113" i="5"/>
  <c r="L60" i="5"/>
  <c r="L81" i="5"/>
  <c r="M81" i="5"/>
  <c r="N81" i="5" s="1"/>
  <c r="L29" i="5"/>
  <c r="M43" i="5"/>
  <c r="N43" i="5" s="1"/>
  <c r="L43" i="5"/>
  <c r="L73" i="5"/>
  <c r="M73" i="5"/>
  <c r="N73" i="5" s="1"/>
  <c r="M148" i="5"/>
  <c r="N148" i="5" s="1"/>
  <c r="L148" i="5"/>
  <c r="M88" i="5"/>
  <c r="N88" i="5" s="1"/>
  <c r="L88" i="5"/>
  <c r="L105" i="5"/>
  <c r="L113" i="5"/>
  <c r="M42" i="5"/>
  <c r="N42" i="5" s="1"/>
  <c r="L42" i="5"/>
  <c r="L72" i="5"/>
  <c r="M72" i="5"/>
  <c r="N72" i="5" s="1"/>
  <c r="L141" i="5"/>
  <c r="M141" i="5"/>
  <c r="N141" i="5" s="1"/>
  <c r="L153" i="5"/>
  <c r="M153" i="5"/>
  <c r="N153" i="5" s="1"/>
  <c r="L80" i="5"/>
  <c r="M80" i="5"/>
  <c r="N80" i="5" s="1"/>
  <c r="N105" i="5"/>
  <c r="M44" i="5"/>
  <c r="N44" i="5" s="1"/>
  <c r="L44" i="5"/>
  <c r="L75" i="5"/>
  <c r="M75" i="5"/>
  <c r="N75" i="5" s="1"/>
  <c r="L71" i="5"/>
  <c r="M71" i="5"/>
  <c r="N71" i="5" s="1"/>
  <c r="L63" i="5"/>
  <c r="M63" i="5"/>
  <c r="N63" i="5" s="1"/>
  <c r="M142" i="5"/>
  <c r="N142" i="5" s="1"/>
  <c r="L142" i="5"/>
  <c r="M146" i="5"/>
  <c r="N146" i="5" s="1"/>
  <c r="L146" i="5"/>
  <c r="M150" i="5"/>
  <c r="N150" i="5" s="1"/>
  <c r="L150" i="5"/>
  <c r="L74" i="5"/>
  <c r="M74" i="5"/>
  <c r="N74" i="5" s="1"/>
  <c r="L70" i="5"/>
  <c r="M70" i="5"/>
  <c r="N70" i="5" s="1"/>
  <c r="N77" i="5" s="1"/>
  <c r="L143" i="5"/>
  <c r="M143" i="5"/>
  <c r="N143" i="5" s="1"/>
  <c r="L147" i="5"/>
  <c r="M147" i="5"/>
  <c r="N147" i="5" s="1"/>
  <c r="L151" i="5"/>
  <c r="M151" i="5"/>
  <c r="N151" i="5" s="1"/>
  <c r="M90" i="5"/>
  <c r="N90" i="5" s="1"/>
  <c r="L90" i="5"/>
  <c r="L82" i="5"/>
  <c r="M82" i="5"/>
  <c r="N82" i="5" s="1"/>
  <c r="L5" i="5"/>
  <c r="L19" i="5" s="1"/>
  <c r="M5" i="5"/>
  <c r="N5" i="5" s="1"/>
  <c r="N19" i="5" s="1"/>
  <c r="M45" i="5"/>
  <c r="N45" i="5" s="1"/>
  <c r="L45" i="5"/>
  <c r="L93" i="5" l="1"/>
  <c r="L137" i="5"/>
  <c r="L67" i="5"/>
  <c r="N137" i="5"/>
  <c r="N84" i="5"/>
  <c r="L77" i="5"/>
  <c r="L84" i="5"/>
  <c r="L156" i="5"/>
  <c r="N93" i="5"/>
  <c r="N157" i="5"/>
  <c r="L46" i="5"/>
  <c r="N46" i="5"/>
  <c r="N67" i="5"/>
  <c r="C161" i="4" l="1"/>
  <c r="I160" i="4"/>
  <c r="E160" i="4" s="1"/>
  <c r="H160" i="4"/>
  <c r="D160" i="4" s="1"/>
  <c r="I159" i="4"/>
  <c r="E159" i="4" s="1"/>
  <c r="H159" i="4"/>
  <c r="D159" i="4"/>
  <c r="I158" i="4"/>
  <c r="E158" i="4" s="1"/>
  <c r="H158" i="4"/>
  <c r="D158" i="4" s="1"/>
  <c r="I157" i="4"/>
  <c r="E157" i="4" s="1"/>
  <c r="H157" i="4"/>
  <c r="D157" i="4" s="1"/>
  <c r="I156" i="4"/>
  <c r="E156" i="4" s="1"/>
  <c r="H156" i="4"/>
  <c r="D156" i="4" s="1"/>
  <c r="I155" i="4"/>
  <c r="E155" i="4" s="1"/>
  <c r="H155" i="4"/>
  <c r="D155" i="4" s="1"/>
  <c r="I154" i="4"/>
  <c r="E154" i="4" s="1"/>
  <c r="H154" i="4"/>
  <c r="D154" i="4" s="1"/>
  <c r="E153" i="4"/>
  <c r="D153" i="4"/>
  <c r="B153" i="4" s="1"/>
  <c r="E152" i="4"/>
  <c r="D152" i="4"/>
  <c r="B152" i="4" s="1"/>
  <c r="I151" i="4"/>
  <c r="E151" i="4" s="1"/>
  <c r="H151" i="4"/>
  <c r="D151" i="4" s="1"/>
  <c r="I150" i="4"/>
  <c r="E150" i="4" s="1"/>
  <c r="H150" i="4"/>
  <c r="D150" i="4" s="1"/>
  <c r="I149" i="4"/>
  <c r="E149" i="4" s="1"/>
  <c r="H149" i="4"/>
  <c r="D149" i="4" s="1"/>
  <c r="I148" i="4"/>
  <c r="E148" i="4" s="1"/>
  <c r="H148" i="4"/>
  <c r="D148" i="4" s="1"/>
  <c r="B148" i="4" s="1"/>
  <c r="E147" i="4"/>
  <c r="D147" i="4"/>
  <c r="I146" i="4"/>
  <c r="E146" i="4" s="1"/>
  <c r="H146" i="4"/>
  <c r="D146" i="4" s="1"/>
  <c r="I145" i="4"/>
  <c r="E145" i="4" s="1"/>
  <c r="H145" i="4"/>
  <c r="D145" i="4" s="1"/>
  <c r="C141" i="4"/>
  <c r="I140" i="4"/>
  <c r="E140" i="4" s="1"/>
  <c r="H140" i="4"/>
  <c r="D140" i="4" s="1"/>
  <c r="I139" i="4"/>
  <c r="E139" i="4" s="1"/>
  <c r="H139" i="4"/>
  <c r="I138" i="4"/>
  <c r="E138" i="4" s="1"/>
  <c r="H138" i="4"/>
  <c r="I137" i="4"/>
  <c r="H137" i="4"/>
  <c r="D137" i="4" s="1"/>
  <c r="E137" i="4"/>
  <c r="I136" i="4"/>
  <c r="E136" i="4" s="1"/>
  <c r="H136" i="4"/>
  <c r="D136" i="4" s="1"/>
  <c r="C133" i="4"/>
  <c r="I132" i="4"/>
  <c r="E132" i="4" s="1"/>
  <c r="H132" i="4"/>
  <c r="D132" i="4" s="1"/>
  <c r="E131" i="4"/>
  <c r="D131" i="4"/>
  <c r="B131" i="4"/>
  <c r="E130" i="4"/>
  <c r="D130" i="4"/>
  <c r="B130" i="4"/>
  <c r="I129" i="4"/>
  <c r="E129" i="4" s="1"/>
  <c r="H129" i="4"/>
  <c r="D129" i="4"/>
  <c r="I128" i="4"/>
  <c r="E128" i="4" s="1"/>
  <c r="H128" i="4"/>
  <c r="D128" i="4" s="1"/>
  <c r="E127" i="4"/>
  <c r="D127" i="4"/>
  <c r="B127" i="4"/>
  <c r="I126" i="4"/>
  <c r="E126" i="4" s="1"/>
  <c r="H126" i="4"/>
  <c r="D126" i="4" s="1"/>
  <c r="E125" i="4"/>
  <c r="D125" i="4"/>
  <c r="B125" i="4"/>
  <c r="C120" i="4"/>
  <c r="I119" i="4"/>
  <c r="E119" i="4" s="1"/>
  <c r="H119" i="4"/>
  <c r="I118" i="4"/>
  <c r="E118" i="4" s="1"/>
  <c r="H118" i="4"/>
  <c r="E117" i="4"/>
  <c r="D117" i="4"/>
  <c r="B117" i="4"/>
  <c r="I116" i="4"/>
  <c r="E116" i="4" s="1"/>
  <c r="H116" i="4"/>
  <c r="B116" i="4" s="1"/>
  <c r="I115" i="4"/>
  <c r="H115" i="4"/>
  <c r="D115" i="4" s="1"/>
  <c r="E115" i="4"/>
  <c r="I114" i="4"/>
  <c r="E114" i="4" s="1"/>
  <c r="H114" i="4"/>
  <c r="D114" i="4" s="1"/>
  <c r="I113" i="4"/>
  <c r="E113" i="4" s="1"/>
  <c r="H113" i="4"/>
  <c r="I112" i="4"/>
  <c r="E112" i="4" s="1"/>
  <c r="H112" i="4"/>
  <c r="E111" i="4"/>
  <c r="D111" i="4"/>
  <c r="B111" i="4"/>
  <c r="I110" i="4"/>
  <c r="H110" i="4"/>
  <c r="B110" i="4" s="1"/>
  <c r="E110" i="4"/>
  <c r="I109" i="4"/>
  <c r="H109" i="4"/>
  <c r="D109" i="4" s="1"/>
  <c r="E109" i="4"/>
  <c r="C105" i="4"/>
  <c r="I104" i="4"/>
  <c r="H104" i="4"/>
  <c r="B104" i="4" s="1"/>
  <c r="E104" i="4"/>
  <c r="I103" i="4"/>
  <c r="E103" i="4" s="1"/>
  <c r="H103" i="4"/>
  <c r="D103" i="4" s="1"/>
  <c r="I102" i="4"/>
  <c r="E102" i="4" s="1"/>
  <c r="H102" i="4"/>
  <c r="D102" i="4" s="1"/>
  <c r="I101" i="4"/>
  <c r="E101" i="4" s="1"/>
  <c r="H101" i="4"/>
  <c r="C94" i="4"/>
  <c r="I93" i="4"/>
  <c r="E93" i="4" s="1"/>
  <c r="H93" i="4"/>
  <c r="I92" i="4"/>
  <c r="E92" i="4" s="1"/>
  <c r="H92" i="4"/>
  <c r="D92" i="4"/>
  <c r="E91" i="4"/>
  <c r="D91" i="4"/>
  <c r="B91" i="4"/>
  <c r="I90" i="4"/>
  <c r="H90" i="4"/>
  <c r="D90" i="4" s="1"/>
  <c r="I89" i="4"/>
  <c r="E89" i="4" s="1"/>
  <c r="H89" i="4"/>
  <c r="D89" i="4"/>
  <c r="I88" i="4"/>
  <c r="E88" i="4" s="1"/>
  <c r="H88" i="4"/>
  <c r="D88" i="4" s="1"/>
  <c r="E87" i="4"/>
  <c r="D87" i="4"/>
  <c r="B87" i="4"/>
  <c r="E86" i="4"/>
  <c r="D86" i="4"/>
  <c r="B86" i="4"/>
  <c r="E85" i="4"/>
  <c r="D85" i="4"/>
  <c r="B85" i="4"/>
  <c r="E84" i="4"/>
  <c r="D84" i="4"/>
  <c r="B84" i="4"/>
  <c r="I83" i="4"/>
  <c r="E83" i="4" s="1"/>
  <c r="H83" i="4"/>
  <c r="E82" i="4"/>
  <c r="D82" i="4"/>
  <c r="B82" i="4"/>
  <c r="I81" i="4"/>
  <c r="E81" i="4" s="1"/>
  <c r="H81" i="4"/>
  <c r="I80" i="4"/>
  <c r="E80" i="4" s="1"/>
  <c r="H80" i="4"/>
  <c r="B80" i="4" s="1"/>
  <c r="D80" i="4"/>
  <c r="I79" i="4"/>
  <c r="H79" i="4"/>
  <c r="D79" i="4" s="1"/>
  <c r="E79" i="4"/>
  <c r="C76" i="4"/>
  <c r="I75" i="4"/>
  <c r="H75" i="4"/>
  <c r="D75" i="4"/>
  <c r="I74" i="4"/>
  <c r="E74" i="4" s="1"/>
  <c r="H74" i="4"/>
  <c r="D74" i="4"/>
  <c r="I73" i="4"/>
  <c r="E73" i="4" s="1"/>
  <c r="H73" i="4"/>
  <c r="D73" i="4" s="1"/>
  <c r="I72" i="4"/>
  <c r="E72" i="4" s="1"/>
  <c r="H72" i="4"/>
  <c r="I71" i="4"/>
  <c r="E71" i="4" s="1"/>
  <c r="H71" i="4"/>
  <c r="D71" i="4"/>
  <c r="I70" i="4"/>
  <c r="E70" i="4" s="1"/>
  <c r="H70" i="4"/>
  <c r="D70" i="4" s="1"/>
  <c r="C66" i="4"/>
  <c r="I65" i="4"/>
  <c r="H65" i="4"/>
  <c r="D65" i="4" s="1"/>
  <c r="I64" i="4"/>
  <c r="E64" i="4" s="1"/>
  <c r="H64" i="4"/>
  <c r="D64" i="4"/>
  <c r="I63" i="4"/>
  <c r="H63" i="4"/>
  <c r="D63" i="4" s="1"/>
  <c r="I62" i="4"/>
  <c r="E62" i="4" s="1"/>
  <c r="H62" i="4"/>
  <c r="I61" i="4"/>
  <c r="E61" i="4" s="1"/>
  <c r="H61" i="4"/>
  <c r="B61" i="4" s="1"/>
  <c r="D61" i="4"/>
  <c r="I60" i="4"/>
  <c r="E60" i="4" s="1"/>
  <c r="H60" i="4"/>
  <c r="I59" i="4"/>
  <c r="E59" i="4" s="1"/>
  <c r="H59" i="4"/>
  <c r="D59" i="4" s="1"/>
  <c r="C55" i="4"/>
  <c r="I54" i="4"/>
  <c r="E54" i="4" s="1"/>
  <c r="H54" i="4"/>
  <c r="I53" i="4"/>
  <c r="E53" i="4" s="1"/>
  <c r="H53" i="4"/>
  <c r="I52" i="4"/>
  <c r="E52" i="4" s="1"/>
  <c r="H52" i="4"/>
  <c r="I51" i="4"/>
  <c r="E51" i="4" s="1"/>
  <c r="H51" i="4"/>
  <c r="D51" i="4"/>
  <c r="B51" i="4"/>
  <c r="I50" i="4"/>
  <c r="H50" i="4"/>
  <c r="B50" i="4" s="1"/>
  <c r="E50" i="4"/>
  <c r="D50" i="4"/>
  <c r="I49" i="4"/>
  <c r="H49" i="4"/>
  <c r="D49" i="4" s="1"/>
  <c r="E49" i="4"/>
  <c r="B49" i="4"/>
  <c r="C46" i="4"/>
  <c r="I45" i="4"/>
  <c r="H45" i="4"/>
  <c r="B45" i="4" s="1"/>
  <c r="E45" i="4"/>
  <c r="I44" i="4"/>
  <c r="H44" i="4"/>
  <c r="D44" i="4" s="1"/>
  <c r="E44" i="4"/>
  <c r="I43" i="4"/>
  <c r="E43" i="4" s="1"/>
  <c r="H43" i="4"/>
  <c r="I42" i="4"/>
  <c r="H42" i="4"/>
  <c r="D42" i="4"/>
  <c r="C39" i="4"/>
  <c r="I38" i="4"/>
  <c r="E38" i="4" s="1"/>
  <c r="H38" i="4"/>
  <c r="I37" i="4"/>
  <c r="E37" i="4" s="1"/>
  <c r="H37" i="4"/>
  <c r="D37" i="4" s="1"/>
  <c r="I36" i="4"/>
  <c r="H36" i="4"/>
  <c r="B36" i="4" s="1"/>
  <c r="E36" i="4"/>
  <c r="I35" i="4"/>
  <c r="H35" i="4"/>
  <c r="D35" i="4" s="1"/>
  <c r="E35" i="4"/>
  <c r="I34" i="4"/>
  <c r="E34" i="4" s="1"/>
  <c r="H34" i="4"/>
  <c r="I33" i="4"/>
  <c r="E33" i="4" s="1"/>
  <c r="H33" i="4"/>
  <c r="D33" i="4"/>
  <c r="C29" i="4"/>
  <c r="I28" i="4"/>
  <c r="E28" i="4" s="1"/>
  <c r="H28" i="4"/>
  <c r="I27" i="4"/>
  <c r="E27" i="4" s="1"/>
  <c r="H27" i="4"/>
  <c r="I26" i="4"/>
  <c r="E26" i="4" s="1"/>
  <c r="H26" i="4"/>
  <c r="B26" i="4" s="1"/>
  <c r="I25" i="4"/>
  <c r="H25" i="4"/>
  <c r="D25" i="4" s="1"/>
  <c r="E25" i="4"/>
  <c r="C21" i="4"/>
  <c r="I20" i="4"/>
  <c r="E20" i="4" s="1"/>
  <c r="H20" i="4"/>
  <c r="I19" i="4"/>
  <c r="E19" i="4" s="1"/>
  <c r="H19" i="4"/>
  <c r="I18" i="4"/>
  <c r="E18" i="4" s="1"/>
  <c r="H18" i="4"/>
  <c r="B18" i="4" s="1"/>
  <c r="I17" i="4"/>
  <c r="H17" i="4"/>
  <c r="D17" i="4" s="1"/>
  <c r="E17" i="4"/>
  <c r="I16" i="4"/>
  <c r="E16" i="4" s="1"/>
  <c r="H16" i="4"/>
  <c r="B16" i="4" s="1"/>
  <c r="D16" i="4"/>
  <c r="I15" i="4"/>
  <c r="H15" i="4"/>
  <c r="D15" i="4" s="1"/>
  <c r="I14" i="4"/>
  <c r="E14" i="4" s="1"/>
  <c r="H14" i="4"/>
  <c r="D14" i="4" s="1"/>
  <c r="I13" i="4"/>
  <c r="H13" i="4"/>
  <c r="D13" i="4" s="1"/>
  <c r="I12" i="4"/>
  <c r="E12" i="4" s="1"/>
  <c r="H12" i="4"/>
  <c r="I11" i="4"/>
  <c r="H11" i="4"/>
  <c r="D11" i="4" s="1"/>
  <c r="E11" i="4"/>
  <c r="I10" i="4"/>
  <c r="E10" i="4" s="1"/>
  <c r="H10" i="4"/>
  <c r="B10" i="4" s="1"/>
  <c r="I9" i="4"/>
  <c r="E9" i="4" s="1"/>
  <c r="H9" i="4"/>
  <c r="D9" i="4" s="1"/>
  <c r="I8" i="4"/>
  <c r="E8" i="4" s="1"/>
  <c r="H8" i="4"/>
  <c r="B8" i="4" s="1"/>
  <c r="D8" i="4"/>
  <c r="I7" i="4"/>
  <c r="E7" i="4" s="1"/>
  <c r="H7" i="4"/>
  <c r="D7" i="4"/>
  <c r="B7" i="4"/>
  <c r="I6" i="4"/>
  <c r="H6" i="4"/>
  <c r="B6" i="4" s="1"/>
  <c r="E6" i="4"/>
  <c r="C166" i="3"/>
  <c r="B164" i="3" s="1"/>
  <c r="E165" i="3"/>
  <c r="D165" i="3"/>
  <c r="F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C141" i="3"/>
  <c r="E140" i="3"/>
  <c r="D140" i="3"/>
  <c r="E139" i="3"/>
  <c r="D139" i="3"/>
  <c r="B139" i="3" s="1"/>
  <c r="E138" i="3"/>
  <c r="F138" i="3" s="1"/>
  <c r="D138" i="3"/>
  <c r="E137" i="3"/>
  <c r="D137" i="3"/>
  <c r="B137" i="3" s="1"/>
  <c r="E136" i="3"/>
  <c r="F136" i="3" s="1"/>
  <c r="D136" i="3"/>
  <c r="C133" i="3"/>
  <c r="E132" i="3"/>
  <c r="F132" i="3" s="1"/>
  <c r="D132" i="3"/>
  <c r="E131" i="3"/>
  <c r="D131" i="3"/>
  <c r="B131" i="3" s="1"/>
  <c r="E130" i="3"/>
  <c r="F130" i="3" s="1"/>
  <c r="D130" i="3"/>
  <c r="E129" i="3"/>
  <c r="D129" i="3"/>
  <c r="B129" i="3" s="1"/>
  <c r="E128" i="3"/>
  <c r="F128" i="3" s="1"/>
  <c r="D128" i="3"/>
  <c r="E127" i="3"/>
  <c r="D127" i="3"/>
  <c r="B127" i="3" s="1"/>
  <c r="E126" i="3"/>
  <c r="F126" i="3" s="1"/>
  <c r="D126" i="3"/>
  <c r="E125" i="3"/>
  <c r="C120" i="3"/>
  <c r="B119" i="3" s="1"/>
  <c r="F119" i="3"/>
  <c r="E118" i="3"/>
  <c r="F118" i="3" s="1"/>
  <c r="D118" i="3"/>
  <c r="E117" i="3"/>
  <c r="D117" i="3"/>
  <c r="B117" i="3" s="1"/>
  <c r="F116" i="3"/>
  <c r="F115" i="3"/>
  <c r="E114" i="3"/>
  <c r="D114" i="3"/>
  <c r="F113" i="3"/>
  <c r="E112" i="3"/>
  <c r="D112" i="3"/>
  <c r="B112" i="3" s="1"/>
  <c r="E111" i="3"/>
  <c r="D111" i="3"/>
  <c r="E110" i="3"/>
  <c r="F110" i="3" s="1"/>
  <c r="B110" i="3"/>
  <c r="E109" i="3"/>
  <c r="D109" i="3"/>
  <c r="F109" i="3" s="1"/>
  <c r="B109" i="3"/>
  <c r="C105" i="3"/>
  <c r="B103" i="3" s="1"/>
  <c r="F104" i="3"/>
  <c r="F103" i="3"/>
  <c r="F102" i="3"/>
  <c r="F101" i="3"/>
  <c r="C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F87" i="3" s="1"/>
  <c r="D86" i="3"/>
  <c r="F86" i="3" s="1"/>
  <c r="E85" i="3"/>
  <c r="D85" i="3"/>
  <c r="F84" i="3"/>
  <c r="E83" i="3"/>
  <c r="D83" i="3"/>
  <c r="E82" i="3"/>
  <c r="D82" i="3"/>
  <c r="F81" i="3"/>
  <c r="F80" i="3"/>
  <c r="F79" i="3"/>
  <c r="C76" i="3"/>
  <c r="E75" i="3"/>
  <c r="D75" i="3"/>
  <c r="B75" i="3" s="1"/>
  <c r="E74" i="3"/>
  <c r="D74" i="3"/>
  <c r="E73" i="3"/>
  <c r="D73" i="3"/>
  <c r="B73" i="3" s="1"/>
  <c r="E72" i="3"/>
  <c r="D72" i="3"/>
  <c r="E71" i="3"/>
  <c r="D71" i="3"/>
  <c r="B71" i="3" s="1"/>
  <c r="E70" i="3"/>
  <c r="D70" i="3"/>
  <c r="C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C55" i="3"/>
  <c r="B52" i="3" s="1"/>
  <c r="E54" i="3"/>
  <c r="D54" i="3"/>
  <c r="F54" i="3" s="1"/>
  <c r="E53" i="3"/>
  <c r="D53" i="3"/>
  <c r="B53" i="3"/>
  <c r="F52" i="3"/>
  <c r="E51" i="3"/>
  <c r="D51" i="3"/>
  <c r="E50" i="3"/>
  <c r="D50" i="3"/>
  <c r="E49" i="3"/>
  <c r="D49" i="3"/>
  <c r="C46" i="3"/>
  <c r="E45" i="3"/>
  <c r="D45" i="3"/>
  <c r="E44" i="3"/>
  <c r="D44" i="3"/>
  <c r="E43" i="3"/>
  <c r="D43" i="3"/>
  <c r="E42" i="3"/>
  <c r="D42" i="3"/>
  <c r="C39" i="3"/>
  <c r="F38" i="3"/>
  <c r="F37" i="3"/>
  <c r="F36" i="3"/>
  <c r="F35" i="3"/>
  <c r="F34" i="3"/>
  <c r="F33" i="3"/>
  <c r="C29" i="3"/>
  <c r="C21" i="3"/>
  <c r="F20" i="3"/>
  <c r="F19" i="3"/>
  <c r="B19" i="3"/>
  <c r="F18" i="3"/>
  <c r="F17" i="3"/>
  <c r="B17" i="3"/>
  <c r="F16" i="3"/>
  <c r="F15" i="3"/>
  <c r="B15" i="3"/>
  <c r="F14" i="3"/>
  <c r="F13" i="3"/>
  <c r="B13" i="3"/>
  <c r="F12" i="3"/>
  <c r="F11" i="3"/>
  <c r="F10" i="3"/>
  <c r="F9" i="3"/>
  <c r="B9" i="3"/>
  <c r="F8" i="3"/>
  <c r="F7" i="3"/>
  <c r="B7" i="3"/>
  <c r="F6" i="3"/>
  <c r="H555" i="2"/>
  <c r="E555" i="2"/>
  <c r="G555" i="2" s="1"/>
  <c r="K555" i="2" s="1"/>
  <c r="H554" i="2"/>
  <c r="G554" i="2"/>
  <c r="G553" i="2"/>
  <c r="F553" i="2"/>
  <c r="H553" i="2" s="1"/>
  <c r="H552" i="2"/>
  <c r="G552" i="2"/>
  <c r="K552" i="2" s="1"/>
  <c r="G551" i="2"/>
  <c r="F551" i="2"/>
  <c r="H551" i="2" s="1"/>
  <c r="K551" i="2" s="1"/>
  <c r="H550" i="2"/>
  <c r="G550" i="2"/>
  <c r="K550" i="2" s="1"/>
  <c r="H549" i="2"/>
  <c r="G549" i="2"/>
  <c r="G548" i="2"/>
  <c r="F548" i="2"/>
  <c r="H548" i="2" s="1"/>
  <c r="H547" i="2"/>
  <c r="G547" i="2"/>
  <c r="K547" i="2" s="1"/>
  <c r="H546" i="2"/>
  <c r="G546" i="2"/>
  <c r="H545" i="2"/>
  <c r="G545" i="2"/>
  <c r="K545" i="2" s="1"/>
  <c r="G544" i="2"/>
  <c r="F544" i="2"/>
  <c r="H544" i="2" s="1"/>
  <c r="K544" i="2" s="1"/>
  <c r="H543" i="2"/>
  <c r="G543" i="2"/>
  <c r="H542" i="2"/>
  <c r="G542" i="2"/>
  <c r="H541" i="2"/>
  <c r="G541" i="2"/>
  <c r="H540" i="2"/>
  <c r="G540" i="2"/>
  <c r="K540" i="2" s="1"/>
  <c r="G539" i="2"/>
  <c r="F539" i="2"/>
  <c r="H539" i="2" s="1"/>
  <c r="K539" i="2" s="1"/>
  <c r="H538" i="2"/>
  <c r="G538" i="2"/>
  <c r="H537" i="2"/>
  <c r="G537" i="2"/>
  <c r="H536" i="2"/>
  <c r="G536" i="2"/>
  <c r="H535" i="2"/>
  <c r="G535" i="2"/>
  <c r="H534" i="2"/>
  <c r="G534" i="2"/>
  <c r="G533" i="2"/>
  <c r="F533" i="2"/>
  <c r="H533" i="2" s="1"/>
  <c r="H532" i="2"/>
  <c r="G532" i="2"/>
  <c r="H531" i="2"/>
  <c r="G531" i="2"/>
  <c r="H530" i="2"/>
  <c r="G530" i="2"/>
  <c r="H529" i="2"/>
  <c r="G529" i="2"/>
  <c r="K529" i="2" s="1"/>
  <c r="H528" i="2"/>
  <c r="G528" i="2"/>
  <c r="H523" i="2"/>
  <c r="G523" i="2"/>
  <c r="H522" i="2"/>
  <c r="G522" i="2"/>
  <c r="H521" i="2"/>
  <c r="G521" i="2"/>
  <c r="K521" i="2" s="1"/>
  <c r="H520" i="2"/>
  <c r="G520" i="2"/>
  <c r="K520" i="2" s="1"/>
  <c r="H519" i="2"/>
  <c r="G519" i="2"/>
  <c r="H518" i="2"/>
  <c r="G518" i="2"/>
  <c r="H517" i="2"/>
  <c r="G517" i="2"/>
  <c r="H516" i="2"/>
  <c r="G516" i="2"/>
  <c r="K516" i="2" s="1"/>
  <c r="H515" i="2"/>
  <c r="G515" i="2"/>
  <c r="H514" i="2"/>
  <c r="G514" i="2"/>
  <c r="K514" i="2" s="1"/>
  <c r="H513" i="2"/>
  <c r="G513" i="2"/>
  <c r="H512" i="2"/>
  <c r="G512" i="2"/>
  <c r="K512" i="2" s="1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K504" i="2" s="1"/>
  <c r="H503" i="2"/>
  <c r="G503" i="2"/>
  <c r="H502" i="2"/>
  <c r="G502" i="2"/>
  <c r="H501" i="2"/>
  <c r="G501" i="2"/>
  <c r="H500" i="2"/>
  <c r="G500" i="2"/>
  <c r="K500" i="2" s="1"/>
  <c r="H499" i="2"/>
  <c r="G499" i="2"/>
  <c r="H498" i="2"/>
  <c r="G498" i="2"/>
  <c r="K498" i="2" s="1"/>
  <c r="H497" i="2"/>
  <c r="G497" i="2"/>
  <c r="H496" i="2"/>
  <c r="G496" i="2"/>
  <c r="K496" i="2" s="1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K485" i="2" s="1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K477" i="2" s="1"/>
  <c r="H476" i="2"/>
  <c r="K476" i="2" s="1"/>
  <c r="G476" i="2"/>
  <c r="H475" i="2"/>
  <c r="G475" i="2"/>
  <c r="H474" i="2"/>
  <c r="G474" i="2"/>
  <c r="H473" i="2"/>
  <c r="G473" i="2"/>
  <c r="K473" i="2" s="1"/>
  <c r="K472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K460" i="2" s="1"/>
  <c r="G460" i="2"/>
  <c r="H459" i="2"/>
  <c r="G459" i="2"/>
  <c r="H458" i="2"/>
  <c r="G458" i="2"/>
  <c r="H457" i="2"/>
  <c r="G457" i="2"/>
  <c r="H456" i="2"/>
  <c r="G456" i="2"/>
  <c r="H455" i="2"/>
  <c r="K455" i="2" s="1"/>
  <c r="G455" i="2"/>
  <c r="H454" i="2"/>
  <c r="G454" i="2"/>
  <c r="H453" i="2"/>
  <c r="G453" i="2"/>
  <c r="H452" i="2"/>
  <c r="G452" i="2"/>
  <c r="K452" i="2" s="1"/>
  <c r="H451" i="2"/>
  <c r="K451" i="2" s="1"/>
  <c r="G451" i="2"/>
  <c r="H450" i="2"/>
  <c r="G450" i="2"/>
  <c r="K450" i="2" s="1"/>
  <c r="H449" i="2"/>
  <c r="G449" i="2"/>
  <c r="H448" i="2"/>
  <c r="G448" i="2"/>
  <c r="H447" i="2"/>
  <c r="K447" i="2" s="1"/>
  <c r="G447" i="2"/>
  <c r="H446" i="2"/>
  <c r="G446" i="2"/>
  <c r="H445" i="2"/>
  <c r="G445" i="2"/>
  <c r="H444" i="2"/>
  <c r="G444" i="2"/>
  <c r="K444" i="2" s="1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K428" i="2" s="1"/>
  <c r="G428" i="2"/>
  <c r="H427" i="2"/>
  <c r="G427" i="2"/>
  <c r="H426" i="2"/>
  <c r="G426" i="2"/>
  <c r="H425" i="2"/>
  <c r="G425" i="2"/>
  <c r="H424" i="2"/>
  <c r="G424" i="2"/>
  <c r="K424" i="2" s="1"/>
  <c r="H423" i="2"/>
  <c r="G423" i="2"/>
  <c r="H422" i="2"/>
  <c r="G422" i="2"/>
  <c r="H421" i="2"/>
  <c r="G421" i="2"/>
  <c r="H420" i="2"/>
  <c r="G420" i="2"/>
  <c r="K420" i="2" s="1"/>
  <c r="H419" i="2"/>
  <c r="G419" i="2"/>
  <c r="H418" i="2"/>
  <c r="G418" i="2"/>
  <c r="K418" i="2" s="1"/>
  <c r="H417" i="2"/>
  <c r="G417" i="2"/>
  <c r="H416" i="2"/>
  <c r="G416" i="2"/>
  <c r="K416" i="2" s="1"/>
  <c r="H415" i="2"/>
  <c r="G415" i="2"/>
  <c r="H414" i="2"/>
  <c r="G414" i="2"/>
  <c r="H413" i="2"/>
  <c r="G413" i="2"/>
  <c r="K413" i="2" s="1"/>
  <c r="H412" i="2"/>
  <c r="G412" i="2"/>
  <c r="H411" i="2"/>
  <c r="G411" i="2"/>
  <c r="H410" i="2"/>
  <c r="G410" i="2"/>
  <c r="H409" i="2"/>
  <c r="G409" i="2"/>
  <c r="H408" i="2"/>
  <c r="G408" i="2"/>
  <c r="H407" i="2"/>
  <c r="G407" i="2"/>
  <c r="K407" i="2" s="1"/>
  <c r="H406" i="2"/>
  <c r="G406" i="2"/>
  <c r="H405" i="2"/>
  <c r="G405" i="2"/>
  <c r="K405" i="2" s="1"/>
  <c r="H404" i="2"/>
  <c r="G404" i="2"/>
  <c r="H397" i="2"/>
  <c r="G397" i="2"/>
  <c r="K397" i="2" s="1"/>
  <c r="H396" i="2"/>
  <c r="G396" i="2"/>
  <c r="K396" i="2" s="1"/>
  <c r="H395" i="2"/>
  <c r="G395" i="2"/>
  <c r="H394" i="2"/>
  <c r="G394" i="2"/>
  <c r="K394" i="2" s="1"/>
  <c r="H393" i="2"/>
  <c r="G393" i="2"/>
  <c r="H392" i="2"/>
  <c r="G392" i="2"/>
  <c r="H391" i="2"/>
  <c r="G391" i="2"/>
  <c r="H390" i="2"/>
  <c r="G390" i="2"/>
  <c r="H389" i="2"/>
  <c r="G389" i="2"/>
  <c r="H388" i="2"/>
  <c r="G388" i="2"/>
  <c r="K388" i="2" s="1"/>
  <c r="H387" i="2"/>
  <c r="G387" i="2"/>
  <c r="K387" i="2" s="1"/>
  <c r="H386" i="2"/>
  <c r="G386" i="2"/>
  <c r="H385" i="2"/>
  <c r="G385" i="2"/>
  <c r="H384" i="2"/>
  <c r="G384" i="2"/>
  <c r="K384" i="2" s="1"/>
  <c r="H383" i="2"/>
  <c r="G383" i="2"/>
  <c r="H382" i="2"/>
  <c r="G382" i="2"/>
  <c r="K382" i="2" s="1"/>
  <c r="H381" i="2"/>
  <c r="G381" i="2"/>
  <c r="K381" i="2" s="1"/>
  <c r="H380" i="2"/>
  <c r="G380" i="2"/>
  <c r="K380" i="2" s="1"/>
  <c r="H379" i="2"/>
  <c r="G379" i="2"/>
  <c r="K379" i="2" s="1"/>
  <c r="H378" i="2"/>
  <c r="G378" i="2"/>
  <c r="K378" i="2" s="1"/>
  <c r="H377" i="2"/>
  <c r="G377" i="2"/>
  <c r="H376" i="2"/>
  <c r="G376" i="2"/>
  <c r="K376" i="2" s="1"/>
  <c r="H375" i="2"/>
  <c r="G375" i="2"/>
  <c r="H374" i="2"/>
  <c r="G374" i="2"/>
  <c r="H373" i="2"/>
  <c r="G373" i="2"/>
  <c r="H372" i="2"/>
  <c r="G372" i="2"/>
  <c r="K372" i="2" s="1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K365" i="2" s="1"/>
  <c r="H364" i="2"/>
  <c r="G364" i="2"/>
  <c r="H363" i="2"/>
  <c r="G363" i="2"/>
  <c r="K363" i="2" s="1"/>
  <c r="H362" i="2"/>
  <c r="G362" i="2"/>
  <c r="H361" i="2"/>
  <c r="G361" i="2"/>
  <c r="K361" i="2" s="1"/>
  <c r="H360" i="2"/>
  <c r="G360" i="2"/>
  <c r="H359" i="2"/>
  <c r="G359" i="2"/>
  <c r="H358" i="2"/>
  <c r="G358" i="2"/>
  <c r="H357" i="2"/>
  <c r="G357" i="2"/>
  <c r="H356" i="2"/>
  <c r="G356" i="2"/>
  <c r="K356" i="2" s="1"/>
  <c r="H355" i="2"/>
  <c r="G355" i="2"/>
  <c r="H354" i="2"/>
  <c r="G354" i="2"/>
  <c r="K354" i="2" s="1"/>
  <c r="H353" i="2"/>
  <c r="G353" i="2"/>
  <c r="H352" i="2"/>
  <c r="G352" i="2"/>
  <c r="K352" i="2" s="1"/>
  <c r="H351" i="2"/>
  <c r="G351" i="2"/>
  <c r="H350" i="2"/>
  <c r="G350" i="2"/>
  <c r="K350" i="2" s="1"/>
  <c r="H349" i="2"/>
  <c r="G349" i="2"/>
  <c r="H348" i="2"/>
  <c r="G348" i="2"/>
  <c r="K348" i="2" s="1"/>
  <c r="H347" i="2"/>
  <c r="G347" i="2"/>
  <c r="H346" i="2"/>
  <c r="G346" i="2"/>
  <c r="K346" i="2" s="1"/>
  <c r="H345" i="2"/>
  <c r="G345" i="2"/>
  <c r="H344" i="2"/>
  <c r="G344" i="2"/>
  <c r="K344" i="2" s="1"/>
  <c r="H343" i="2"/>
  <c r="G343" i="2"/>
  <c r="H342" i="2"/>
  <c r="G342" i="2"/>
  <c r="H341" i="2"/>
  <c r="G341" i="2"/>
  <c r="H340" i="2"/>
  <c r="G340" i="2"/>
  <c r="K340" i="2" s="1"/>
  <c r="H339" i="2"/>
  <c r="G339" i="2"/>
  <c r="H338" i="2"/>
  <c r="G338" i="2"/>
  <c r="H337" i="2"/>
  <c r="G337" i="2"/>
  <c r="H336" i="2"/>
  <c r="G336" i="2"/>
  <c r="K336" i="2" s="1"/>
  <c r="H335" i="2"/>
  <c r="G335" i="2"/>
  <c r="H334" i="2"/>
  <c r="G334" i="2"/>
  <c r="K334" i="2" s="1"/>
  <c r="H333" i="2"/>
  <c r="G333" i="2"/>
  <c r="H332" i="2"/>
  <c r="G332" i="2"/>
  <c r="K332" i="2" s="1"/>
  <c r="H331" i="2"/>
  <c r="G331" i="2"/>
  <c r="K331" i="2" s="1"/>
  <c r="H330" i="2"/>
  <c r="G330" i="2"/>
  <c r="H329" i="2"/>
  <c r="G329" i="2"/>
  <c r="K329" i="2" s="1"/>
  <c r="H328" i="2"/>
  <c r="G328" i="2"/>
  <c r="H327" i="2"/>
  <c r="G327" i="2"/>
  <c r="H326" i="2"/>
  <c r="G326" i="2"/>
  <c r="H325" i="2"/>
  <c r="G325" i="2"/>
  <c r="H324" i="2"/>
  <c r="G324" i="2"/>
  <c r="K324" i="2" s="1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K311" i="2" s="1"/>
  <c r="G311" i="2"/>
  <c r="H310" i="2"/>
  <c r="G310" i="2"/>
  <c r="H309" i="2"/>
  <c r="G309" i="2"/>
  <c r="H308" i="2"/>
  <c r="G308" i="2"/>
  <c r="H307" i="2"/>
  <c r="G307" i="2"/>
  <c r="K307" i="2" s="1"/>
  <c r="H306" i="2"/>
  <c r="G306" i="2"/>
  <c r="E306" i="2"/>
  <c r="H305" i="2"/>
  <c r="E305" i="2"/>
  <c r="G305" i="2" s="1"/>
  <c r="H304" i="2"/>
  <c r="E304" i="2"/>
  <c r="G304" i="2" s="1"/>
  <c r="H303" i="2"/>
  <c r="E303" i="2"/>
  <c r="G303" i="2" s="1"/>
  <c r="H302" i="2"/>
  <c r="E302" i="2"/>
  <c r="G302" i="2" s="1"/>
  <c r="H301" i="2"/>
  <c r="E301" i="2"/>
  <c r="G301" i="2" s="1"/>
  <c r="K301" i="2" s="1"/>
  <c r="H300" i="2"/>
  <c r="E300" i="2"/>
  <c r="G300" i="2" s="1"/>
  <c r="H299" i="2"/>
  <c r="E299" i="2"/>
  <c r="G299" i="2" s="1"/>
  <c r="H298" i="2"/>
  <c r="E298" i="2"/>
  <c r="G298" i="2" s="1"/>
  <c r="H297" i="2"/>
  <c r="G297" i="2"/>
  <c r="E297" i="2"/>
  <c r="H296" i="2"/>
  <c r="E296" i="2"/>
  <c r="G296" i="2" s="1"/>
  <c r="H295" i="2"/>
  <c r="E295" i="2"/>
  <c r="G295" i="2" s="1"/>
  <c r="H294" i="2"/>
  <c r="K294" i="2" s="1"/>
  <c r="E294" i="2"/>
  <c r="G294" i="2" s="1"/>
  <c r="H293" i="2"/>
  <c r="E293" i="2"/>
  <c r="G293" i="2" s="1"/>
  <c r="K285" i="2"/>
  <c r="H285" i="2"/>
  <c r="G285" i="2"/>
  <c r="H284" i="2"/>
  <c r="G284" i="2"/>
  <c r="H283" i="2"/>
  <c r="G283" i="2"/>
  <c r="H282" i="2"/>
  <c r="G282" i="2"/>
  <c r="K282" i="2" s="1"/>
  <c r="H281" i="2"/>
  <c r="G281" i="2"/>
  <c r="K281" i="2" s="1"/>
  <c r="H280" i="2"/>
  <c r="G280" i="2"/>
  <c r="K280" i="2" s="1"/>
  <c r="H279" i="2"/>
  <c r="G279" i="2"/>
  <c r="H278" i="2"/>
  <c r="G278" i="2"/>
  <c r="H277" i="2"/>
  <c r="G277" i="2"/>
  <c r="K277" i="2" s="1"/>
  <c r="H276" i="2"/>
  <c r="G276" i="2"/>
  <c r="J272" i="2"/>
  <c r="H271" i="2"/>
  <c r="G271" i="2"/>
  <c r="H270" i="2"/>
  <c r="G270" i="2"/>
  <c r="K270" i="2" s="1"/>
  <c r="H269" i="2"/>
  <c r="G269" i="2"/>
  <c r="H268" i="2"/>
  <c r="E268" i="2"/>
  <c r="G268" i="2" s="1"/>
  <c r="H267" i="2"/>
  <c r="E267" i="2"/>
  <c r="G267" i="2" s="1"/>
  <c r="H266" i="2"/>
  <c r="G266" i="2"/>
  <c r="E266" i="2"/>
  <c r="H265" i="2"/>
  <c r="G265" i="2"/>
  <c r="H264" i="2"/>
  <c r="G264" i="2"/>
  <c r="K264" i="2" s="1"/>
  <c r="H263" i="2"/>
  <c r="G263" i="2"/>
  <c r="G262" i="2"/>
  <c r="F262" i="2"/>
  <c r="H262" i="2" s="1"/>
  <c r="H261" i="2"/>
  <c r="G261" i="2"/>
  <c r="H260" i="2"/>
  <c r="G260" i="2"/>
  <c r="K260" i="2" s="1"/>
  <c r="H259" i="2"/>
  <c r="G259" i="2"/>
  <c r="G258" i="2"/>
  <c r="F258" i="2"/>
  <c r="H258" i="2" s="1"/>
  <c r="H257" i="2"/>
  <c r="G257" i="2"/>
  <c r="K257" i="2" s="1"/>
  <c r="H256" i="2"/>
  <c r="G256" i="2"/>
  <c r="H255" i="2"/>
  <c r="G255" i="2"/>
  <c r="K255" i="2" s="1"/>
  <c r="H254" i="2"/>
  <c r="G254" i="2"/>
  <c r="K254" i="2" s="1"/>
  <c r="G253" i="2"/>
  <c r="F253" i="2"/>
  <c r="H253" i="2" s="1"/>
  <c r="H252" i="2"/>
  <c r="G252" i="2"/>
  <c r="H251" i="2"/>
  <c r="G251" i="2"/>
  <c r="H250" i="2"/>
  <c r="G250" i="2"/>
  <c r="H249" i="2"/>
  <c r="K249" i="2" s="1"/>
  <c r="G249" i="2"/>
  <c r="H248" i="2"/>
  <c r="G248" i="2"/>
  <c r="G247" i="2"/>
  <c r="F247" i="2"/>
  <c r="H247" i="2" s="1"/>
  <c r="H246" i="2"/>
  <c r="G246" i="2"/>
  <c r="H245" i="2"/>
  <c r="G245" i="2"/>
  <c r="H244" i="2"/>
  <c r="G244" i="2"/>
  <c r="H243" i="2"/>
  <c r="G243" i="2"/>
  <c r="H242" i="2"/>
  <c r="G242" i="2"/>
  <c r="H241" i="2"/>
  <c r="G241" i="2"/>
  <c r="K241" i="2" s="1"/>
  <c r="G240" i="2"/>
  <c r="F240" i="2"/>
  <c r="H240" i="2" s="1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G232" i="2"/>
  <c r="K232" i="2" s="1"/>
  <c r="F232" i="2"/>
  <c r="H232" i="2" s="1"/>
  <c r="H231" i="2"/>
  <c r="G231" i="2"/>
  <c r="K231" i="2" s="1"/>
  <c r="H230" i="2"/>
  <c r="K230" i="2" s="1"/>
  <c r="G230" i="2"/>
  <c r="H229" i="2"/>
  <c r="G229" i="2"/>
  <c r="H228" i="2"/>
  <c r="G228" i="2"/>
  <c r="H227" i="2"/>
  <c r="G227" i="2"/>
  <c r="H226" i="2"/>
  <c r="E226" i="2"/>
  <c r="G226" i="2" s="1"/>
  <c r="H225" i="2"/>
  <c r="E225" i="2"/>
  <c r="G225" i="2" s="1"/>
  <c r="K225" i="2" s="1"/>
  <c r="H224" i="2"/>
  <c r="E224" i="2"/>
  <c r="G224" i="2" s="1"/>
  <c r="F223" i="2"/>
  <c r="H223" i="2" s="1"/>
  <c r="E223" i="2"/>
  <c r="G223" i="2" s="1"/>
  <c r="K223" i="2" s="1"/>
  <c r="H222" i="2"/>
  <c r="E222" i="2"/>
  <c r="G222" i="2" s="1"/>
  <c r="H221" i="2"/>
  <c r="E221" i="2"/>
  <c r="G221" i="2" s="1"/>
  <c r="K221" i="2" s="1"/>
  <c r="H220" i="2"/>
  <c r="E220" i="2"/>
  <c r="G220" i="2" s="1"/>
  <c r="H219" i="2"/>
  <c r="E219" i="2"/>
  <c r="G219" i="2" s="1"/>
  <c r="K219" i="2" s="1"/>
  <c r="H218" i="2"/>
  <c r="E218" i="2"/>
  <c r="G218" i="2" s="1"/>
  <c r="H217" i="2"/>
  <c r="E217" i="2"/>
  <c r="G217" i="2" s="1"/>
  <c r="H213" i="2"/>
  <c r="G213" i="2"/>
  <c r="H212" i="2"/>
  <c r="G212" i="2"/>
  <c r="H211" i="2"/>
  <c r="G211" i="2"/>
  <c r="H210" i="2"/>
  <c r="K210" i="2" s="1"/>
  <c r="G210" i="2"/>
  <c r="H209" i="2"/>
  <c r="K209" i="2" s="1"/>
  <c r="G209" i="2"/>
  <c r="H208" i="2"/>
  <c r="G208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6" i="2"/>
  <c r="G186" i="2"/>
  <c r="H185" i="2"/>
  <c r="G185" i="2"/>
  <c r="H184" i="2"/>
  <c r="K184" i="2" s="1"/>
  <c r="G184" i="2"/>
  <c r="H183" i="2"/>
  <c r="G183" i="2"/>
  <c r="H182" i="2"/>
  <c r="G182" i="2"/>
  <c r="H181" i="2"/>
  <c r="G181" i="2"/>
  <c r="K177" i="2"/>
  <c r="H177" i="2"/>
  <c r="G177" i="2"/>
  <c r="H176" i="2"/>
  <c r="G176" i="2"/>
  <c r="K176" i="2" s="1"/>
  <c r="H175" i="2"/>
  <c r="G175" i="2"/>
  <c r="K175" i="2" s="1"/>
  <c r="H174" i="2"/>
  <c r="G174" i="2"/>
  <c r="H173" i="2"/>
  <c r="G173" i="2"/>
  <c r="H172" i="2"/>
  <c r="G172" i="2"/>
  <c r="H171" i="2"/>
  <c r="G171" i="2"/>
  <c r="K171" i="2" s="1"/>
  <c r="H170" i="2"/>
  <c r="G170" i="2"/>
  <c r="H169" i="2"/>
  <c r="G169" i="2"/>
  <c r="K169" i="2" s="1"/>
  <c r="H168" i="2"/>
  <c r="G168" i="2"/>
  <c r="K168" i="2" s="1"/>
  <c r="H167" i="2"/>
  <c r="G167" i="2"/>
  <c r="K167" i="2" s="1"/>
  <c r="H166" i="2"/>
  <c r="G166" i="2"/>
  <c r="H165" i="2"/>
  <c r="G165" i="2"/>
  <c r="H164" i="2"/>
  <c r="G164" i="2"/>
  <c r="H163" i="2"/>
  <c r="G163" i="2"/>
  <c r="H162" i="2"/>
  <c r="E162" i="2"/>
  <c r="G162" i="2" s="1"/>
  <c r="H161" i="2"/>
  <c r="E161" i="2"/>
  <c r="G161" i="2" s="1"/>
  <c r="K161" i="2" s="1"/>
  <c r="H160" i="2"/>
  <c r="E160" i="2"/>
  <c r="G160" i="2" s="1"/>
  <c r="H159" i="2"/>
  <c r="E159" i="2"/>
  <c r="G159" i="2" s="1"/>
  <c r="K159" i="2" s="1"/>
  <c r="H158" i="2"/>
  <c r="E158" i="2"/>
  <c r="G158" i="2" s="1"/>
  <c r="H157" i="2"/>
  <c r="E157" i="2"/>
  <c r="G157" i="2" s="1"/>
  <c r="H151" i="2"/>
  <c r="G151" i="2"/>
  <c r="H150" i="2"/>
  <c r="G150" i="2"/>
  <c r="K150" i="2" s="1"/>
  <c r="H149" i="2"/>
  <c r="G149" i="2"/>
  <c r="H148" i="2"/>
  <c r="G148" i="2"/>
  <c r="H147" i="2"/>
  <c r="G147" i="2"/>
  <c r="H146" i="2"/>
  <c r="G146" i="2"/>
  <c r="H145" i="2"/>
  <c r="G145" i="2"/>
  <c r="H144" i="2"/>
  <c r="G144" i="2"/>
  <c r="K144" i="2" s="1"/>
  <c r="H143" i="2"/>
  <c r="G143" i="2"/>
  <c r="H142" i="2"/>
  <c r="G142" i="2"/>
  <c r="K142" i="2" s="1"/>
  <c r="H141" i="2"/>
  <c r="G141" i="2"/>
  <c r="H140" i="2"/>
  <c r="G140" i="2"/>
  <c r="H139" i="2"/>
  <c r="G139" i="2"/>
  <c r="H138" i="2"/>
  <c r="G138" i="2"/>
  <c r="H137" i="2"/>
  <c r="G137" i="2"/>
  <c r="H133" i="2"/>
  <c r="G133" i="2"/>
  <c r="K133" i="2" s="1"/>
  <c r="H132" i="2"/>
  <c r="G132" i="2"/>
  <c r="H131" i="2"/>
  <c r="G131" i="2"/>
  <c r="K131" i="2" s="1"/>
  <c r="H130" i="2"/>
  <c r="G130" i="2"/>
  <c r="H129" i="2"/>
  <c r="G129" i="2"/>
  <c r="K129" i="2" s="1"/>
  <c r="H128" i="2"/>
  <c r="G128" i="2"/>
  <c r="H127" i="2"/>
  <c r="G127" i="2"/>
  <c r="K127" i="2" s="1"/>
  <c r="H126" i="2"/>
  <c r="G126" i="2"/>
  <c r="H125" i="2"/>
  <c r="G125" i="2"/>
  <c r="K125" i="2" s="1"/>
  <c r="H124" i="2"/>
  <c r="G124" i="2"/>
  <c r="H123" i="2"/>
  <c r="G123" i="2"/>
  <c r="H122" i="2"/>
  <c r="G122" i="2"/>
  <c r="H121" i="2"/>
  <c r="G121" i="2"/>
  <c r="K121" i="2" s="1"/>
  <c r="H120" i="2"/>
  <c r="O121" i="2" s="1"/>
  <c r="G120" i="2"/>
  <c r="H119" i="2"/>
  <c r="G119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K110" i="2" s="1"/>
  <c r="H109" i="2"/>
  <c r="G109" i="2"/>
  <c r="H108" i="2"/>
  <c r="G108" i="2"/>
  <c r="K108" i="2" s="1"/>
  <c r="H107" i="2"/>
  <c r="G107" i="2"/>
  <c r="H106" i="2"/>
  <c r="G106" i="2"/>
  <c r="G105" i="2"/>
  <c r="F105" i="2"/>
  <c r="H105" i="2" s="1"/>
  <c r="G104" i="2"/>
  <c r="F104" i="2"/>
  <c r="H104" i="2" s="1"/>
  <c r="K104" i="2" s="1"/>
  <c r="H103" i="2"/>
  <c r="G103" i="2"/>
  <c r="H102" i="2"/>
  <c r="G102" i="2"/>
  <c r="K102" i="2" s="1"/>
  <c r="H101" i="2"/>
  <c r="G101" i="2"/>
  <c r="H100" i="2"/>
  <c r="G100" i="2"/>
  <c r="K100" i="2" s="1"/>
  <c r="H99" i="2"/>
  <c r="G99" i="2"/>
  <c r="H98" i="2"/>
  <c r="G98" i="2"/>
  <c r="K98" i="2" s="1"/>
  <c r="H97" i="2"/>
  <c r="G97" i="2"/>
  <c r="H96" i="2"/>
  <c r="G96" i="2"/>
  <c r="H95" i="2"/>
  <c r="G95" i="2"/>
  <c r="H94" i="2"/>
  <c r="G94" i="2"/>
  <c r="H93" i="2"/>
  <c r="G93" i="2"/>
  <c r="H92" i="2"/>
  <c r="G92" i="2"/>
  <c r="K92" i="2" s="1"/>
  <c r="H91" i="2"/>
  <c r="G91" i="2"/>
  <c r="H90" i="2"/>
  <c r="G90" i="2"/>
  <c r="K90" i="2" s="1"/>
  <c r="H89" i="2"/>
  <c r="G89" i="2"/>
  <c r="H88" i="2"/>
  <c r="G88" i="2"/>
  <c r="K88" i="2" s="1"/>
  <c r="H87" i="2"/>
  <c r="G87" i="2"/>
  <c r="H86" i="2"/>
  <c r="G86" i="2"/>
  <c r="H85" i="2"/>
  <c r="G85" i="2"/>
  <c r="H84" i="2"/>
  <c r="G84" i="2"/>
  <c r="K84" i="2" s="1"/>
  <c r="H83" i="2"/>
  <c r="G83" i="2"/>
  <c r="H82" i="2"/>
  <c r="G82" i="2"/>
  <c r="K82" i="2" s="1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K73" i="2" s="1"/>
  <c r="H72" i="2"/>
  <c r="G72" i="2"/>
  <c r="H71" i="2"/>
  <c r="G71" i="2"/>
  <c r="H70" i="2"/>
  <c r="E70" i="2"/>
  <c r="G70" i="2" s="1"/>
  <c r="H69" i="2"/>
  <c r="E69" i="2"/>
  <c r="G69" i="2" s="1"/>
  <c r="K69" i="2" s="1"/>
  <c r="H68" i="2"/>
  <c r="E68" i="2"/>
  <c r="G68" i="2" s="1"/>
  <c r="H67" i="2"/>
  <c r="G67" i="2"/>
  <c r="K67" i="2" s="1"/>
  <c r="E67" i="2"/>
  <c r="H66" i="2"/>
  <c r="E66" i="2"/>
  <c r="G66" i="2" s="1"/>
  <c r="K66" i="2" s="1"/>
  <c r="H65" i="2"/>
  <c r="E65" i="2"/>
  <c r="G65" i="2" s="1"/>
  <c r="H64" i="2"/>
  <c r="E64" i="2"/>
  <c r="G64" i="2" s="1"/>
  <c r="K64" i="2" s="1"/>
  <c r="H63" i="2"/>
  <c r="E63" i="2"/>
  <c r="G63" i="2" s="1"/>
  <c r="K63" i="2" s="1"/>
  <c r="H62" i="2"/>
  <c r="E62" i="2"/>
  <c r="G62" i="2" s="1"/>
  <c r="H61" i="2"/>
  <c r="E61" i="2"/>
  <c r="G61" i="2" s="1"/>
  <c r="K61" i="2" s="1"/>
  <c r="H60" i="2"/>
  <c r="G60" i="2"/>
  <c r="H59" i="2"/>
  <c r="G59" i="2"/>
  <c r="H58" i="2"/>
  <c r="G58" i="2"/>
  <c r="K58" i="2" s="1"/>
  <c r="H57" i="2"/>
  <c r="G57" i="2"/>
  <c r="H56" i="2"/>
  <c r="G56" i="2"/>
  <c r="K56" i="2" s="1"/>
  <c r="H55" i="2"/>
  <c r="G55" i="2"/>
  <c r="H54" i="2"/>
  <c r="G54" i="2"/>
  <c r="K54" i="2" s="1"/>
  <c r="H53" i="2"/>
  <c r="G53" i="2"/>
  <c r="H52" i="2"/>
  <c r="G52" i="2"/>
  <c r="H51" i="2"/>
  <c r="G51" i="2"/>
  <c r="G50" i="2"/>
  <c r="F50" i="2"/>
  <c r="H50" i="2" s="1"/>
  <c r="H49" i="2"/>
  <c r="G49" i="2"/>
  <c r="K49" i="2" s="1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G39" i="2"/>
  <c r="F39" i="2"/>
  <c r="H39" i="2" s="1"/>
  <c r="H38" i="2"/>
  <c r="G38" i="2"/>
  <c r="H37" i="2"/>
  <c r="E37" i="2"/>
  <c r="G37" i="2" s="1"/>
  <c r="H36" i="2"/>
  <c r="E36" i="2"/>
  <c r="G36" i="2" s="1"/>
  <c r="H35" i="2"/>
  <c r="E35" i="2"/>
  <c r="G35" i="2" s="1"/>
  <c r="H34" i="2"/>
  <c r="E34" i="2"/>
  <c r="G34" i="2" s="1"/>
  <c r="H33" i="2"/>
  <c r="E33" i="2"/>
  <c r="G33" i="2" s="1"/>
  <c r="H32" i="2"/>
  <c r="E32" i="2"/>
  <c r="G32" i="2" s="1"/>
  <c r="H31" i="2"/>
  <c r="E31" i="2"/>
  <c r="G31" i="2" s="1"/>
  <c r="H30" i="2"/>
  <c r="E30" i="2"/>
  <c r="G30" i="2" s="1"/>
  <c r="H29" i="2"/>
  <c r="E29" i="2"/>
  <c r="G29" i="2" s="1"/>
  <c r="H28" i="2"/>
  <c r="E28" i="2"/>
  <c r="G28" i="2" s="1"/>
  <c r="F27" i="2"/>
  <c r="H27" i="2" s="1"/>
  <c r="E27" i="2"/>
  <c r="G27" i="2" s="1"/>
  <c r="H26" i="2"/>
  <c r="E26" i="2"/>
  <c r="G26" i="2" s="1"/>
  <c r="H25" i="2"/>
  <c r="E25" i="2"/>
  <c r="G25" i="2" s="1"/>
  <c r="H24" i="2"/>
  <c r="G24" i="2"/>
  <c r="H23" i="2"/>
  <c r="G23" i="2"/>
  <c r="H22" i="2"/>
  <c r="G22" i="2"/>
  <c r="H21" i="2"/>
  <c r="K21" i="2" s="1"/>
  <c r="G21" i="2"/>
  <c r="H20" i="2"/>
  <c r="G20" i="2"/>
  <c r="H19" i="2"/>
  <c r="G19" i="2"/>
  <c r="H18" i="2"/>
  <c r="G18" i="2"/>
  <c r="H17" i="2"/>
  <c r="K17" i="2" s="1"/>
  <c r="G17" i="2"/>
  <c r="H16" i="2"/>
  <c r="G16" i="2"/>
  <c r="H15" i="2"/>
  <c r="G15" i="2"/>
  <c r="G14" i="2"/>
  <c r="F14" i="2"/>
  <c r="H14" i="2" s="1"/>
  <c r="H13" i="2"/>
  <c r="G13" i="2"/>
  <c r="H12" i="2"/>
  <c r="G12" i="2"/>
  <c r="G11" i="2"/>
  <c r="F11" i="2"/>
  <c r="H11" i="2" s="1"/>
  <c r="H7" i="2"/>
  <c r="G7" i="2"/>
  <c r="H6" i="2"/>
  <c r="G6" i="2"/>
  <c r="H5" i="2"/>
  <c r="G5" i="2"/>
  <c r="H4" i="2"/>
  <c r="G4" i="2"/>
  <c r="H3" i="2"/>
  <c r="H2" i="2"/>
  <c r="G2" i="2"/>
  <c r="B155" i="4" l="1"/>
  <c r="B19" i="4"/>
  <c r="B27" i="4"/>
  <c r="B60" i="4"/>
  <c r="B71" i="4"/>
  <c r="B158" i="4"/>
  <c r="B159" i="4"/>
  <c r="B157" i="4"/>
  <c r="B145" i="4"/>
  <c r="B147" i="4"/>
  <c r="B154" i="4"/>
  <c r="D19" i="4"/>
  <c r="D27" i="4"/>
  <c r="B146" i="4"/>
  <c r="F114" i="3"/>
  <c r="F137" i="3"/>
  <c r="F139" i="3"/>
  <c r="F49" i="3"/>
  <c r="F51" i="3"/>
  <c r="F105" i="3"/>
  <c r="B104" i="3"/>
  <c r="B113" i="3"/>
  <c r="B136" i="3"/>
  <c r="B138" i="3"/>
  <c r="B54" i="3"/>
  <c r="F70" i="3"/>
  <c r="F72" i="3"/>
  <c r="F74" i="3"/>
  <c r="F85" i="3"/>
  <c r="B87" i="3"/>
  <c r="B102" i="3"/>
  <c r="F165" i="3"/>
  <c r="K41" i="2"/>
  <c r="K79" i="2"/>
  <c r="K87" i="2"/>
  <c r="K95" i="2"/>
  <c r="K103" i="2"/>
  <c r="K115" i="2"/>
  <c r="K128" i="2"/>
  <c r="K132" i="2"/>
  <c r="K145" i="2"/>
  <c r="K149" i="2"/>
  <c r="K185" i="2"/>
  <c r="K190" i="2"/>
  <c r="K198" i="2"/>
  <c r="K245" i="2"/>
  <c r="K269" i="2"/>
  <c r="K279" i="2"/>
  <c r="K313" i="2"/>
  <c r="K315" i="2"/>
  <c r="K323" i="2"/>
  <c r="K368" i="2"/>
  <c r="K456" i="2"/>
  <c r="K495" i="2"/>
  <c r="K499" i="2"/>
  <c r="K511" i="2"/>
  <c r="K515" i="2"/>
  <c r="K549" i="2"/>
  <c r="K421" i="2"/>
  <c r="K440" i="2"/>
  <c r="K5" i="2"/>
  <c r="K18" i="2"/>
  <c r="K20" i="2"/>
  <c r="K22" i="2"/>
  <c r="K26" i="2"/>
  <c r="K46" i="2"/>
  <c r="K53" i="2"/>
  <c r="K76" i="2"/>
  <c r="K193" i="2"/>
  <c r="K195" i="2"/>
  <c r="K197" i="2"/>
  <c r="K201" i="2"/>
  <c r="K236" i="2"/>
  <c r="K238" i="2"/>
  <c r="K240" i="2"/>
  <c r="K250" i="2"/>
  <c r="K252" i="2"/>
  <c r="K265" i="2"/>
  <c r="K276" i="2"/>
  <c r="K296" i="2"/>
  <c r="K305" i="2"/>
  <c r="K308" i="2"/>
  <c r="K310" i="2"/>
  <c r="K312" i="2"/>
  <c r="K343" i="2"/>
  <c r="K355" i="2"/>
  <c r="K375" i="2"/>
  <c r="K391" i="2"/>
  <c r="K395" i="2"/>
  <c r="K429" i="2"/>
  <c r="K457" i="2"/>
  <c r="K469" i="2"/>
  <c r="K488" i="2"/>
  <c r="K528" i="2"/>
  <c r="K44" i="2"/>
  <c r="K80" i="2"/>
  <c r="K319" i="2"/>
  <c r="K359" i="2"/>
  <c r="K411" i="2"/>
  <c r="K419" i="2"/>
  <c r="K463" i="2"/>
  <c r="K467" i="2"/>
  <c r="K492" i="2"/>
  <c r="K534" i="2"/>
  <c r="K538" i="2"/>
  <c r="K548" i="2"/>
  <c r="K263" i="2"/>
  <c r="K2" i="2"/>
  <c r="K12" i="2"/>
  <c r="K39" i="2"/>
  <c r="K45" i="2"/>
  <c r="K47" i="2"/>
  <c r="K68" i="2"/>
  <c r="K71" i="2"/>
  <c r="K81" i="2"/>
  <c r="K89" i="2"/>
  <c r="K96" i="2"/>
  <c r="K106" i="2"/>
  <c r="K119" i="2"/>
  <c r="K123" i="2"/>
  <c r="K140" i="2"/>
  <c r="K183" i="2"/>
  <c r="O209" i="2"/>
  <c r="K213" i="2"/>
  <c r="K267" i="2"/>
  <c r="K304" i="2"/>
  <c r="K316" i="2"/>
  <c r="K318" i="2"/>
  <c r="K320" i="2"/>
  <c r="K327" i="2"/>
  <c r="K333" i="2"/>
  <c r="K360" i="2"/>
  <c r="K362" i="2"/>
  <c r="K369" i="2"/>
  <c r="K371" i="2"/>
  <c r="K377" i="2"/>
  <c r="K392" i="2"/>
  <c r="K427" i="2"/>
  <c r="K435" i="2"/>
  <c r="K439" i="2"/>
  <c r="K441" i="2"/>
  <c r="K464" i="2"/>
  <c r="K466" i="2"/>
  <c r="K468" i="2"/>
  <c r="K479" i="2"/>
  <c r="K483" i="2"/>
  <c r="K489" i="2"/>
  <c r="K501" i="2"/>
  <c r="K508" i="2"/>
  <c r="K535" i="2"/>
  <c r="K537" i="2"/>
  <c r="K166" i="2"/>
  <c r="K174" i="2"/>
  <c r="K244" i="2"/>
  <c r="K259" i="2"/>
  <c r="K6" i="2"/>
  <c r="K13" i="2"/>
  <c r="K23" i="2"/>
  <c r="K25" i="2"/>
  <c r="K28" i="2"/>
  <c r="K30" i="2"/>
  <c r="K32" i="2"/>
  <c r="K34" i="2"/>
  <c r="K36" i="2"/>
  <c r="K55" i="2"/>
  <c r="K62" i="2"/>
  <c r="K65" i="2"/>
  <c r="K70" i="2"/>
  <c r="K72" i="2"/>
  <c r="K74" i="2"/>
  <c r="K97" i="2"/>
  <c r="K105" i="2"/>
  <c r="K107" i="2"/>
  <c r="K122" i="2"/>
  <c r="K124" i="2"/>
  <c r="K126" i="2"/>
  <c r="K137" i="2"/>
  <c r="K141" i="2"/>
  <c r="K143" i="2"/>
  <c r="K151" i="2"/>
  <c r="K158" i="2"/>
  <c r="K160" i="2"/>
  <c r="K173" i="2"/>
  <c r="K196" i="2"/>
  <c r="K202" i="2"/>
  <c r="K226" i="2"/>
  <c r="K235" i="2"/>
  <c r="K239" i="2"/>
  <c r="K297" i="2"/>
  <c r="K300" i="2"/>
  <c r="K328" i="2"/>
  <c r="K330" i="2"/>
  <c r="K337" i="2"/>
  <c r="K339" i="2"/>
  <c r="K345" i="2"/>
  <c r="K347" i="2"/>
  <c r="K349" i="2"/>
  <c r="K364" i="2"/>
  <c r="K366" i="2"/>
  <c r="K393" i="2"/>
  <c r="K412" i="2"/>
  <c r="K432" i="2"/>
  <c r="K436" i="2"/>
  <c r="K480" i="2"/>
  <c r="K482" i="2"/>
  <c r="K484" i="2"/>
  <c r="K505" i="2"/>
  <c r="K517" i="2"/>
  <c r="K530" i="2"/>
  <c r="K532" i="2"/>
  <c r="K543" i="2"/>
  <c r="K258" i="2"/>
  <c r="B54" i="4"/>
  <c r="D54" i="4"/>
  <c r="D119" i="4"/>
  <c r="B119" i="4"/>
  <c r="K4" i="2"/>
  <c r="K16" i="2"/>
  <c r="K38" i="2"/>
  <c r="K43" i="2"/>
  <c r="K48" i="2"/>
  <c r="K50" i="2"/>
  <c r="K52" i="2"/>
  <c r="K57" i="2"/>
  <c r="K59" i="2"/>
  <c r="K75" i="2"/>
  <c r="K77" i="2"/>
  <c r="K86" i="2"/>
  <c r="K91" i="2"/>
  <c r="K93" i="2"/>
  <c r="K112" i="2"/>
  <c r="K114" i="2"/>
  <c r="K120" i="2"/>
  <c r="K139" i="2"/>
  <c r="K146" i="2"/>
  <c r="K148" i="2"/>
  <c r="K162" i="2"/>
  <c r="K186" i="2"/>
  <c r="K200" i="2"/>
  <c r="K208" i="2"/>
  <c r="K211" i="2"/>
  <c r="K228" i="2"/>
  <c r="K233" i="2"/>
  <c r="K284" i="2"/>
  <c r="K322" i="2"/>
  <c r="K325" i="2"/>
  <c r="K335" i="2"/>
  <c r="K342" i="2"/>
  <c r="K357" i="2"/>
  <c r="K367" i="2"/>
  <c r="K374" i="2"/>
  <c r="K386" i="2"/>
  <c r="K389" i="2"/>
  <c r="K423" i="2"/>
  <c r="K425" i="2"/>
  <c r="K434" i="2"/>
  <c r="K453" i="2"/>
  <c r="B26" i="3"/>
  <c r="F26" i="3"/>
  <c r="B28" i="3"/>
  <c r="F28" i="3"/>
  <c r="B38" i="3"/>
  <c r="B33" i="3"/>
  <c r="B35" i="3"/>
  <c r="B37" i="3"/>
  <c r="B140" i="3"/>
  <c r="B141" i="3" s="1"/>
  <c r="F140" i="3"/>
  <c r="B165" i="3"/>
  <c r="B20" i="4"/>
  <c r="D20" i="4"/>
  <c r="E65" i="4"/>
  <c r="B65" i="4"/>
  <c r="E90" i="4"/>
  <c r="B90" i="4"/>
  <c r="D113" i="4"/>
  <c r="B113" i="4"/>
  <c r="B138" i="4"/>
  <c r="D138" i="4"/>
  <c r="E15" i="4"/>
  <c r="B15" i="4"/>
  <c r="E75" i="4"/>
  <c r="B75" i="4"/>
  <c r="K15" i="2"/>
  <c r="K24" i="2"/>
  <c r="O192" i="2"/>
  <c r="K191" i="2"/>
  <c r="K204" i="2"/>
  <c r="K218" i="2"/>
  <c r="K220" i="2"/>
  <c r="K237" i="2"/>
  <c r="K242" i="2"/>
  <c r="K251" i="2"/>
  <c r="K261" i="2"/>
  <c r="K271" i="2"/>
  <c r="K317" i="2"/>
  <c r="B13" i="4"/>
  <c r="E13" i="4"/>
  <c r="E42" i="4"/>
  <c r="B42" i="4"/>
  <c r="D53" i="4"/>
  <c r="B53" i="4"/>
  <c r="B74" i="4"/>
  <c r="B118" i="4"/>
  <c r="D118" i="4"/>
  <c r="F111" i="3"/>
  <c r="B111" i="3"/>
  <c r="K7" i="2"/>
  <c r="K19" i="2"/>
  <c r="K29" i="2"/>
  <c r="K31" i="2"/>
  <c r="K33" i="2"/>
  <c r="K35" i="2"/>
  <c r="K37" i="2"/>
  <c r="K40" i="2"/>
  <c r="K42" i="2"/>
  <c r="K51" i="2"/>
  <c r="K60" i="2"/>
  <c r="K78" i="2"/>
  <c r="K83" i="2"/>
  <c r="K85" i="2"/>
  <c r="K94" i="2"/>
  <c r="K99" i="2"/>
  <c r="K101" i="2"/>
  <c r="K109" i="2"/>
  <c r="K111" i="2"/>
  <c r="K138" i="2"/>
  <c r="K163" i="2"/>
  <c r="K165" i="2"/>
  <c r="K170" i="2"/>
  <c r="K172" i="2"/>
  <c r="K182" i="2"/>
  <c r="K192" i="2"/>
  <c r="K203" i="2"/>
  <c r="K212" i="2"/>
  <c r="K222" i="2"/>
  <c r="K224" i="2"/>
  <c r="K227" i="2"/>
  <c r="K229" i="2"/>
  <c r="K246" i="2"/>
  <c r="K253" i="2"/>
  <c r="K256" i="2"/>
  <c r="K266" i="2"/>
  <c r="K268" i="2"/>
  <c r="K298" i="2"/>
  <c r="K302" i="2"/>
  <c r="K306" i="2"/>
  <c r="K309" i="2"/>
  <c r="K321" i="2"/>
  <c r="K326" i="2"/>
  <c r="K338" i="2"/>
  <c r="K341" i="2"/>
  <c r="K351" i="2"/>
  <c r="K353" i="2"/>
  <c r="K358" i="2"/>
  <c r="K370" i="2"/>
  <c r="K373" i="2"/>
  <c r="K383" i="2"/>
  <c r="K385" i="2"/>
  <c r="K390" i="2"/>
  <c r="K406" i="2"/>
  <c r="K408" i="2"/>
  <c r="K410" i="2"/>
  <c r="K415" i="2"/>
  <c r="K417" i="2"/>
  <c r="K426" i="2"/>
  <c r="K431" i="2"/>
  <c r="K433" i="2"/>
  <c r="K437" i="2"/>
  <c r="K448" i="2"/>
  <c r="B25" i="3"/>
  <c r="F25" i="3"/>
  <c r="B27" i="3"/>
  <c r="F27" i="3"/>
  <c r="F39" i="3"/>
  <c r="B12" i="4"/>
  <c r="D12" i="4"/>
  <c r="E63" i="4"/>
  <c r="B63" i="4"/>
  <c r="D101" i="4"/>
  <c r="B101" i="4"/>
  <c r="B112" i="4"/>
  <c r="D112" i="4"/>
  <c r="D139" i="4"/>
  <c r="B139" i="4"/>
  <c r="B150" i="4"/>
  <c r="K471" i="2"/>
  <c r="K487" i="2"/>
  <c r="K503" i="2"/>
  <c r="K519" i="2"/>
  <c r="F50" i="3"/>
  <c r="F55" i="3" s="1"/>
  <c r="F117" i="3"/>
  <c r="B129" i="4"/>
  <c r="K443" i="2"/>
  <c r="K445" i="2"/>
  <c r="K459" i="2"/>
  <c r="K461" i="2"/>
  <c r="K475" i="2"/>
  <c r="K491" i="2"/>
  <c r="K493" i="2"/>
  <c r="K507" i="2"/>
  <c r="K509" i="2"/>
  <c r="K523" i="2"/>
  <c r="B49" i="3"/>
  <c r="B51" i="3"/>
  <c r="F53" i="3"/>
  <c r="F71" i="3"/>
  <c r="F76" i="3" s="1"/>
  <c r="F73" i="3"/>
  <c r="F75" i="3"/>
  <c r="B116" i="3"/>
  <c r="B118" i="3"/>
  <c r="F127" i="3"/>
  <c r="F129" i="3"/>
  <c r="F131" i="3"/>
  <c r="B9" i="4"/>
  <c r="B11" i="4"/>
  <c r="B17" i="4"/>
  <c r="B70" i="4"/>
  <c r="B79" i="4"/>
  <c r="K442" i="2"/>
  <c r="K449" i="2"/>
  <c r="K458" i="2"/>
  <c r="K465" i="2"/>
  <c r="K474" i="2"/>
  <c r="K481" i="2"/>
  <c r="K490" i="2"/>
  <c r="K497" i="2"/>
  <c r="K506" i="2"/>
  <c r="K513" i="2"/>
  <c r="K522" i="2"/>
  <c r="K531" i="2"/>
  <c r="K536" i="2"/>
  <c r="K541" i="2"/>
  <c r="K546" i="2"/>
  <c r="B6" i="3"/>
  <c r="B8" i="3"/>
  <c r="B10" i="3"/>
  <c r="B12" i="3"/>
  <c r="B14" i="3"/>
  <c r="B16" i="3"/>
  <c r="B18" i="3"/>
  <c r="F112" i="3"/>
  <c r="B126" i="3"/>
  <c r="B128" i="3"/>
  <c r="B130" i="3"/>
  <c r="B132" i="3"/>
  <c r="B14" i="4"/>
  <c r="D18" i="4"/>
  <c r="B25" i="4"/>
  <c r="D26" i="4"/>
  <c r="B35" i="4"/>
  <c r="D36" i="4"/>
  <c r="B44" i="4"/>
  <c r="D45" i="4"/>
  <c r="B59" i="4"/>
  <c r="D60" i="4"/>
  <c r="B64" i="4"/>
  <c r="B89" i="4"/>
  <c r="D104" i="4"/>
  <c r="D110" i="4"/>
  <c r="D116" i="4"/>
  <c r="B149" i="4"/>
  <c r="B151" i="4"/>
  <c r="B33" i="4"/>
  <c r="D34" i="4"/>
  <c r="B34" i="4"/>
  <c r="B156" i="4"/>
  <c r="B160" i="4"/>
  <c r="D28" i="4"/>
  <c r="B28" i="4"/>
  <c r="D43" i="4"/>
  <c r="B43" i="4"/>
  <c r="D52" i="4"/>
  <c r="B52" i="4"/>
  <c r="D62" i="4"/>
  <c r="B62" i="4"/>
  <c r="D72" i="4"/>
  <c r="B72" i="4"/>
  <c r="D81" i="4"/>
  <c r="B81" i="4"/>
  <c r="D6" i="4"/>
  <c r="D10" i="4"/>
  <c r="B37" i="4"/>
  <c r="D38" i="4"/>
  <c r="B38" i="4"/>
  <c r="D83" i="4"/>
  <c r="B83" i="4"/>
  <c r="B92" i="4"/>
  <c r="D93" i="4"/>
  <c r="B93" i="4"/>
  <c r="B102" i="4"/>
  <c r="B114" i="4"/>
  <c r="B136" i="4"/>
  <c r="B140" i="4"/>
  <c r="B73" i="4"/>
  <c r="B88" i="4"/>
  <c r="B103" i="4"/>
  <c r="B109" i="4"/>
  <c r="B115" i="4"/>
  <c r="B126" i="4"/>
  <c r="B133" i="4" s="1"/>
  <c r="B128" i="4"/>
  <c r="B132" i="4"/>
  <c r="B137" i="4"/>
  <c r="B43" i="3"/>
  <c r="F43" i="3"/>
  <c r="B45" i="3"/>
  <c r="F45" i="3"/>
  <c r="B60" i="3"/>
  <c r="F60" i="3"/>
  <c r="B62" i="3"/>
  <c r="F62" i="3"/>
  <c r="B64" i="3"/>
  <c r="F64" i="3"/>
  <c r="B83" i="3"/>
  <c r="F83" i="3"/>
  <c r="B89" i="3"/>
  <c r="F89" i="3"/>
  <c r="B91" i="3"/>
  <c r="F91" i="3"/>
  <c r="B93" i="3"/>
  <c r="F93" i="3"/>
  <c r="B150" i="3"/>
  <c r="F150" i="3"/>
  <c r="B152" i="3"/>
  <c r="F152" i="3"/>
  <c r="B154" i="3"/>
  <c r="F154" i="3"/>
  <c r="B156" i="3"/>
  <c r="F156" i="3"/>
  <c r="B158" i="3"/>
  <c r="F158" i="3"/>
  <c r="B160" i="3"/>
  <c r="F160" i="3"/>
  <c r="B162" i="3"/>
  <c r="F162" i="3"/>
  <c r="B50" i="3"/>
  <c r="B55" i="3" s="1"/>
  <c r="B70" i="3"/>
  <c r="B72" i="3"/>
  <c r="B74" i="3"/>
  <c r="B42" i="3"/>
  <c r="F42" i="3"/>
  <c r="B44" i="3"/>
  <c r="F44" i="3"/>
  <c r="B59" i="3"/>
  <c r="F59" i="3"/>
  <c r="B61" i="3"/>
  <c r="F61" i="3"/>
  <c r="B63" i="3"/>
  <c r="F63" i="3"/>
  <c r="B65" i="3"/>
  <c r="F65" i="3"/>
  <c r="B82" i="3"/>
  <c r="F82" i="3"/>
  <c r="B88" i="3"/>
  <c r="F88" i="3"/>
  <c r="B90" i="3"/>
  <c r="F90" i="3"/>
  <c r="B92" i="3"/>
  <c r="F92" i="3"/>
  <c r="B84" i="3"/>
  <c r="B80" i="3"/>
  <c r="B85" i="3"/>
  <c r="B79" i="3"/>
  <c r="B86" i="3"/>
  <c r="B81" i="3"/>
  <c r="B114" i="3"/>
  <c r="B125" i="3"/>
  <c r="F125" i="3"/>
  <c r="F133" i="3" s="1"/>
  <c r="B151" i="3"/>
  <c r="F151" i="3"/>
  <c r="B153" i="3"/>
  <c r="F153" i="3"/>
  <c r="B155" i="3"/>
  <c r="F155" i="3"/>
  <c r="B157" i="3"/>
  <c r="F157" i="3"/>
  <c r="B159" i="3"/>
  <c r="F159" i="3"/>
  <c r="B161" i="3"/>
  <c r="F161" i="3"/>
  <c r="B163" i="3"/>
  <c r="F163" i="3"/>
  <c r="B34" i="3"/>
  <c r="B36" i="3"/>
  <c r="B101" i="3"/>
  <c r="B115" i="3"/>
  <c r="K27" i="2"/>
  <c r="K11" i="2"/>
  <c r="O11" i="2"/>
  <c r="K14" i="2"/>
  <c r="O160" i="2"/>
  <c r="K157" i="2"/>
  <c r="K217" i="2"/>
  <c r="O216" i="2"/>
  <c r="O294" i="2"/>
  <c r="K293" i="2"/>
  <c r="K247" i="2"/>
  <c r="O8" i="2"/>
  <c r="O181" i="2"/>
  <c r="K113" i="2"/>
  <c r="K130" i="2"/>
  <c r="O139" i="2"/>
  <c r="K147" i="2"/>
  <c r="K164" i="2"/>
  <c r="K181" i="2"/>
  <c r="K194" i="2"/>
  <c r="K199" i="2"/>
  <c r="K234" i="2"/>
  <c r="K243" i="2"/>
  <c r="K248" i="2"/>
  <c r="K262" i="2"/>
  <c r="K314" i="2"/>
  <c r="O278" i="2"/>
  <c r="O531" i="2"/>
  <c r="K553" i="2"/>
  <c r="K278" i="2"/>
  <c r="K283" i="2"/>
  <c r="K295" i="2"/>
  <c r="K299" i="2"/>
  <c r="K303" i="2"/>
  <c r="O409" i="2"/>
  <c r="K404" i="2"/>
  <c r="K409" i="2"/>
  <c r="K414" i="2"/>
  <c r="K422" i="2"/>
  <c r="K430" i="2"/>
  <c r="K438" i="2"/>
  <c r="K446" i="2"/>
  <c r="K454" i="2"/>
  <c r="K462" i="2"/>
  <c r="K470" i="2"/>
  <c r="K478" i="2"/>
  <c r="K486" i="2"/>
  <c r="K494" i="2"/>
  <c r="K502" i="2"/>
  <c r="K510" i="2"/>
  <c r="K518" i="2"/>
  <c r="K533" i="2"/>
  <c r="K542" i="2"/>
  <c r="K554" i="2"/>
  <c r="B161" i="4" l="1"/>
  <c r="B21" i="4"/>
  <c r="B76" i="4"/>
  <c r="B105" i="3"/>
  <c r="F94" i="3"/>
  <c r="F46" i="3"/>
  <c r="F120" i="3"/>
  <c r="F141" i="3"/>
  <c r="B21" i="3"/>
  <c r="K134" i="2"/>
  <c r="K214" i="2"/>
  <c r="K152" i="2"/>
  <c r="K187" i="2"/>
  <c r="K286" i="2"/>
  <c r="K116" i="2"/>
  <c r="A17" i="2" s="1"/>
  <c r="B141" i="4"/>
  <c r="B55" i="4"/>
  <c r="B29" i="4"/>
  <c r="B39" i="3"/>
  <c r="B133" i="3"/>
  <c r="B105" i="4"/>
  <c r="B94" i="4"/>
  <c r="B66" i="4"/>
  <c r="B46" i="4"/>
  <c r="F29" i="3"/>
  <c r="K556" i="2"/>
  <c r="K524" i="2"/>
  <c r="K205" i="2"/>
  <c r="B120" i="3"/>
  <c r="B29" i="3"/>
  <c r="B120" i="4"/>
  <c r="B39" i="4"/>
  <c r="F66" i="3"/>
  <c r="B94" i="3"/>
  <c r="F166" i="3"/>
  <c r="B76" i="3"/>
  <c r="B166" i="3"/>
  <c r="B66" i="3"/>
  <c r="B46" i="3"/>
  <c r="K272" i="2"/>
  <c r="A228" i="2" s="1"/>
  <c r="K398" i="2"/>
  <c r="K1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Jordi Mas</author>
  </authors>
  <commentList>
    <comment ref="C157" authorId="0" shapeId="0" xr:uid="{5925CEEC-C852-F74C-A1D5-451ACBD312B1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No data</t>
        </r>
      </text>
    </comment>
    <comment ref="D209" authorId="0" shapeId="0" xr:uid="{32545C1C-5248-FC4B-A59C-1CB1D69DA0E8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No data</t>
        </r>
      </text>
    </comment>
    <comment ref="D226" authorId="0" shapeId="0" xr:uid="{13776ACE-CC4D-6044-8530-28E5AA76B9A6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2013 instead of 2012 (1)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u115463</author>
    <author>Jordi Mas</author>
  </authors>
  <commentList>
    <comment ref="A50" authorId="0" shapeId="0" xr:uid="{3BE3A8B7-1B08-B34E-8E6E-E452C904ED07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from WTO 2016</t>
        </r>
      </text>
    </comment>
    <comment ref="A52" authorId="0" shapeId="0" xr:uid="{5F72CBA8-DFCB-5546-9872-62CEDD7DE676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from 2015</t>
        </r>
      </text>
    </comment>
    <comment ref="A54" authorId="0" shapeId="0" xr:uid="{85A9A3FD-F035-5848-BC03-707A4ACF4ACD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from WTO 2016</t>
        </r>
      </text>
    </comment>
    <comment ref="A136" authorId="0" shapeId="0" xr:uid="{DFB6AFD1-0078-5D4A-92E2-FE7DB5766EE0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MIT 2015</t>
        </r>
      </text>
    </comment>
    <comment ref="A137" authorId="0" shapeId="0" xr:uid="{25D0C79A-48FB-6342-8F44-AAA685890CAA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MIT 2015</t>
        </r>
      </text>
    </comment>
    <comment ref="A139" authorId="1" shapeId="0" xr:uid="{7E8A0B1B-7670-5B46-A478-018028A537A5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Data MIT 2015</t>
        </r>
      </text>
    </comment>
    <comment ref="A144" authorId="0" shapeId="0" xr:uid="{A9896267-9162-F641-8A76-DB11A0E3F6F2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MIT 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Jordi Mas</author>
    <author>u115463</author>
  </authors>
  <commentList>
    <comment ref="A6" authorId="0" shapeId="0" xr:uid="{DDEDC79E-772B-8548-9B04-1687EEA0B065}">
      <text>
        <r>
          <rPr>
            <b/>
            <sz val="9"/>
            <color rgb="FF000000"/>
            <rFont val="Tahoma"/>
            <family val="2"/>
          </rPr>
          <t>Jordi 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2009 UN COMTRADE</t>
        </r>
      </text>
    </comment>
    <comment ref="A36" authorId="0" shapeId="0" xr:uid="{B7712519-5915-1145-AF79-5AF37FCD63C7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Data WTO + estimation</t>
        </r>
      </text>
    </comment>
    <comment ref="A100" authorId="1" shapeId="0" xr:uid="{D8904283-1BD3-5D4F-8730-9942DAC2163F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All data from 2010, as I can find all the cases in 2010.</t>
        </r>
      </text>
    </comment>
    <comment ref="A102" authorId="0" shapeId="0" xr:uid="{D5BA4405-8692-C64E-92E5-BFEAE593CF42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UN Comtrade 2010</t>
        </r>
      </text>
    </comment>
    <comment ref="A124" authorId="0" shapeId="0" xr:uid="{A8FEBBFB-B590-284B-BE2A-0950C2DE4A99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Chad data from MIT atlas</t>
        </r>
      </text>
    </comment>
    <comment ref="A136" authorId="1" shapeId="0" xr:uid="{2E70A2F2-397C-9240-9AA0-53175DC00545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UNCOMTRADE 2015</t>
        </r>
      </text>
    </comment>
    <comment ref="A137" authorId="1" shapeId="0" xr:uid="{46CAFC2A-90F5-D342-BFE7-5AF62E74E04A}">
      <text>
        <r>
          <rPr>
            <b/>
            <sz val="9"/>
            <color indexed="81"/>
            <rFont val="Tahoma"/>
            <family val="2"/>
          </rPr>
          <t>u115463:</t>
        </r>
        <r>
          <rPr>
            <sz val="9"/>
            <color indexed="81"/>
            <rFont val="Tahoma"/>
            <family val="2"/>
          </rPr>
          <t xml:space="preserve">
Data UNCOMTRADE 2013</t>
        </r>
      </text>
    </comment>
    <comment ref="A144" authorId="0" shapeId="0" xr:uid="{73C14F0B-2FBB-BC4E-96E7-B6FA2CD74BB9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Missing data from previous years (2015-2013).
Cabo Verde and Guinea Bissau estimation from WTO.
Liberia estimated from MIT database</t>
        </r>
      </text>
    </comment>
    <comment ref="A148" authorId="0" shapeId="0" xr:uid="{63C3BD3A-9FE5-A64F-818F-4C6F86244A8E}">
      <text>
        <r>
          <rPr>
            <b/>
            <sz val="9"/>
            <color indexed="81"/>
            <rFont val="Tahoma"/>
            <family val="2"/>
          </rPr>
          <t>Jordi Mas:</t>
        </r>
        <r>
          <rPr>
            <sz val="9"/>
            <color indexed="81"/>
            <rFont val="Tahoma"/>
            <family val="2"/>
          </rPr>
          <t xml:space="preserve">
Data from 2015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C3DE70E1-92E1-0E4C-8277-FA84371F8EDC}">
      <text>
        <r>
          <rPr>
            <b/>
            <sz val="9"/>
            <color rgb="FF000000"/>
            <rFont val="Tahoma"/>
            <family val="2"/>
          </rPr>
          <t>t=0; World Bank, GDP PPP current prices, 2008</t>
        </r>
      </text>
    </comment>
    <comment ref="J22" authorId="0" shapeId="0" xr:uid="{2CA0D235-DC2E-CA42-9725-DAF532E29110}">
      <text>
        <r>
          <rPr>
            <b/>
            <sz val="9"/>
            <color indexed="81"/>
            <rFont val="Tahoma"/>
            <family val="2"/>
          </rPr>
          <t>t=0; World Bank, GDP PPP current prices, 2008</t>
        </r>
      </text>
    </comment>
    <comment ref="J32" authorId="0" shapeId="0" xr:uid="{FD9EC598-4F90-7141-A5F9-4A578B0A3C09}">
      <text>
        <r>
          <rPr>
            <b/>
            <sz val="9"/>
            <color indexed="81"/>
            <rFont val="Tahoma"/>
            <family val="2"/>
          </rPr>
          <t>t=0; World Bank, GDP PPP current prices, 2008</t>
        </r>
      </text>
    </comment>
    <comment ref="E52" authorId="0" shapeId="0" xr:uid="{7D77FC8C-78A2-FC46-A9B2-D95B94F2E2A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Data 2011</t>
        </r>
      </text>
    </comment>
  </commentList>
</comments>
</file>

<file path=xl/sharedStrings.xml><?xml version="1.0" encoding="utf-8"?>
<sst xmlns="http://schemas.openxmlformats.org/spreadsheetml/2006/main" count="2438" uniqueCount="525">
  <si>
    <t>Brazil</t>
  </si>
  <si>
    <t>Paraguay</t>
  </si>
  <si>
    <t>Uruguay</t>
  </si>
  <si>
    <t>Argentina</t>
  </si>
  <si>
    <t>CARIFORUM 2008</t>
  </si>
  <si>
    <t>Haiti</t>
  </si>
  <si>
    <t>Antigua and Barbuda</t>
  </si>
  <si>
    <t>The Bahamas</t>
  </si>
  <si>
    <t>Barbados</t>
  </si>
  <si>
    <t>Belize</t>
  </si>
  <si>
    <t>Dominica</t>
  </si>
  <si>
    <t>Grenada</t>
  </si>
  <si>
    <t>Guyana</t>
  </si>
  <si>
    <t>Jamaica</t>
  </si>
  <si>
    <t>Saint Lucia</t>
  </si>
  <si>
    <t>Saint Vincent and the Grenadines</t>
  </si>
  <si>
    <t>Saint Kitts and Nevis</t>
  </si>
  <si>
    <t>Surinam</t>
  </si>
  <si>
    <t>Trinidad and Tobago</t>
  </si>
  <si>
    <t xml:space="preserve">Dominican Republic </t>
  </si>
  <si>
    <t>Missing</t>
  </si>
  <si>
    <t>Haiti 5</t>
  </si>
  <si>
    <t>Central America</t>
  </si>
  <si>
    <t>Panama</t>
  </si>
  <si>
    <t>Guatemala</t>
  </si>
  <si>
    <t>Costa Rica</t>
  </si>
  <si>
    <t>El Salvador</t>
  </si>
  <si>
    <t>Honduras</t>
  </si>
  <si>
    <t>Nicaragua</t>
  </si>
  <si>
    <t>SADC</t>
  </si>
  <si>
    <t>2016/17</t>
  </si>
  <si>
    <t>Botswana</t>
  </si>
  <si>
    <t>Lesotho</t>
  </si>
  <si>
    <t>Mozambique</t>
  </si>
  <si>
    <t>Namibia</t>
  </si>
  <si>
    <t>South Africa</t>
  </si>
  <si>
    <t>Swaziland</t>
  </si>
  <si>
    <t>ASEAN</t>
  </si>
  <si>
    <t>Brunei</t>
  </si>
  <si>
    <t>Brunei Darussalam</t>
  </si>
  <si>
    <t>Indonesia</t>
  </si>
  <si>
    <t>Malaysia</t>
  </si>
  <si>
    <t>Philippines</t>
  </si>
  <si>
    <t>Singapore</t>
  </si>
  <si>
    <t>Thailand</t>
  </si>
  <si>
    <t>Vietnam</t>
  </si>
  <si>
    <t>CAN</t>
  </si>
  <si>
    <t>Colombia</t>
  </si>
  <si>
    <t>Peru</t>
  </si>
  <si>
    <t>Ecuador</t>
  </si>
  <si>
    <t>Bolivia</t>
  </si>
  <si>
    <t>GCC</t>
  </si>
  <si>
    <t>UAE</t>
  </si>
  <si>
    <t>Bahrain</t>
  </si>
  <si>
    <t>Saudi Arabia</t>
  </si>
  <si>
    <t>Oman</t>
  </si>
  <si>
    <t>Qatar</t>
  </si>
  <si>
    <t>Kuwait</t>
  </si>
  <si>
    <t>Seychelles</t>
  </si>
  <si>
    <t>ESA interim</t>
  </si>
  <si>
    <t>Madagascar</t>
  </si>
  <si>
    <t>Mauritius</t>
  </si>
  <si>
    <t>Zimbabwe</t>
  </si>
  <si>
    <t>ESA FULL</t>
  </si>
  <si>
    <t>Comoros</t>
  </si>
  <si>
    <t>Djibouti</t>
  </si>
  <si>
    <t>Eritrea</t>
  </si>
  <si>
    <t>Ethiopia</t>
  </si>
  <si>
    <t>Malawi</t>
  </si>
  <si>
    <t>Sudan</t>
  </si>
  <si>
    <t>Zambia</t>
  </si>
  <si>
    <t>EAC</t>
  </si>
  <si>
    <t>Burundi</t>
  </si>
  <si>
    <t>Kenya</t>
  </si>
  <si>
    <t>Rwanda</t>
  </si>
  <si>
    <t>Uganda</t>
  </si>
  <si>
    <t>Tanzania</t>
  </si>
  <si>
    <t>PACIFIC</t>
  </si>
  <si>
    <t>Cook Islands</t>
  </si>
  <si>
    <t>Fiji</t>
  </si>
  <si>
    <t>Kiribati</t>
  </si>
  <si>
    <t>Marshall Islands</t>
  </si>
  <si>
    <t>Nauru</t>
  </si>
  <si>
    <t>Niue</t>
  </si>
  <si>
    <t>Palau</t>
  </si>
  <si>
    <t>Papua New Guinea</t>
  </si>
  <si>
    <t>American Samoa</t>
  </si>
  <si>
    <t>Solomon Islands</t>
  </si>
  <si>
    <t>Tonga</t>
  </si>
  <si>
    <t>Tuvalu</t>
  </si>
  <si>
    <t>Vanuatu</t>
  </si>
  <si>
    <t>West Africa</t>
  </si>
  <si>
    <t>Benin</t>
  </si>
  <si>
    <t>Burkina Faso</t>
  </si>
  <si>
    <t>Mali</t>
  </si>
  <si>
    <t>Niger</t>
  </si>
  <si>
    <t>Senegal</t>
  </si>
  <si>
    <t>Togo</t>
  </si>
  <si>
    <t>Ghana</t>
  </si>
  <si>
    <t>Guinea</t>
  </si>
  <si>
    <t>Guinea-Bissau</t>
  </si>
  <si>
    <t>Liberia</t>
  </si>
  <si>
    <t>Mauritania</t>
  </si>
  <si>
    <t>Nigeria</t>
  </si>
  <si>
    <t>Sierra Leone</t>
  </si>
  <si>
    <t>Central Africa</t>
  </si>
  <si>
    <t>Chad</t>
  </si>
  <si>
    <t>CAR</t>
  </si>
  <si>
    <t>Gabon</t>
  </si>
  <si>
    <t>Cameroon</t>
  </si>
  <si>
    <t>Equatorial Guinea</t>
  </si>
  <si>
    <t>CARICOM 2008</t>
  </si>
  <si>
    <r>
      <t>RegTrade</t>
    </r>
    <r>
      <rPr>
        <b/>
        <vertAlign val="subscript"/>
        <sz val="11"/>
        <color indexed="8"/>
        <rFont val="Calibri"/>
        <family val="2"/>
      </rPr>
      <t>r</t>
    </r>
  </si>
  <si>
    <r>
      <t>GDP</t>
    </r>
    <r>
      <rPr>
        <b/>
        <vertAlign val="subscript"/>
        <sz val="11"/>
        <color indexed="8"/>
        <rFont val="Calibri"/>
        <family val="2"/>
      </rPr>
      <t>i</t>
    </r>
  </si>
  <si>
    <t>Exports</t>
  </si>
  <si>
    <t>Imports</t>
  </si>
  <si>
    <t>Data HS07</t>
  </si>
  <si>
    <t>Venezuela, RB</t>
  </si>
  <si>
    <t>MERCOSUR 2012</t>
  </si>
  <si>
    <t>CENTRAL AMERICA 2012</t>
  </si>
  <si>
    <t>ANDEAN COMMUNITY 2008</t>
  </si>
  <si>
    <t>RE/WE</t>
  </si>
  <si>
    <t>RI/WI</t>
  </si>
  <si>
    <t>SADC 2016</t>
  </si>
  <si>
    <t>ASEAN 2009</t>
  </si>
  <si>
    <t>GCC 2008</t>
  </si>
  <si>
    <t>United Arab Emirates</t>
  </si>
  <si>
    <t>PACIFIC 2009</t>
  </si>
  <si>
    <t>Micronesia, Fed. Sts.</t>
  </si>
  <si>
    <t>Samoa</t>
  </si>
  <si>
    <t>Northern Mariana Islands</t>
  </si>
  <si>
    <t>Pacific island small states</t>
  </si>
  <si>
    <t>French Polynesia</t>
  </si>
  <si>
    <t>New Caledonia</t>
  </si>
  <si>
    <t>ESA 2009</t>
  </si>
  <si>
    <t>ESA full 2009</t>
  </si>
  <si>
    <t>CENTRAL AFRICA 2009</t>
  </si>
  <si>
    <t>Central African Republic</t>
  </si>
  <si>
    <t>Congo, Dem. Rep.</t>
  </si>
  <si>
    <t>Sao Tome and Principe</t>
  </si>
  <si>
    <t>Congo, Rep.</t>
  </si>
  <si>
    <t>EAC 2016</t>
  </si>
  <si>
    <t>WEST AFRICA 2008</t>
  </si>
  <si>
    <t>Cote d'Ivoire</t>
  </si>
  <si>
    <t>Cabo Verde</t>
  </si>
  <si>
    <t>Gambia, The</t>
  </si>
  <si>
    <t>World</t>
  </si>
  <si>
    <t>EUROPEAN UNION</t>
  </si>
  <si>
    <t>Albania</t>
  </si>
  <si>
    <t>Andorra</t>
  </si>
  <si>
    <t>Central Europe and the Baltics</t>
  </si>
  <si>
    <t>Switzerland</t>
  </si>
  <si>
    <t>Austria</t>
  </si>
  <si>
    <t>Belgium</t>
  </si>
  <si>
    <t>Bosnia and Herzegovina</t>
  </si>
  <si>
    <t>Bulgaria</t>
  </si>
  <si>
    <t>Belarus</t>
  </si>
  <si>
    <t>Cyprus</t>
  </si>
  <si>
    <t>Czech Republic</t>
  </si>
  <si>
    <t>Germany</t>
  </si>
  <si>
    <t>Denmark</t>
  </si>
  <si>
    <t>European Union</t>
  </si>
  <si>
    <t>Euro area</t>
  </si>
  <si>
    <t>Spain</t>
  </si>
  <si>
    <t>Estonia</t>
  </si>
  <si>
    <t>Finland</t>
  </si>
  <si>
    <t>France</t>
  </si>
  <si>
    <t>Faroe Islands</t>
  </si>
  <si>
    <t>United Kingdom</t>
  </si>
  <si>
    <t>Gibraltar</t>
  </si>
  <si>
    <t>Greece</t>
  </si>
  <si>
    <t>Croatia</t>
  </si>
  <si>
    <t>Hungary</t>
  </si>
  <si>
    <t>Italy</t>
  </si>
  <si>
    <t>Malta</t>
  </si>
  <si>
    <t>Ireland</t>
  </si>
  <si>
    <t>Iceland</t>
  </si>
  <si>
    <t>Liechtenstein</t>
  </si>
  <si>
    <t>Lithuania</t>
  </si>
  <si>
    <t>Luxembourg</t>
  </si>
  <si>
    <t>Latvia</t>
  </si>
  <si>
    <t>Monaco</t>
  </si>
  <si>
    <t>Moldova</t>
  </si>
  <si>
    <t>Macedonia, FYR</t>
  </si>
  <si>
    <t>Montenegro</t>
  </si>
  <si>
    <t>Netherlands</t>
  </si>
  <si>
    <t>Norway</t>
  </si>
  <si>
    <t>Poland</t>
  </si>
  <si>
    <t>OECD members</t>
  </si>
  <si>
    <t>Portugal</t>
  </si>
  <si>
    <t>Romania</t>
  </si>
  <si>
    <t>San Marino</t>
  </si>
  <si>
    <t>Slovak Republic</t>
  </si>
  <si>
    <t>Slovenia</t>
  </si>
  <si>
    <t>Sweden</t>
  </si>
  <si>
    <t>Russian Federation</t>
  </si>
  <si>
    <t>Ukraine</t>
  </si>
  <si>
    <t>Turkey</t>
  </si>
  <si>
    <t>Kosovo</t>
  </si>
  <si>
    <t>Serbia</t>
  </si>
  <si>
    <t>Israel</t>
  </si>
  <si>
    <t>Channel Islands</t>
  </si>
  <si>
    <t>ARABS</t>
  </si>
  <si>
    <t>Afghanistan</t>
  </si>
  <si>
    <t>Arab World</t>
  </si>
  <si>
    <t>Algeria</t>
  </si>
  <si>
    <t>Egypt, Arab Rep.</t>
  </si>
  <si>
    <t>Iran, Islamic Rep.</t>
  </si>
  <si>
    <t>Iraq</t>
  </si>
  <si>
    <t>Jordan</t>
  </si>
  <si>
    <t>Lebanon</t>
  </si>
  <si>
    <t>Libya</t>
  </si>
  <si>
    <t>Morocco</t>
  </si>
  <si>
    <t>Pakistan</t>
  </si>
  <si>
    <t>Yemen, Rep.</t>
  </si>
  <si>
    <t>Syrian Arab Republic</t>
  </si>
  <si>
    <t>Tunisia</t>
  </si>
  <si>
    <t>RUSSIANS</t>
  </si>
  <si>
    <t>Azerbaijan</t>
  </si>
  <si>
    <t>Armenia</t>
  </si>
  <si>
    <t>Uzbekistan</t>
  </si>
  <si>
    <t>Georgia</t>
  </si>
  <si>
    <t>Kazakhstan</t>
  </si>
  <si>
    <t>Kyrgyz Republic</t>
  </si>
  <si>
    <t>Tajikistan</t>
  </si>
  <si>
    <t>Turkmenistan</t>
  </si>
  <si>
    <t>ASIA</t>
  </si>
  <si>
    <t>Bangladesh</t>
  </si>
  <si>
    <t>Bhutan</t>
  </si>
  <si>
    <t>China</t>
  </si>
  <si>
    <t>Hong Kong SAR, China</t>
  </si>
  <si>
    <t>India</t>
  </si>
  <si>
    <t>Macao SAR, China</t>
  </si>
  <si>
    <t>Korea, Rep.</t>
  </si>
  <si>
    <t>Sri Lanka</t>
  </si>
  <si>
    <t>Mongolia</t>
  </si>
  <si>
    <t>Nepal</t>
  </si>
  <si>
    <t>Korea, Dem. People’s Rep.</t>
  </si>
  <si>
    <t>OTHERS</t>
  </si>
  <si>
    <t>Bermuda</t>
  </si>
  <si>
    <t>Australia</t>
  </si>
  <si>
    <t>Chile</t>
  </si>
  <si>
    <t>Greenland</t>
  </si>
  <si>
    <t>Canada</t>
  </si>
  <si>
    <t>Guam</t>
  </si>
  <si>
    <t>Isle of Man</t>
  </si>
  <si>
    <t>Japan</t>
  </si>
  <si>
    <t>Maldives</t>
  </si>
  <si>
    <t>Mexico</t>
  </si>
  <si>
    <t>New Zealand</t>
  </si>
  <si>
    <t>United States</t>
  </si>
  <si>
    <t>Puerto Rico</t>
  </si>
  <si>
    <t>EXPORTS</t>
  </si>
  <si>
    <t>IMPORT</t>
  </si>
  <si>
    <t>World Exports</t>
  </si>
  <si>
    <t>World Imports</t>
  </si>
  <si>
    <t>R Exports</t>
  </si>
  <si>
    <t>R Imports</t>
  </si>
  <si>
    <t>ANT</t>
  </si>
  <si>
    <t>BAH</t>
  </si>
  <si>
    <t>BAR</t>
  </si>
  <si>
    <t>BEL</t>
  </si>
  <si>
    <t>DOM</t>
  </si>
  <si>
    <t>DMR</t>
  </si>
  <si>
    <t>GRE</t>
  </si>
  <si>
    <t>GUY</t>
  </si>
  <si>
    <t>JAM</t>
  </si>
  <si>
    <t>SLU</t>
  </si>
  <si>
    <t>SVI</t>
  </si>
  <si>
    <t>SKI</t>
  </si>
  <si>
    <t>SUR</t>
  </si>
  <si>
    <t>TRI</t>
  </si>
  <si>
    <t>HAI</t>
  </si>
  <si>
    <t>X</t>
  </si>
  <si>
    <t>x</t>
  </si>
  <si>
    <t>IMPORTS</t>
  </si>
  <si>
    <t>ARG</t>
  </si>
  <si>
    <t>BRA</t>
  </si>
  <si>
    <t>PAR</t>
  </si>
  <si>
    <t>URU</t>
  </si>
  <si>
    <t>COS</t>
  </si>
  <si>
    <t>SAL</t>
  </si>
  <si>
    <t>GUA</t>
  </si>
  <si>
    <t>HON</t>
  </si>
  <si>
    <t>NIC</t>
  </si>
  <si>
    <t>PAN</t>
  </si>
  <si>
    <t>PER</t>
  </si>
  <si>
    <t>ECU</t>
  </si>
  <si>
    <t>COL</t>
  </si>
  <si>
    <t>BOL</t>
  </si>
  <si>
    <t>BOT</t>
  </si>
  <si>
    <t>LES</t>
  </si>
  <si>
    <t>NAM</t>
  </si>
  <si>
    <t>MOZ</t>
  </si>
  <si>
    <t>SAF</t>
  </si>
  <si>
    <t>SWA</t>
  </si>
  <si>
    <t>BRU</t>
  </si>
  <si>
    <t>IND</t>
  </si>
  <si>
    <t>MAL</t>
  </si>
  <si>
    <t>PHI</t>
  </si>
  <si>
    <t>SIN</t>
  </si>
  <si>
    <t>THI</t>
  </si>
  <si>
    <t>VIE</t>
  </si>
  <si>
    <t>KUW</t>
  </si>
  <si>
    <t>OMA</t>
  </si>
  <si>
    <t>QAT</t>
  </si>
  <si>
    <t>SAU</t>
  </si>
  <si>
    <t>COK</t>
  </si>
  <si>
    <t>FIJ</t>
  </si>
  <si>
    <t>MIC</t>
  </si>
  <si>
    <t>ASM</t>
  </si>
  <si>
    <t>KIR</t>
  </si>
  <si>
    <t>MAR</t>
  </si>
  <si>
    <t>NAU</t>
  </si>
  <si>
    <t>NIU</t>
  </si>
  <si>
    <t>PAL</t>
  </si>
  <si>
    <t>PNG</t>
  </si>
  <si>
    <t>SOL</t>
  </si>
  <si>
    <t>TON</t>
  </si>
  <si>
    <t>TUV</t>
  </si>
  <si>
    <t>VAN</t>
  </si>
  <si>
    <t>SAM</t>
  </si>
  <si>
    <t>MAD</t>
  </si>
  <si>
    <t>SEY</t>
  </si>
  <si>
    <t>MAU</t>
  </si>
  <si>
    <t>ZIM</t>
  </si>
  <si>
    <t>COM</t>
  </si>
  <si>
    <t>DJI</t>
  </si>
  <si>
    <t>ERI</t>
  </si>
  <si>
    <t>ETH</t>
  </si>
  <si>
    <t>SUD</t>
  </si>
  <si>
    <t>ZAM</t>
  </si>
  <si>
    <t>CHA</t>
  </si>
  <si>
    <t>DRC</t>
  </si>
  <si>
    <t>GAB</t>
  </si>
  <si>
    <t>CAM</t>
  </si>
  <si>
    <t>EQU</t>
  </si>
  <si>
    <t>SAO</t>
  </si>
  <si>
    <t>CON</t>
  </si>
  <si>
    <t>BUR</t>
  </si>
  <si>
    <t>KEN</t>
  </si>
  <si>
    <t>RWA</t>
  </si>
  <si>
    <t>UGA</t>
  </si>
  <si>
    <t>TAN</t>
  </si>
  <si>
    <t>BEN</t>
  </si>
  <si>
    <t>BKF</t>
  </si>
  <si>
    <t>CAB</t>
  </si>
  <si>
    <t>CDI</t>
  </si>
  <si>
    <t>GAM</t>
  </si>
  <si>
    <t>GHA</t>
  </si>
  <si>
    <t>GUI</t>
  </si>
  <si>
    <t>GUB</t>
  </si>
  <si>
    <t>LIB</t>
  </si>
  <si>
    <t>MAA</t>
  </si>
  <si>
    <t>NIR</t>
  </si>
  <si>
    <t>NIG</t>
  </si>
  <si>
    <t>SEN</t>
  </si>
  <si>
    <t>SIE</t>
  </si>
  <si>
    <t>TO</t>
  </si>
  <si>
    <t>Trade</t>
  </si>
  <si>
    <t>GDP/W</t>
  </si>
  <si>
    <t>Pop</t>
  </si>
  <si>
    <t>GDP t=0</t>
  </si>
  <si>
    <t>GDPi/GDPr</t>
  </si>
  <si>
    <t>Concentration</t>
  </si>
  <si>
    <t>Small open</t>
  </si>
  <si>
    <t>High</t>
  </si>
  <si>
    <t>Medium</t>
  </si>
  <si>
    <t>Low</t>
  </si>
  <si>
    <t>GDPr</t>
  </si>
  <si>
    <t>Central America 2012</t>
  </si>
  <si>
    <t>N = 6</t>
  </si>
  <si>
    <t>9M</t>
  </si>
  <si>
    <t>6M</t>
  </si>
  <si>
    <t>4M</t>
  </si>
  <si>
    <t>2,2M</t>
  </si>
  <si>
    <t>2,4M</t>
  </si>
  <si>
    <t>28M</t>
  </si>
  <si>
    <t>ESA interim 2009</t>
  </si>
  <si>
    <t>0,9M</t>
  </si>
  <si>
    <t>N = 7</t>
  </si>
  <si>
    <t>5M</t>
  </si>
  <si>
    <t>XX</t>
  </si>
  <si>
    <t>92M</t>
  </si>
  <si>
    <t>CAN 2008</t>
  </si>
  <si>
    <t>Central Africa 2009</t>
  </si>
  <si>
    <t>West Africa 2008</t>
  </si>
  <si>
    <t>POP</t>
  </si>
  <si>
    <t>Undata</t>
  </si>
  <si>
    <t>UNCTAD</t>
  </si>
  <si>
    <t>Delegation</t>
  </si>
  <si>
    <t>1997-2003</t>
  </si>
  <si>
    <t>0.198</t>
  </si>
  <si>
    <t>2004-2007</t>
  </si>
  <si>
    <t>0.245</t>
  </si>
  <si>
    <t>1992-2007</t>
  </si>
  <si>
    <t>0.062</t>
  </si>
  <si>
    <t>2008-2010</t>
  </si>
  <si>
    <t>0.250</t>
  </si>
  <si>
    <t>0.131</t>
  </si>
  <si>
    <t>1988-1998</t>
  </si>
  <si>
    <t>0.378</t>
  </si>
  <si>
    <t>0.179</t>
  </si>
  <si>
    <t>1999-2010</t>
  </si>
  <si>
    <t>0.400</t>
  </si>
  <si>
    <t>0.263</t>
  </si>
  <si>
    <t>CARICOM</t>
  </si>
  <si>
    <t>1996-2005</t>
  </si>
  <si>
    <t>0.217</t>
  </si>
  <si>
    <t>2006-2010</t>
  </si>
  <si>
    <t>0.312</t>
  </si>
  <si>
    <t>1998-2010</t>
  </si>
  <si>
    <t>0.330</t>
  </si>
  <si>
    <t>CEMAC</t>
  </si>
  <si>
    <t>0.130</t>
  </si>
  <si>
    <t>2000-2009</t>
  </si>
  <si>
    <t>0.463</t>
  </si>
  <si>
    <t>0.468</t>
  </si>
  <si>
    <t>0.289</t>
  </si>
  <si>
    <t>Pooling</t>
  </si>
  <si>
    <t>SICA</t>
  </si>
  <si>
    <t>COMESA</t>
  </si>
  <si>
    <t>1998-2004</t>
  </si>
  <si>
    <t>0.407</t>
  </si>
  <si>
    <t>2005-2010</t>
  </si>
  <si>
    <t>0.416</t>
  </si>
  <si>
    <t>1994-2010</t>
  </si>
  <si>
    <t>0.406</t>
  </si>
  <si>
    <t>1996-1999</t>
  </si>
  <si>
    <t>0.078</t>
  </si>
  <si>
    <t>0.167</t>
  </si>
  <si>
    <t>0.124</t>
  </si>
  <si>
    <t>2001-2010</t>
  </si>
  <si>
    <t>0.513</t>
  </si>
  <si>
    <t>2000-2010</t>
  </si>
  <si>
    <t>0.220</t>
  </si>
  <si>
    <t>MERCOSUR2</t>
  </si>
  <si>
    <t>ECCAS-CEEC</t>
  </si>
  <si>
    <t>1985-2004</t>
  </si>
  <si>
    <t>0.074</t>
  </si>
  <si>
    <t>0.063</t>
  </si>
  <si>
    <t>1985-2010</t>
  </si>
  <si>
    <t>0.214</t>
  </si>
  <si>
    <t>ECOWAS</t>
  </si>
  <si>
    <t>0.181</t>
  </si>
  <si>
    <t>0.371</t>
  </si>
  <si>
    <t>CEMAC-ECCAS</t>
  </si>
  <si>
    <t>2002-2004</t>
  </si>
  <si>
    <t>0.402</t>
  </si>
  <si>
    <t>1995-1999</t>
  </si>
  <si>
    <t>2005-2006</t>
  </si>
  <si>
    <t>0.521</t>
  </si>
  <si>
    <t>2000-2006</t>
  </si>
  <si>
    <t>0.190</t>
  </si>
  <si>
    <t>2007-2010</t>
  </si>
  <si>
    <t>0.522</t>
  </si>
  <si>
    <t>0.199</t>
  </si>
  <si>
    <t>Pacific</t>
  </si>
  <si>
    <t>EU</t>
  </si>
  <si>
    <t>1999-2002</t>
  </si>
  <si>
    <t>0.644</t>
  </si>
  <si>
    <t>0.210</t>
  </si>
  <si>
    <t>2003-2008</t>
  </si>
  <si>
    <t>0.642</t>
  </si>
  <si>
    <t>2009-2010</t>
  </si>
  <si>
    <t>0.652</t>
  </si>
  <si>
    <t>0.268</t>
  </si>
  <si>
    <t>1995-2010</t>
  </si>
  <si>
    <t>0.107</t>
  </si>
  <si>
    <t>MERCOSUR</t>
  </si>
  <si>
    <t>1996-2003</t>
  </si>
  <si>
    <t>0.283</t>
  </si>
  <si>
    <t>Kenya-Rwanda</t>
  </si>
  <si>
    <t>2004-2006</t>
  </si>
  <si>
    <t>0.331</t>
  </si>
  <si>
    <t>1995-2001</t>
  </si>
  <si>
    <t>0.103</t>
  </si>
  <si>
    <t>0.335</t>
  </si>
  <si>
    <t>2002-2010</t>
  </si>
  <si>
    <t>0.158</t>
  </si>
  <si>
    <t>PIF</t>
  </si>
  <si>
    <t>0.067</t>
  </si>
  <si>
    <t>2000-2002</t>
  </si>
  <si>
    <t>0.094</t>
  </si>
  <si>
    <t>1993-1999</t>
  </si>
  <si>
    <t>0.192</t>
  </si>
  <si>
    <t>2003-2004</t>
  </si>
  <si>
    <t>0.261</t>
  </si>
  <si>
    <t>2000-2004</t>
  </si>
  <si>
    <t>0.300</t>
  </si>
  <si>
    <t>0.278</t>
  </si>
  <si>
    <t>0.311</t>
  </si>
  <si>
    <t>1993-2001</t>
  </si>
  <si>
    <t>2002-2005</t>
  </si>
  <si>
    <t>0.083</t>
  </si>
  <si>
    <t>0.275</t>
  </si>
  <si>
    <t>0.345</t>
  </si>
  <si>
    <t>0.293</t>
  </si>
  <si>
    <t>1997-2009</t>
  </si>
  <si>
    <t>0.327</t>
  </si>
  <si>
    <t>1993-1996</t>
  </si>
  <si>
    <t>0.256</t>
  </si>
  <si>
    <t>0.341</t>
  </si>
  <si>
    <t>1997-2010</t>
  </si>
  <si>
    <t>pol1</t>
  </si>
  <si>
    <t>pol2</t>
  </si>
  <si>
    <t>norm1</t>
  </si>
  <si>
    <t>norm2</t>
  </si>
  <si>
    <t>gdp1</t>
  </si>
  <si>
    <t>gdp2</t>
  </si>
  <si>
    <t>calc</t>
  </si>
  <si>
    <t>country</t>
  </si>
  <si>
    <t>regtrade</t>
  </si>
  <si>
    <t>gdp</t>
  </si>
  <si>
    <t>exports</t>
  </si>
  <si>
    <t>imports</t>
  </si>
  <si>
    <t>ei</t>
  </si>
  <si>
    <t>terr</t>
  </si>
  <si>
    <t>log</t>
  </si>
  <si>
    <t>country2</t>
  </si>
  <si>
    <t>frac</t>
  </si>
  <si>
    <t>d1</t>
  </si>
  <si>
    <t>d2</t>
  </si>
  <si>
    <t>d3</t>
  </si>
  <si>
    <t>MERCOSUR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</si>
</sst>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bscript"/>
      <sz val="11"/>
      <color indexed="8"/>
      <name val="Calibri"/>
      <family val="2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mbria"/>
      <family val="1"/>
    </font>
    <font>
      <sz val="11"/>
      <color rgb="FF00B05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12" fillId="5" borderId="0" applyNumberFormat="0" applyBorder="0" applyAlignment="0" applyProtection="0"/>
  </cellStyleXfs>
  <cellXfs count="4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3" borderId="0" xfId="1" applyFill="1" applyAlignment="1">
      <alignment horizontal="center"/>
    </xf>
    <xf numFmtId="2" fontId="2" fillId="0" borderId="0" xfId="1" applyNumberFormat="1" applyFont="1" applyAlignment="1">
      <alignment horizontal="center"/>
    </xf>
    <xf numFmtId="0" fontId="3" fillId="2" borderId="0" xfId="2"/>
    <xf numFmtId="14" fontId="1" fillId="0" borderId="0" xfId="1" applyNumberFormat="1"/>
    <xf numFmtId="0" fontId="7" fillId="0" borderId="0" xfId="1" applyFont="1"/>
    <xf numFmtId="164" fontId="1" fillId="0" borderId="0" xfId="1" applyNumberForma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" fillId="4" borderId="0" xfId="1" applyFill="1"/>
    <xf numFmtId="0" fontId="11" fillId="0" borderId="0" xfId="1" applyFont="1"/>
    <xf numFmtId="0" fontId="12" fillId="5" borderId="0" xfId="3"/>
    <xf numFmtId="0" fontId="13" fillId="0" borderId="0" xfId="1" applyFont="1"/>
    <xf numFmtId="0" fontId="12" fillId="5" borderId="1" xfId="3" applyBorder="1"/>
    <xf numFmtId="0" fontId="1" fillId="0" borderId="0" xfId="1" applyAlignment="1">
      <alignment vertical="center" wrapText="1"/>
    </xf>
    <xf numFmtId="0" fontId="1" fillId="0" borderId="1" xfId="1" applyBorder="1"/>
    <xf numFmtId="0" fontId="1" fillId="0" borderId="2" xfId="1" applyBorder="1"/>
    <xf numFmtId="0" fontId="12" fillId="5" borderId="0" xfId="3" applyBorder="1"/>
    <xf numFmtId="0" fontId="1" fillId="6" borderId="1" xfId="1" applyFill="1" applyBorder="1"/>
    <xf numFmtId="0" fontId="12" fillId="5" borderId="2" xfId="3" applyBorder="1"/>
    <xf numFmtId="0" fontId="1" fillId="6" borderId="2" xfId="1" applyFill="1" applyBorder="1"/>
    <xf numFmtId="0" fontId="1" fillId="7" borderId="0" xfId="1" applyFill="1"/>
    <xf numFmtId="0" fontId="1" fillId="8" borderId="1" xfId="1" applyFill="1" applyBorder="1"/>
    <xf numFmtId="0" fontId="1" fillId="7" borderId="1" xfId="1" applyFill="1" applyBorder="1"/>
    <xf numFmtId="0" fontId="14" fillId="0" borderId="0" xfId="1" applyFont="1"/>
    <xf numFmtId="0" fontId="1" fillId="9" borderId="0" xfId="1" applyFill="1"/>
    <xf numFmtId="2" fontId="1" fillId="0" borderId="0" xfId="1" applyNumberFormat="1"/>
    <xf numFmtId="0" fontId="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right"/>
    </xf>
    <xf numFmtId="2" fontId="2" fillId="0" borderId="0" xfId="1" applyNumberFormat="1" applyFont="1"/>
    <xf numFmtId="0" fontId="15" fillId="0" borderId="0" xfId="1" applyFont="1"/>
    <xf numFmtId="0" fontId="1" fillId="10" borderId="0" xfId="1" applyFill="1"/>
    <xf numFmtId="0" fontId="16" fillId="0" borderId="0" xfId="1" applyFont="1"/>
    <xf numFmtId="0" fontId="1" fillId="0" borderId="0" xfId="1" applyAlignment="1">
      <alignment horizontal="center" vertical="top"/>
    </xf>
    <xf numFmtId="11" fontId="1" fillId="0" borderId="0" xfId="1" applyNumberFormat="1"/>
  </cellXfs>
  <cellStyles count="4">
    <cellStyle name="Neutral 2" xfId="2" xr:uid="{C74D8DF5-154F-FC41-9B47-0FAD46DA703A}"/>
    <cellStyle name="Neutral 3" xfId="3" xr:uid="{403F8E6C-6D4E-3346-A1E8-AAA87EE4CFAC}"/>
    <cellStyle name="Normal" xfId="0" builtinId="0"/>
    <cellStyle name="Normal 2" xfId="1" xr:uid="{AB3AFC92-5F59-7945-93F7-F426E985EEF8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0EA6-D8EB-284E-B47C-9711D28E8FBE}">
  <dimension ref="A1"/>
  <sheetViews>
    <sheetView workbookViewId="0">
      <selection activeCell="C29" sqref="C29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5D6-54F2-B842-AF90-36BEBEC4EE15}">
  <dimension ref="A1:O556"/>
  <sheetViews>
    <sheetView zoomScale="157" zoomScaleNormal="85" workbookViewId="0">
      <selection activeCell="F10" sqref="F10"/>
    </sheetView>
  </sheetViews>
  <sheetFormatPr baseColWidth="10" defaultRowHeight="15" x14ac:dyDescent="0.2"/>
  <cols>
    <col min="1" max="4" width="10.83203125" style="2"/>
    <col min="5" max="8" width="4.33203125" style="3" customWidth="1"/>
    <col min="9" max="9" width="16.1640625" style="2" customWidth="1"/>
    <col min="10" max="10" width="15.5" style="2" customWidth="1"/>
    <col min="11" max="11" width="12" style="2" bestFit="1" customWidth="1"/>
    <col min="12" max="12" width="10.83203125" style="2"/>
    <col min="13" max="13" width="13" style="2" bestFit="1" customWidth="1"/>
    <col min="14" max="14" width="10.83203125" style="2"/>
    <col min="15" max="15" width="12.5" style="2" bestFit="1" customWidth="1"/>
    <col min="16" max="16384" width="10.83203125" style="2"/>
  </cols>
  <sheetData>
    <row r="1" spans="3:15" x14ac:dyDescent="0.2">
      <c r="C1" s="1" t="s">
        <v>511</v>
      </c>
      <c r="D1" s="2" t="s">
        <v>519</v>
      </c>
      <c r="E1" s="3" t="s">
        <v>504</v>
      </c>
      <c r="F1" s="3" t="s">
        <v>505</v>
      </c>
      <c r="G1" s="3" t="s">
        <v>506</v>
      </c>
      <c r="H1" s="3" t="s">
        <v>507</v>
      </c>
      <c r="I1" s="2" t="s">
        <v>508</v>
      </c>
      <c r="J1" s="2" t="s">
        <v>509</v>
      </c>
      <c r="K1" s="2" t="s">
        <v>510</v>
      </c>
    </row>
    <row r="2" spans="3:15" x14ac:dyDescent="0.2">
      <c r="C2" s="2" t="s">
        <v>0</v>
      </c>
      <c r="D2" s="2" t="s">
        <v>1</v>
      </c>
      <c r="E2" s="3">
        <v>8</v>
      </c>
      <c r="F2" s="3">
        <v>9</v>
      </c>
      <c r="G2" s="3">
        <f>(E2+10)/20</f>
        <v>0.9</v>
      </c>
      <c r="H2" s="3">
        <f>(F2+10)/20</f>
        <v>0.95</v>
      </c>
      <c r="I2" s="2">
        <v>3087961712327.2568</v>
      </c>
      <c r="J2" s="2">
        <v>47506734022.247887</v>
      </c>
      <c r="K2" s="2">
        <f>(G2-H2)^2*((I2+J2)/3)</f>
        <v>2612890371.9579139</v>
      </c>
    </row>
    <row r="3" spans="3:15" x14ac:dyDescent="0.2">
      <c r="C3" s="2" t="s">
        <v>0</v>
      </c>
      <c r="D3" s="2" t="s">
        <v>2</v>
      </c>
      <c r="E3" s="3">
        <v>8</v>
      </c>
      <c r="F3" s="3">
        <v>10</v>
      </c>
      <c r="G3" s="3">
        <f>(E3+10)/20</f>
        <v>0.9</v>
      </c>
      <c r="H3" s="3">
        <f t="shared" ref="G3:H7" si="0">(F3+10)/20</f>
        <v>1</v>
      </c>
      <c r="I3" s="2">
        <v>3087961712327.2568</v>
      </c>
      <c r="J3" s="2">
        <v>63919673072.011452</v>
      </c>
      <c r="K3" s="2">
        <f>(G3-H3)^2*((I3+J3)/3)</f>
        <v>10506271284.664223</v>
      </c>
    </row>
    <row r="4" spans="3:15" x14ac:dyDescent="0.2">
      <c r="C4" s="2" t="s">
        <v>0</v>
      </c>
      <c r="D4" s="2" t="s">
        <v>3</v>
      </c>
      <c r="E4" s="3">
        <v>8</v>
      </c>
      <c r="F4" s="3">
        <v>9</v>
      </c>
      <c r="G4" s="3">
        <f t="shared" si="0"/>
        <v>0.9</v>
      </c>
      <c r="H4" s="3">
        <f t="shared" si="0"/>
        <v>0.95</v>
      </c>
      <c r="I4" s="2">
        <v>3087961712327.2568</v>
      </c>
      <c r="J4" s="2">
        <v>824212325824.2124</v>
      </c>
      <c r="K4" s="2">
        <f t="shared" ref="K3:K7" si="1">(G4-H4)^2*((I4+J4)/3)</f>
        <v>3260145031.7928829</v>
      </c>
    </row>
    <row r="5" spans="3:15" x14ac:dyDescent="0.2">
      <c r="C5" s="2" t="s">
        <v>1</v>
      </c>
      <c r="D5" s="2" t="s">
        <v>2</v>
      </c>
      <c r="E5" s="3">
        <v>9</v>
      </c>
      <c r="F5" s="3">
        <v>10</v>
      </c>
      <c r="G5" s="3">
        <f t="shared" si="0"/>
        <v>0.95</v>
      </c>
      <c r="H5" s="3">
        <f t="shared" si="0"/>
        <v>1</v>
      </c>
      <c r="I5" s="2">
        <v>47506734022.247887</v>
      </c>
      <c r="J5" s="2">
        <v>63919673072.011452</v>
      </c>
      <c r="K5" s="2">
        <f t="shared" si="1"/>
        <v>92855339.24521628</v>
      </c>
    </row>
    <row r="6" spans="3:15" x14ac:dyDescent="0.2">
      <c r="C6" s="2" t="s">
        <v>1</v>
      </c>
      <c r="D6" s="2" t="s">
        <v>3</v>
      </c>
      <c r="E6" s="3">
        <v>9</v>
      </c>
      <c r="F6" s="3">
        <v>9</v>
      </c>
      <c r="G6" s="3">
        <f t="shared" si="0"/>
        <v>0.95</v>
      </c>
      <c r="H6" s="3">
        <f t="shared" si="0"/>
        <v>0.95</v>
      </c>
      <c r="I6" s="2">
        <v>47506734022.247887</v>
      </c>
      <c r="J6" s="2">
        <v>824212325824.2124</v>
      </c>
      <c r="K6" s="2">
        <f t="shared" si="1"/>
        <v>0</v>
      </c>
    </row>
    <row r="7" spans="3:15" x14ac:dyDescent="0.2">
      <c r="C7" s="2" t="s">
        <v>2</v>
      </c>
      <c r="D7" s="2" t="s">
        <v>3</v>
      </c>
      <c r="E7" s="3">
        <v>10</v>
      </c>
      <c r="F7" s="3">
        <v>9</v>
      </c>
      <c r="G7" s="3">
        <f t="shared" si="0"/>
        <v>1</v>
      </c>
      <c r="H7" s="3">
        <f t="shared" si="0"/>
        <v>0.95</v>
      </c>
      <c r="I7" s="2">
        <v>63919673072.011452</v>
      </c>
      <c r="J7" s="2">
        <v>824212325824.2124</v>
      </c>
      <c r="K7" s="2">
        <f t="shared" si="1"/>
        <v>740109999.08018792</v>
      </c>
    </row>
    <row r="8" spans="3:15" x14ac:dyDescent="0.2">
      <c r="K8" s="1">
        <f>(1-SQRT(SUM(K2:K7)/(I2+J2+J3+J4)))*100</f>
        <v>93.459489054142253</v>
      </c>
      <c r="O8" s="2">
        <f>(1-_xlfn.STDEV.S(G2,H2,H3,H4))*100</f>
        <v>95.917517095361376</v>
      </c>
    </row>
    <row r="10" spans="3:15" x14ac:dyDescent="0.2">
      <c r="C10" s="1" t="s">
        <v>4</v>
      </c>
    </row>
    <row r="11" spans="3:15" x14ac:dyDescent="0.2">
      <c r="C11" s="2" t="s">
        <v>5</v>
      </c>
      <c r="D11" s="2" t="s">
        <v>6</v>
      </c>
      <c r="E11" s="3">
        <v>5</v>
      </c>
      <c r="F11" s="4">
        <f>$A$29</f>
        <v>8</v>
      </c>
      <c r="G11" s="3">
        <f t="shared" ref="G11:H24" si="2">(E11+10)/20</f>
        <v>0.75</v>
      </c>
      <c r="H11" s="3">
        <f t="shared" si="2"/>
        <v>0.9</v>
      </c>
      <c r="I11" s="2">
        <v>14811519347.881405</v>
      </c>
      <c r="J11" s="2">
        <v>2129440524.9576907</v>
      </c>
      <c r="K11" s="2">
        <f>(G11-H11)^2*((I11+J11)/14)</f>
        <v>27226542.652777128</v>
      </c>
      <c r="O11" s="2">
        <f>(1-_xlfn.STDEV.S(G11,H11:H24))*100</f>
        <v>90.614093645510934</v>
      </c>
    </row>
    <row r="12" spans="3:15" x14ac:dyDescent="0.2">
      <c r="C12" s="2" t="s">
        <v>5</v>
      </c>
      <c r="D12" s="2" t="s">
        <v>7</v>
      </c>
      <c r="E12" s="3">
        <v>5</v>
      </c>
      <c r="F12" s="4">
        <v>10</v>
      </c>
      <c r="G12" s="3">
        <f t="shared" si="2"/>
        <v>0.75</v>
      </c>
      <c r="H12" s="3">
        <f t="shared" si="2"/>
        <v>1</v>
      </c>
      <c r="I12" s="2">
        <v>14811519347.881405</v>
      </c>
      <c r="J12" s="2">
        <v>8156328768.676713</v>
      </c>
      <c r="K12" s="2">
        <f t="shared" ref="K12:K75" si="3">(G12-H12)^2*((I12+J12)/14)</f>
        <v>102535036.23463444</v>
      </c>
    </row>
    <row r="13" spans="3:15" x14ac:dyDescent="0.2">
      <c r="C13" s="2" t="s">
        <v>5</v>
      </c>
      <c r="D13" s="2" t="s">
        <v>8</v>
      </c>
      <c r="E13" s="3">
        <v>5</v>
      </c>
      <c r="F13" s="4">
        <v>10</v>
      </c>
      <c r="G13" s="3">
        <f t="shared" si="2"/>
        <v>0.75</v>
      </c>
      <c r="H13" s="3">
        <f t="shared" si="2"/>
        <v>1</v>
      </c>
      <c r="I13" s="2">
        <v>14811519347.881405</v>
      </c>
      <c r="J13" s="2">
        <v>4283565545.4807315</v>
      </c>
      <c r="K13" s="2">
        <f t="shared" si="3"/>
        <v>85245914.702509537</v>
      </c>
    </row>
    <row r="14" spans="3:15" x14ac:dyDescent="0.2">
      <c r="C14" s="2" t="s">
        <v>5</v>
      </c>
      <c r="D14" s="2" t="s">
        <v>9</v>
      </c>
      <c r="E14" s="3">
        <v>5</v>
      </c>
      <c r="F14" s="3">
        <f>$A$28</f>
        <v>9</v>
      </c>
      <c r="G14" s="3">
        <f t="shared" si="2"/>
        <v>0.75</v>
      </c>
      <c r="H14" s="3">
        <f t="shared" si="2"/>
        <v>0.95</v>
      </c>
      <c r="I14" s="2">
        <v>14811519347.881405</v>
      </c>
      <c r="J14" s="2">
        <v>2338133534.168601</v>
      </c>
      <c r="K14" s="2">
        <f t="shared" si="3"/>
        <v>48999008.234428562</v>
      </c>
    </row>
    <row r="15" spans="3:15" x14ac:dyDescent="0.2">
      <c r="C15" s="2" t="s">
        <v>5</v>
      </c>
      <c r="D15" s="2" t="s">
        <v>10</v>
      </c>
      <c r="E15" s="3">
        <v>5</v>
      </c>
      <c r="F15" s="4">
        <v>10</v>
      </c>
      <c r="G15" s="3">
        <f t="shared" si="2"/>
        <v>0.75</v>
      </c>
      <c r="H15" s="3">
        <f t="shared" si="2"/>
        <v>1</v>
      </c>
      <c r="I15" s="2">
        <v>14811519347.881405</v>
      </c>
      <c r="J15" s="2">
        <v>703399601.42159665</v>
      </c>
      <c r="K15" s="2">
        <f t="shared" si="3"/>
        <v>69263031.023674116</v>
      </c>
    </row>
    <row r="16" spans="3:15" x14ac:dyDescent="0.2">
      <c r="C16" s="2" t="s">
        <v>5</v>
      </c>
      <c r="D16" s="2" t="s">
        <v>11</v>
      </c>
      <c r="E16" s="3">
        <v>5</v>
      </c>
      <c r="F16" s="4">
        <v>10</v>
      </c>
      <c r="G16" s="3">
        <f t="shared" si="2"/>
        <v>0.75</v>
      </c>
      <c r="H16" s="3">
        <f t="shared" si="2"/>
        <v>1</v>
      </c>
      <c r="I16" s="2">
        <v>14811519347.881405</v>
      </c>
      <c r="J16" s="2">
        <v>1209835049.7122512</v>
      </c>
      <c r="K16" s="2">
        <f t="shared" si="3"/>
        <v>71523903.560685962</v>
      </c>
    </row>
    <row r="17" spans="1:11" x14ac:dyDescent="0.2">
      <c r="A17" s="2">
        <f>K116</f>
        <v>87.916943885337034</v>
      </c>
      <c r="C17" s="2" t="s">
        <v>5</v>
      </c>
      <c r="D17" s="2" t="s">
        <v>12</v>
      </c>
      <c r="E17" s="3">
        <v>5</v>
      </c>
      <c r="F17" s="3">
        <v>6</v>
      </c>
      <c r="G17" s="3">
        <f t="shared" si="2"/>
        <v>0.75</v>
      </c>
      <c r="H17" s="3">
        <f t="shared" si="2"/>
        <v>0.8</v>
      </c>
      <c r="I17" s="2">
        <v>14811519347.881405</v>
      </c>
      <c r="J17" s="2">
        <v>3881258193.5048141</v>
      </c>
      <c r="K17" s="2">
        <f t="shared" si="3"/>
        <v>3337995.9895332591</v>
      </c>
    </row>
    <row r="18" spans="1:11" x14ac:dyDescent="0.2">
      <c r="C18" s="2" t="s">
        <v>5</v>
      </c>
      <c r="D18" s="2" t="s">
        <v>13</v>
      </c>
      <c r="E18" s="3">
        <v>5</v>
      </c>
      <c r="F18" s="3">
        <v>9</v>
      </c>
      <c r="G18" s="3">
        <f t="shared" si="2"/>
        <v>0.75</v>
      </c>
      <c r="H18" s="3">
        <f t="shared" si="2"/>
        <v>0.95</v>
      </c>
      <c r="I18" s="2">
        <v>14811519347.881405</v>
      </c>
      <c r="J18" s="2">
        <v>22958888391.101994</v>
      </c>
      <c r="K18" s="2">
        <f t="shared" si="3"/>
        <v>107915450.68280967</v>
      </c>
    </row>
    <row r="19" spans="1:11" x14ac:dyDescent="0.2">
      <c r="C19" s="2" t="s">
        <v>5</v>
      </c>
      <c r="D19" s="2" t="s">
        <v>14</v>
      </c>
      <c r="E19" s="3">
        <v>5</v>
      </c>
      <c r="F19" s="4">
        <v>10</v>
      </c>
      <c r="G19" s="3">
        <f t="shared" si="2"/>
        <v>0.75</v>
      </c>
      <c r="H19" s="3">
        <f t="shared" si="2"/>
        <v>1</v>
      </c>
      <c r="I19" s="2">
        <v>14811519347.881405</v>
      </c>
      <c r="J19" s="2">
        <v>1835057562.8462932</v>
      </c>
      <c r="K19" s="2">
        <f t="shared" si="3"/>
        <v>74315075.49432008</v>
      </c>
    </row>
    <row r="20" spans="1:11" x14ac:dyDescent="0.2">
      <c r="C20" s="2" t="s">
        <v>5</v>
      </c>
      <c r="D20" s="2" t="s">
        <v>15</v>
      </c>
      <c r="E20" s="3">
        <v>5</v>
      </c>
      <c r="F20" s="4">
        <v>10</v>
      </c>
      <c r="G20" s="3">
        <f t="shared" si="2"/>
        <v>0.75</v>
      </c>
      <c r="H20" s="3">
        <f t="shared" si="2"/>
        <v>1</v>
      </c>
      <c r="I20" s="2">
        <v>14811519347.881405</v>
      </c>
      <c r="J20" s="2">
        <v>1100504460.089366</v>
      </c>
      <c r="K20" s="2">
        <f t="shared" si="3"/>
        <v>71035820.571298093</v>
      </c>
    </row>
    <row r="21" spans="1:11" x14ac:dyDescent="0.2">
      <c r="C21" s="2" t="s">
        <v>5</v>
      </c>
      <c r="D21" s="2" t="s">
        <v>16</v>
      </c>
      <c r="E21" s="3">
        <v>5</v>
      </c>
      <c r="F21" s="4">
        <v>10</v>
      </c>
      <c r="G21" s="3">
        <f t="shared" si="2"/>
        <v>0.75</v>
      </c>
      <c r="H21" s="3">
        <f t="shared" si="2"/>
        <v>1</v>
      </c>
      <c r="I21" s="2">
        <v>14811519347.881405</v>
      </c>
      <c r="J21" s="2">
        <v>1116268443.8160377</v>
      </c>
      <c r="K21" s="2">
        <f t="shared" si="3"/>
        <v>71106195.498649299</v>
      </c>
    </row>
    <row r="22" spans="1:11" x14ac:dyDescent="0.2">
      <c r="C22" s="2" t="s">
        <v>5</v>
      </c>
      <c r="D22" s="2" t="s">
        <v>17</v>
      </c>
      <c r="E22" s="3">
        <v>5</v>
      </c>
      <c r="F22" s="3">
        <v>5</v>
      </c>
      <c r="G22" s="3">
        <f t="shared" si="2"/>
        <v>0.75</v>
      </c>
      <c r="H22" s="3">
        <f t="shared" si="2"/>
        <v>0.75</v>
      </c>
      <c r="I22" s="2">
        <v>14811519347.881405</v>
      </c>
      <c r="J22" s="2">
        <v>6629902341.8977947</v>
      </c>
      <c r="K22" s="2">
        <f t="shared" si="3"/>
        <v>0</v>
      </c>
    </row>
    <row r="23" spans="1:11" x14ac:dyDescent="0.2">
      <c r="C23" s="2" t="s">
        <v>5</v>
      </c>
      <c r="D23" s="2" t="s">
        <v>18</v>
      </c>
      <c r="E23" s="3">
        <v>5</v>
      </c>
      <c r="F23" s="3">
        <v>10</v>
      </c>
      <c r="G23" s="3">
        <f t="shared" si="2"/>
        <v>0.75</v>
      </c>
      <c r="H23" s="3">
        <f t="shared" si="2"/>
        <v>1</v>
      </c>
      <c r="I23" s="2">
        <v>14811519347.881405</v>
      </c>
      <c r="J23" s="2">
        <v>40373855857.88063</v>
      </c>
      <c r="K23" s="2">
        <f t="shared" si="3"/>
        <v>246363282.16858053</v>
      </c>
    </row>
    <row r="24" spans="1:11" x14ac:dyDescent="0.2">
      <c r="C24" s="2" t="s">
        <v>5</v>
      </c>
      <c r="D24" s="2" t="s">
        <v>19</v>
      </c>
      <c r="E24" s="3">
        <v>5</v>
      </c>
      <c r="F24" s="3">
        <v>8</v>
      </c>
      <c r="G24" s="3">
        <f t="shared" si="2"/>
        <v>0.75</v>
      </c>
      <c r="H24" s="3">
        <f t="shared" si="2"/>
        <v>0.9</v>
      </c>
      <c r="I24" s="2">
        <v>14811519347.881405</v>
      </c>
      <c r="J24" s="2">
        <v>96731892070.788498</v>
      </c>
      <c r="K24" s="2">
        <f t="shared" si="3"/>
        <v>179266196.92286238</v>
      </c>
    </row>
    <row r="25" spans="1:11" x14ac:dyDescent="0.2">
      <c r="C25" s="2" t="s">
        <v>6</v>
      </c>
      <c r="D25" s="2" t="s">
        <v>7</v>
      </c>
      <c r="E25" s="4">
        <f>$A$29</f>
        <v>8</v>
      </c>
      <c r="F25" s="4">
        <v>10</v>
      </c>
      <c r="G25" s="3">
        <f>(E25+10)/20</f>
        <v>0.9</v>
      </c>
      <c r="H25" s="3">
        <f>(F25+10)/20</f>
        <v>1</v>
      </c>
      <c r="I25" s="2">
        <v>2129440524.9576907</v>
      </c>
      <c r="J25" s="2">
        <v>8156328768.676713</v>
      </c>
      <c r="K25" s="2">
        <f t="shared" si="3"/>
        <v>7346978.0668817125</v>
      </c>
    </row>
    <row r="26" spans="1:11" x14ac:dyDescent="0.2">
      <c r="A26" s="5"/>
      <c r="C26" s="2" t="s">
        <v>6</v>
      </c>
      <c r="D26" s="2" t="s">
        <v>8</v>
      </c>
      <c r="E26" s="4">
        <f t="shared" ref="E26:E37" si="4">$A$29</f>
        <v>8</v>
      </c>
      <c r="F26" s="4">
        <v>10</v>
      </c>
      <c r="G26" s="3">
        <f t="shared" ref="G26:H41" si="5">(E26+10)/20</f>
        <v>0.9</v>
      </c>
      <c r="H26" s="3">
        <f t="shared" si="5"/>
        <v>1</v>
      </c>
      <c r="I26" s="2">
        <v>2129440524.9576907</v>
      </c>
      <c r="J26" s="2">
        <v>4283565545.4807315</v>
      </c>
      <c r="K26" s="2">
        <f t="shared" si="3"/>
        <v>4580718.6217417279</v>
      </c>
    </row>
    <row r="27" spans="1:11" x14ac:dyDescent="0.2">
      <c r="A27" s="5" t="s">
        <v>20</v>
      </c>
      <c r="C27" s="2" t="s">
        <v>6</v>
      </c>
      <c r="D27" s="2" t="s">
        <v>9</v>
      </c>
      <c r="E27" s="4">
        <f t="shared" si="4"/>
        <v>8</v>
      </c>
      <c r="F27" s="3">
        <f>$A$28</f>
        <v>9</v>
      </c>
      <c r="G27" s="3">
        <f t="shared" si="5"/>
        <v>0.9</v>
      </c>
      <c r="H27" s="3">
        <f t="shared" si="5"/>
        <v>0.95</v>
      </c>
      <c r="I27" s="2">
        <v>2129440524.9576907</v>
      </c>
      <c r="J27" s="2">
        <v>2338133534.168601</v>
      </c>
      <c r="K27" s="2">
        <f t="shared" si="3"/>
        <v>797781.08198683558</v>
      </c>
    </row>
    <row r="28" spans="1:11" x14ac:dyDescent="0.2">
      <c r="A28" s="5">
        <v>9</v>
      </c>
      <c r="C28" s="2" t="s">
        <v>6</v>
      </c>
      <c r="D28" s="2" t="s">
        <v>10</v>
      </c>
      <c r="E28" s="4">
        <f t="shared" si="4"/>
        <v>8</v>
      </c>
      <c r="F28" s="4">
        <v>10</v>
      </c>
      <c r="G28" s="3">
        <f t="shared" si="5"/>
        <v>0.9</v>
      </c>
      <c r="H28" s="3">
        <f t="shared" si="5"/>
        <v>1</v>
      </c>
      <c r="I28" s="2">
        <v>2129440524.9576907</v>
      </c>
      <c r="J28" s="2">
        <v>703399601.42159665</v>
      </c>
      <c r="K28" s="2">
        <f t="shared" si="3"/>
        <v>2023457.2331280613</v>
      </c>
    </row>
    <row r="29" spans="1:11" x14ac:dyDescent="0.2">
      <c r="A29" s="5">
        <v>8</v>
      </c>
      <c r="C29" s="2" t="s">
        <v>6</v>
      </c>
      <c r="D29" s="2" t="s">
        <v>11</v>
      </c>
      <c r="E29" s="4">
        <f t="shared" si="4"/>
        <v>8</v>
      </c>
      <c r="F29" s="4">
        <v>10</v>
      </c>
      <c r="G29" s="3">
        <f t="shared" si="5"/>
        <v>0.9</v>
      </c>
      <c r="H29" s="3">
        <f t="shared" si="5"/>
        <v>1</v>
      </c>
      <c r="I29" s="2">
        <v>2129440524.9576907</v>
      </c>
      <c r="J29" s="2">
        <v>1209835049.7122512</v>
      </c>
      <c r="K29" s="2">
        <f t="shared" si="3"/>
        <v>2385196.8390499572</v>
      </c>
    </row>
    <row r="30" spans="1:11" x14ac:dyDescent="0.2">
      <c r="C30" s="2" t="s">
        <v>6</v>
      </c>
      <c r="D30" s="2" t="s">
        <v>12</v>
      </c>
      <c r="E30" s="4">
        <f t="shared" si="4"/>
        <v>8</v>
      </c>
      <c r="F30" s="3">
        <v>6</v>
      </c>
      <c r="G30" s="3">
        <f t="shared" si="5"/>
        <v>0.9</v>
      </c>
      <c r="H30" s="3">
        <f t="shared" si="5"/>
        <v>0.8</v>
      </c>
      <c r="I30" s="2">
        <v>2129440524.9576907</v>
      </c>
      <c r="J30" s="2">
        <v>3881258193.5048141</v>
      </c>
      <c r="K30" s="2">
        <f t="shared" si="3"/>
        <v>4293356.2274732161</v>
      </c>
    </row>
    <row r="31" spans="1:11" x14ac:dyDescent="0.2">
      <c r="A31" s="2" t="s">
        <v>21</v>
      </c>
      <c r="C31" s="2" t="s">
        <v>6</v>
      </c>
      <c r="D31" s="2" t="s">
        <v>13</v>
      </c>
      <c r="E31" s="4">
        <f t="shared" si="4"/>
        <v>8</v>
      </c>
      <c r="F31" s="3">
        <v>9</v>
      </c>
      <c r="G31" s="3">
        <f t="shared" si="5"/>
        <v>0.9</v>
      </c>
      <c r="H31" s="3">
        <f t="shared" si="5"/>
        <v>0.95</v>
      </c>
      <c r="I31" s="2">
        <v>2129440524.9576907</v>
      </c>
      <c r="J31" s="2">
        <v>22958888391.101994</v>
      </c>
      <c r="K31" s="2">
        <f t="shared" si="3"/>
        <v>4480058.7350106463</v>
      </c>
    </row>
    <row r="32" spans="1:11" x14ac:dyDescent="0.2">
      <c r="C32" s="2" t="s">
        <v>6</v>
      </c>
      <c r="D32" s="2" t="s">
        <v>14</v>
      </c>
      <c r="E32" s="4">
        <f t="shared" si="4"/>
        <v>8</v>
      </c>
      <c r="F32" s="4">
        <v>10</v>
      </c>
      <c r="G32" s="3">
        <f t="shared" si="5"/>
        <v>0.9</v>
      </c>
      <c r="H32" s="3">
        <f t="shared" si="5"/>
        <v>1</v>
      </c>
      <c r="I32" s="2">
        <v>2129440524.9576907</v>
      </c>
      <c r="J32" s="2">
        <v>1835057562.8462932</v>
      </c>
      <c r="K32" s="2">
        <f t="shared" si="3"/>
        <v>2831784.3484314154</v>
      </c>
    </row>
    <row r="33" spans="3:11" x14ac:dyDescent="0.2">
      <c r="C33" s="2" t="s">
        <v>6</v>
      </c>
      <c r="D33" s="2" t="s">
        <v>15</v>
      </c>
      <c r="E33" s="4">
        <f t="shared" si="4"/>
        <v>8</v>
      </c>
      <c r="F33" s="4">
        <v>10</v>
      </c>
      <c r="G33" s="3">
        <f t="shared" si="5"/>
        <v>0.9</v>
      </c>
      <c r="H33" s="3">
        <f t="shared" si="5"/>
        <v>1</v>
      </c>
      <c r="I33" s="2">
        <v>2129440524.9576907</v>
      </c>
      <c r="J33" s="2">
        <v>1100504460.089366</v>
      </c>
      <c r="K33" s="2">
        <f t="shared" si="3"/>
        <v>2307103.5607478963</v>
      </c>
    </row>
    <row r="34" spans="3:11" x14ac:dyDescent="0.2">
      <c r="C34" s="2" t="s">
        <v>6</v>
      </c>
      <c r="D34" s="2" t="s">
        <v>16</v>
      </c>
      <c r="E34" s="4">
        <f t="shared" si="4"/>
        <v>8</v>
      </c>
      <c r="F34" s="4">
        <v>10</v>
      </c>
      <c r="G34" s="3">
        <f t="shared" si="5"/>
        <v>0.9</v>
      </c>
      <c r="H34" s="3">
        <f t="shared" si="5"/>
        <v>1</v>
      </c>
      <c r="I34" s="2">
        <v>2129440524.9576907</v>
      </c>
      <c r="J34" s="2">
        <v>1116268443.8160377</v>
      </c>
      <c r="K34" s="2">
        <f t="shared" si="3"/>
        <v>2318363.5491240905</v>
      </c>
    </row>
    <row r="35" spans="3:11" x14ac:dyDescent="0.2">
      <c r="C35" s="2" t="s">
        <v>6</v>
      </c>
      <c r="D35" s="2" t="s">
        <v>17</v>
      </c>
      <c r="E35" s="4">
        <f t="shared" si="4"/>
        <v>8</v>
      </c>
      <c r="F35" s="3">
        <v>5</v>
      </c>
      <c r="G35" s="3">
        <f t="shared" si="5"/>
        <v>0.9</v>
      </c>
      <c r="H35" s="3">
        <f t="shared" si="5"/>
        <v>0.75</v>
      </c>
      <c r="I35" s="2">
        <v>2129440524.9576907</v>
      </c>
      <c r="J35" s="2">
        <v>6629902341.8977947</v>
      </c>
      <c r="K35" s="2">
        <f t="shared" si="3"/>
        <v>14077515.321732035</v>
      </c>
    </row>
    <row r="36" spans="3:11" x14ac:dyDescent="0.2">
      <c r="C36" s="2" t="s">
        <v>6</v>
      </c>
      <c r="D36" s="2" t="s">
        <v>18</v>
      </c>
      <c r="E36" s="4">
        <f t="shared" si="4"/>
        <v>8</v>
      </c>
      <c r="F36" s="3">
        <v>10</v>
      </c>
      <c r="G36" s="3">
        <f t="shared" si="5"/>
        <v>0.9</v>
      </c>
      <c r="H36" s="3">
        <f t="shared" si="5"/>
        <v>1</v>
      </c>
      <c r="I36" s="2">
        <v>2129440524.9576907</v>
      </c>
      <c r="J36" s="2">
        <v>40373855857.88063</v>
      </c>
      <c r="K36" s="2">
        <f t="shared" si="3"/>
        <v>30359497.416313071</v>
      </c>
    </row>
    <row r="37" spans="3:11" x14ac:dyDescent="0.2">
      <c r="C37" s="2" t="s">
        <v>6</v>
      </c>
      <c r="D37" s="2" t="s">
        <v>19</v>
      </c>
      <c r="E37" s="4">
        <f t="shared" si="4"/>
        <v>8</v>
      </c>
      <c r="F37" s="3">
        <v>8</v>
      </c>
      <c r="G37" s="3">
        <f t="shared" si="5"/>
        <v>0.9</v>
      </c>
      <c r="H37" s="3">
        <f t="shared" si="5"/>
        <v>0.9</v>
      </c>
      <c r="I37" s="2">
        <v>2129440524.9576907</v>
      </c>
      <c r="J37" s="2">
        <v>96731892070.788498</v>
      </c>
      <c r="K37" s="2">
        <f t="shared" si="3"/>
        <v>0</v>
      </c>
    </row>
    <row r="38" spans="3:11" x14ac:dyDescent="0.2">
      <c r="C38" s="2" t="s">
        <v>7</v>
      </c>
      <c r="D38" s="2" t="s">
        <v>8</v>
      </c>
      <c r="E38" s="4">
        <v>10</v>
      </c>
      <c r="F38" s="4">
        <v>10</v>
      </c>
      <c r="G38" s="3">
        <f t="shared" si="5"/>
        <v>1</v>
      </c>
      <c r="H38" s="3">
        <f t="shared" si="5"/>
        <v>1</v>
      </c>
      <c r="I38" s="2">
        <v>8156328768.676713</v>
      </c>
      <c r="J38" s="2">
        <v>4283565545.4807315</v>
      </c>
      <c r="K38" s="2">
        <f t="shared" si="3"/>
        <v>0</v>
      </c>
    </row>
    <row r="39" spans="3:11" x14ac:dyDescent="0.2">
      <c r="C39" s="2" t="s">
        <v>7</v>
      </c>
      <c r="D39" s="2" t="s">
        <v>9</v>
      </c>
      <c r="E39" s="4">
        <v>10</v>
      </c>
      <c r="F39" s="3">
        <f>$A$28</f>
        <v>9</v>
      </c>
      <c r="G39" s="3">
        <f t="shared" si="5"/>
        <v>1</v>
      </c>
      <c r="H39" s="3">
        <f t="shared" si="5"/>
        <v>0.95</v>
      </c>
      <c r="I39" s="2">
        <v>8156328768.676713</v>
      </c>
      <c r="J39" s="2">
        <v>2338133534.168601</v>
      </c>
      <c r="K39" s="2">
        <f t="shared" si="3"/>
        <v>1874011.1255080951</v>
      </c>
    </row>
    <row r="40" spans="3:11" x14ac:dyDescent="0.2">
      <c r="C40" s="2" t="s">
        <v>7</v>
      </c>
      <c r="D40" s="2" t="s">
        <v>10</v>
      </c>
      <c r="E40" s="4">
        <v>10</v>
      </c>
      <c r="F40" s="4">
        <v>10</v>
      </c>
      <c r="G40" s="3">
        <f t="shared" si="5"/>
        <v>1</v>
      </c>
      <c r="H40" s="3">
        <f t="shared" si="5"/>
        <v>1</v>
      </c>
      <c r="I40" s="2">
        <v>8156328768.676713</v>
      </c>
      <c r="J40" s="2">
        <v>703399601.42159665</v>
      </c>
      <c r="K40" s="2">
        <f t="shared" si="3"/>
        <v>0</v>
      </c>
    </row>
    <row r="41" spans="3:11" x14ac:dyDescent="0.2">
      <c r="C41" s="2" t="s">
        <v>7</v>
      </c>
      <c r="D41" s="2" t="s">
        <v>11</v>
      </c>
      <c r="E41" s="4">
        <v>10</v>
      </c>
      <c r="F41" s="4">
        <v>10</v>
      </c>
      <c r="G41" s="3">
        <f t="shared" si="5"/>
        <v>1</v>
      </c>
      <c r="H41" s="3">
        <f t="shared" si="5"/>
        <v>1</v>
      </c>
      <c r="I41" s="2">
        <v>8156328768.676713</v>
      </c>
      <c r="J41" s="2">
        <v>1209835049.7122512</v>
      </c>
      <c r="K41" s="2">
        <f t="shared" si="3"/>
        <v>0</v>
      </c>
    </row>
    <row r="42" spans="3:11" x14ac:dyDescent="0.2">
      <c r="C42" s="2" t="s">
        <v>7</v>
      </c>
      <c r="D42" s="2" t="s">
        <v>12</v>
      </c>
      <c r="E42" s="4">
        <v>10</v>
      </c>
      <c r="F42" s="3">
        <v>6</v>
      </c>
      <c r="G42" s="3">
        <f t="shared" ref="G42:H105" si="6">(E42+10)/20</f>
        <v>1</v>
      </c>
      <c r="H42" s="3">
        <f t="shared" si="6"/>
        <v>0.8</v>
      </c>
      <c r="I42" s="2">
        <v>8156328768.676713</v>
      </c>
      <c r="J42" s="2">
        <v>3881258193.5048141</v>
      </c>
      <c r="K42" s="2">
        <f t="shared" si="3"/>
        <v>34393105.606232919</v>
      </c>
    </row>
    <row r="43" spans="3:11" x14ac:dyDescent="0.2">
      <c r="C43" s="2" t="s">
        <v>7</v>
      </c>
      <c r="D43" s="2" t="s">
        <v>13</v>
      </c>
      <c r="E43" s="4">
        <v>10</v>
      </c>
      <c r="F43" s="3">
        <v>9</v>
      </c>
      <c r="G43" s="3">
        <f t="shared" si="6"/>
        <v>1</v>
      </c>
      <c r="H43" s="3">
        <f t="shared" si="6"/>
        <v>0.95</v>
      </c>
      <c r="I43" s="2">
        <v>8156328768.676713</v>
      </c>
      <c r="J43" s="2">
        <v>22958888391.101994</v>
      </c>
      <c r="K43" s="2">
        <f t="shared" si="3"/>
        <v>5556288.7785319211</v>
      </c>
    </row>
    <row r="44" spans="3:11" x14ac:dyDescent="0.2">
      <c r="C44" s="2" t="s">
        <v>7</v>
      </c>
      <c r="D44" s="2" t="s">
        <v>14</v>
      </c>
      <c r="E44" s="4">
        <v>10</v>
      </c>
      <c r="F44" s="4">
        <v>10</v>
      </c>
      <c r="G44" s="3">
        <f t="shared" si="6"/>
        <v>1</v>
      </c>
      <c r="H44" s="3">
        <f t="shared" si="6"/>
        <v>1</v>
      </c>
      <c r="I44" s="2">
        <v>8156328768.676713</v>
      </c>
      <c r="J44" s="2">
        <v>1835057562.8462932</v>
      </c>
      <c r="K44" s="2">
        <f t="shared" si="3"/>
        <v>0</v>
      </c>
    </row>
    <row r="45" spans="3:11" x14ac:dyDescent="0.2">
      <c r="C45" s="2" t="s">
        <v>7</v>
      </c>
      <c r="D45" s="2" t="s">
        <v>15</v>
      </c>
      <c r="E45" s="4">
        <v>10</v>
      </c>
      <c r="F45" s="4">
        <v>10</v>
      </c>
      <c r="G45" s="3">
        <f t="shared" si="6"/>
        <v>1</v>
      </c>
      <c r="H45" s="3">
        <f t="shared" si="6"/>
        <v>1</v>
      </c>
      <c r="I45" s="2">
        <v>8156328768.676713</v>
      </c>
      <c r="J45" s="2">
        <v>1100504460.089366</v>
      </c>
      <c r="K45" s="2">
        <f t="shared" si="3"/>
        <v>0</v>
      </c>
    </row>
    <row r="46" spans="3:11" x14ac:dyDescent="0.2">
      <c r="C46" s="2" t="s">
        <v>7</v>
      </c>
      <c r="D46" s="2" t="s">
        <v>16</v>
      </c>
      <c r="E46" s="4">
        <v>10</v>
      </c>
      <c r="F46" s="4">
        <v>10</v>
      </c>
      <c r="G46" s="3">
        <f t="shared" si="6"/>
        <v>1</v>
      </c>
      <c r="H46" s="3">
        <f t="shared" si="6"/>
        <v>1</v>
      </c>
      <c r="I46" s="2">
        <v>8156328768.676713</v>
      </c>
      <c r="J46" s="2">
        <v>1116268443.8160377</v>
      </c>
      <c r="K46" s="2">
        <f t="shared" si="3"/>
        <v>0</v>
      </c>
    </row>
    <row r="47" spans="3:11" x14ac:dyDescent="0.2">
      <c r="C47" s="2" t="s">
        <v>7</v>
      </c>
      <c r="D47" s="2" t="s">
        <v>17</v>
      </c>
      <c r="E47" s="4">
        <v>10</v>
      </c>
      <c r="F47" s="3">
        <v>5</v>
      </c>
      <c r="G47" s="3">
        <f t="shared" si="6"/>
        <v>1</v>
      </c>
      <c r="H47" s="3">
        <f t="shared" si="6"/>
        <v>0.75</v>
      </c>
      <c r="I47" s="2">
        <v>8156328768.676713</v>
      </c>
      <c r="J47" s="2">
        <v>6629902341.8977947</v>
      </c>
      <c r="K47" s="2">
        <f t="shared" si="3"/>
        <v>66009960.315064773</v>
      </c>
    </row>
    <row r="48" spans="3:11" x14ac:dyDescent="0.2">
      <c r="C48" s="2" t="s">
        <v>7</v>
      </c>
      <c r="D48" s="2" t="s">
        <v>18</v>
      </c>
      <c r="E48" s="4">
        <v>10</v>
      </c>
      <c r="F48" s="3">
        <v>10</v>
      </c>
      <c r="G48" s="3">
        <f t="shared" si="6"/>
        <v>1</v>
      </c>
      <c r="H48" s="3">
        <f t="shared" si="6"/>
        <v>1</v>
      </c>
      <c r="I48" s="2">
        <v>8156328768.676713</v>
      </c>
      <c r="J48" s="2">
        <v>40373855857.88063</v>
      </c>
      <c r="K48" s="2">
        <f t="shared" si="3"/>
        <v>0</v>
      </c>
    </row>
    <row r="49" spans="3:11" x14ac:dyDescent="0.2">
      <c r="C49" s="2" t="s">
        <v>7</v>
      </c>
      <c r="D49" s="2" t="s">
        <v>19</v>
      </c>
      <c r="E49" s="4">
        <v>10</v>
      </c>
      <c r="F49" s="3">
        <v>8</v>
      </c>
      <c r="G49" s="3">
        <f t="shared" si="6"/>
        <v>1</v>
      </c>
      <c r="H49" s="3">
        <f t="shared" si="6"/>
        <v>0.9</v>
      </c>
      <c r="I49" s="2">
        <v>8156328768.676713</v>
      </c>
      <c r="J49" s="2">
        <v>96731892070.788498</v>
      </c>
      <c r="K49" s="2">
        <f t="shared" si="3"/>
        <v>74920157.742475107</v>
      </c>
    </row>
    <row r="50" spans="3:11" x14ac:dyDescent="0.2">
      <c r="C50" s="2" t="s">
        <v>8</v>
      </c>
      <c r="D50" s="2" t="s">
        <v>9</v>
      </c>
      <c r="E50" s="4">
        <v>10</v>
      </c>
      <c r="F50" s="3">
        <f>$A$28</f>
        <v>9</v>
      </c>
      <c r="G50" s="3">
        <f t="shared" si="6"/>
        <v>1</v>
      </c>
      <c r="H50" s="3">
        <f t="shared" si="6"/>
        <v>0.95</v>
      </c>
      <c r="I50" s="2">
        <v>4283565545.4807315</v>
      </c>
      <c r="J50" s="2">
        <v>2338133534.168601</v>
      </c>
      <c r="K50" s="2">
        <f t="shared" si="3"/>
        <v>1182446.2642230971</v>
      </c>
    </row>
    <row r="51" spans="3:11" x14ac:dyDescent="0.2">
      <c r="C51" s="2" t="s">
        <v>8</v>
      </c>
      <c r="D51" s="2" t="s">
        <v>10</v>
      </c>
      <c r="E51" s="4">
        <v>10</v>
      </c>
      <c r="F51" s="4">
        <v>10</v>
      </c>
      <c r="G51" s="3">
        <f t="shared" si="6"/>
        <v>1</v>
      </c>
      <c r="H51" s="3">
        <f t="shared" si="6"/>
        <v>1</v>
      </c>
      <c r="I51" s="2">
        <v>4283565545.4807315</v>
      </c>
      <c r="J51" s="2">
        <v>703399601.42159665</v>
      </c>
      <c r="K51" s="2">
        <f t="shared" si="3"/>
        <v>0</v>
      </c>
    </row>
    <row r="52" spans="3:11" x14ac:dyDescent="0.2">
      <c r="C52" s="2" t="s">
        <v>8</v>
      </c>
      <c r="D52" s="2" t="s">
        <v>11</v>
      </c>
      <c r="E52" s="4">
        <v>10</v>
      </c>
      <c r="F52" s="4">
        <v>10</v>
      </c>
      <c r="G52" s="3">
        <f t="shared" si="6"/>
        <v>1</v>
      </c>
      <c r="H52" s="3">
        <f t="shared" si="6"/>
        <v>1</v>
      </c>
      <c r="I52" s="2">
        <v>4283565545.4807315</v>
      </c>
      <c r="J52" s="2">
        <v>1209835049.7122512</v>
      </c>
      <c r="K52" s="2">
        <f t="shared" si="3"/>
        <v>0</v>
      </c>
    </row>
    <row r="53" spans="3:11" x14ac:dyDescent="0.2">
      <c r="C53" s="2" t="s">
        <v>8</v>
      </c>
      <c r="D53" s="2" t="s">
        <v>12</v>
      </c>
      <c r="E53" s="4">
        <v>10</v>
      </c>
      <c r="F53" s="3">
        <v>6</v>
      </c>
      <c r="G53" s="3">
        <f t="shared" si="6"/>
        <v>1</v>
      </c>
      <c r="H53" s="3">
        <f t="shared" si="6"/>
        <v>0.8</v>
      </c>
      <c r="I53" s="2">
        <v>4283565545.4807315</v>
      </c>
      <c r="J53" s="2">
        <v>3881258193.5048141</v>
      </c>
      <c r="K53" s="2">
        <f t="shared" si="3"/>
        <v>23328067.825672977</v>
      </c>
    </row>
    <row r="54" spans="3:11" x14ac:dyDescent="0.2">
      <c r="C54" s="2" t="s">
        <v>8</v>
      </c>
      <c r="D54" s="2" t="s">
        <v>13</v>
      </c>
      <c r="E54" s="4">
        <v>10</v>
      </c>
      <c r="F54" s="3">
        <v>9</v>
      </c>
      <c r="G54" s="3">
        <f t="shared" si="6"/>
        <v>1</v>
      </c>
      <c r="H54" s="3">
        <f t="shared" si="6"/>
        <v>0.95</v>
      </c>
      <c r="I54" s="2">
        <v>4283565545.4807315</v>
      </c>
      <c r="J54" s="2">
        <v>22958888391.101994</v>
      </c>
      <c r="K54" s="2">
        <f t="shared" si="3"/>
        <v>4864723.9172469238</v>
      </c>
    </row>
    <row r="55" spans="3:11" x14ac:dyDescent="0.2">
      <c r="C55" s="2" t="s">
        <v>8</v>
      </c>
      <c r="D55" s="2" t="s">
        <v>14</v>
      </c>
      <c r="E55" s="4">
        <v>10</v>
      </c>
      <c r="F55" s="4">
        <v>10</v>
      </c>
      <c r="G55" s="3">
        <f t="shared" si="6"/>
        <v>1</v>
      </c>
      <c r="H55" s="3">
        <f t="shared" si="6"/>
        <v>1</v>
      </c>
      <c r="I55" s="2">
        <v>4283565545.4807315</v>
      </c>
      <c r="J55" s="2">
        <v>1835057562.8462932</v>
      </c>
      <c r="K55" s="2">
        <f t="shared" si="3"/>
        <v>0</v>
      </c>
    </row>
    <row r="56" spans="3:11" x14ac:dyDescent="0.2">
      <c r="C56" s="2" t="s">
        <v>8</v>
      </c>
      <c r="D56" s="2" t="s">
        <v>15</v>
      </c>
      <c r="E56" s="4">
        <v>10</v>
      </c>
      <c r="F56" s="4">
        <v>10</v>
      </c>
      <c r="G56" s="3">
        <f t="shared" si="6"/>
        <v>1</v>
      </c>
      <c r="H56" s="3">
        <f t="shared" si="6"/>
        <v>1</v>
      </c>
      <c r="I56" s="2">
        <v>4283565545.4807315</v>
      </c>
      <c r="J56" s="2">
        <v>1100504460.089366</v>
      </c>
      <c r="K56" s="2">
        <f t="shared" si="3"/>
        <v>0</v>
      </c>
    </row>
    <row r="57" spans="3:11" x14ac:dyDescent="0.2">
      <c r="C57" s="2" t="s">
        <v>8</v>
      </c>
      <c r="D57" s="2" t="s">
        <v>16</v>
      </c>
      <c r="E57" s="4">
        <v>10</v>
      </c>
      <c r="F57" s="4">
        <v>10</v>
      </c>
      <c r="G57" s="3">
        <f t="shared" si="6"/>
        <v>1</v>
      </c>
      <c r="H57" s="3">
        <f t="shared" si="6"/>
        <v>1</v>
      </c>
      <c r="I57" s="2">
        <v>4283565545.4807315</v>
      </c>
      <c r="J57" s="2">
        <v>1116268443.8160377</v>
      </c>
      <c r="K57" s="2">
        <f t="shared" si="3"/>
        <v>0</v>
      </c>
    </row>
    <row r="58" spans="3:11" x14ac:dyDescent="0.2">
      <c r="C58" s="2" t="s">
        <v>8</v>
      </c>
      <c r="D58" s="2" t="s">
        <v>17</v>
      </c>
      <c r="E58" s="4">
        <v>10</v>
      </c>
      <c r="F58" s="3">
        <v>5</v>
      </c>
      <c r="G58" s="3">
        <f t="shared" si="6"/>
        <v>1</v>
      </c>
      <c r="H58" s="3">
        <f t="shared" si="6"/>
        <v>0.75</v>
      </c>
      <c r="I58" s="2">
        <v>4283565545.4807315</v>
      </c>
      <c r="J58" s="2">
        <v>6629902341.8977947</v>
      </c>
      <c r="K58" s="2">
        <f t="shared" si="3"/>
        <v>48720838.782939851</v>
      </c>
    </row>
    <row r="59" spans="3:11" x14ac:dyDescent="0.2">
      <c r="C59" s="2" t="s">
        <v>8</v>
      </c>
      <c r="D59" s="2" t="s">
        <v>18</v>
      </c>
      <c r="E59" s="4">
        <v>10</v>
      </c>
      <c r="F59" s="3">
        <v>10</v>
      </c>
      <c r="G59" s="3">
        <f t="shared" si="6"/>
        <v>1</v>
      </c>
      <c r="H59" s="3">
        <f t="shared" si="6"/>
        <v>1</v>
      </c>
      <c r="I59" s="2">
        <v>4283565545.4807315</v>
      </c>
      <c r="J59" s="2">
        <v>40373855857.88063</v>
      </c>
      <c r="K59" s="2">
        <f t="shared" si="3"/>
        <v>0</v>
      </c>
    </row>
    <row r="60" spans="3:11" x14ac:dyDescent="0.2">
      <c r="C60" s="2" t="s">
        <v>8</v>
      </c>
      <c r="D60" s="2" t="s">
        <v>19</v>
      </c>
      <c r="E60" s="4">
        <v>10</v>
      </c>
      <c r="F60" s="3">
        <v>8</v>
      </c>
      <c r="G60" s="3">
        <f t="shared" si="6"/>
        <v>1</v>
      </c>
      <c r="H60" s="3">
        <f t="shared" si="6"/>
        <v>0.9</v>
      </c>
      <c r="I60" s="2">
        <v>4283565545.4807315</v>
      </c>
      <c r="J60" s="2">
        <v>96731892070.788498</v>
      </c>
      <c r="K60" s="2">
        <f t="shared" si="3"/>
        <v>72153898.297335118</v>
      </c>
    </row>
    <row r="61" spans="3:11" x14ac:dyDescent="0.2">
      <c r="C61" s="2" t="s">
        <v>9</v>
      </c>
      <c r="D61" s="2" t="s">
        <v>10</v>
      </c>
      <c r="E61" s="3">
        <f t="shared" ref="E61:E70" si="7">$A$28</f>
        <v>9</v>
      </c>
      <c r="F61" s="4">
        <v>10</v>
      </c>
      <c r="G61" s="3">
        <f t="shared" si="6"/>
        <v>0.95</v>
      </c>
      <c r="H61" s="3">
        <f t="shared" si="6"/>
        <v>1</v>
      </c>
      <c r="I61" s="2">
        <v>2338133534.168601</v>
      </c>
      <c r="J61" s="2">
        <v>703399601.42159665</v>
      </c>
      <c r="K61" s="2">
        <f t="shared" si="3"/>
        <v>543130.91706967913</v>
      </c>
    </row>
    <row r="62" spans="3:11" x14ac:dyDescent="0.2">
      <c r="C62" s="2" t="s">
        <v>9</v>
      </c>
      <c r="D62" s="2" t="s">
        <v>11</v>
      </c>
      <c r="E62" s="3">
        <f t="shared" si="7"/>
        <v>9</v>
      </c>
      <c r="F62" s="4">
        <v>10</v>
      </c>
      <c r="G62" s="3">
        <f t="shared" si="6"/>
        <v>0.95</v>
      </c>
      <c r="H62" s="3">
        <f t="shared" si="6"/>
        <v>1</v>
      </c>
      <c r="I62" s="2">
        <v>2338133534.168601</v>
      </c>
      <c r="J62" s="2">
        <v>1209835049.7122512</v>
      </c>
      <c r="K62" s="2">
        <f t="shared" si="3"/>
        <v>633565.81855015329</v>
      </c>
    </row>
    <row r="63" spans="3:11" x14ac:dyDescent="0.2">
      <c r="C63" s="2" t="s">
        <v>9</v>
      </c>
      <c r="D63" s="2" t="s">
        <v>12</v>
      </c>
      <c r="E63" s="3">
        <f t="shared" si="7"/>
        <v>9</v>
      </c>
      <c r="F63" s="3">
        <v>6</v>
      </c>
      <c r="G63" s="3">
        <f t="shared" si="6"/>
        <v>0.95</v>
      </c>
      <c r="H63" s="3">
        <f t="shared" si="6"/>
        <v>0.8</v>
      </c>
      <c r="I63" s="2">
        <v>2338133534.168601</v>
      </c>
      <c r="J63" s="2">
        <v>3881258193.5048141</v>
      </c>
      <c r="K63" s="2">
        <f t="shared" si="3"/>
        <v>9995450.9909036923</v>
      </c>
    </row>
    <row r="64" spans="3:11" x14ac:dyDescent="0.2">
      <c r="C64" s="2" t="s">
        <v>9</v>
      </c>
      <c r="D64" s="2" t="s">
        <v>13</v>
      </c>
      <c r="E64" s="3">
        <f t="shared" si="7"/>
        <v>9</v>
      </c>
      <c r="F64" s="3">
        <v>9</v>
      </c>
      <c r="G64" s="3">
        <f t="shared" si="6"/>
        <v>0.95</v>
      </c>
      <c r="H64" s="3">
        <f t="shared" si="6"/>
        <v>0.95</v>
      </c>
      <c r="I64" s="2">
        <v>2338133534.168601</v>
      </c>
      <c r="J64" s="2">
        <v>22958888391.101994</v>
      </c>
      <c r="K64" s="2">
        <f t="shared" si="3"/>
        <v>0</v>
      </c>
    </row>
    <row r="65" spans="3:11" x14ac:dyDescent="0.2">
      <c r="C65" s="2" t="s">
        <v>9</v>
      </c>
      <c r="D65" s="2" t="s">
        <v>14</v>
      </c>
      <c r="E65" s="3">
        <f t="shared" si="7"/>
        <v>9</v>
      </c>
      <c r="F65" s="4">
        <v>10</v>
      </c>
      <c r="G65" s="3">
        <f t="shared" si="6"/>
        <v>0.95</v>
      </c>
      <c r="H65" s="3">
        <f t="shared" si="6"/>
        <v>1</v>
      </c>
      <c r="I65" s="2">
        <v>2338133534.168601</v>
      </c>
      <c r="J65" s="2">
        <v>1835057562.8462932</v>
      </c>
      <c r="K65" s="2">
        <f t="shared" si="3"/>
        <v>745212.69589551818</v>
      </c>
    </row>
    <row r="66" spans="3:11" x14ac:dyDescent="0.2">
      <c r="C66" s="2" t="s">
        <v>9</v>
      </c>
      <c r="D66" s="2" t="s">
        <v>15</v>
      </c>
      <c r="E66" s="3">
        <f t="shared" si="7"/>
        <v>9</v>
      </c>
      <c r="F66" s="4">
        <v>10</v>
      </c>
      <c r="G66" s="3">
        <f t="shared" si="6"/>
        <v>0.95</v>
      </c>
      <c r="H66" s="3">
        <f t="shared" si="6"/>
        <v>1</v>
      </c>
      <c r="I66" s="2">
        <v>2338133534.168601</v>
      </c>
      <c r="J66" s="2">
        <v>1100504460.089366</v>
      </c>
      <c r="K66" s="2">
        <f t="shared" si="3"/>
        <v>614042.49897463806</v>
      </c>
    </row>
    <row r="67" spans="3:11" x14ac:dyDescent="0.2">
      <c r="C67" s="2" t="s">
        <v>9</v>
      </c>
      <c r="D67" s="2" t="s">
        <v>16</v>
      </c>
      <c r="E67" s="3">
        <f t="shared" si="7"/>
        <v>9</v>
      </c>
      <c r="F67" s="4">
        <v>10</v>
      </c>
      <c r="G67" s="3">
        <f t="shared" si="6"/>
        <v>0.95</v>
      </c>
      <c r="H67" s="3">
        <f t="shared" si="6"/>
        <v>1</v>
      </c>
      <c r="I67" s="2">
        <v>2338133534.168601</v>
      </c>
      <c r="J67" s="2">
        <v>1116268443.8160377</v>
      </c>
      <c r="K67" s="2">
        <f t="shared" si="3"/>
        <v>616857.4960686866</v>
      </c>
    </row>
    <row r="68" spans="3:11" x14ac:dyDescent="0.2">
      <c r="C68" s="2" t="s">
        <v>9</v>
      </c>
      <c r="D68" s="2" t="s">
        <v>17</v>
      </c>
      <c r="E68" s="3">
        <f t="shared" si="7"/>
        <v>9</v>
      </c>
      <c r="F68" s="3">
        <v>5</v>
      </c>
      <c r="G68" s="3">
        <f t="shared" si="6"/>
        <v>0.95</v>
      </c>
      <c r="H68" s="3">
        <f t="shared" si="6"/>
        <v>0.75</v>
      </c>
      <c r="I68" s="2">
        <v>2338133534.168601</v>
      </c>
      <c r="J68" s="2">
        <v>6629902341.8977947</v>
      </c>
      <c r="K68" s="2">
        <f t="shared" si="3"/>
        <v>25622959.645903971</v>
      </c>
    </row>
    <row r="69" spans="3:11" x14ac:dyDescent="0.2">
      <c r="C69" s="2" t="s">
        <v>9</v>
      </c>
      <c r="D69" s="2" t="s">
        <v>18</v>
      </c>
      <c r="E69" s="3">
        <f t="shared" si="7"/>
        <v>9</v>
      </c>
      <c r="F69" s="3">
        <v>10</v>
      </c>
      <c r="G69" s="3">
        <f t="shared" si="6"/>
        <v>0.95</v>
      </c>
      <c r="H69" s="3">
        <f t="shared" si="6"/>
        <v>1</v>
      </c>
      <c r="I69" s="2">
        <v>2338133534.168601</v>
      </c>
      <c r="J69" s="2">
        <v>40373855857.88063</v>
      </c>
      <c r="K69" s="2">
        <f t="shared" si="3"/>
        <v>7627140.9628659477</v>
      </c>
    </row>
    <row r="70" spans="3:11" x14ac:dyDescent="0.2">
      <c r="C70" s="2" t="s">
        <v>9</v>
      </c>
      <c r="D70" s="2" t="s">
        <v>19</v>
      </c>
      <c r="E70" s="3">
        <f t="shared" si="7"/>
        <v>9</v>
      </c>
      <c r="F70" s="3">
        <v>8</v>
      </c>
      <c r="G70" s="3">
        <f t="shared" si="6"/>
        <v>0.95</v>
      </c>
      <c r="H70" s="3">
        <f t="shared" si="6"/>
        <v>0.9</v>
      </c>
      <c r="I70" s="2">
        <v>2338133534.168601</v>
      </c>
      <c r="J70" s="2">
        <v>96731892070.788498</v>
      </c>
      <c r="K70" s="2">
        <f t="shared" si="3"/>
        <v>17691076.000885151</v>
      </c>
    </row>
    <row r="71" spans="3:11" x14ac:dyDescent="0.2">
      <c r="C71" s="2" t="s">
        <v>10</v>
      </c>
      <c r="D71" s="2" t="s">
        <v>11</v>
      </c>
      <c r="E71" s="4">
        <v>10</v>
      </c>
      <c r="F71" s="4">
        <v>10</v>
      </c>
      <c r="G71" s="3">
        <f t="shared" si="6"/>
        <v>1</v>
      </c>
      <c r="H71" s="3">
        <f t="shared" si="6"/>
        <v>1</v>
      </c>
      <c r="I71" s="2">
        <v>703399601.42159665</v>
      </c>
      <c r="J71" s="2">
        <v>1209835049.7122512</v>
      </c>
      <c r="K71" s="2">
        <f t="shared" si="3"/>
        <v>0</v>
      </c>
    </row>
    <row r="72" spans="3:11" x14ac:dyDescent="0.2">
      <c r="C72" s="2" t="s">
        <v>10</v>
      </c>
      <c r="D72" s="2" t="s">
        <v>12</v>
      </c>
      <c r="E72" s="4">
        <v>10</v>
      </c>
      <c r="F72" s="3">
        <v>6</v>
      </c>
      <c r="G72" s="3">
        <f t="shared" si="6"/>
        <v>1</v>
      </c>
      <c r="H72" s="3">
        <f t="shared" si="6"/>
        <v>0.8</v>
      </c>
      <c r="I72" s="2">
        <v>703399601.42159665</v>
      </c>
      <c r="J72" s="2">
        <v>3881258193.5048141</v>
      </c>
      <c r="K72" s="2">
        <f t="shared" si="3"/>
        <v>13099022.271218309</v>
      </c>
    </row>
    <row r="73" spans="3:11" x14ac:dyDescent="0.2">
      <c r="C73" s="2" t="s">
        <v>10</v>
      </c>
      <c r="D73" s="2" t="s">
        <v>13</v>
      </c>
      <c r="E73" s="4">
        <v>10</v>
      </c>
      <c r="F73" s="3">
        <v>9</v>
      </c>
      <c r="G73" s="3">
        <f t="shared" si="6"/>
        <v>1</v>
      </c>
      <c r="H73" s="3">
        <f t="shared" si="6"/>
        <v>0.95</v>
      </c>
      <c r="I73" s="2">
        <v>703399601.42159665</v>
      </c>
      <c r="J73" s="2">
        <v>22958888391.101994</v>
      </c>
      <c r="K73" s="2">
        <f t="shared" si="3"/>
        <v>4225408.570093506</v>
      </c>
    </row>
    <row r="74" spans="3:11" x14ac:dyDescent="0.2">
      <c r="C74" s="2" t="s">
        <v>10</v>
      </c>
      <c r="D74" s="2" t="s">
        <v>14</v>
      </c>
      <c r="E74" s="4">
        <v>10</v>
      </c>
      <c r="F74" s="4">
        <v>10</v>
      </c>
      <c r="G74" s="3">
        <f t="shared" si="6"/>
        <v>1</v>
      </c>
      <c r="H74" s="3">
        <f t="shared" si="6"/>
        <v>1</v>
      </c>
      <c r="I74" s="2">
        <v>703399601.42159665</v>
      </c>
      <c r="J74" s="2">
        <v>1835057562.8462932</v>
      </c>
      <c r="K74" s="2">
        <f t="shared" si="3"/>
        <v>0</v>
      </c>
    </row>
    <row r="75" spans="3:11" x14ac:dyDescent="0.2">
      <c r="C75" s="2" t="s">
        <v>10</v>
      </c>
      <c r="D75" s="2" t="s">
        <v>15</v>
      </c>
      <c r="E75" s="4">
        <v>10</v>
      </c>
      <c r="F75" s="4">
        <v>10</v>
      </c>
      <c r="G75" s="3">
        <f t="shared" si="6"/>
        <v>1</v>
      </c>
      <c r="H75" s="3">
        <f t="shared" si="6"/>
        <v>1</v>
      </c>
      <c r="I75" s="2">
        <v>703399601.42159665</v>
      </c>
      <c r="J75" s="2">
        <v>1100504460.089366</v>
      </c>
      <c r="K75" s="2">
        <f t="shared" si="3"/>
        <v>0</v>
      </c>
    </row>
    <row r="76" spans="3:11" x14ac:dyDescent="0.2">
      <c r="C76" s="2" t="s">
        <v>10</v>
      </c>
      <c r="D76" s="2" t="s">
        <v>16</v>
      </c>
      <c r="E76" s="4">
        <v>10</v>
      </c>
      <c r="F76" s="4">
        <v>10</v>
      </c>
      <c r="G76" s="3">
        <f t="shared" si="6"/>
        <v>1</v>
      </c>
      <c r="H76" s="3">
        <f t="shared" si="6"/>
        <v>1</v>
      </c>
      <c r="I76" s="2">
        <v>703399601.42159665</v>
      </c>
      <c r="J76" s="2">
        <v>1116268443.8160377</v>
      </c>
      <c r="K76" s="2">
        <f t="shared" ref="K76:K115" si="8">(G76-H76)^2*((I76+J76)/14)</f>
        <v>0</v>
      </c>
    </row>
    <row r="77" spans="3:11" x14ac:dyDescent="0.2">
      <c r="C77" s="2" t="s">
        <v>10</v>
      </c>
      <c r="D77" s="2" t="s">
        <v>17</v>
      </c>
      <c r="E77" s="4">
        <v>10</v>
      </c>
      <c r="F77" s="3">
        <v>5</v>
      </c>
      <c r="G77" s="3">
        <f t="shared" si="6"/>
        <v>1</v>
      </c>
      <c r="H77" s="3">
        <f t="shared" si="6"/>
        <v>0.75</v>
      </c>
      <c r="I77" s="2">
        <v>703399601.42159665</v>
      </c>
      <c r="J77" s="2">
        <v>6629902341.8977947</v>
      </c>
      <c r="K77" s="2">
        <f t="shared" si="8"/>
        <v>32737955.104104426</v>
      </c>
    </row>
    <row r="78" spans="3:11" x14ac:dyDescent="0.2">
      <c r="C78" s="2" t="s">
        <v>10</v>
      </c>
      <c r="D78" s="2" t="s">
        <v>18</v>
      </c>
      <c r="E78" s="4">
        <v>10</v>
      </c>
      <c r="F78" s="3">
        <v>10</v>
      </c>
      <c r="G78" s="3">
        <f t="shared" si="6"/>
        <v>1</v>
      </c>
      <c r="H78" s="3">
        <f t="shared" si="6"/>
        <v>1</v>
      </c>
      <c r="I78" s="2">
        <v>703399601.42159665</v>
      </c>
      <c r="J78" s="2">
        <v>40373855857.88063</v>
      </c>
      <c r="K78" s="2">
        <f t="shared" si="8"/>
        <v>0</v>
      </c>
    </row>
    <row r="79" spans="3:11" x14ac:dyDescent="0.2">
      <c r="C79" s="2" t="s">
        <v>10</v>
      </c>
      <c r="D79" s="2" t="s">
        <v>19</v>
      </c>
      <c r="E79" s="4">
        <v>10</v>
      </c>
      <c r="F79" s="3">
        <v>8</v>
      </c>
      <c r="G79" s="3">
        <f t="shared" si="6"/>
        <v>1</v>
      </c>
      <c r="H79" s="3">
        <f t="shared" si="6"/>
        <v>0.9</v>
      </c>
      <c r="I79" s="2">
        <v>703399601.42159665</v>
      </c>
      <c r="J79" s="2">
        <v>96731892070.788498</v>
      </c>
      <c r="K79" s="2">
        <f t="shared" si="8"/>
        <v>69596636.908721462</v>
      </c>
    </row>
    <row r="80" spans="3:11" x14ac:dyDescent="0.2">
      <c r="C80" s="2" t="s">
        <v>11</v>
      </c>
      <c r="D80" s="2" t="s">
        <v>12</v>
      </c>
      <c r="E80" s="4">
        <v>10</v>
      </c>
      <c r="F80" s="3">
        <v>6</v>
      </c>
      <c r="G80" s="3">
        <f t="shared" si="6"/>
        <v>1</v>
      </c>
      <c r="H80" s="3">
        <f t="shared" si="6"/>
        <v>0.8</v>
      </c>
      <c r="I80" s="2">
        <v>1209835049.7122512</v>
      </c>
      <c r="J80" s="2">
        <v>3881258193.5048141</v>
      </c>
      <c r="K80" s="2">
        <f t="shared" si="8"/>
        <v>14545980.694905896</v>
      </c>
    </row>
    <row r="81" spans="3:11" x14ac:dyDescent="0.2">
      <c r="C81" s="2" t="s">
        <v>11</v>
      </c>
      <c r="D81" s="2" t="s">
        <v>13</v>
      </c>
      <c r="E81" s="4">
        <v>10</v>
      </c>
      <c r="F81" s="3">
        <v>9</v>
      </c>
      <c r="G81" s="3">
        <f t="shared" si="6"/>
        <v>1</v>
      </c>
      <c r="H81" s="3">
        <f t="shared" si="6"/>
        <v>0.95</v>
      </c>
      <c r="I81" s="2">
        <v>1209835049.7122512</v>
      </c>
      <c r="J81" s="2">
        <v>22958888391.101994</v>
      </c>
      <c r="K81" s="2">
        <f t="shared" si="8"/>
        <v>4315843.4715739796</v>
      </c>
    </row>
    <row r="82" spans="3:11" x14ac:dyDescent="0.2">
      <c r="C82" s="2" t="s">
        <v>11</v>
      </c>
      <c r="D82" s="2" t="s">
        <v>14</v>
      </c>
      <c r="E82" s="4">
        <v>10</v>
      </c>
      <c r="F82" s="4">
        <v>10</v>
      </c>
      <c r="G82" s="3">
        <f t="shared" si="6"/>
        <v>1</v>
      </c>
      <c r="H82" s="3">
        <f t="shared" si="6"/>
        <v>1</v>
      </c>
      <c r="I82" s="2">
        <v>1209835049.7122512</v>
      </c>
      <c r="J82" s="2">
        <v>1835057562.8462932</v>
      </c>
      <c r="K82" s="2">
        <f t="shared" si="8"/>
        <v>0</v>
      </c>
    </row>
    <row r="83" spans="3:11" x14ac:dyDescent="0.2">
      <c r="C83" s="2" t="s">
        <v>11</v>
      </c>
      <c r="D83" s="2" t="s">
        <v>15</v>
      </c>
      <c r="E83" s="4">
        <v>10</v>
      </c>
      <c r="F83" s="4">
        <v>10</v>
      </c>
      <c r="G83" s="3">
        <f t="shared" si="6"/>
        <v>1</v>
      </c>
      <c r="H83" s="3">
        <f t="shared" si="6"/>
        <v>1</v>
      </c>
      <c r="I83" s="2">
        <v>1209835049.7122512</v>
      </c>
      <c r="J83" s="2">
        <v>1100504460.089366</v>
      </c>
      <c r="K83" s="2">
        <f t="shared" si="8"/>
        <v>0</v>
      </c>
    </row>
    <row r="84" spans="3:11" x14ac:dyDescent="0.2">
      <c r="C84" s="2" t="s">
        <v>11</v>
      </c>
      <c r="D84" s="2" t="s">
        <v>16</v>
      </c>
      <c r="E84" s="4">
        <v>10</v>
      </c>
      <c r="F84" s="4">
        <v>10</v>
      </c>
      <c r="G84" s="3">
        <f t="shared" si="6"/>
        <v>1</v>
      </c>
      <c r="H84" s="3">
        <f t="shared" si="6"/>
        <v>1</v>
      </c>
      <c r="I84" s="2">
        <v>1209835049.7122512</v>
      </c>
      <c r="J84" s="2">
        <v>1116268443.8160377</v>
      </c>
      <c r="K84" s="2">
        <f t="shared" si="8"/>
        <v>0</v>
      </c>
    </row>
    <row r="85" spans="3:11" x14ac:dyDescent="0.2">
      <c r="C85" s="2" t="s">
        <v>11</v>
      </c>
      <c r="D85" s="2" t="s">
        <v>17</v>
      </c>
      <c r="E85" s="4">
        <v>10</v>
      </c>
      <c r="F85" s="3">
        <v>5</v>
      </c>
      <c r="G85" s="3">
        <f t="shared" si="6"/>
        <v>1</v>
      </c>
      <c r="H85" s="3">
        <f t="shared" si="6"/>
        <v>0.75</v>
      </c>
      <c r="I85" s="2">
        <v>1209835049.7122512</v>
      </c>
      <c r="J85" s="2">
        <v>6629902341.8977947</v>
      </c>
      <c r="K85" s="2">
        <f t="shared" si="8"/>
        <v>34998827.641116276</v>
      </c>
    </row>
    <row r="86" spans="3:11" x14ac:dyDescent="0.2">
      <c r="C86" s="2" t="s">
        <v>11</v>
      </c>
      <c r="D86" s="2" t="s">
        <v>18</v>
      </c>
      <c r="E86" s="4">
        <v>10</v>
      </c>
      <c r="F86" s="3">
        <v>10</v>
      </c>
      <c r="G86" s="3">
        <f t="shared" si="6"/>
        <v>1</v>
      </c>
      <c r="H86" s="3">
        <f t="shared" si="6"/>
        <v>1</v>
      </c>
      <c r="I86" s="2">
        <v>1209835049.7122512</v>
      </c>
      <c r="J86" s="2">
        <v>40373855857.88063</v>
      </c>
      <c r="K86" s="2">
        <f t="shared" si="8"/>
        <v>0</v>
      </c>
    </row>
    <row r="87" spans="3:11" x14ac:dyDescent="0.2">
      <c r="C87" s="2" t="s">
        <v>11</v>
      </c>
      <c r="D87" s="2" t="s">
        <v>19</v>
      </c>
      <c r="E87" s="4">
        <v>10</v>
      </c>
      <c r="F87" s="3">
        <v>8</v>
      </c>
      <c r="G87" s="3">
        <f t="shared" si="6"/>
        <v>1</v>
      </c>
      <c r="H87" s="3">
        <f t="shared" si="6"/>
        <v>0.9</v>
      </c>
      <c r="I87" s="2">
        <v>1209835049.7122512</v>
      </c>
      <c r="J87" s="2">
        <v>96731892070.788498</v>
      </c>
      <c r="K87" s="2">
        <f t="shared" si="8"/>
        <v>69958376.514643356</v>
      </c>
    </row>
    <row r="88" spans="3:11" x14ac:dyDescent="0.2">
      <c r="C88" s="2" t="s">
        <v>12</v>
      </c>
      <c r="D88" s="2" t="s">
        <v>13</v>
      </c>
      <c r="E88" s="3">
        <v>6</v>
      </c>
      <c r="F88" s="3">
        <v>9</v>
      </c>
      <c r="G88" s="3">
        <f t="shared" si="6"/>
        <v>0.8</v>
      </c>
      <c r="H88" s="3">
        <f t="shared" si="6"/>
        <v>0.95</v>
      </c>
      <c r="I88" s="2">
        <v>3881258193.5048141</v>
      </c>
      <c r="J88" s="2">
        <v>22958888391.101994</v>
      </c>
      <c r="K88" s="2">
        <f t="shared" si="8"/>
        <v>43135949.868118033</v>
      </c>
    </row>
    <row r="89" spans="3:11" x14ac:dyDescent="0.2">
      <c r="C89" s="2" t="s">
        <v>12</v>
      </c>
      <c r="D89" s="2" t="s">
        <v>14</v>
      </c>
      <c r="E89" s="3">
        <v>6</v>
      </c>
      <c r="F89" s="4">
        <v>10</v>
      </c>
      <c r="G89" s="3">
        <f t="shared" si="6"/>
        <v>0.8</v>
      </c>
      <c r="H89" s="3">
        <f t="shared" si="6"/>
        <v>1</v>
      </c>
      <c r="I89" s="2">
        <v>3881258193.5048141</v>
      </c>
      <c r="J89" s="2">
        <v>1835057562.8462932</v>
      </c>
      <c r="K89" s="2">
        <f t="shared" si="8"/>
        <v>16332330.732431728</v>
      </c>
    </row>
    <row r="90" spans="3:11" x14ac:dyDescent="0.2">
      <c r="C90" s="2" t="s">
        <v>12</v>
      </c>
      <c r="D90" s="2" t="s">
        <v>15</v>
      </c>
      <c r="E90" s="3">
        <v>6</v>
      </c>
      <c r="F90" s="4">
        <v>10</v>
      </c>
      <c r="G90" s="3">
        <f t="shared" si="6"/>
        <v>0.8</v>
      </c>
      <c r="H90" s="3">
        <f t="shared" si="6"/>
        <v>1</v>
      </c>
      <c r="I90" s="2">
        <v>3881258193.5048141</v>
      </c>
      <c r="J90" s="2">
        <v>1100504460.089366</v>
      </c>
      <c r="K90" s="2">
        <f t="shared" si="8"/>
        <v>14233607.58169765</v>
      </c>
    </row>
    <row r="91" spans="3:11" x14ac:dyDescent="0.2">
      <c r="C91" s="2" t="s">
        <v>12</v>
      </c>
      <c r="D91" s="2" t="s">
        <v>16</v>
      </c>
      <c r="E91" s="3">
        <v>6</v>
      </c>
      <c r="F91" s="4">
        <v>10</v>
      </c>
      <c r="G91" s="3">
        <f t="shared" si="6"/>
        <v>0.8</v>
      </c>
      <c r="H91" s="3">
        <f t="shared" si="6"/>
        <v>1</v>
      </c>
      <c r="I91" s="2">
        <v>3881258193.5048141</v>
      </c>
      <c r="J91" s="2">
        <v>1116268443.8160377</v>
      </c>
      <c r="K91" s="2">
        <f t="shared" si="8"/>
        <v>14278647.535202427</v>
      </c>
    </row>
    <row r="92" spans="3:11" x14ac:dyDescent="0.2">
      <c r="C92" s="2" t="s">
        <v>12</v>
      </c>
      <c r="D92" s="2" t="s">
        <v>17</v>
      </c>
      <c r="E92" s="3">
        <v>6</v>
      </c>
      <c r="F92" s="3">
        <v>5</v>
      </c>
      <c r="G92" s="3">
        <f t="shared" si="6"/>
        <v>0.8</v>
      </c>
      <c r="H92" s="3">
        <f t="shared" si="6"/>
        <v>0.75</v>
      </c>
      <c r="I92" s="2">
        <v>3881258193.5048141</v>
      </c>
      <c r="J92" s="2">
        <v>6629902341.8977947</v>
      </c>
      <c r="K92" s="2">
        <f t="shared" si="8"/>
        <v>1876992.9527504691</v>
      </c>
    </row>
    <row r="93" spans="3:11" x14ac:dyDescent="0.2">
      <c r="C93" s="2" t="s">
        <v>12</v>
      </c>
      <c r="D93" s="2" t="s">
        <v>18</v>
      </c>
      <c r="E93" s="3">
        <v>6</v>
      </c>
      <c r="F93" s="3">
        <v>10</v>
      </c>
      <c r="G93" s="3">
        <f t="shared" si="6"/>
        <v>0.8</v>
      </c>
      <c r="H93" s="3">
        <f t="shared" si="6"/>
        <v>1</v>
      </c>
      <c r="I93" s="2">
        <v>3881258193.5048141</v>
      </c>
      <c r="J93" s="2">
        <v>40373855857.88063</v>
      </c>
      <c r="K93" s="2">
        <f t="shared" si="8"/>
        <v>126443183.00395836</v>
      </c>
    </row>
    <row r="94" spans="3:11" x14ac:dyDescent="0.2">
      <c r="C94" s="2" t="s">
        <v>12</v>
      </c>
      <c r="D94" s="2" t="s">
        <v>19</v>
      </c>
      <c r="E94" s="3">
        <v>6</v>
      </c>
      <c r="F94" s="3">
        <v>8</v>
      </c>
      <c r="G94" s="3">
        <f t="shared" si="6"/>
        <v>0.8</v>
      </c>
      <c r="H94" s="3">
        <f t="shared" si="6"/>
        <v>0.9</v>
      </c>
      <c r="I94" s="2">
        <v>3881258193.5048141</v>
      </c>
      <c r="J94" s="2">
        <v>96731892070.788498</v>
      </c>
      <c r="K94" s="2">
        <f t="shared" si="8"/>
        <v>71866535.903066605</v>
      </c>
    </row>
    <row r="95" spans="3:11" x14ac:dyDescent="0.2">
      <c r="C95" s="2" t="s">
        <v>13</v>
      </c>
      <c r="D95" s="2" t="s">
        <v>14</v>
      </c>
      <c r="E95" s="3">
        <v>9</v>
      </c>
      <c r="F95" s="4">
        <v>10</v>
      </c>
      <c r="G95" s="3">
        <f t="shared" si="6"/>
        <v>0.95</v>
      </c>
      <c r="H95" s="3">
        <f t="shared" si="6"/>
        <v>1</v>
      </c>
      <c r="I95" s="2">
        <v>22958888391.101994</v>
      </c>
      <c r="J95" s="2">
        <v>1835057562.8462932</v>
      </c>
      <c r="K95" s="2">
        <f t="shared" si="8"/>
        <v>4427490.3489193451</v>
      </c>
    </row>
    <row r="96" spans="3:11" x14ac:dyDescent="0.2">
      <c r="C96" s="2" t="s">
        <v>13</v>
      </c>
      <c r="D96" s="2" t="s">
        <v>15</v>
      </c>
      <c r="E96" s="3">
        <v>9</v>
      </c>
      <c r="F96" s="4">
        <v>10</v>
      </c>
      <c r="G96" s="3">
        <f t="shared" si="6"/>
        <v>0.95</v>
      </c>
      <c r="H96" s="3">
        <f t="shared" si="6"/>
        <v>1</v>
      </c>
      <c r="I96" s="2">
        <v>22958888391.101994</v>
      </c>
      <c r="J96" s="2">
        <v>1100504460.089366</v>
      </c>
      <c r="K96" s="2">
        <f t="shared" si="8"/>
        <v>4296320.1519984649</v>
      </c>
    </row>
    <row r="97" spans="3:11" x14ac:dyDescent="0.2">
      <c r="C97" s="2" t="s">
        <v>13</v>
      </c>
      <c r="D97" s="2" t="s">
        <v>16</v>
      </c>
      <c r="E97" s="3">
        <v>9</v>
      </c>
      <c r="F97" s="4">
        <v>10</v>
      </c>
      <c r="G97" s="3">
        <f t="shared" si="6"/>
        <v>0.95</v>
      </c>
      <c r="H97" s="3">
        <f t="shared" si="6"/>
        <v>1</v>
      </c>
      <c r="I97" s="2">
        <v>22958888391.101994</v>
      </c>
      <c r="J97" s="2">
        <v>1116268443.8160377</v>
      </c>
      <c r="K97" s="2">
        <f t="shared" si="8"/>
        <v>4299135.1490925131</v>
      </c>
    </row>
    <row r="98" spans="3:11" x14ac:dyDescent="0.2">
      <c r="C98" s="2" t="s">
        <v>13</v>
      </c>
      <c r="D98" s="2" t="s">
        <v>17</v>
      </c>
      <c r="E98" s="3">
        <v>9</v>
      </c>
      <c r="F98" s="3">
        <v>5</v>
      </c>
      <c r="G98" s="3">
        <f t="shared" si="6"/>
        <v>0.95</v>
      </c>
      <c r="H98" s="3">
        <f t="shared" si="6"/>
        <v>0.75</v>
      </c>
      <c r="I98" s="2">
        <v>22958888391.101994</v>
      </c>
      <c r="J98" s="2">
        <v>6629902341.8977947</v>
      </c>
      <c r="K98" s="2">
        <f t="shared" si="8"/>
        <v>84539402.094285071</v>
      </c>
    </row>
    <row r="99" spans="3:11" x14ac:dyDescent="0.2">
      <c r="C99" s="2" t="s">
        <v>13</v>
      </c>
      <c r="D99" s="2" t="s">
        <v>18</v>
      </c>
      <c r="E99" s="3">
        <v>9</v>
      </c>
      <c r="F99" s="3">
        <v>10</v>
      </c>
      <c r="G99" s="3">
        <f t="shared" si="6"/>
        <v>0.95</v>
      </c>
      <c r="H99" s="3">
        <f t="shared" si="6"/>
        <v>1</v>
      </c>
      <c r="I99" s="2">
        <v>22958888391.101994</v>
      </c>
      <c r="J99" s="2">
        <v>40373855857.88063</v>
      </c>
      <c r="K99" s="2">
        <f t="shared" si="8"/>
        <v>11309418.615889775</v>
      </c>
    </row>
    <row r="100" spans="3:11" x14ac:dyDescent="0.2">
      <c r="C100" s="2" t="s">
        <v>13</v>
      </c>
      <c r="D100" s="2" t="s">
        <v>19</v>
      </c>
      <c r="E100" s="3">
        <v>9</v>
      </c>
      <c r="F100" s="3">
        <v>8</v>
      </c>
      <c r="G100" s="3">
        <f t="shared" si="6"/>
        <v>0.95</v>
      </c>
      <c r="H100" s="3">
        <f t="shared" si="6"/>
        <v>0.9</v>
      </c>
      <c r="I100" s="2">
        <v>22958888391.101994</v>
      </c>
      <c r="J100" s="2">
        <v>96731892070.788498</v>
      </c>
      <c r="K100" s="2">
        <f t="shared" si="8"/>
        <v>21373353.653908961</v>
      </c>
    </row>
    <row r="101" spans="3:11" x14ac:dyDescent="0.2">
      <c r="C101" s="2" t="s">
        <v>14</v>
      </c>
      <c r="D101" s="2" t="s">
        <v>15</v>
      </c>
      <c r="E101" s="4">
        <v>10</v>
      </c>
      <c r="F101" s="4">
        <v>10</v>
      </c>
      <c r="G101" s="3">
        <f t="shared" si="6"/>
        <v>1</v>
      </c>
      <c r="H101" s="3">
        <f t="shared" si="6"/>
        <v>1</v>
      </c>
      <c r="I101" s="2">
        <v>1835057562.8462932</v>
      </c>
      <c r="J101" s="2">
        <v>1100504460.089366</v>
      </c>
      <c r="K101" s="2">
        <f t="shared" si="8"/>
        <v>0</v>
      </c>
    </row>
    <row r="102" spans="3:11" x14ac:dyDescent="0.2">
      <c r="C102" s="2" t="s">
        <v>14</v>
      </c>
      <c r="D102" s="2" t="s">
        <v>16</v>
      </c>
      <c r="E102" s="4">
        <v>10</v>
      </c>
      <c r="F102" s="4">
        <v>10</v>
      </c>
      <c r="G102" s="3">
        <f t="shared" si="6"/>
        <v>1</v>
      </c>
      <c r="H102" s="3">
        <f t="shared" si="6"/>
        <v>1</v>
      </c>
      <c r="I102" s="2">
        <v>1835057562.8462932</v>
      </c>
      <c r="J102" s="2">
        <v>1116268443.8160377</v>
      </c>
      <c r="K102" s="2">
        <f t="shared" si="8"/>
        <v>0</v>
      </c>
    </row>
    <row r="103" spans="3:11" x14ac:dyDescent="0.2">
      <c r="C103" s="2" t="s">
        <v>14</v>
      </c>
      <c r="D103" s="2" t="s">
        <v>17</v>
      </c>
      <c r="E103" s="4">
        <v>10</v>
      </c>
      <c r="F103" s="3">
        <v>5</v>
      </c>
      <c r="G103" s="3">
        <f t="shared" si="6"/>
        <v>1</v>
      </c>
      <c r="H103" s="3">
        <f t="shared" si="6"/>
        <v>0.75</v>
      </c>
      <c r="I103" s="2">
        <v>1835057562.8462932</v>
      </c>
      <c r="J103" s="2">
        <v>6629902341.8977947</v>
      </c>
      <c r="K103" s="2">
        <f t="shared" si="8"/>
        <v>37789999.574750394</v>
      </c>
    </row>
    <row r="104" spans="3:11" x14ac:dyDescent="0.2">
      <c r="C104" s="2" t="s">
        <v>14</v>
      </c>
      <c r="D104" s="2" t="s">
        <v>18</v>
      </c>
      <c r="E104" s="4">
        <v>10</v>
      </c>
      <c r="F104" s="3">
        <f>$A$28</f>
        <v>9</v>
      </c>
      <c r="G104" s="3">
        <f t="shared" si="6"/>
        <v>1</v>
      </c>
      <c r="H104" s="3">
        <f t="shared" si="6"/>
        <v>0.95</v>
      </c>
      <c r="I104" s="2">
        <v>1835057562.8462932</v>
      </c>
      <c r="J104" s="2">
        <v>40373855857.88063</v>
      </c>
      <c r="K104" s="2">
        <f t="shared" si="8"/>
        <v>7537305.9679869628</v>
      </c>
    </row>
    <row r="105" spans="3:11" x14ac:dyDescent="0.2">
      <c r="C105" s="2" t="s">
        <v>14</v>
      </c>
      <c r="D105" s="2" t="s">
        <v>19</v>
      </c>
      <c r="E105" s="4">
        <v>10</v>
      </c>
      <c r="F105" s="3">
        <f>$A$28</f>
        <v>9</v>
      </c>
      <c r="G105" s="3">
        <f t="shared" si="6"/>
        <v>1</v>
      </c>
      <c r="H105" s="3">
        <f t="shared" si="6"/>
        <v>0.95</v>
      </c>
      <c r="I105" s="2">
        <v>1835057562.8462932</v>
      </c>
      <c r="J105" s="2">
        <v>96731892070.788498</v>
      </c>
      <c r="K105" s="2">
        <f t="shared" si="8"/>
        <v>17601241.006006245</v>
      </c>
    </row>
    <row r="106" spans="3:11" x14ac:dyDescent="0.2">
      <c r="C106" s="2" t="s">
        <v>15</v>
      </c>
      <c r="D106" s="2" t="s">
        <v>16</v>
      </c>
      <c r="E106" s="4">
        <v>10</v>
      </c>
      <c r="F106" s="4">
        <v>10</v>
      </c>
      <c r="G106" s="3">
        <f t="shared" ref="G106:H115" si="9">(E106+10)/20</f>
        <v>1</v>
      </c>
      <c r="H106" s="3">
        <f t="shared" si="9"/>
        <v>1</v>
      </c>
      <c r="I106" s="2">
        <v>1100504460.089366</v>
      </c>
      <c r="J106" s="2">
        <v>1116268443.8160377</v>
      </c>
      <c r="K106" s="2">
        <f t="shared" si="8"/>
        <v>0</v>
      </c>
    </row>
    <row r="107" spans="3:11" x14ac:dyDescent="0.2">
      <c r="C107" s="2" t="s">
        <v>15</v>
      </c>
      <c r="D107" s="2" t="s">
        <v>17</v>
      </c>
      <c r="E107" s="4">
        <v>10</v>
      </c>
      <c r="F107" s="3">
        <v>5</v>
      </c>
      <c r="G107" s="3">
        <f t="shared" si="9"/>
        <v>1</v>
      </c>
      <c r="H107" s="3">
        <f t="shared" si="9"/>
        <v>0.75</v>
      </c>
      <c r="I107" s="2">
        <v>1100504460.089366</v>
      </c>
      <c r="J107" s="2">
        <v>6629902341.8977947</v>
      </c>
      <c r="K107" s="2">
        <f t="shared" si="8"/>
        <v>34510744.651728399</v>
      </c>
    </row>
    <row r="108" spans="3:11" x14ac:dyDescent="0.2">
      <c r="C108" s="2" t="s">
        <v>15</v>
      </c>
      <c r="D108" s="2" t="s">
        <v>18</v>
      </c>
      <c r="E108" s="4">
        <v>10</v>
      </c>
      <c r="F108" s="3">
        <v>10</v>
      </c>
      <c r="G108" s="3">
        <f t="shared" si="9"/>
        <v>1</v>
      </c>
      <c r="H108" s="3">
        <f t="shared" si="9"/>
        <v>1</v>
      </c>
      <c r="I108" s="2">
        <v>1100504460.089366</v>
      </c>
      <c r="J108" s="2">
        <v>40373855857.88063</v>
      </c>
      <c r="K108" s="2">
        <f t="shared" si="8"/>
        <v>0</v>
      </c>
    </row>
    <row r="109" spans="3:11" x14ac:dyDescent="0.2">
      <c r="C109" s="2" t="s">
        <v>15</v>
      </c>
      <c r="D109" s="2" t="s">
        <v>19</v>
      </c>
      <c r="E109" s="4">
        <v>10</v>
      </c>
      <c r="F109" s="3">
        <v>8</v>
      </c>
      <c r="G109" s="3">
        <f t="shared" si="9"/>
        <v>1</v>
      </c>
      <c r="H109" s="3">
        <f t="shared" si="9"/>
        <v>0.9</v>
      </c>
      <c r="I109" s="2">
        <v>1100504460.089366</v>
      </c>
      <c r="J109" s="2">
        <v>96731892070.788498</v>
      </c>
      <c r="K109" s="2">
        <f t="shared" si="8"/>
        <v>69880283.236341298</v>
      </c>
    </row>
    <row r="110" spans="3:11" x14ac:dyDescent="0.2">
      <c r="C110" s="2" t="s">
        <v>16</v>
      </c>
      <c r="D110" s="2" t="s">
        <v>17</v>
      </c>
      <c r="E110" s="4">
        <v>10</v>
      </c>
      <c r="F110" s="3">
        <v>5</v>
      </c>
      <c r="G110" s="3">
        <f t="shared" si="9"/>
        <v>1</v>
      </c>
      <c r="H110" s="3">
        <f t="shared" si="9"/>
        <v>0.75</v>
      </c>
      <c r="I110" s="2">
        <v>1116268443.8160377</v>
      </c>
      <c r="J110" s="2">
        <v>6629902341.8977947</v>
      </c>
      <c r="K110" s="2">
        <f t="shared" si="8"/>
        <v>34581119.579079613</v>
      </c>
    </row>
    <row r="111" spans="3:11" x14ac:dyDescent="0.2">
      <c r="C111" s="2" t="s">
        <v>16</v>
      </c>
      <c r="D111" s="2" t="s">
        <v>18</v>
      </c>
      <c r="E111" s="4">
        <v>10</v>
      </c>
      <c r="F111" s="3">
        <v>10</v>
      </c>
      <c r="G111" s="3">
        <f t="shared" si="9"/>
        <v>1</v>
      </c>
      <c r="H111" s="3">
        <f t="shared" si="9"/>
        <v>1</v>
      </c>
      <c r="I111" s="2">
        <v>1116268443.8160377</v>
      </c>
      <c r="J111" s="2">
        <v>40373855857.88063</v>
      </c>
      <c r="K111" s="2">
        <f t="shared" si="8"/>
        <v>0</v>
      </c>
    </row>
    <row r="112" spans="3:11" x14ac:dyDescent="0.2">
      <c r="C112" s="2" t="s">
        <v>16</v>
      </c>
      <c r="D112" s="2" t="s">
        <v>19</v>
      </c>
      <c r="E112" s="4">
        <v>10</v>
      </c>
      <c r="F112" s="3">
        <v>8</v>
      </c>
      <c r="G112" s="3">
        <f t="shared" si="9"/>
        <v>1</v>
      </c>
      <c r="H112" s="3">
        <f t="shared" si="9"/>
        <v>0.9</v>
      </c>
      <c r="I112" s="2">
        <v>1116268443.8160377</v>
      </c>
      <c r="J112" s="2">
        <v>96731892070.788498</v>
      </c>
      <c r="K112" s="2">
        <f t="shared" si="8"/>
        <v>69891543.224717498</v>
      </c>
    </row>
    <row r="113" spans="3:15" x14ac:dyDescent="0.2">
      <c r="C113" s="2" t="s">
        <v>17</v>
      </c>
      <c r="D113" s="2" t="s">
        <v>18</v>
      </c>
      <c r="E113" s="3">
        <v>5</v>
      </c>
      <c r="F113" s="3">
        <v>10</v>
      </c>
      <c r="G113" s="3">
        <f t="shared" si="9"/>
        <v>0.75</v>
      </c>
      <c r="H113" s="3">
        <f t="shared" si="9"/>
        <v>1</v>
      </c>
      <c r="I113" s="2">
        <v>6629902341.8977947</v>
      </c>
      <c r="J113" s="2">
        <v>40373855857.88063</v>
      </c>
      <c r="K113" s="2">
        <f t="shared" si="8"/>
        <v>209838206.24901083</v>
      </c>
    </row>
    <row r="114" spans="3:15" x14ac:dyDescent="0.2">
      <c r="C114" s="2" t="s">
        <v>17</v>
      </c>
      <c r="D114" s="2" t="s">
        <v>19</v>
      </c>
      <c r="E114" s="3">
        <v>5</v>
      </c>
      <c r="F114" s="3">
        <v>8</v>
      </c>
      <c r="G114" s="3">
        <f t="shared" si="9"/>
        <v>0.75</v>
      </c>
      <c r="H114" s="3">
        <f t="shared" si="9"/>
        <v>0.9</v>
      </c>
      <c r="I114" s="2">
        <v>6629902341.8977947</v>
      </c>
      <c r="J114" s="2">
        <v>96731892070.788498</v>
      </c>
      <c r="K114" s="2">
        <f t="shared" si="8"/>
        <v>166117169.59181732</v>
      </c>
    </row>
    <row r="115" spans="3:15" x14ac:dyDescent="0.2">
      <c r="C115" s="2" t="s">
        <v>18</v>
      </c>
      <c r="D115" s="2" t="s">
        <v>19</v>
      </c>
      <c r="E115" s="3">
        <v>10</v>
      </c>
      <c r="F115" s="3">
        <v>8</v>
      </c>
      <c r="G115" s="3">
        <f t="shared" si="9"/>
        <v>1</v>
      </c>
      <c r="H115" s="3">
        <f t="shared" si="9"/>
        <v>0.9</v>
      </c>
      <c r="I115" s="2">
        <v>40373855857.88063</v>
      </c>
      <c r="J115" s="2">
        <v>96731892070.788498</v>
      </c>
      <c r="K115" s="2">
        <f t="shared" si="8"/>
        <v>97932677.091906473</v>
      </c>
    </row>
    <row r="116" spans="3:15" x14ac:dyDescent="0.2">
      <c r="K116" s="1">
        <f>(1-SQRT(SUM(K11:K115)/(I11+SUM(J11:J24))))*100</f>
        <v>87.916943885337034</v>
      </c>
    </row>
    <row r="118" spans="3:15" x14ac:dyDescent="0.2">
      <c r="C118" s="1" t="s">
        <v>22</v>
      </c>
      <c r="D118" s="1">
        <v>2012</v>
      </c>
    </row>
    <row r="119" spans="3:15" x14ac:dyDescent="0.2">
      <c r="C119" s="2" t="s">
        <v>23</v>
      </c>
      <c r="D119" s="2" t="s">
        <v>24</v>
      </c>
      <c r="E119" s="3">
        <v>9</v>
      </c>
      <c r="F119" s="3">
        <v>8</v>
      </c>
      <c r="G119" s="3">
        <f t="shared" ref="G119:H133" si="10">(E119+10)/20</f>
        <v>0.95</v>
      </c>
      <c r="H119" s="3">
        <f t="shared" si="10"/>
        <v>0.9</v>
      </c>
      <c r="I119" s="2">
        <v>69870441179.220673</v>
      </c>
      <c r="J119" s="2">
        <v>107297400116.9846</v>
      </c>
      <c r="K119" s="2">
        <f>(G119-H119)^2*((I119+J119)/5)</f>
        <v>88583920.648102403</v>
      </c>
    </row>
    <row r="120" spans="3:15" x14ac:dyDescent="0.2">
      <c r="C120" s="2" t="s">
        <v>23</v>
      </c>
      <c r="D120" s="2" t="s">
        <v>25</v>
      </c>
      <c r="E120" s="3">
        <v>9</v>
      </c>
      <c r="F120" s="3">
        <v>10</v>
      </c>
      <c r="G120" s="3">
        <f t="shared" si="10"/>
        <v>0.95</v>
      </c>
      <c r="H120" s="3">
        <f t="shared" si="10"/>
        <v>1</v>
      </c>
      <c r="I120" s="2">
        <v>69870441179.220673</v>
      </c>
      <c r="J120" s="2">
        <v>65779909102.708412</v>
      </c>
      <c r="K120" s="2">
        <f t="shared" ref="K120:K133" si="11">(G120-H120)^2*((I120+J120)/5)</f>
        <v>67825175.140964657</v>
      </c>
    </row>
    <row r="121" spans="3:15" x14ac:dyDescent="0.2">
      <c r="C121" s="2" t="s">
        <v>23</v>
      </c>
      <c r="D121" s="2" t="s">
        <v>26</v>
      </c>
      <c r="E121" s="3">
        <v>9</v>
      </c>
      <c r="F121" s="3">
        <v>8</v>
      </c>
      <c r="G121" s="3">
        <f t="shared" si="10"/>
        <v>0.95</v>
      </c>
      <c r="H121" s="3">
        <f t="shared" si="10"/>
        <v>0.9</v>
      </c>
      <c r="I121" s="2">
        <v>69870441179.220673</v>
      </c>
      <c r="J121" s="2">
        <v>47727037752.145149</v>
      </c>
      <c r="K121" s="2">
        <f t="shared" si="11"/>
        <v>58798739.465682752</v>
      </c>
      <c r="O121" s="2">
        <f>(1-_xlfn.STDEV.S(G119,H119:H123))*100</f>
        <v>94.755955759149245</v>
      </c>
    </row>
    <row r="122" spans="3:15" x14ac:dyDescent="0.2">
      <c r="C122" s="2" t="s">
        <v>23</v>
      </c>
      <c r="D122" s="2" t="s">
        <v>27</v>
      </c>
      <c r="E122" s="3">
        <v>9</v>
      </c>
      <c r="F122" s="3">
        <v>7</v>
      </c>
      <c r="G122" s="3">
        <f t="shared" si="10"/>
        <v>0.95</v>
      </c>
      <c r="H122" s="3">
        <f t="shared" si="10"/>
        <v>0.85</v>
      </c>
      <c r="I122" s="2">
        <v>69870441179.220673</v>
      </c>
      <c r="J122" s="2">
        <v>35834494559.57225</v>
      </c>
      <c r="K122" s="2">
        <f t="shared" si="11"/>
        <v>211409871.47758573</v>
      </c>
    </row>
    <row r="123" spans="3:15" x14ac:dyDescent="0.2">
      <c r="C123" s="2" t="s">
        <v>23</v>
      </c>
      <c r="D123" s="2" t="s">
        <v>28</v>
      </c>
      <c r="E123" s="3">
        <v>9</v>
      </c>
      <c r="F123" s="3">
        <v>9</v>
      </c>
      <c r="G123" s="3">
        <f t="shared" si="10"/>
        <v>0.95</v>
      </c>
      <c r="H123" s="3">
        <f t="shared" si="10"/>
        <v>0.95</v>
      </c>
      <c r="I123" s="2">
        <v>69870441179.220673</v>
      </c>
      <c r="J123" s="2">
        <v>28419322954.574661</v>
      </c>
      <c r="K123" s="2">
        <f t="shared" si="11"/>
        <v>0</v>
      </c>
    </row>
    <row r="124" spans="3:15" x14ac:dyDescent="0.2">
      <c r="C124" s="2" t="s">
        <v>24</v>
      </c>
      <c r="D124" s="2" t="s">
        <v>25</v>
      </c>
      <c r="E124" s="3">
        <v>8</v>
      </c>
      <c r="F124" s="3">
        <v>10</v>
      </c>
      <c r="G124" s="3">
        <f t="shared" si="10"/>
        <v>0.9</v>
      </c>
      <c r="H124" s="3">
        <f t="shared" si="10"/>
        <v>1</v>
      </c>
      <c r="I124" s="2">
        <v>107297400116.9846</v>
      </c>
      <c r="J124" s="2">
        <v>65779909102.708412</v>
      </c>
      <c r="K124" s="2">
        <f t="shared" si="11"/>
        <v>346154618.43938589</v>
      </c>
    </row>
    <row r="125" spans="3:15" x14ac:dyDescent="0.2">
      <c r="C125" s="2" t="s">
        <v>24</v>
      </c>
      <c r="D125" s="2" t="s">
        <v>26</v>
      </c>
      <c r="E125" s="3">
        <v>8</v>
      </c>
      <c r="F125" s="3">
        <v>8</v>
      </c>
      <c r="G125" s="3">
        <f t="shared" si="10"/>
        <v>0.9</v>
      </c>
      <c r="H125" s="3">
        <f t="shared" si="10"/>
        <v>0.9</v>
      </c>
      <c r="I125" s="2">
        <v>107297400116.9846</v>
      </c>
      <c r="J125" s="2">
        <v>47727037752.145149</v>
      </c>
      <c r="K125" s="2">
        <f t="shared" si="11"/>
        <v>0</v>
      </c>
    </row>
    <row r="126" spans="3:15" x14ac:dyDescent="0.2">
      <c r="C126" s="2" t="s">
        <v>24</v>
      </c>
      <c r="D126" s="2" t="s">
        <v>27</v>
      </c>
      <c r="E126" s="3">
        <v>8</v>
      </c>
      <c r="F126" s="3">
        <v>7</v>
      </c>
      <c r="G126" s="3">
        <f t="shared" si="10"/>
        <v>0.9</v>
      </c>
      <c r="H126" s="3">
        <f t="shared" si="10"/>
        <v>0.85</v>
      </c>
      <c r="I126" s="2">
        <v>107297400116.9846</v>
      </c>
      <c r="J126" s="2">
        <v>35834494559.57225</v>
      </c>
      <c r="K126" s="2">
        <f t="shared" si="11"/>
        <v>71565947.338278547</v>
      </c>
    </row>
    <row r="127" spans="3:15" x14ac:dyDescent="0.2">
      <c r="C127" s="2" t="s">
        <v>24</v>
      </c>
      <c r="D127" s="2" t="s">
        <v>28</v>
      </c>
      <c r="E127" s="3">
        <v>8</v>
      </c>
      <c r="F127" s="3">
        <v>9</v>
      </c>
      <c r="G127" s="3">
        <f t="shared" si="10"/>
        <v>0.9</v>
      </c>
      <c r="H127" s="3">
        <f t="shared" si="10"/>
        <v>0.95</v>
      </c>
      <c r="I127" s="2">
        <v>107297400116.9846</v>
      </c>
      <c r="J127" s="2">
        <v>28419322954.574661</v>
      </c>
      <c r="K127" s="2">
        <f t="shared" si="11"/>
        <v>67858361.535779446</v>
      </c>
    </row>
    <row r="128" spans="3:15" x14ac:dyDescent="0.2">
      <c r="C128" s="2" t="s">
        <v>25</v>
      </c>
      <c r="D128" s="2" t="s">
        <v>26</v>
      </c>
      <c r="E128" s="3">
        <v>10</v>
      </c>
      <c r="F128" s="3">
        <v>8</v>
      </c>
      <c r="G128" s="3">
        <f t="shared" si="10"/>
        <v>1</v>
      </c>
      <c r="H128" s="3">
        <f t="shared" si="10"/>
        <v>0.9</v>
      </c>
      <c r="I128" s="2">
        <v>65779909102.708412</v>
      </c>
      <c r="J128" s="2">
        <v>47727037752.145149</v>
      </c>
      <c r="K128" s="2">
        <f t="shared" si="11"/>
        <v>227013893.70970699</v>
      </c>
    </row>
    <row r="129" spans="3:15" x14ac:dyDescent="0.2">
      <c r="C129" s="2" t="s">
        <v>25</v>
      </c>
      <c r="D129" s="2" t="s">
        <v>27</v>
      </c>
      <c r="E129" s="3">
        <v>10</v>
      </c>
      <c r="F129" s="3">
        <v>7</v>
      </c>
      <c r="G129" s="3">
        <f t="shared" si="10"/>
        <v>1</v>
      </c>
      <c r="H129" s="3">
        <f t="shared" si="10"/>
        <v>0.85</v>
      </c>
      <c r="I129" s="2">
        <v>65779909102.708412</v>
      </c>
      <c r="J129" s="2">
        <v>35834494559.57225</v>
      </c>
      <c r="K129" s="2">
        <f t="shared" si="11"/>
        <v>457264816.48026317</v>
      </c>
    </row>
    <row r="130" spans="3:15" x14ac:dyDescent="0.2">
      <c r="C130" s="2" t="s">
        <v>25</v>
      </c>
      <c r="D130" s="2" t="s">
        <v>28</v>
      </c>
      <c r="E130" s="3">
        <v>10</v>
      </c>
      <c r="F130" s="3">
        <v>9</v>
      </c>
      <c r="G130" s="3">
        <f t="shared" si="10"/>
        <v>1</v>
      </c>
      <c r="H130" s="3">
        <f t="shared" si="10"/>
        <v>0.95</v>
      </c>
      <c r="I130" s="2">
        <v>65779909102.708412</v>
      </c>
      <c r="J130" s="2">
        <v>28419322954.574661</v>
      </c>
      <c r="K130" s="2">
        <f t="shared" si="11"/>
        <v>47099616.028641619</v>
      </c>
    </row>
    <row r="131" spans="3:15" x14ac:dyDescent="0.2">
      <c r="C131" s="2" t="s">
        <v>26</v>
      </c>
      <c r="D131" s="2" t="s">
        <v>27</v>
      </c>
      <c r="E131" s="3">
        <v>8</v>
      </c>
      <c r="F131" s="3">
        <v>7</v>
      </c>
      <c r="G131" s="3">
        <f t="shared" si="10"/>
        <v>0.9</v>
      </c>
      <c r="H131" s="3">
        <f t="shared" si="10"/>
        <v>0.85</v>
      </c>
      <c r="I131" s="2">
        <v>47727037752.145149</v>
      </c>
      <c r="J131" s="2">
        <v>35834494559.57225</v>
      </c>
      <c r="K131" s="2">
        <f t="shared" si="11"/>
        <v>41780766.155858777</v>
      </c>
    </row>
    <row r="132" spans="3:15" x14ac:dyDescent="0.2">
      <c r="C132" s="2" t="s">
        <v>26</v>
      </c>
      <c r="D132" s="2" t="s">
        <v>28</v>
      </c>
      <c r="E132" s="3">
        <v>8</v>
      </c>
      <c r="F132" s="3">
        <v>9</v>
      </c>
      <c r="G132" s="3">
        <f t="shared" si="10"/>
        <v>0.9</v>
      </c>
      <c r="H132" s="3">
        <f t="shared" si="10"/>
        <v>0.95</v>
      </c>
      <c r="I132" s="2">
        <v>47727037752.145149</v>
      </c>
      <c r="J132" s="2">
        <v>28419322954.574661</v>
      </c>
      <c r="K132" s="2">
        <f t="shared" si="11"/>
        <v>38073180.353359811</v>
      </c>
    </row>
    <row r="133" spans="3:15" x14ac:dyDescent="0.2">
      <c r="C133" s="2" t="s">
        <v>27</v>
      </c>
      <c r="D133" s="2" t="s">
        <v>28</v>
      </c>
      <c r="E133" s="3">
        <v>7</v>
      </c>
      <c r="F133" s="3">
        <v>9</v>
      </c>
      <c r="G133" s="3">
        <f t="shared" si="10"/>
        <v>0.85</v>
      </c>
      <c r="H133" s="3">
        <f t="shared" si="10"/>
        <v>0.95</v>
      </c>
      <c r="I133" s="2">
        <v>35834494559.57225</v>
      </c>
      <c r="J133" s="2">
        <v>28419322954.574661</v>
      </c>
      <c r="K133" s="2">
        <f t="shared" si="11"/>
        <v>128507635.02829376</v>
      </c>
    </row>
    <row r="134" spans="3:15" x14ac:dyDescent="0.2">
      <c r="K134" s="1">
        <f>(1-SQRT(SUM(K119:K133)/(I119+SUM(J119:J123))))*100</f>
        <v>92.776585292760373</v>
      </c>
    </row>
    <row r="136" spans="3:15" x14ac:dyDescent="0.2">
      <c r="C136" s="1" t="s">
        <v>29</v>
      </c>
      <c r="D136" s="1" t="s">
        <v>30</v>
      </c>
    </row>
    <row r="137" spans="3:15" x14ac:dyDescent="0.2">
      <c r="C137" s="2" t="s">
        <v>31</v>
      </c>
      <c r="D137" s="2" t="s">
        <v>32</v>
      </c>
      <c r="E137" s="3">
        <v>8</v>
      </c>
      <c r="F137" s="3">
        <v>8</v>
      </c>
      <c r="G137" s="3">
        <f t="shared" ref="G137:H151" si="12">(E137+10)/20</f>
        <v>0.9</v>
      </c>
      <c r="H137" s="3">
        <f t="shared" si="12"/>
        <v>0.9</v>
      </c>
      <c r="I137" s="2">
        <v>37657768013.80101</v>
      </c>
      <c r="J137" s="2">
        <v>6676113038.1557198</v>
      </c>
      <c r="K137" s="2">
        <f>(G137-H137)^2*((I137+J137)/5)</f>
        <v>0</v>
      </c>
    </row>
    <row r="138" spans="3:15" x14ac:dyDescent="0.2">
      <c r="C138" s="2" t="s">
        <v>31</v>
      </c>
      <c r="D138" s="2" t="s">
        <v>33</v>
      </c>
      <c r="E138" s="3">
        <v>8</v>
      </c>
      <c r="F138" s="3">
        <v>5</v>
      </c>
      <c r="G138" s="3">
        <f t="shared" si="12"/>
        <v>0.9</v>
      </c>
      <c r="H138" s="3">
        <f t="shared" si="12"/>
        <v>0.75</v>
      </c>
      <c r="I138" s="2">
        <v>37657768013.80101</v>
      </c>
      <c r="J138" s="2">
        <v>35088683802.082138</v>
      </c>
      <c r="K138" s="2">
        <f t="shared" ref="K138:K151" si="13">(G138-H138)^2*((I138+J138)/5)</f>
        <v>327359033.17147428</v>
      </c>
    </row>
    <row r="139" spans="3:15" x14ac:dyDescent="0.2">
      <c r="C139" s="2" t="s">
        <v>31</v>
      </c>
      <c r="D139" s="2" t="s">
        <v>34</v>
      </c>
      <c r="E139" s="3">
        <v>8</v>
      </c>
      <c r="F139" s="3">
        <v>6</v>
      </c>
      <c r="G139" s="3">
        <f t="shared" si="12"/>
        <v>0.9</v>
      </c>
      <c r="H139" s="3">
        <f t="shared" si="12"/>
        <v>0.8</v>
      </c>
      <c r="I139" s="2">
        <v>37657768013.80101</v>
      </c>
      <c r="J139" s="2">
        <v>26247669891.064445</v>
      </c>
      <c r="K139" s="2">
        <f t="shared" si="13"/>
        <v>127810875.80973084</v>
      </c>
      <c r="O139" s="2">
        <f>(1-_xlfn.STDEV.S(G137,H137:H141))*100</f>
        <v>66.12523062809133</v>
      </c>
    </row>
    <row r="140" spans="3:15" x14ac:dyDescent="0.2">
      <c r="C140" s="2" t="s">
        <v>31</v>
      </c>
      <c r="D140" s="2" t="s">
        <v>35</v>
      </c>
      <c r="E140" s="3">
        <v>8</v>
      </c>
      <c r="F140" s="3">
        <v>9</v>
      </c>
      <c r="G140" s="3">
        <f t="shared" si="12"/>
        <v>0.9</v>
      </c>
      <c r="H140" s="3">
        <f t="shared" si="12"/>
        <v>0.95</v>
      </c>
      <c r="I140" s="2">
        <v>37657768013.80101</v>
      </c>
      <c r="J140" s="2">
        <v>739419184416.48059</v>
      </c>
      <c r="K140" s="2">
        <f t="shared" si="13"/>
        <v>388538476.21513981</v>
      </c>
    </row>
    <row r="141" spans="3:15" x14ac:dyDescent="0.2">
      <c r="C141" s="2" t="s">
        <v>31</v>
      </c>
      <c r="D141" s="2" t="s">
        <v>36</v>
      </c>
      <c r="E141" s="3">
        <v>8</v>
      </c>
      <c r="F141" s="3">
        <v>-9</v>
      </c>
      <c r="G141" s="3">
        <f t="shared" si="12"/>
        <v>0.9</v>
      </c>
      <c r="H141" s="3">
        <f t="shared" si="12"/>
        <v>0.05</v>
      </c>
      <c r="I141" s="2">
        <v>37657768013.80101</v>
      </c>
      <c r="J141" s="2">
        <v>11205076630.146416</v>
      </c>
      <c r="K141" s="2">
        <f t="shared" si="13"/>
        <v>7060681051.0504026</v>
      </c>
    </row>
    <row r="142" spans="3:15" x14ac:dyDescent="0.2">
      <c r="C142" s="2" t="s">
        <v>32</v>
      </c>
      <c r="D142" s="2" t="s">
        <v>33</v>
      </c>
      <c r="E142" s="3">
        <v>8</v>
      </c>
      <c r="F142" s="3">
        <v>5</v>
      </c>
      <c r="G142" s="3">
        <f t="shared" si="12"/>
        <v>0.9</v>
      </c>
      <c r="H142" s="3">
        <f t="shared" si="12"/>
        <v>0.75</v>
      </c>
      <c r="I142" s="2">
        <v>6676113038.1557198</v>
      </c>
      <c r="J142" s="2">
        <v>35088683802.082138</v>
      </c>
      <c r="K142" s="2">
        <f t="shared" si="13"/>
        <v>187941585.78107041</v>
      </c>
    </row>
    <row r="143" spans="3:15" x14ac:dyDescent="0.2">
      <c r="C143" s="2" t="s">
        <v>32</v>
      </c>
      <c r="D143" s="2" t="s">
        <v>34</v>
      </c>
      <c r="E143" s="3">
        <v>8</v>
      </c>
      <c r="F143" s="3">
        <v>6</v>
      </c>
      <c r="G143" s="3">
        <f t="shared" si="12"/>
        <v>0.9</v>
      </c>
      <c r="H143" s="3">
        <f t="shared" si="12"/>
        <v>0.8</v>
      </c>
      <c r="I143" s="2">
        <v>6676113038.1557198</v>
      </c>
      <c r="J143" s="2">
        <v>26247669891.064445</v>
      </c>
      <c r="K143" s="2">
        <f t="shared" si="13"/>
        <v>65847565.858440302</v>
      </c>
    </row>
    <row r="144" spans="3:15" x14ac:dyDescent="0.2">
      <c r="C144" s="2" t="s">
        <v>32</v>
      </c>
      <c r="D144" s="2" t="s">
        <v>35</v>
      </c>
      <c r="E144" s="3">
        <v>8</v>
      </c>
      <c r="F144" s="3">
        <v>9</v>
      </c>
      <c r="G144" s="3">
        <f t="shared" si="12"/>
        <v>0.9</v>
      </c>
      <c r="H144" s="3">
        <f t="shared" si="12"/>
        <v>0.95</v>
      </c>
      <c r="I144" s="2">
        <v>6676113038.1557198</v>
      </c>
      <c r="J144" s="2">
        <v>739419184416.48059</v>
      </c>
      <c r="K144" s="2">
        <f t="shared" si="13"/>
        <v>373047648.72731721</v>
      </c>
    </row>
    <row r="145" spans="1:15" x14ac:dyDescent="0.2">
      <c r="C145" s="2" t="s">
        <v>32</v>
      </c>
      <c r="D145" s="2" t="s">
        <v>36</v>
      </c>
      <c r="E145" s="3">
        <v>8</v>
      </c>
      <c r="F145" s="3">
        <v>-9</v>
      </c>
      <c r="G145" s="3">
        <f t="shared" si="12"/>
        <v>0.9</v>
      </c>
      <c r="H145" s="3">
        <f t="shared" si="12"/>
        <v>0.05</v>
      </c>
      <c r="I145" s="2">
        <v>6676113038.1557198</v>
      </c>
      <c r="J145" s="2">
        <v>11205076630.146416</v>
      </c>
      <c r="K145" s="2">
        <f t="shared" si="13"/>
        <v>2583831907.0696583</v>
      </c>
    </row>
    <row r="146" spans="1:15" x14ac:dyDescent="0.2">
      <c r="C146" s="2" t="s">
        <v>33</v>
      </c>
      <c r="D146" s="2" t="s">
        <v>34</v>
      </c>
      <c r="E146" s="3">
        <v>5</v>
      </c>
      <c r="F146" s="3">
        <v>6</v>
      </c>
      <c r="G146" s="3">
        <f t="shared" si="12"/>
        <v>0.75</v>
      </c>
      <c r="H146" s="3">
        <f t="shared" si="12"/>
        <v>0.8</v>
      </c>
      <c r="I146" s="2">
        <v>35088683802.082138</v>
      </c>
      <c r="J146" s="2">
        <v>26247669891.064445</v>
      </c>
      <c r="K146" s="2">
        <f t="shared" si="13"/>
        <v>30668176.846573345</v>
      </c>
    </row>
    <row r="147" spans="1:15" x14ac:dyDescent="0.2">
      <c r="C147" s="2" t="s">
        <v>33</v>
      </c>
      <c r="D147" s="2" t="s">
        <v>35</v>
      </c>
      <c r="E147" s="3">
        <v>5</v>
      </c>
      <c r="F147" s="3">
        <v>9</v>
      </c>
      <c r="G147" s="3">
        <f t="shared" si="12"/>
        <v>0.75</v>
      </c>
      <c r="H147" s="3">
        <f t="shared" si="12"/>
        <v>0.95</v>
      </c>
      <c r="I147" s="2">
        <v>35088683802.082138</v>
      </c>
      <c r="J147" s="2">
        <v>739419184416.48059</v>
      </c>
      <c r="K147" s="2">
        <f t="shared" si="13"/>
        <v>6196062945.7484989</v>
      </c>
    </row>
    <row r="148" spans="1:15" x14ac:dyDescent="0.2">
      <c r="C148" s="2" t="s">
        <v>33</v>
      </c>
      <c r="D148" s="2" t="s">
        <v>36</v>
      </c>
      <c r="E148" s="3">
        <v>5</v>
      </c>
      <c r="F148" s="3">
        <v>-9</v>
      </c>
      <c r="G148" s="3">
        <f t="shared" si="12"/>
        <v>0.75</v>
      </c>
      <c r="H148" s="3">
        <f t="shared" si="12"/>
        <v>0.05</v>
      </c>
      <c r="I148" s="2">
        <v>35088683802.082138</v>
      </c>
      <c r="J148" s="2">
        <v>11205076630.146416</v>
      </c>
      <c r="K148" s="2">
        <f t="shared" si="13"/>
        <v>4536788522.3583975</v>
      </c>
    </row>
    <row r="149" spans="1:15" x14ac:dyDescent="0.2">
      <c r="C149" s="2" t="s">
        <v>34</v>
      </c>
      <c r="D149" s="2" t="s">
        <v>35</v>
      </c>
      <c r="E149" s="3">
        <v>6</v>
      </c>
      <c r="F149" s="3">
        <v>9</v>
      </c>
      <c r="G149" s="3">
        <f t="shared" si="12"/>
        <v>0.8</v>
      </c>
      <c r="H149" s="3">
        <f t="shared" si="12"/>
        <v>0.95</v>
      </c>
      <c r="I149" s="2">
        <v>26247669891.064445</v>
      </c>
      <c r="J149" s="2">
        <v>739419184416.48059</v>
      </c>
      <c r="K149" s="2">
        <f t="shared" si="13"/>
        <v>3445500844.3839488</v>
      </c>
    </row>
    <row r="150" spans="1:15" x14ac:dyDescent="0.2">
      <c r="C150" s="2" t="s">
        <v>34</v>
      </c>
      <c r="D150" s="2" t="s">
        <v>36</v>
      </c>
      <c r="E150" s="3">
        <v>6</v>
      </c>
      <c r="F150" s="3">
        <v>-9</v>
      </c>
      <c r="G150" s="3">
        <f t="shared" si="12"/>
        <v>0.8</v>
      </c>
      <c r="H150" s="3">
        <f t="shared" si="12"/>
        <v>0.05</v>
      </c>
      <c r="I150" s="2">
        <v>26247669891.064445</v>
      </c>
      <c r="J150" s="2">
        <v>11205076630.146416</v>
      </c>
      <c r="K150" s="2">
        <f t="shared" si="13"/>
        <v>4213433983.6362219</v>
      </c>
    </row>
    <row r="151" spans="1:15" x14ac:dyDescent="0.2">
      <c r="C151" s="2" t="s">
        <v>35</v>
      </c>
      <c r="D151" s="2" t="s">
        <v>36</v>
      </c>
      <c r="E151" s="3">
        <v>9</v>
      </c>
      <c r="F151" s="3">
        <v>-9</v>
      </c>
      <c r="G151" s="3">
        <f t="shared" si="12"/>
        <v>0.95</v>
      </c>
      <c r="H151" s="3">
        <f t="shared" si="12"/>
        <v>0.05</v>
      </c>
      <c r="I151" s="2">
        <v>739419184416.48059</v>
      </c>
      <c r="J151" s="2">
        <v>11205076630.146416</v>
      </c>
      <c r="K151" s="2">
        <f t="shared" si="13"/>
        <v>121601130289.55353</v>
      </c>
    </row>
    <row r="152" spans="1:15" x14ac:dyDescent="0.2">
      <c r="K152" s="1">
        <f>(1-SQRT(SUM(K137:K151)/(I137+SUM(J137:J141))))*100</f>
        <v>57.987726609342829</v>
      </c>
    </row>
    <row r="156" spans="1:15" x14ac:dyDescent="0.2">
      <c r="C156" s="1" t="s">
        <v>37</v>
      </c>
      <c r="D156" s="1">
        <v>2009</v>
      </c>
    </row>
    <row r="157" spans="1:15" x14ac:dyDescent="0.2">
      <c r="A157" s="2" t="s">
        <v>38</v>
      </c>
      <c r="C157" s="2" t="s">
        <v>39</v>
      </c>
      <c r="D157" s="2" t="s">
        <v>40</v>
      </c>
      <c r="E157" s="3">
        <f>$A$158</f>
        <v>-5</v>
      </c>
      <c r="F157" s="3">
        <v>8</v>
      </c>
      <c r="G157" s="3">
        <f t="shared" ref="G157:H172" si="14">(E157+10)/20</f>
        <v>0.25</v>
      </c>
      <c r="H157" s="3">
        <f t="shared" si="14"/>
        <v>0.9</v>
      </c>
      <c r="I157" s="2">
        <v>29536750160.146709</v>
      </c>
      <c r="J157" s="2">
        <v>1863773890433.3591</v>
      </c>
      <c r="K157" s="2">
        <f>(G157-H157)^2*((I157+J157)/6)</f>
        <v>133320624275.12605</v>
      </c>
    </row>
    <row r="158" spans="1:15" x14ac:dyDescent="0.2">
      <c r="A158" s="2">
        <v>-5</v>
      </c>
      <c r="C158" s="2" t="s">
        <v>39</v>
      </c>
      <c r="D158" s="2" t="s">
        <v>41</v>
      </c>
      <c r="E158" s="3">
        <f t="shared" ref="E158:E162" si="15">$A$158</f>
        <v>-5</v>
      </c>
      <c r="F158" s="3">
        <v>6</v>
      </c>
      <c r="G158" s="3">
        <f t="shared" si="14"/>
        <v>0.25</v>
      </c>
      <c r="H158" s="3">
        <f t="shared" si="14"/>
        <v>0.8</v>
      </c>
      <c r="I158" s="2">
        <v>29536750160.146709</v>
      </c>
      <c r="J158" s="2">
        <v>536877098893.63885</v>
      </c>
      <c r="K158" s="2">
        <f t="shared" ref="K158:K177" si="16">(G158-H158)^2*((I158+J158)/6)</f>
        <v>28556698223.128357</v>
      </c>
    </row>
    <row r="159" spans="1:15" x14ac:dyDescent="0.2">
      <c r="C159" s="2" t="s">
        <v>39</v>
      </c>
      <c r="D159" s="2" t="s">
        <v>42</v>
      </c>
      <c r="E159" s="3">
        <f t="shared" si="15"/>
        <v>-5</v>
      </c>
      <c r="F159" s="3">
        <v>9</v>
      </c>
      <c r="G159" s="3">
        <f t="shared" si="14"/>
        <v>0.25</v>
      </c>
      <c r="H159" s="3">
        <f t="shared" si="14"/>
        <v>0.95</v>
      </c>
      <c r="I159" s="2">
        <v>29536750160.146709</v>
      </c>
      <c r="J159" s="2">
        <v>471754213663.37671</v>
      </c>
      <c r="K159" s="2">
        <f t="shared" si="16"/>
        <v>40938762045.587738</v>
      </c>
    </row>
    <row r="160" spans="1:15" x14ac:dyDescent="0.2">
      <c r="C160" s="2" t="s">
        <v>39</v>
      </c>
      <c r="D160" s="2" t="s">
        <v>43</v>
      </c>
      <c r="E160" s="3">
        <f t="shared" si="15"/>
        <v>-5</v>
      </c>
      <c r="F160" s="3">
        <v>-2</v>
      </c>
      <c r="G160" s="3">
        <f t="shared" si="14"/>
        <v>0.25</v>
      </c>
      <c r="H160" s="3">
        <f t="shared" si="14"/>
        <v>0.4</v>
      </c>
      <c r="I160" s="2">
        <v>29536750160.146709</v>
      </c>
      <c r="J160" s="2">
        <v>307468099909.54913</v>
      </c>
      <c r="K160" s="2">
        <f t="shared" si="16"/>
        <v>1263768187.7613597</v>
      </c>
      <c r="O160" s="2">
        <f>(1-_xlfn.STDEV.S(G157,H157:H162))*100</f>
        <v>67.669857791248518</v>
      </c>
    </row>
    <row r="161" spans="3:11" x14ac:dyDescent="0.2">
      <c r="C161" s="2" t="s">
        <v>39</v>
      </c>
      <c r="D161" s="2" t="s">
        <v>44</v>
      </c>
      <c r="E161" s="3">
        <f t="shared" si="15"/>
        <v>-5</v>
      </c>
      <c r="F161" s="3">
        <v>4</v>
      </c>
      <c r="G161" s="3">
        <f t="shared" si="14"/>
        <v>0.25</v>
      </c>
      <c r="H161" s="3">
        <f t="shared" si="14"/>
        <v>0.7</v>
      </c>
      <c r="I161" s="2">
        <v>29536750160.146709</v>
      </c>
      <c r="J161" s="2">
        <v>816049899794.01929</v>
      </c>
      <c r="K161" s="2">
        <f t="shared" si="16"/>
        <v>28538549435.953098</v>
      </c>
    </row>
    <row r="162" spans="3:11" x14ac:dyDescent="0.2">
      <c r="C162" s="2" t="s">
        <v>39</v>
      </c>
      <c r="D162" s="2" t="s">
        <v>45</v>
      </c>
      <c r="E162" s="3">
        <f t="shared" si="15"/>
        <v>-5</v>
      </c>
      <c r="F162" s="3">
        <v>-7</v>
      </c>
      <c r="G162" s="3">
        <f t="shared" si="14"/>
        <v>0.25</v>
      </c>
      <c r="H162" s="3">
        <f t="shared" si="14"/>
        <v>0.15</v>
      </c>
      <c r="I162" s="2">
        <v>29536750160.146709</v>
      </c>
      <c r="J162" s="2">
        <v>354717704806.19641</v>
      </c>
      <c r="K162" s="2">
        <f t="shared" si="16"/>
        <v>640424091.61057198</v>
      </c>
    </row>
    <row r="163" spans="3:11" x14ac:dyDescent="0.2">
      <c r="C163" s="2" t="s">
        <v>40</v>
      </c>
      <c r="D163" s="2" t="s">
        <v>41</v>
      </c>
      <c r="E163" s="3">
        <v>8</v>
      </c>
      <c r="F163" s="3">
        <v>6</v>
      </c>
      <c r="G163" s="3">
        <f t="shared" si="14"/>
        <v>0.9</v>
      </c>
      <c r="H163" s="3">
        <f t="shared" si="14"/>
        <v>0.8</v>
      </c>
      <c r="I163" s="2">
        <v>1863773890433.3591</v>
      </c>
      <c r="J163" s="2">
        <v>536877098893.63885</v>
      </c>
      <c r="K163" s="2">
        <f t="shared" si="16"/>
        <v>4001084982.2116613</v>
      </c>
    </row>
    <row r="164" spans="3:11" x14ac:dyDescent="0.2">
      <c r="C164" s="2" t="s">
        <v>40</v>
      </c>
      <c r="D164" s="2" t="s">
        <v>42</v>
      </c>
      <c r="E164" s="3">
        <v>8</v>
      </c>
      <c r="F164" s="3">
        <v>9</v>
      </c>
      <c r="G164" s="3">
        <f t="shared" si="14"/>
        <v>0.9</v>
      </c>
      <c r="H164" s="3">
        <f t="shared" si="14"/>
        <v>0.95</v>
      </c>
      <c r="I164" s="2">
        <v>1863773890433.3591</v>
      </c>
      <c r="J164" s="2">
        <v>471754213663.37671</v>
      </c>
      <c r="K164" s="2">
        <f t="shared" si="16"/>
        <v>973136710.04030406</v>
      </c>
    </row>
    <row r="165" spans="3:11" x14ac:dyDescent="0.2">
      <c r="C165" s="2" t="s">
        <v>40</v>
      </c>
      <c r="D165" s="2" t="s">
        <v>43</v>
      </c>
      <c r="E165" s="3">
        <v>8</v>
      </c>
      <c r="F165" s="3">
        <v>-2</v>
      </c>
      <c r="G165" s="3">
        <f t="shared" si="14"/>
        <v>0.9</v>
      </c>
      <c r="H165" s="3">
        <f t="shared" si="14"/>
        <v>0.4</v>
      </c>
      <c r="I165" s="2">
        <v>1863773890433.3591</v>
      </c>
      <c r="J165" s="2">
        <v>307468099909.54913</v>
      </c>
      <c r="K165" s="2">
        <f t="shared" si="16"/>
        <v>90468416264.287842</v>
      </c>
    </row>
    <row r="166" spans="3:11" x14ac:dyDescent="0.2">
      <c r="C166" s="2" t="s">
        <v>40</v>
      </c>
      <c r="D166" s="2" t="s">
        <v>44</v>
      </c>
      <c r="E166" s="3">
        <v>8</v>
      </c>
      <c r="F166" s="3">
        <v>4</v>
      </c>
      <c r="G166" s="3">
        <f t="shared" si="14"/>
        <v>0.9</v>
      </c>
      <c r="H166" s="3">
        <f t="shared" si="14"/>
        <v>0.7</v>
      </c>
      <c r="I166" s="2">
        <v>1863773890433.3591</v>
      </c>
      <c r="J166" s="2">
        <v>816049899794.01929</v>
      </c>
      <c r="K166" s="2">
        <f t="shared" si="16"/>
        <v>17865491934.849201</v>
      </c>
    </row>
    <row r="167" spans="3:11" x14ac:dyDescent="0.2">
      <c r="C167" s="2" t="s">
        <v>40</v>
      </c>
      <c r="D167" s="2" t="s">
        <v>45</v>
      </c>
      <c r="E167" s="3">
        <v>8</v>
      </c>
      <c r="F167" s="3">
        <v>-7</v>
      </c>
      <c r="G167" s="3">
        <f t="shared" si="14"/>
        <v>0.9</v>
      </c>
      <c r="H167" s="3">
        <f t="shared" si="14"/>
        <v>0.15</v>
      </c>
      <c r="I167" s="2">
        <v>1863773890433.3591</v>
      </c>
      <c r="J167" s="2">
        <v>354717704806.19641</v>
      </c>
      <c r="K167" s="2">
        <f t="shared" si="16"/>
        <v>207983587053.70834</v>
      </c>
    </row>
    <row r="168" spans="3:11" x14ac:dyDescent="0.2">
      <c r="C168" s="2" t="s">
        <v>41</v>
      </c>
      <c r="D168" s="2" t="s">
        <v>42</v>
      </c>
      <c r="E168" s="3">
        <v>6</v>
      </c>
      <c r="F168" s="3">
        <v>9</v>
      </c>
      <c r="G168" s="3">
        <f t="shared" si="14"/>
        <v>0.8</v>
      </c>
      <c r="H168" s="3">
        <f t="shared" si="14"/>
        <v>0.95</v>
      </c>
      <c r="I168" s="2">
        <v>536877098893.63885</v>
      </c>
      <c r="J168" s="2">
        <v>471754213663.37671</v>
      </c>
      <c r="K168" s="2">
        <f t="shared" si="16"/>
        <v>3782367422.0888042</v>
      </c>
    </row>
    <row r="169" spans="3:11" x14ac:dyDescent="0.2">
      <c r="C169" s="2" t="s">
        <v>41</v>
      </c>
      <c r="D169" s="2" t="s">
        <v>43</v>
      </c>
      <c r="E169" s="3">
        <v>6</v>
      </c>
      <c r="F169" s="3">
        <v>-2</v>
      </c>
      <c r="G169" s="3">
        <f t="shared" si="14"/>
        <v>0.8</v>
      </c>
      <c r="H169" s="3">
        <f t="shared" si="14"/>
        <v>0.4</v>
      </c>
      <c r="I169" s="2">
        <v>536877098893.63885</v>
      </c>
      <c r="J169" s="2">
        <v>307468099909.54913</v>
      </c>
      <c r="K169" s="2">
        <f t="shared" si="16"/>
        <v>22515871968.085018</v>
      </c>
    </row>
    <row r="170" spans="3:11" x14ac:dyDescent="0.2">
      <c r="C170" s="2" t="s">
        <v>41</v>
      </c>
      <c r="D170" s="2" t="s">
        <v>44</v>
      </c>
      <c r="E170" s="3">
        <v>6</v>
      </c>
      <c r="F170" s="3">
        <v>4</v>
      </c>
      <c r="G170" s="3">
        <f t="shared" si="14"/>
        <v>0.8</v>
      </c>
      <c r="H170" s="3">
        <f t="shared" si="14"/>
        <v>0.7</v>
      </c>
      <c r="I170" s="2">
        <v>536877098893.63885</v>
      </c>
      <c r="J170" s="2">
        <v>816049899794.01929</v>
      </c>
      <c r="K170" s="2">
        <f t="shared" si="16"/>
        <v>2254878331.146101</v>
      </c>
    </row>
    <row r="171" spans="3:11" x14ac:dyDescent="0.2">
      <c r="C171" s="2" t="s">
        <v>41</v>
      </c>
      <c r="D171" s="2" t="s">
        <v>45</v>
      </c>
      <c r="E171" s="3">
        <v>6</v>
      </c>
      <c r="F171" s="3">
        <v>-7</v>
      </c>
      <c r="G171" s="3">
        <f t="shared" si="14"/>
        <v>0.8</v>
      </c>
      <c r="H171" s="3">
        <f t="shared" si="14"/>
        <v>0.15</v>
      </c>
      <c r="I171" s="2">
        <v>536877098893.63885</v>
      </c>
      <c r="J171" s="2">
        <v>354717704806.19641</v>
      </c>
      <c r="K171" s="2">
        <f t="shared" si="16"/>
        <v>62783134093.863403</v>
      </c>
    </row>
    <row r="172" spans="3:11" x14ac:dyDescent="0.2">
      <c r="C172" s="2" t="s">
        <v>42</v>
      </c>
      <c r="D172" s="2" t="s">
        <v>43</v>
      </c>
      <c r="E172" s="3">
        <v>9</v>
      </c>
      <c r="F172" s="3">
        <v>-2</v>
      </c>
      <c r="G172" s="3">
        <f t="shared" si="14"/>
        <v>0.95</v>
      </c>
      <c r="H172" s="3">
        <f t="shared" si="14"/>
        <v>0.4</v>
      </c>
      <c r="I172" s="2">
        <v>471754213663.37671</v>
      </c>
      <c r="J172" s="2">
        <v>307468099909.54913</v>
      </c>
      <c r="K172" s="2">
        <f t="shared" si="16"/>
        <v>39285791642.634995</v>
      </c>
    </row>
    <row r="173" spans="3:11" x14ac:dyDescent="0.2">
      <c r="C173" s="2" t="s">
        <v>42</v>
      </c>
      <c r="D173" s="2" t="s">
        <v>44</v>
      </c>
      <c r="E173" s="3">
        <v>9</v>
      </c>
      <c r="F173" s="3">
        <v>4</v>
      </c>
      <c r="G173" s="3">
        <f t="shared" ref="G173:H177" si="17">(E173+10)/20</f>
        <v>0.95</v>
      </c>
      <c r="H173" s="3">
        <f t="shared" si="17"/>
        <v>0.7</v>
      </c>
      <c r="I173" s="2">
        <v>471754213663.37671</v>
      </c>
      <c r="J173" s="2">
        <v>816049899794.01929</v>
      </c>
      <c r="K173" s="2">
        <f t="shared" si="16"/>
        <v>13414626181.847876</v>
      </c>
    </row>
    <row r="174" spans="3:11" x14ac:dyDescent="0.2">
      <c r="C174" s="2" t="s">
        <v>42</v>
      </c>
      <c r="D174" s="2" t="s">
        <v>45</v>
      </c>
      <c r="E174" s="3">
        <v>9</v>
      </c>
      <c r="F174" s="3">
        <v>-7</v>
      </c>
      <c r="G174" s="3">
        <f t="shared" si="17"/>
        <v>0.95</v>
      </c>
      <c r="H174" s="3">
        <f t="shared" si="17"/>
        <v>0.15</v>
      </c>
      <c r="I174" s="2">
        <v>471754213663.37701</v>
      </c>
      <c r="J174" s="2">
        <v>354717704806.19641</v>
      </c>
      <c r="K174" s="2">
        <f t="shared" si="16"/>
        <v>88157004636.754501</v>
      </c>
    </row>
    <row r="175" spans="3:11" x14ac:dyDescent="0.2">
      <c r="C175" s="2" t="s">
        <v>43</v>
      </c>
      <c r="D175" s="2" t="s">
        <v>44</v>
      </c>
      <c r="E175" s="3">
        <v>-2</v>
      </c>
      <c r="F175" s="3">
        <v>4</v>
      </c>
      <c r="G175" s="3">
        <f t="shared" si="17"/>
        <v>0.4</v>
      </c>
      <c r="H175" s="3">
        <f t="shared" si="17"/>
        <v>0.7</v>
      </c>
      <c r="I175" s="2">
        <v>307468099909.54913</v>
      </c>
      <c r="J175" s="2">
        <v>816049899794.01929</v>
      </c>
      <c r="K175" s="2">
        <f t="shared" si="16"/>
        <v>16852769995.553516</v>
      </c>
    </row>
    <row r="176" spans="3:11" x14ac:dyDescent="0.2">
      <c r="C176" s="2" t="s">
        <v>43</v>
      </c>
      <c r="D176" s="2" t="s">
        <v>45</v>
      </c>
      <c r="E176" s="3">
        <v>-2</v>
      </c>
      <c r="F176" s="3">
        <v>-7</v>
      </c>
      <c r="G176" s="3">
        <f t="shared" si="17"/>
        <v>0.4</v>
      </c>
      <c r="H176" s="3">
        <f t="shared" si="17"/>
        <v>0.15</v>
      </c>
      <c r="I176" s="2">
        <v>307468099909.54913</v>
      </c>
      <c r="J176" s="2">
        <v>354717704806.19641</v>
      </c>
      <c r="K176" s="2">
        <f t="shared" si="16"/>
        <v>6897768799.1223497</v>
      </c>
    </row>
    <row r="177" spans="3:15" x14ac:dyDescent="0.2">
      <c r="C177" s="2" t="s">
        <v>44</v>
      </c>
      <c r="D177" s="2" t="s">
        <v>45</v>
      </c>
      <c r="E177" s="3">
        <v>4</v>
      </c>
      <c r="F177" s="3">
        <v>-7</v>
      </c>
      <c r="G177" s="3">
        <f t="shared" si="17"/>
        <v>0.7</v>
      </c>
      <c r="H177" s="3">
        <f t="shared" si="17"/>
        <v>0.15</v>
      </c>
      <c r="I177" s="2">
        <v>816049899794.01929</v>
      </c>
      <c r="J177" s="2">
        <v>354717704806.19641</v>
      </c>
      <c r="K177" s="2">
        <f t="shared" si="16"/>
        <v>59026200065.260872</v>
      </c>
    </row>
    <row r="178" spans="3:15" x14ac:dyDescent="0.2">
      <c r="K178" s="1">
        <f>(1-SQRT(SUM(K157:K177)/(I157+SUM(J157:J162))))*100</f>
        <v>55.445234329890482</v>
      </c>
    </row>
    <row r="180" spans="3:15" x14ac:dyDescent="0.2">
      <c r="C180" s="1" t="s">
        <v>46</v>
      </c>
      <c r="D180" s="1">
        <v>2008</v>
      </c>
    </row>
    <row r="181" spans="3:15" x14ac:dyDescent="0.2">
      <c r="C181" s="2" t="s">
        <v>47</v>
      </c>
      <c r="D181" s="2" t="s">
        <v>48</v>
      </c>
      <c r="E181" s="3">
        <v>7</v>
      </c>
      <c r="F181" s="3">
        <v>9</v>
      </c>
      <c r="G181" s="3">
        <f t="shared" ref="G181:H186" si="18">(E181+10)/20</f>
        <v>0.85</v>
      </c>
      <c r="H181" s="3">
        <f t="shared" si="18"/>
        <v>0.95</v>
      </c>
      <c r="I181" s="2">
        <v>454954372409.91077</v>
      </c>
      <c r="J181" s="2">
        <v>256532331727.85284</v>
      </c>
      <c r="K181" s="2">
        <f>(G181-H181)^2*((I181+J181)/3)</f>
        <v>2371622347.1258779</v>
      </c>
      <c r="O181" s="2">
        <f>(1-_xlfn.STDEV.S(G181,H181:H183))*100</f>
        <v>91.460874361700334</v>
      </c>
    </row>
    <row r="182" spans="3:15" x14ac:dyDescent="0.2">
      <c r="C182" s="2" t="s">
        <v>47</v>
      </c>
      <c r="D182" s="2" t="s">
        <v>49</v>
      </c>
      <c r="E182" s="3">
        <v>7</v>
      </c>
      <c r="F182" s="3">
        <v>5</v>
      </c>
      <c r="G182" s="3">
        <f t="shared" si="18"/>
        <v>0.85</v>
      </c>
      <c r="H182" s="3">
        <f t="shared" si="18"/>
        <v>0.75</v>
      </c>
      <c r="I182" s="2">
        <v>454954372409.91077</v>
      </c>
      <c r="J182" s="2">
        <v>128879488764.20409</v>
      </c>
      <c r="K182" s="2">
        <f t="shared" ref="K182:K186" si="19">(G182-H182)^2*((I182+J182)/3)</f>
        <v>1946112870.5803821</v>
      </c>
    </row>
    <row r="183" spans="3:15" x14ac:dyDescent="0.2">
      <c r="C183" s="2" t="s">
        <v>47</v>
      </c>
      <c r="D183" s="2" t="s">
        <v>50</v>
      </c>
      <c r="E183" s="3">
        <v>7</v>
      </c>
      <c r="F183" s="3">
        <v>8</v>
      </c>
      <c r="G183" s="3">
        <f t="shared" si="18"/>
        <v>0.85</v>
      </c>
      <c r="H183" s="3">
        <f t="shared" si="18"/>
        <v>0.9</v>
      </c>
      <c r="I183" s="2">
        <v>454954372409.91077</v>
      </c>
      <c r="J183" s="2">
        <v>47873330022.233315</v>
      </c>
      <c r="K183" s="2">
        <f t="shared" si="19"/>
        <v>419023085.36012083</v>
      </c>
    </row>
    <row r="184" spans="3:15" x14ac:dyDescent="0.2">
      <c r="C184" s="2" t="s">
        <v>48</v>
      </c>
      <c r="D184" s="2" t="s">
        <v>49</v>
      </c>
      <c r="E184" s="3">
        <v>9</v>
      </c>
      <c r="F184" s="3">
        <v>5</v>
      </c>
      <c r="G184" s="3">
        <f t="shared" si="18"/>
        <v>0.95</v>
      </c>
      <c r="H184" s="3">
        <f t="shared" si="18"/>
        <v>0.75</v>
      </c>
      <c r="I184" s="2">
        <v>256532331727.85284</v>
      </c>
      <c r="J184" s="2">
        <v>128879488764.20409</v>
      </c>
      <c r="K184" s="2">
        <f t="shared" si="19"/>
        <v>5138824273.2274237</v>
      </c>
    </row>
    <row r="185" spans="3:15" x14ac:dyDescent="0.2">
      <c r="C185" s="2" t="s">
        <v>48</v>
      </c>
      <c r="D185" s="2" t="s">
        <v>50</v>
      </c>
      <c r="E185" s="3">
        <v>9</v>
      </c>
      <c r="F185" s="3">
        <v>8</v>
      </c>
      <c r="G185" s="3">
        <f t="shared" si="18"/>
        <v>0.95</v>
      </c>
      <c r="H185" s="3">
        <f t="shared" si="18"/>
        <v>0.9</v>
      </c>
      <c r="I185" s="2">
        <v>256532331727.85284</v>
      </c>
      <c r="J185" s="2">
        <v>47873330022.233315</v>
      </c>
      <c r="K185" s="2">
        <f t="shared" si="19"/>
        <v>253671384.79173782</v>
      </c>
    </row>
    <row r="186" spans="3:15" x14ac:dyDescent="0.2">
      <c r="C186" s="2" t="s">
        <v>49</v>
      </c>
      <c r="D186" s="2" t="s">
        <v>50</v>
      </c>
      <c r="E186" s="3">
        <v>5</v>
      </c>
      <c r="F186" s="3">
        <v>8</v>
      </c>
      <c r="G186" s="3">
        <f t="shared" si="18"/>
        <v>0.75</v>
      </c>
      <c r="H186" s="3">
        <f t="shared" si="18"/>
        <v>0.9</v>
      </c>
      <c r="I186" s="2">
        <v>128879488764.20409</v>
      </c>
      <c r="J186" s="2">
        <v>47873330022.233315</v>
      </c>
      <c r="K186" s="2">
        <f t="shared" si="19"/>
        <v>1325646140.8982811</v>
      </c>
    </row>
    <row r="187" spans="3:15" x14ac:dyDescent="0.2">
      <c r="K187" s="1">
        <f>(1-SQRT(SUM(K181:K186)/(I181+SUM(J181:J183))))*100</f>
        <v>88.643863442885205</v>
      </c>
    </row>
    <row r="189" spans="3:15" x14ac:dyDescent="0.2">
      <c r="C189" s="1" t="s">
        <v>51</v>
      </c>
      <c r="D189" s="1">
        <v>2008</v>
      </c>
    </row>
    <row r="190" spans="3:15" x14ac:dyDescent="0.2">
      <c r="C190" s="2" t="s">
        <v>126</v>
      </c>
      <c r="D190" s="2" t="s">
        <v>53</v>
      </c>
      <c r="E190" s="3">
        <v>-8</v>
      </c>
      <c r="F190" s="3">
        <v>-7</v>
      </c>
      <c r="G190" s="3">
        <f t="shared" ref="G190:H204" si="20">(E190+10)/20</f>
        <v>0.1</v>
      </c>
      <c r="H190" s="3">
        <f t="shared" si="20"/>
        <v>0.15</v>
      </c>
      <c r="I190" s="2">
        <v>475030915085.22394</v>
      </c>
      <c r="J190" s="2">
        <v>45750754989.617645</v>
      </c>
      <c r="K190" s="2">
        <f>(G190-H190)^2*((I190+J190)/5)</f>
        <v>260390835.03742063</v>
      </c>
    </row>
    <row r="191" spans="3:15" x14ac:dyDescent="0.2">
      <c r="C191" s="2" t="s">
        <v>126</v>
      </c>
      <c r="D191" s="2" t="s">
        <v>54</v>
      </c>
      <c r="E191" s="3">
        <v>-8</v>
      </c>
      <c r="F191" s="3">
        <v>-10</v>
      </c>
      <c r="G191" s="3">
        <f t="shared" si="20"/>
        <v>0.1</v>
      </c>
      <c r="H191" s="3">
        <f t="shared" si="20"/>
        <v>0</v>
      </c>
      <c r="I191" s="2">
        <v>475030915085.22394</v>
      </c>
      <c r="J191" s="2">
        <v>1163234174766.5491</v>
      </c>
      <c r="K191" s="2">
        <f t="shared" ref="K191:K204" si="21">(G191-H191)^2*((I191+J191)/5)</f>
        <v>3276530179.703547</v>
      </c>
    </row>
    <row r="192" spans="3:15" x14ac:dyDescent="0.2">
      <c r="C192" s="2" t="s">
        <v>126</v>
      </c>
      <c r="D192" s="2" t="s">
        <v>55</v>
      </c>
      <c r="E192" s="3">
        <v>-8</v>
      </c>
      <c r="F192" s="3">
        <v>-8</v>
      </c>
      <c r="G192" s="3">
        <f t="shared" si="20"/>
        <v>0.1</v>
      </c>
      <c r="H192" s="3">
        <f t="shared" si="20"/>
        <v>0.1</v>
      </c>
      <c r="I192" s="2">
        <v>475030915085.22394</v>
      </c>
      <c r="J192" s="2">
        <v>119107618382.58754</v>
      </c>
      <c r="K192" s="2">
        <f t="shared" si="21"/>
        <v>0</v>
      </c>
      <c r="O192" s="2">
        <f>(1-_xlfn.STDEV.S(G190,H190:H194))*100</f>
        <v>93.168699489360264</v>
      </c>
    </row>
    <row r="193" spans="1:11" x14ac:dyDescent="0.2">
      <c r="C193" s="2" t="s">
        <v>126</v>
      </c>
      <c r="D193" s="2" t="s">
        <v>56</v>
      </c>
      <c r="E193" s="3">
        <v>-8</v>
      </c>
      <c r="F193" s="3">
        <v>-10</v>
      </c>
      <c r="G193" s="3">
        <f t="shared" si="20"/>
        <v>0.1</v>
      </c>
      <c r="H193" s="3">
        <f t="shared" si="20"/>
        <v>0</v>
      </c>
      <c r="I193" s="2">
        <v>475030915085.22394</v>
      </c>
      <c r="J193" s="2">
        <v>159791627772.23462</v>
      </c>
      <c r="K193" s="2">
        <f t="shared" si="21"/>
        <v>1269645085.7149172</v>
      </c>
    </row>
    <row r="194" spans="1:11" x14ac:dyDescent="0.2">
      <c r="C194" s="2" t="s">
        <v>126</v>
      </c>
      <c r="D194" s="2" t="s">
        <v>57</v>
      </c>
      <c r="E194" s="3">
        <v>-8</v>
      </c>
      <c r="F194" s="3">
        <v>-7</v>
      </c>
      <c r="G194" s="3">
        <f t="shared" si="20"/>
        <v>0.1</v>
      </c>
      <c r="H194" s="3">
        <f t="shared" si="20"/>
        <v>0.15</v>
      </c>
      <c r="I194" s="2">
        <v>475030915085.22394</v>
      </c>
      <c r="J194" s="2">
        <v>238741850314.15726</v>
      </c>
      <c r="K194" s="2">
        <f t="shared" si="21"/>
        <v>356886382.69969046</v>
      </c>
    </row>
    <row r="195" spans="1:11" x14ac:dyDescent="0.2">
      <c r="C195" s="2" t="s">
        <v>53</v>
      </c>
      <c r="D195" s="2" t="s">
        <v>54</v>
      </c>
      <c r="E195" s="3">
        <v>-7</v>
      </c>
      <c r="F195" s="3">
        <v>-10</v>
      </c>
      <c r="G195" s="3">
        <f t="shared" si="20"/>
        <v>0.15</v>
      </c>
      <c r="H195" s="3">
        <f t="shared" si="20"/>
        <v>0</v>
      </c>
      <c r="I195" s="2">
        <v>45750754989.617645</v>
      </c>
      <c r="J195" s="2">
        <v>1163234174766.5491</v>
      </c>
      <c r="K195" s="2">
        <f t="shared" si="21"/>
        <v>5440432183.90275</v>
      </c>
    </row>
    <row r="196" spans="1:11" x14ac:dyDescent="0.2">
      <c r="C196" s="2" t="s">
        <v>53</v>
      </c>
      <c r="D196" s="2" t="s">
        <v>55</v>
      </c>
      <c r="E196" s="3">
        <v>-7</v>
      </c>
      <c r="F196" s="3">
        <v>-8</v>
      </c>
      <c r="G196" s="3">
        <f t="shared" si="20"/>
        <v>0.15</v>
      </c>
      <c r="H196" s="3">
        <f t="shared" si="20"/>
        <v>0.1</v>
      </c>
      <c r="I196" s="2">
        <v>45750754989.617645</v>
      </c>
      <c r="J196" s="2">
        <v>119107618382.58754</v>
      </c>
      <c r="K196" s="2">
        <f t="shared" si="21"/>
        <v>82429186.686102554</v>
      </c>
    </row>
    <row r="197" spans="1:11" x14ac:dyDescent="0.2">
      <c r="C197" s="2" t="s">
        <v>53</v>
      </c>
      <c r="D197" s="2" t="s">
        <v>56</v>
      </c>
      <c r="E197" s="3">
        <v>-7</v>
      </c>
      <c r="F197" s="3">
        <v>-10</v>
      </c>
      <c r="G197" s="3">
        <f t="shared" si="20"/>
        <v>0.15</v>
      </c>
      <c r="H197" s="3">
        <f t="shared" si="20"/>
        <v>0</v>
      </c>
      <c r="I197" s="2">
        <v>45750754989.617645</v>
      </c>
      <c r="J197" s="2">
        <v>159791627772.23462</v>
      </c>
      <c r="K197" s="2">
        <f t="shared" si="21"/>
        <v>924940722.42833519</v>
      </c>
    </row>
    <row r="198" spans="1:11" x14ac:dyDescent="0.2">
      <c r="C198" s="2" t="s">
        <v>53</v>
      </c>
      <c r="D198" s="2" t="s">
        <v>57</v>
      </c>
      <c r="E198" s="3">
        <v>-7</v>
      </c>
      <c r="F198" s="3">
        <v>-7</v>
      </c>
      <c r="G198" s="3">
        <f t="shared" si="20"/>
        <v>0.15</v>
      </c>
      <c r="H198" s="3">
        <f t="shared" si="20"/>
        <v>0.15</v>
      </c>
      <c r="I198" s="2">
        <v>45750754989.617645</v>
      </c>
      <c r="J198" s="2">
        <v>238741850314.15726</v>
      </c>
      <c r="K198" s="2">
        <f t="shared" si="21"/>
        <v>0</v>
      </c>
    </row>
    <row r="199" spans="1:11" x14ac:dyDescent="0.2">
      <c r="C199" s="2" t="s">
        <v>54</v>
      </c>
      <c r="D199" s="2" t="s">
        <v>55</v>
      </c>
      <c r="E199" s="3">
        <v>-10</v>
      </c>
      <c r="F199" s="3">
        <v>-8</v>
      </c>
      <c r="G199" s="3">
        <f t="shared" si="20"/>
        <v>0</v>
      </c>
      <c r="H199" s="3">
        <f t="shared" si="20"/>
        <v>0.1</v>
      </c>
      <c r="I199" s="2">
        <v>1163234174766.5491</v>
      </c>
      <c r="J199" s="2">
        <v>119107618382.58754</v>
      </c>
      <c r="K199" s="2">
        <f t="shared" si="21"/>
        <v>2564683586.298274</v>
      </c>
    </row>
    <row r="200" spans="1:11" x14ac:dyDescent="0.2">
      <c r="C200" s="2" t="s">
        <v>54</v>
      </c>
      <c r="D200" s="2" t="s">
        <v>56</v>
      </c>
      <c r="E200" s="3">
        <v>-10</v>
      </c>
      <c r="F200" s="3">
        <v>-10</v>
      </c>
      <c r="G200" s="3">
        <f t="shared" si="20"/>
        <v>0</v>
      </c>
      <c r="H200" s="3">
        <f t="shared" si="20"/>
        <v>0</v>
      </c>
      <c r="I200" s="2">
        <v>1163234174766.5491</v>
      </c>
      <c r="J200" s="2">
        <v>159791627772.23462</v>
      </c>
      <c r="K200" s="2">
        <f t="shared" si="21"/>
        <v>0</v>
      </c>
    </row>
    <row r="201" spans="1:11" x14ac:dyDescent="0.2">
      <c r="C201" s="2" t="s">
        <v>54</v>
      </c>
      <c r="D201" s="2" t="s">
        <v>57</v>
      </c>
      <c r="E201" s="3">
        <v>-10</v>
      </c>
      <c r="F201" s="3">
        <v>-7</v>
      </c>
      <c r="G201" s="3">
        <f t="shared" si="20"/>
        <v>0</v>
      </c>
      <c r="H201" s="3">
        <f t="shared" si="20"/>
        <v>0.15</v>
      </c>
      <c r="I201" s="2">
        <v>1163234174766.5491</v>
      </c>
      <c r="J201" s="2">
        <v>238741850314.15726</v>
      </c>
      <c r="K201" s="2">
        <f t="shared" si="21"/>
        <v>6308892112.8631773</v>
      </c>
    </row>
    <row r="202" spans="1:11" x14ac:dyDescent="0.2">
      <c r="C202" s="2" t="s">
        <v>55</v>
      </c>
      <c r="D202" s="2" t="s">
        <v>56</v>
      </c>
      <c r="E202" s="3">
        <v>-8</v>
      </c>
      <c r="F202" s="3">
        <v>-10</v>
      </c>
      <c r="G202" s="3">
        <f t="shared" si="20"/>
        <v>0.1</v>
      </c>
      <c r="H202" s="3">
        <f t="shared" si="20"/>
        <v>0</v>
      </c>
      <c r="I202" s="2">
        <v>119107618382.58754</v>
      </c>
      <c r="J202" s="2">
        <v>159791627772.23462</v>
      </c>
      <c r="K202" s="2">
        <f t="shared" si="21"/>
        <v>557798492.30964446</v>
      </c>
    </row>
    <row r="203" spans="1:11" x14ac:dyDescent="0.2">
      <c r="C203" s="2" t="s">
        <v>55</v>
      </c>
      <c r="D203" s="2" t="s">
        <v>57</v>
      </c>
      <c r="E203" s="3">
        <v>-8</v>
      </c>
      <c r="F203" s="3">
        <v>-7</v>
      </c>
      <c r="G203" s="3">
        <f t="shared" si="20"/>
        <v>0.1</v>
      </c>
      <c r="H203" s="3">
        <f t="shared" si="20"/>
        <v>0.15</v>
      </c>
      <c r="I203" s="2">
        <v>119107618382.58754</v>
      </c>
      <c r="J203" s="2">
        <v>238741850314.15726</v>
      </c>
      <c r="K203" s="2">
        <f t="shared" si="21"/>
        <v>178924734.34837234</v>
      </c>
    </row>
    <row r="204" spans="1:11" x14ac:dyDescent="0.2">
      <c r="C204" s="2" t="s">
        <v>56</v>
      </c>
      <c r="D204" s="2" t="s">
        <v>57</v>
      </c>
      <c r="E204" s="3">
        <v>-10</v>
      </c>
      <c r="F204" s="3">
        <v>-7</v>
      </c>
      <c r="G204" s="3">
        <f t="shared" si="20"/>
        <v>0</v>
      </c>
      <c r="H204" s="3">
        <f t="shared" si="20"/>
        <v>0.15</v>
      </c>
      <c r="I204" s="2">
        <v>159791627772.23462</v>
      </c>
      <c r="J204" s="2">
        <v>238741850314.15726</v>
      </c>
      <c r="K204" s="2">
        <f t="shared" si="21"/>
        <v>1793400651.3887632</v>
      </c>
    </row>
    <row r="205" spans="1:11" x14ac:dyDescent="0.2">
      <c r="K205" s="1">
        <f>(1-SQRT(SUM(K190:K204)/(I190+SUM(J190:J194))))*100</f>
        <v>89.775778898842574</v>
      </c>
    </row>
    <row r="207" spans="1:11" x14ac:dyDescent="0.2">
      <c r="A207" s="2" t="s">
        <v>58</v>
      </c>
      <c r="C207" s="1" t="s">
        <v>59</v>
      </c>
      <c r="D207" s="1">
        <v>2009</v>
      </c>
    </row>
    <row r="208" spans="1:11" x14ac:dyDescent="0.2">
      <c r="A208" s="2">
        <v>8</v>
      </c>
      <c r="C208" s="2" t="s">
        <v>60</v>
      </c>
      <c r="D208" s="2" t="s">
        <v>61</v>
      </c>
      <c r="E208" s="3">
        <v>0</v>
      </c>
      <c r="F208" s="3">
        <v>10</v>
      </c>
      <c r="G208" s="3">
        <f t="shared" ref="G208:H213" si="22">(E208+10)/20</f>
        <v>0.5</v>
      </c>
      <c r="H208" s="3">
        <f t="shared" si="22"/>
        <v>1</v>
      </c>
      <c r="I208" s="2">
        <v>28295673249.105373</v>
      </c>
      <c r="J208" s="2">
        <v>18481668539.784889</v>
      </c>
      <c r="K208" s="2">
        <f>(G208-H208)^2*((I208+J208)/3)</f>
        <v>3898111815.7408547</v>
      </c>
    </row>
    <row r="209" spans="1:15" x14ac:dyDescent="0.2">
      <c r="C209" s="2" t="s">
        <v>60</v>
      </c>
      <c r="D209" s="2" t="s">
        <v>58</v>
      </c>
      <c r="E209" s="3">
        <v>0</v>
      </c>
      <c r="F209" s="6">
        <v>7</v>
      </c>
      <c r="G209" s="3">
        <f t="shared" si="22"/>
        <v>0.5</v>
      </c>
      <c r="H209" s="3">
        <f t="shared" si="22"/>
        <v>0.85</v>
      </c>
      <c r="I209" s="2">
        <v>28295673249.105373</v>
      </c>
      <c r="J209" s="2">
        <v>1670126997.8780344</v>
      </c>
      <c r="K209" s="2">
        <f t="shared" ref="K209:K213" si="23">(G209-H209)^2*((I209+J209)/3)</f>
        <v>1223603510.0851557</v>
      </c>
      <c r="O209" s="2">
        <f>(1-_xlfn.STDEV.S(G208,H208:H210))*100</f>
        <v>76.020842383436445</v>
      </c>
    </row>
    <row r="210" spans="1:15" x14ac:dyDescent="0.2">
      <c r="C210" s="2" t="s">
        <v>60</v>
      </c>
      <c r="D210" s="2" t="s">
        <v>62</v>
      </c>
      <c r="E210" s="3">
        <v>0</v>
      </c>
      <c r="F210" s="3">
        <v>1</v>
      </c>
      <c r="G210" s="3">
        <f t="shared" si="22"/>
        <v>0.5</v>
      </c>
      <c r="H210" s="3">
        <f t="shared" si="22"/>
        <v>0.55000000000000004</v>
      </c>
      <c r="I210" s="2">
        <v>28295673249.105373</v>
      </c>
      <c r="J210" s="2">
        <v>17248072759.077568</v>
      </c>
      <c r="K210" s="2">
        <f t="shared" si="23"/>
        <v>37953121.673485845</v>
      </c>
    </row>
    <row r="211" spans="1:15" x14ac:dyDescent="0.2">
      <c r="C211" s="2" t="s">
        <v>61</v>
      </c>
      <c r="D211" s="2" t="s">
        <v>58</v>
      </c>
      <c r="E211" s="3">
        <v>10</v>
      </c>
      <c r="F211" s="6">
        <v>7</v>
      </c>
      <c r="G211" s="3">
        <f t="shared" si="22"/>
        <v>1</v>
      </c>
      <c r="H211" s="3">
        <f t="shared" si="22"/>
        <v>0.85</v>
      </c>
      <c r="I211" s="2">
        <v>18481668539.784889</v>
      </c>
      <c r="J211" s="2">
        <v>1670126997.8780344</v>
      </c>
      <c r="K211" s="2">
        <f t="shared" si="23"/>
        <v>151138466.53247195</v>
      </c>
    </row>
    <row r="212" spans="1:15" x14ac:dyDescent="0.2">
      <c r="C212" s="2" t="s">
        <v>61</v>
      </c>
      <c r="D212" s="2" t="s">
        <v>62</v>
      </c>
      <c r="E212" s="3">
        <v>10</v>
      </c>
      <c r="F212" s="3">
        <v>1</v>
      </c>
      <c r="G212" s="3">
        <f t="shared" si="22"/>
        <v>1</v>
      </c>
      <c r="H212" s="3">
        <f t="shared" si="22"/>
        <v>0.55000000000000004</v>
      </c>
      <c r="I212" s="2">
        <v>18481668539.784889</v>
      </c>
      <c r="J212" s="2">
        <v>17248072759.077568</v>
      </c>
      <c r="K212" s="2">
        <f t="shared" si="23"/>
        <v>2411757537.6732154</v>
      </c>
    </row>
    <row r="213" spans="1:15" x14ac:dyDescent="0.2">
      <c r="C213" s="2" t="s">
        <v>62</v>
      </c>
      <c r="D213" s="2" t="s">
        <v>58</v>
      </c>
      <c r="E213" s="3">
        <v>1</v>
      </c>
      <c r="F213" s="6">
        <v>7</v>
      </c>
      <c r="G213" s="3">
        <f t="shared" si="22"/>
        <v>0.55000000000000004</v>
      </c>
      <c r="H213" s="3">
        <f t="shared" si="22"/>
        <v>0.85</v>
      </c>
      <c r="I213" s="2">
        <v>17248072759.077568</v>
      </c>
      <c r="J213" s="2">
        <v>1670126997.8780344</v>
      </c>
      <c r="K213" s="2">
        <f t="shared" si="23"/>
        <v>567545992.70866776</v>
      </c>
    </row>
    <row r="214" spans="1:15" x14ac:dyDescent="0.2">
      <c r="K214" s="1">
        <f>(1-SQRT(SUM(K208:K213)/(I208+SUM(J208:J210))))*100</f>
        <v>64.47678946851731</v>
      </c>
    </row>
    <row r="215" spans="1:15" x14ac:dyDescent="0.2">
      <c r="K215" s="1"/>
    </row>
    <row r="216" spans="1:15" x14ac:dyDescent="0.2">
      <c r="C216" s="1" t="s">
        <v>63</v>
      </c>
      <c r="D216" s="1">
        <v>2009</v>
      </c>
      <c r="K216" s="1"/>
      <c r="O216" s="2">
        <f>(1-_xlfn.STDEV.S(G217,H217:H226))*100</f>
        <v>72.497933961906853</v>
      </c>
    </row>
    <row r="217" spans="1:15" x14ac:dyDescent="0.2">
      <c r="A217" s="2" t="s">
        <v>58</v>
      </c>
      <c r="C217" s="2" t="s">
        <v>64</v>
      </c>
      <c r="D217" s="2" t="s">
        <v>65</v>
      </c>
      <c r="E217" s="3">
        <f>$A$221</f>
        <v>6</v>
      </c>
      <c r="F217" s="3">
        <v>2</v>
      </c>
      <c r="G217" s="3">
        <f t="shared" ref="G217:H232" si="24">(E217+10)/20</f>
        <v>0.8</v>
      </c>
      <c r="H217" s="3">
        <f t="shared" si="24"/>
        <v>0.6</v>
      </c>
      <c r="I217" s="2">
        <v>922669570.51044226</v>
      </c>
      <c r="J217" s="2">
        <v>2097512651.1216919</v>
      </c>
      <c r="K217" s="2">
        <f>(G217-H217)^2*((I217+J217)/10)</f>
        <v>12080728.886528546</v>
      </c>
    </row>
    <row r="218" spans="1:15" x14ac:dyDescent="0.2">
      <c r="A218" s="2">
        <v>8</v>
      </c>
      <c r="C218" s="2" t="s">
        <v>64</v>
      </c>
      <c r="D218" s="2" t="s">
        <v>66</v>
      </c>
      <c r="E218" s="3">
        <f t="shared" ref="E218:E226" si="25">$A$221</f>
        <v>6</v>
      </c>
      <c r="F218" s="3">
        <v>-7</v>
      </c>
      <c r="G218" s="3">
        <f t="shared" si="24"/>
        <v>0.8</v>
      </c>
      <c r="H218" s="3">
        <f t="shared" si="24"/>
        <v>0.15</v>
      </c>
      <c r="I218" s="2">
        <v>922669570.51044226</v>
      </c>
      <c r="J218" s="2">
        <v>5890463354.6219378</v>
      </c>
      <c r="K218" s="2">
        <f t="shared" ref="K218:K271" si="26">(G218-H218)^2*((I218+J218)/10)</f>
        <v>287854866.08684307</v>
      </c>
    </row>
    <row r="219" spans="1:15" x14ac:dyDescent="0.2">
      <c r="C219" s="2" t="s">
        <v>64</v>
      </c>
      <c r="D219" s="2" t="s">
        <v>67</v>
      </c>
      <c r="E219" s="3">
        <f t="shared" si="25"/>
        <v>6</v>
      </c>
      <c r="F219" s="3">
        <v>-3</v>
      </c>
      <c r="G219" s="3">
        <f t="shared" si="24"/>
        <v>0.8</v>
      </c>
      <c r="H219" s="3">
        <f t="shared" si="24"/>
        <v>0.35</v>
      </c>
      <c r="I219" s="2">
        <v>922669570.51044226</v>
      </c>
      <c r="J219" s="2">
        <v>80993822423.190765</v>
      </c>
      <c r="K219" s="2">
        <f t="shared" si="26"/>
        <v>1658808962.8724499</v>
      </c>
    </row>
    <row r="220" spans="1:15" x14ac:dyDescent="0.2">
      <c r="A220" s="2" t="s">
        <v>64</v>
      </c>
      <c r="C220" s="2" t="s">
        <v>64</v>
      </c>
      <c r="D220" s="2" t="s">
        <v>60</v>
      </c>
      <c r="E220" s="3">
        <f t="shared" si="25"/>
        <v>6</v>
      </c>
      <c r="F220" s="3">
        <v>0</v>
      </c>
      <c r="G220" s="3">
        <f t="shared" si="24"/>
        <v>0.8</v>
      </c>
      <c r="H220" s="3">
        <f t="shared" si="24"/>
        <v>0.5</v>
      </c>
      <c r="I220" s="2">
        <v>922669570.51044226</v>
      </c>
      <c r="J220" s="2">
        <v>28295673249.105373</v>
      </c>
      <c r="K220" s="2">
        <f t="shared" si="26"/>
        <v>262965085.37654239</v>
      </c>
    </row>
    <row r="221" spans="1:15" x14ac:dyDescent="0.2">
      <c r="A221" s="2">
        <v>6</v>
      </c>
      <c r="C221" s="2" t="s">
        <v>64</v>
      </c>
      <c r="D221" s="2" t="s">
        <v>68</v>
      </c>
      <c r="E221" s="3">
        <f t="shared" si="25"/>
        <v>6</v>
      </c>
      <c r="F221" s="3">
        <v>6</v>
      </c>
      <c r="G221" s="3">
        <f t="shared" si="24"/>
        <v>0.8</v>
      </c>
      <c r="H221" s="3">
        <f t="shared" si="24"/>
        <v>0.8</v>
      </c>
      <c r="I221" s="2">
        <v>922669570.51044226</v>
      </c>
      <c r="J221" s="2">
        <v>14189510516.615805</v>
      </c>
      <c r="K221" s="2">
        <f t="shared" si="26"/>
        <v>0</v>
      </c>
    </row>
    <row r="222" spans="1:15" x14ac:dyDescent="0.2">
      <c r="C222" s="2" t="s">
        <v>64</v>
      </c>
      <c r="D222" s="2" t="s">
        <v>61</v>
      </c>
      <c r="E222" s="3">
        <f t="shared" si="25"/>
        <v>6</v>
      </c>
      <c r="F222" s="3">
        <v>10</v>
      </c>
      <c r="G222" s="3">
        <f t="shared" si="24"/>
        <v>0.8</v>
      </c>
      <c r="H222" s="3">
        <f t="shared" si="24"/>
        <v>1</v>
      </c>
      <c r="I222" s="2">
        <v>922669570.51044226</v>
      </c>
      <c r="J222" s="2">
        <v>18481668539.784889</v>
      </c>
      <c r="K222" s="2">
        <f t="shared" si="26"/>
        <v>77617352.441181272</v>
      </c>
    </row>
    <row r="223" spans="1:15" x14ac:dyDescent="0.2">
      <c r="C223" s="2" t="s">
        <v>64</v>
      </c>
      <c r="D223" s="2" t="s">
        <v>58</v>
      </c>
      <c r="E223" s="3">
        <f t="shared" si="25"/>
        <v>6</v>
      </c>
      <c r="F223" s="3">
        <f>$A$208</f>
        <v>8</v>
      </c>
      <c r="G223" s="3">
        <f t="shared" si="24"/>
        <v>0.8</v>
      </c>
      <c r="H223" s="3">
        <f t="shared" si="24"/>
        <v>0.9</v>
      </c>
      <c r="I223" s="2">
        <v>922669570.51044226</v>
      </c>
      <c r="J223" s="2">
        <v>1670126997.8780344</v>
      </c>
      <c r="K223" s="2">
        <f t="shared" si="26"/>
        <v>2592796.5683884751</v>
      </c>
    </row>
    <row r="224" spans="1:15" x14ac:dyDescent="0.2">
      <c r="C224" s="2" t="s">
        <v>64</v>
      </c>
      <c r="D224" s="2" t="s">
        <v>69</v>
      </c>
      <c r="E224" s="3">
        <f t="shared" si="25"/>
        <v>6</v>
      </c>
      <c r="F224" s="3">
        <v>-4</v>
      </c>
      <c r="G224" s="3">
        <f t="shared" si="24"/>
        <v>0.8</v>
      </c>
      <c r="H224" s="3">
        <f t="shared" si="24"/>
        <v>0.3</v>
      </c>
      <c r="I224" s="2">
        <v>922669570.51044226</v>
      </c>
      <c r="J224" s="2">
        <v>139981320353.44016</v>
      </c>
      <c r="K224" s="2">
        <f t="shared" si="26"/>
        <v>3522599748.0987649</v>
      </c>
    </row>
    <row r="225" spans="1:11" x14ac:dyDescent="0.2">
      <c r="C225" s="2" t="s">
        <v>64</v>
      </c>
      <c r="D225" s="2" t="s">
        <v>70</v>
      </c>
      <c r="E225" s="3">
        <f t="shared" si="25"/>
        <v>6</v>
      </c>
      <c r="F225" s="3">
        <v>7</v>
      </c>
      <c r="G225" s="3">
        <f t="shared" si="24"/>
        <v>0.8</v>
      </c>
      <c r="H225" s="3">
        <f t="shared" si="24"/>
        <v>0.85</v>
      </c>
      <c r="I225" s="2">
        <v>922669570.51044226</v>
      </c>
      <c r="J225" s="2">
        <v>39857780124.731804</v>
      </c>
      <c r="K225" s="2">
        <f t="shared" si="26"/>
        <v>10195112.423810536</v>
      </c>
    </row>
    <row r="226" spans="1:11" x14ac:dyDescent="0.2">
      <c r="C226" s="2" t="s">
        <v>64</v>
      </c>
      <c r="D226" s="2" t="s">
        <v>62</v>
      </c>
      <c r="E226" s="3">
        <f t="shared" si="25"/>
        <v>6</v>
      </c>
      <c r="F226" s="3">
        <v>1</v>
      </c>
      <c r="G226" s="3">
        <f t="shared" si="24"/>
        <v>0.8</v>
      </c>
      <c r="H226" s="3">
        <f t="shared" si="24"/>
        <v>0.55000000000000004</v>
      </c>
      <c r="I226" s="2">
        <v>922669570.51044226</v>
      </c>
      <c r="J226" s="2">
        <v>17248072759.077568</v>
      </c>
      <c r="K226" s="2">
        <f t="shared" si="26"/>
        <v>113567139.55992505</v>
      </c>
    </row>
    <row r="227" spans="1:11" x14ac:dyDescent="0.2">
      <c r="C227" s="2" t="s">
        <v>65</v>
      </c>
      <c r="D227" s="2" t="s">
        <v>66</v>
      </c>
      <c r="E227" s="3">
        <v>2</v>
      </c>
      <c r="F227" s="3">
        <v>-7</v>
      </c>
      <c r="G227" s="3">
        <f t="shared" si="24"/>
        <v>0.6</v>
      </c>
      <c r="H227" s="3">
        <f t="shared" si="24"/>
        <v>0.15</v>
      </c>
      <c r="I227" s="2">
        <v>2097512651.1216919</v>
      </c>
      <c r="J227" s="2">
        <v>5890463354.6219378</v>
      </c>
      <c r="K227" s="2">
        <f t="shared" si="26"/>
        <v>161756514.11630848</v>
      </c>
    </row>
    <row r="228" spans="1:11" x14ac:dyDescent="0.2">
      <c r="A228" s="2">
        <f>K272</f>
        <v>59.835901578780117</v>
      </c>
      <c r="C228" s="2" t="s">
        <v>65</v>
      </c>
      <c r="D228" s="2" t="s">
        <v>67</v>
      </c>
      <c r="E228" s="3">
        <v>2</v>
      </c>
      <c r="F228" s="3">
        <v>-3</v>
      </c>
      <c r="G228" s="3">
        <f t="shared" si="24"/>
        <v>0.6</v>
      </c>
      <c r="H228" s="3">
        <f t="shared" si="24"/>
        <v>0.35</v>
      </c>
      <c r="I228" s="2">
        <v>2097512651.1216919</v>
      </c>
      <c r="J228" s="2">
        <v>80993822423.190765</v>
      </c>
      <c r="K228" s="2">
        <f t="shared" si="26"/>
        <v>519320844.21445286</v>
      </c>
    </row>
    <row r="229" spans="1:11" x14ac:dyDescent="0.2">
      <c r="C229" s="2" t="s">
        <v>65</v>
      </c>
      <c r="D229" s="2" t="s">
        <v>60</v>
      </c>
      <c r="E229" s="3">
        <v>2</v>
      </c>
      <c r="F229" s="3">
        <v>0</v>
      </c>
      <c r="G229" s="3">
        <f t="shared" si="24"/>
        <v>0.6</v>
      </c>
      <c r="H229" s="3">
        <f t="shared" si="24"/>
        <v>0.5</v>
      </c>
      <c r="I229" s="2">
        <v>2097512651.1216919</v>
      </c>
      <c r="J229" s="2">
        <v>28295673249.105373</v>
      </c>
      <c r="K229" s="2">
        <f t="shared" si="26"/>
        <v>30393185.900227051</v>
      </c>
    </row>
    <row r="230" spans="1:11" x14ac:dyDescent="0.2">
      <c r="C230" s="2" t="s">
        <v>65</v>
      </c>
      <c r="D230" s="2" t="s">
        <v>68</v>
      </c>
      <c r="E230" s="3">
        <v>2</v>
      </c>
      <c r="F230" s="3">
        <v>6</v>
      </c>
      <c r="G230" s="3">
        <f t="shared" si="24"/>
        <v>0.6</v>
      </c>
      <c r="H230" s="3">
        <f t="shared" si="24"/>
        <v>0.8</v>
      </c>
      <c r="I230" s="2">
        <v>2097512651.1216919</v>
      </c>
      <c r="J230" s="2">
        <v>14189510516.615805</v>
      </c>
      <c r="K230" s="2">
        <f t="shared" si="26"/>
        <v>65148092.67095004</v>
      </c>
    </row>
    <row r="231" spans="1:11" x14ac:dyDescent="0.2">
      <c r="C231" s="2" t="s">
        <v>65</v>
      </c>
      <c r="D231" s="2" t="s">
        <v>61</v>
      </c>
      <c r="E231" s="3">
        <v>2</v>
      </c>
      <c r="F231" s="3">
        <v>10</v>
      </c>
      <c r="G231" s="3">
        <f t="shared" si="24"/>
        <v>0.6</v>
      </c>
      <c r="H231" s="3">
        <f t="shared" si="24"/>
        <v>1</v>
      </c>
      <c r="I231" s="2">
        <v>2097512651.1216919</v>
      </c>
      <c r="J231" s="2">
        <v>18481668539.784889</v>
      </c>
      <c r="K231" s="2">
        <f t="shared" si="26"/>
        <v>329266899.05450535</v>
      </c>
    </row>
    <row r="232" spans="1:11" x14ac:dyDescent="0.2">
      <c r="C232" s="2" t="s">
        <v>65</v>
      </c>
      <c r="D232" s="2" t="s">
        <v>58</v>
      </c>
      <c r="E232" s="3">
        <v>2</v>
      </c>
      <c r="F232" s="3">
        <f>$A$208</f>
        <v>8</v>
      </c>
      <c r="G232" s="3">
        <f t="shared" si="24"/>
        <v>0.6</v>
      </c>
      <c r="H232" s="3">
        <f t="shared" si="24"/>
        <v>0.9</v>
      </c>
      <c r="I232" s="2">
        <v>2097512651.1216919</v>
      </c>
      <c r="J232" s="2">
        <v>1670126997.8780344</v>
      </c>
      <c r="K232" s="2">
        <f t="shared" si="26"/>
        <v>33908756.840997547</v>
      </c>
    </row>
    <row r="233" spans="1:11" x14ac:dyDescent="0.2">
      <c r="C233" s="2" t="s">
        <v>65</v>
      </c>
      <c r="D233" s="2" t="s">
        <v>69</v>
      </c>
      <c r="E233" s="3">
        <v>2</v>
      </c>
      <c r="F233" s="3">
        <v>-4</v>
      </c>
      <c r="G233" s="3">
        <f t="shared" ref="G233:H271" si="27">(E233+10)/20</f>
        <v>0.6</v>
      </c>
      <c r="H233" s="3">
        <f t="shared" si="27"/>
        <v>0.3</v>
      </c>
      <c r="I233" s="2">
        <v>2097512651.1216919</v>
      </c>
      <c r="J233" s="2">
        <v>139981320353.44016</v>
      </c>
      <c r="K233" s="2">
        <f t="shared" si="26"/>
        <v>1278709497.0410566</v>
      </c>
    </row>
    <row r="234" spans="1:11" x14ac:dyDescent="0.2">
      <c r="C234" s="2" t="s">
        <v>65</v>
      </c>
      <c r="D234" s="2" t="s">
        <v>70</v>
      </c>
      <c r="E234" s="3">
        <v>2</v>
      </c>
      <c r="F234" s="3">
        <v>7</v>
      </c>
      <c r="G234" s="3">
        <f t="shared" si="27"/>
        <v>0.6</v>
      </c>
      <c r="H234" s="3">
        <f t="shared" si="27"/>
        <v>0.85</v>
      </c>
      <c r="I234" s="2">
        <v>2097512651.1216919</v>
      </c>
      <c r="J234" s="2">
        <v>39857780124.731804</v>
      </c>
      <c r="K234" s="2">
        <f t="shared" si="26"/>
        <v>262220579.84908432</v>
      </c>
    </row>
    <row r="235" spans="1:11" x14ac:dyDescent="0.2">
      <c r="C235" s="2" t="s">
        <v>65</v>
      </c>
      <c r="D235" s="2" t="s">
        <v>62</v>
      </c>
      <c r="E235" s="3">
        <v>2</v>
      </c>
      <c r="F235" s="3">
        <v>1</v>
      </c>
      <c r="G235" s="3">
        <f t="shared" si="27"/>
        <v>0.6</v>
      </c>
      <c r="H235" s="3">
        <f t="shared" si="27"/>
        <v>0.55000000000000004</v>
      </c>
      <c r="I235" s="2">
        <v>2097512651.1216919</v>
      </c>
      <c r="J235" s="2">
        <v>17248072759.077568</v>
      </c>
      <c r="K235" s="2">
        <f t="shared" si="26"/>
        <v>4836396.3525498025</v>
      </c>
    </row>
    <row r="236" spans="1:11" x14ac:dyDescent="0.2">
      <c r="C236" s="2" t="s">
        <v>66</v>
      </c>
      <c r="D236" s="2" t="s">
        <v>67</v>
      </c>
      <c r="E236" s="3">
        <v>-7</v>
      </c>
      <c r="F236" s="3">
        <v>-3</v>
      </c>
      <c r="G236" s="3">
        <f t="shared" si="27"/>
        <v>0.15</v>
      </c>
      <c r="H236" s="3">
        <f t="shared" si="27"/>
        <v>0.35</v>
      </c>
      <c r="I236" s="2">
        <v>5890463354.6219378</v>
      </c>
      <c r="J236" s="2">
        <v>80993822423.190765</v>
      </c>
      <c r="K236" s="2">
        <f t="shared" si="26"/>
        <v>347537143.1112507</v>
      </c>
    </row>
    <row r="237" spans="1:11" x14ac:dyDescent="0.2">
      <c r="C237" s="2" t="s">
        <v>66</v>
      </c>
      <c r="D237" s="2" t="s">
        <v>60</v>
      </c>
      <c r="E237" s="3">
        <v>-7</v>
      </c>
      <c r="F237" s="3">
        <v>0</v>
      </c>
      <c r="G237" s="3">
        <f t="shared" si="27"/>
        <v>0.15</v>
      </c>
      <c r="H237" s="3">
        <f t="shared" si="27"/>
        <v>0.5</v>
      </c>
      <c r="I237" s="2">
        <v>5890463354.6219378</v>
      </c>
      <c r="J237" s="2">
        <v>28295673249.105373</v>
      </c>
      <c r="K237" s="2">
        <f t="shared" si="26"/>
        <v>418780173.39565951</v>
      </c>
    </row>
    <row r="238" spans="1:11" x14ac:dyDescent="0.2">
      <c r="C238" s="2" t="s">
        <v>66</v>
      </c>
      <c r="D238" s="2" t="s">
        <v>68</v>
      </c>
      <c r="E238" s="3">
        <v>-7</v>
      </c>
      <c r="F238" s="3">
        <v>6</v>
      </c>
      <c r="G238" s="3">
        <f t="shared" si="27"/>
        <v>0.15</v>
      </c>
      <c r="H238" s="3">
        <f t="shared" si="27"/>
        <v>0.8</v>
      </c>
      <c r="I238" s="2">
        <v>5890463354.6219378</v>
      </c>
      <c r="J238" s="2">
        <v>14189510516.615805</v>
      </c>
      <c r="K238" s="2">
        <f t="shared" si="26"/>
        <v>848378896.05979466</v>
      </c>
    </row>
    <row r="239" spans="1:11" x14ac:dyDescent="0.2">
      <c r="C239" s="2" t="s">
        <v>66</v>
      </c>
      <c r="D239" s="2" t="s">
        <v>61</v>
      </c>
      <c r="E239" s="3">
        <v>-7</v>
      </c>
      <c r="F239" s="3">
        <v>10</v>
      </c>
      <c r="G239" s="3">
        <f t="shared" si="27"/>
        <v>0.15</v>
      </c>
      <c r="H239" s="3">
        <f t="shared" si="27"/>
        <v>1</v>
      </c>
      <c r="I239" s="2">
        <v>5890463354.6219378</v>
      </c>
      <c r="J239" s="2">
        <v>18481668539.784889</v>
      </c>
      <c r="K239" s="2">
        <f t="shared" si="26"/>
        <v>1760886529.3708928</v>
      </c>
    </row>
    <row r="240" spans="1:11" x14ac:dyDescent="0.2">
      <c r="C240" s="2" t="s">
        <v>66</v>
      </c>
      <c r="D240" s="2" t="s">
        <v>58</v>
      </c>
      <c r="E240" s="3">
        <v>-7</v>
      </c>
      <c r="F240" s="3">
        <f>$A$208</f>
        <v>8</v>
      </c>
      <c r="G240" s="3">
        <f t="shared" si="27"/>
        <v>0.15</v>
      </c>
      <c r="H240" s="3">
        <f t="shared" si="27"/>
        <v>0.9</v>
      </c>
      <c r="I240" s="2">
        <v>5890463354.6219378</v>
      </c>
      <c r="J240" s="2">
        <v>1670126997.8780344</v>
      </c>
      <c r="K240" s="2">
        <f t="shared" si="26"/>
        <v>425283207.32812345</v>
      </c>
    </row>
    <row r="241" spans="3:11" x14ac:dyDescent="0.2">
      <c r="C241" s="2" t="s">
        <v>66</v>
      </c>
      <c r="D241" s="2" t="s">
        <v>69</v>
      </c>
      <c r="E241" s="3">
        <v>-7</v>
      </c>
      <c r="F241" s="3">
        <v>-4</v>
      </c>
      <c r="G241" s="3">
        <f t="shared" si="27"/>
        <v>0.15</v>
      </c>
      <c r="H241" s="3">
        <f t="shared" si="27"/>
        <v>0.3</v>
      </c>
      <c r="I241" s="2">
        <v>5890463354.6219378</v>
      </c>
      <c r="J241" s="2">
        <v>139981320353.44016</v>
      </c>
      <c r="K241" s="2">
        <f t="shared" si="26"/>
        <v>328211513.34313971</v>
      </c>
    </row>
    <row r="242" spans="3:11" x14ac:dyDescent="0.2">
      <c r="C242" s="2" t="s">
        <v>66</v>
      </c>
      <c r="D242" s="2" t="s">
        <v>70</v>
      </c>
      <c r="E242" s="3">
        <v>-7</v>
      </c>
      <c r="F242" s="3">
        <v>7</v>
      </c>
      <c r="G242" s="3">
        <f t="shared" si="27"/>
        <v>0.15</v>
      </c>
      <c r="H242" s="3">
        <f t="shared" si="27"/>
        <v>0.85</v>
      </c>
      <c r="I242" s="2">
        <v>5890463354.6219378</v>
      </c>
      <c r="J242" s="2">
        <v>39857780124.731804</v>
      </c>
      <c r="K242" s="2">
        <f t="shared" si="26"/>
        <v>2241663930.4883332</v>
      </c>
    </row>
    <row r="243" spans="3:11" x14ac:dyDescent="0.2">
      <c r="C243" s="2" t="s">
        <v>66</v>
      </c>
      <c r="D243" s="2" t="s">
        <v>62</v>
      </c>
      <c r="E243" s="3">
        <v>-7</v>
      </c>
      <c r="F243" s="3">
        <v>1</v>
      </c>
      <c r="G243" s="3">
        <f t="shared" si="27"/>
        <v>0.15</v>
      </c>
      <c r="H243" s="3">
        <f t="shared" si="27"/>
        <v>0.55000000000000004</v>
      </c>
      <c r="I243" s="2">
        <v>5890463354.6219378</v>
      </c>
      <c r="J243" s="2">
        <v>17248072759.077568</v>
      </c>
      <c r="K243" s="2">
        <f t="shared" si="26"/>
        <v>370216577.81919211</v>
      </c>
    </row>
    <row r="244" spans="3:11" x14ac:dyDescent="0.2">
      <c r="C244" s="2" t="s">
        <v>67</v>
      </c>
      <c r="D244" s="2" t="s">
        <v>60</v>
      </c>
      <c r="E244" s="3">
        <v>-3</v>
      </c>
      <c r="F244" s="3">
        <v>0</v>
      </c>
      <c r="G244" s="3">
        <f t="shared" si="27"/>
        <v>0.35</v>
      </c>
      <c r="H244" s="3">
        <f t="shared" si="27"/>
        <v>0.5</v>
      </c>
      <c r="I244" s="2">
        <v>80993822423.190765</v>
      </c>
      <c r="J244" s="2">
        <v>28295673249.105373</v>
      </c>
      <c r="K244" s="2">
        <f t="shared" si="26"/>
        <v>245901365.26266637</v>
      </c>
    </row>
    <row r="245" spans="3:11" x14ac:dyDescent="0.2">
      <c r="C245" s="2" t="s">
        <v>67</v>
      </c>
      <c r="D245" s="2" t="s">
        <v>68</v>
      </c>
      <c r="E245" s="3">
        <v>-3</v>
      </c>
      <c r="F245" s="3">
        <v>6</v>
      </c>
      <c r="G245" s="3">
        <f t="shared" si="27"/>
        <v>0.35</v>
      </c>
      <c r="H245" s="3">
        <f t="shared" si="27"/>
        <v>0.8</v>
      </c>
      <c r="I245" s="2">
        <v>80993822423.190765</v>
      </c>
      <c r="J245" s="2">
        <v>14189510516.615805</v>
      </c>
      <c r="K245" s="2">
        <f t="shared" si="26"/>
        <v>1927462492.0310833</v>
      </c>
    </row>
    <row r="246" spans="3:11" x14ac:dyDescent="0.2">
      <c r="C246" s="2" t="s">
        <v>67</v>
      </c>
      <c r="D246" s="2" t="s">
        <v>61</v>
      </c>
      <c r="E246" s="3">
        <v>-3</v>
      </c>
      <c r="F246" s="3">
        <v>10</v>
      </c>
      <c r="G246" s="3">
        <f t="shared" si="27"/>
        <v>0.35</v>
      </c>
      <c r="H246" s="3">
        <f t="shared" si="27"/>
        <v>1</v>
      </c>
      <c r="I246" s="2">
        <v>80993822423.190765</v>
      </c>
      <c r="J246" s="2">
        <v>18481668539.784889</v>
      </c>
      <c r="K246" s="2">
        <f t="shared" si="26"/>
        <v>4202839493.1857219</v>
      </c>
    </row>
    <row r="247" spans="3:11" x14ac:dyDescent="0.2">
      <c r="C247" s="2" t="s">
        <v>67</v>
      </c>
      <c r="D247" s="2" t="s">
        <v>58</v>
      </c>
      <c r="E247" s="3">
        <v>-3</v>
      </c>
      <c r="F247" s="3">
        <f>$A$208</f>
        <v>8</v>
      </c>
      <c r="G247" s="3">
        <f t="shared" si="27"/>
        <v>0.35</v>
      </c>
      <c r="H247" s="3">
        <f t="shared" si="27"/>
        <v>0.9</v>
      </c>
      <c r="I247" s="2">
        <v>80993822423.190765</v>
      </c>
      <c r="J247" s="2">
        <v>1670126997.8780344</v>
      </c>
      <c r="K247" s="2">
        <f t="shared" si="26"/>
        <v>2500584469.9873319</v>
      </c>
    </row>
    <row r="248" spans="3:11" x14ac:dyDescent="0.2">
      <c r="C248" s="2" t="s">
        <v>67</v>
      </c>
      <c r="D248" s="2" t="s">
        <v>69</v>
      </c>
      <c r="E248" s="3">
        <v>-3</v>
      </c>
      <c r="F248" s="3">
        <v>-4</v>
      </c>
      <c r="G248" s="3">
        <f t="shared" si="27"/>
        <v>0.35</v>
      </c>
      <c r="H248" s="3">
        <f t="shared" si="27"/>
        <v>0.3</v>
      </c>
      <c r="I248" s="2">
        <v>80993822423.190765</v>
      </c>
      <c r="J248" s="2">
        <v>139981320353.44016</v>
      </c>
      <c r="K248" s="2">
        <f t="shared" si="26"/>
        <v>55243785.694157705</v>
      </c>
    </row>
    <row r="249" spans="3:11" x14ac:dyDescent="0.2">
      <c r="C249" s="2" t="s">
        <v>67</v>
      </c>
      <c r="D249" s="2" t="s">
        <v>70</v>
      </c>
      <c r="E249" s="3">
        <v>-3</v>
      </c>
      <c r="F249" s="3">
        <v>7</v>
      </c>
      <c r="G249" s="3">
        <f t="shared" si="27"/>
        <v>0.35</v>
      </c>
      <c r="H249" s="3">
        <f t="shared" si="27"/>
        <v>0.85</v>
      </c>
      <c r="I249" s="2">
        <v>80993822423.190765</v>
      </c>
      <c r="J249" s="2">
        <v>39857780124.731804</v>
      </c>
      <c r="K249" s="2">
        <f t="shared" si="26"/>
        <v>3021290063.6980643</v>
      </c>
    </row>
    <row r="250" spans="3:11" x14ac:dyDescent="0.2">
      <c r="C250" s="2" t="s">
        <v>67</v>
      </c>
      <c r="D250" s="2" t="s">
        <v>62</v>
      </c>
      <c r="E250" s="3">
        <v>-3</v>
      </c>
      <c r="F250" s="3">
        <v>1</v>
      </c>
      <c r="G250" s="3">
        <f t="shared" si="27"/>
        <v>0.35</v>
      </c>
      <c r="H250" s="3">
        <f t="shared" si="27"/>
        <v>0.55000000000000004</v>
      </c>
      <c r="I250" s="2">
        <v>80993822423.190765</v>
      </c>
      <c r="J250" s="2">
        <v>17248072759.077568</v>
      </c>
      <c r="K250" s="2">
        <f t="shared" si="26"/>
        <v>392967580.72907364</v>
      </c>
    </row>
    <row r="251" spans="3:11" x14ac:dyDescent="0.2">
      <c r="C251" s="2" t="s">
        <v>60</v>
      </c>
      <c r="D251" s="2" t="s">
        <v>68</v>
      </c>
      <c r="E251" s="3">
        <v>0</v>
      </c>
      <c r="F251" s="3">
        <v>6</v>
      </c>
      <c r="G251" s="3">
        <f t="shared" si="27"/>
        <v>0.5</v>
      </c>
      <c r="H251" s="3">
        <f t="shared" si="27"/>
        <v>0.8</v>
      </c>
      <c r="I251" s="2">
        <v>28295673249.105373</v>
      </c>
      <c r="J251" s="2">
        <v>14189510516.615805</v>
      </c>
      <c r="K251" s="2">
        <f t="shared" si="26"/>
        <v>382366653.8914907</v>
      </c>
    </row>
    <row r="252" spans="3:11" x14ac:dyDescent="0.2">
      <c r="C252" s="2" t="s">
        <v>60</v>
      </c>
      <c r="D252" s="2" t="s">
        <v>61</v>
      </c>
      <c r="E252" s="3">
        <v>0</v>
      </c>
      <c r="F252" s="3">
        <v>10</v>
      </c>
      <c r="G252" s="3">
        <f t="shared" si="27"/>
        <v>0.5</v>
      </c>
      <c r="H252" s="3">
        <f t="shared" si="27"/>
        <v>1</v>
      </c>
      <c r="I252" s="2">
        <v>28295673249.105373</v>
      </c>
      <c r="J252" s="2">
        <v>18481668539.784889</v>
      </c>
      <c r="K252" s="2">
        <f t="shared" si="26"/>
        <v>1169433544.7222564</v>
      </c>
    </row>
    <row r="253" spans="3:11" x14ac:dyDescent="0.2">
      <c r="C253" s="2" t="s">
        <v>60</v>
      </c>
      <c r="D253" s="2" t="s">
        <v>58</v>
      </c>
      <c r="E253" s="3">
        <v>0</v>
      </c>
      <c r="F253" s="3">
        <f>$A$208</f>
        <v>8</v>
      </c>
      <c r="G253" s="3">
        <f t="shared" si="27"/>
        <v>0.5</v>
      </c>
      <c r="H253" s="3">
        <f t="shared" si="27"/>
        <v>0.9</v>
      </c>
      <c r="I253" s="2">
        <v>28295673249.105373</v>
      </c>
      <c r="J253" s="2">
        <v>1670126997.8780344</v>
      </c>
      <c r="K253" s="2">
        <f t="shared" si="26"/>
        <v>479452803.95173454</v>
      </c>
    </row>
    <row r="254" spans="3:11" x14ac:dyDescent="0.2">
      <c r="C254" s="2" t="s">
        <v>60</v>
      </c>
      <c r="D254" s="2" t="s">
        <v>69</v>
      </c>
      <c r="E254" s="3">
        <v>0</v>
      </c>
      <c r="F254" s="3">
        <v>-4</v>
      </c>
      <c r="G254" s="3">
        <f t="shared" si="27"/>
        <v>0.5</v>
      </c>
      <c r="H254" s="3">
        <f t="shared" si="27"/>
        <v>0.3</v>
      </c>
      <c r="I254" s="2">
        <v>28295673249.105373</v>
      </c>
      <c r="J254" s="2">
        <v>139981320353.44016</v>
      </c>
      <c r="K254" s="2">
        <f t="shared" si="26"/>
        <v>673107974.41018224</v>
      </c>
    </row>
    <row r="255" spans="3:11" x14ac:dyDescent="0.2">
      <c r="C255" s="2" t="s">
        <v>60</v>
      </c>
      <c r="D255" s="2" t="s">
        <v>70</v>
      </c>
      <c r="E255" s="3">
        <v>0</v>
      </c>
      <c r="F255" s="3">
        <v>7</v>
      </c>
      <c r="G255" s="3">
        <f t="shared" si="27"/>
        <v>0.5</v>
      </c>
      <c r="H255" s="3">
        <f t="shared" si="27"/>
        <v>0.85</v>
      </c>
      <c r="I255" s="2">
        <v>28295673249.105373</v>
      </c>
      <c r="J255" s="2">
        <v>39857780124.731804</v>
      </c>
      <c r="K255" s="2">
        <f t="shared" si="26"/>
        <v>834879803.82950532</v>
      </c>
    </row>
    <row r="256" spans="3:11" x14ac:dyDescent="0.2">
      <c r="C256" s="2" t="s">
        <v>60</v>
      </c>
      <c r="D256" s="2" t="s">
        <v>62</v>
      </c>
      <c r="E256" s="3">
        <v>0</v>
      </c>
      <c r="F256" s="3">
        <v>1</v>
      </c>
      <c r="G256" s="3">
        <f t="shared" si="27"/>
        <v>0.5</v>
      </c>
      <c r="H256" s="3">
        <f t="shared" si="27"/>
        <v>0.55000000000000004</v>
      </c>
      <c r="I256" s="2">
        <v>28295673249.105373</v>
      </c>
      <c r="J256" s="2">
        <v>17248072759.077568</v>
      </c>
      <c r="K256" s="2">
        <f t="shared" si="26"/>
        <v>11385936.502045754</v>
      </c>
    </row>
    <row r="257" spans="3:11" x14ac:dyDescent="0.2">
      <c r="C257" s="2" t="s">
        <v>68</v>
      </c>
      <c r="D257" s="2" t="s">
        <v>61</v>
      </c>
      <c r="E257" s="3">
        <v>6</v>
      </c>
      <c r="F257" s="3">
        <v>10</v>
      </c>
      <c r="G257" s="3">
        <f t="shared" si="27"/>
        <v>0.8</v>
      </c>
      <c r="H257" s="3">
        <f t="shared" si="27"/>
        <v>1</v>
      </c>
      <c r="I257" s="2">
        <v>14189510516.615805</v>
      </c>
      <c r="J257" s="2">
        <v>18481668539.784889</v>
      </c>
      <c r="K257" s="2">
        <f t="shared" si="26"/>
        <v>130684716.22560272</v>
      </c>
    </row>
    <row r="258" spans="3:11" x14ac:dyDescent="0.2">
      <c r="C258" s="2" t="s">
        <v>68</v>
      </c>
      <c r="D258" s="2" t="s">
        <v>58</v>
      </c>
      <c r="E258" s="3">
        <v>6</v>
      </c>
      <c r="F258" s="3">
        <f>$A$208</f>
        <v>8</v>
      </c>
      <c r="G258" s="3">
        <f t="shared" si="27"/>
        <v>0.8</v>
      </c>
      <c r="H258" s="3">
        <f t="shared" si="27"/>
        <v>0.9</v>
      </c>
      <c r="I258" s="2">
        <v>14189510516.615805</v>
      </c>
      <c r="J258" s="2">
        <v>1670126997.8780344</v>
      </c>
      <c r="K258" s="2">
        <f t="shared" si="26"/>
        <v>15859637.514493832</v>
      </c>
    </row>
    <row r="259" spans="3:11" x14ac:dyDescent="0.2">
      <c r="C259" s="2" t="s">
        <v>68</v>
      </c>
      <c r="D259" s="2" t="s">
        <v>69</v>
      </c>
      <c r="E259" s="3">
        <v>6</v>
      </c>
      <c r="F259" s="3">
        <v>-4</v>
      </c>
      <c r="G259" s="3">
        <f t="shared" si="27"/>
        <v>0.8</v>
      </c>
      <c r="H259" s="3">
        <f t="shared" si="27"/>
        <v>0.3</v>
      </c>
      <c r="I259" s="2">
        <v>14189510516.615805</v>
      </c>
      <c r="J259" s="2">
        <v>139981320353.44016</v>
      </c>
      <c r="K259" s="2">
        <f t="shared" si="26"/>
        <v>3854270771.751399</v>
      </c>
    </row>
    <row r="260" spans="3:11" x14ac:dyDescent="0.2">
      <c r="C260" s="2" t="s">
        <v>68</v>
      </c>
      <c r="D260" s="2" t="s">
        <v>70</v>
      </c>
      <c r="E260" s="3">
        <v>6</v>
      </c>
      <c r="F260" s="3">
        <v>7</v>
      </c>
      <c r="G260" s="3">
        <f t="shared" si="27"/>
        <v>0.8</v>
      </c>
      <c r="H260" s="3">
        <f t="shared" si="27"/>
        <v>0.85</v>
      </c>
      <c r="I260" s="2">
        <v>14189510516.615805</v>
      </c>
      <c r="J260" s="2">
        <v>39857780124.731804</v>
      </c>
      <c r="K260" s="2">
        <f t="shared" si="26"/>
        <v>13511822.660336867</v>
      </c>
    </row>
    <row r="261" spans="3:11" x14ac:dyDescent="0.2">
      <c r="C261" s="2" t="s">
        <v>68</v>
      </c>
      <c r="D261" s="2" t="s">
        <v>62</v>
      </c>
      <c r="E261" s="3">
        <v>6</v>
      </c>
      <c r="F261" s="3">
        <v>1</v>
      </c>
      <c r="G261" s="3">
        <f t="shared" si="27"/>
        <v>0.8</v>
      </c>
      <c r="H261" s="3">
        <f t="shared" si="27"/>
        <v>0.55000000000000004</v>
      </c>
      <c r="I261" s="2">
        <v>14189510516.615805</v>
      </c>
      <c r="J261" s="2">
        <v>17248072759.077568</v>
      </c>
      <c r="K261" s="2">
        <f t="shared" si="26"/>
        <v>196484895.47308359</v>
      </c>
    </row>
    <row r="262" spans="3:11" x14ac:dyDescent="0.2">
      <c r="C262" s="2" t="s">
        <v>61</v>
      </c>
      <c r="D262" s="2" t="s">
        <v>58</v>
      </c>
      <c r="E262" s="3">
        <v>10</v>
      </c>
      <c r="F262" s="3">
        <f>$A$208</f>
        <v>8</v>
      </c>
      <c r="G262" s="3">
        <f t="shared" si="27"/>
        <v>1</v>
      </c>
      <c r="H262" s="3">
        <f t="shared" si="27"/>
        <v>0.9</v>
      </c>
      <c r="I262" s="2">
        <v>18481668539.784889</v>
      </c>
      <c r="J262" s="2">
        <v>1670126997.8780344</v>
      </c>
      <c r="K262" s="2">
        <f t="shared" si="26"/>
        <v>20151795.537662912</v>
      </c>
    </row>
    <row r="263" spans="3:11" x14ac:dyDescent="0.2">
      <c r="C263" s="2" t="s">
        <v>61</v>
      </c>
      <c r="D263" s="2" t="s">
        <v>69</v>
      </c>
      <c r="E263" s="3">
        <v>10</v>
      </c>
      <c r="F263" s="3">
        <v>-4</v>
      </c>
      <c r="G263" s="3">
        <f t="shared" si="27"/>
        <v>1</v>
      </c>
      <c r="H263" s="3">
        <f t="shared" si="27"/>
        <v>0.3</v>
      </c>
      <c r="I263" s="2">
        <v>18481668539.784889</v>
      </c>
      <c r="J263" s="2">
        <v>139981320353.44016</v>
      </c>
      <c r="K263" s="2">
        <f t="shared" si="26"/>
        <v>7764686455.7680264</v>
      </c>
    </row>
    <row r="264" spans="3:11" x14ac:dyDescent="0.2">
      <c r="C264" s="2" t="s">
        <v>61</v>
      </c>
      <c r="D264" s="2" t="s">
        <v>70</v>
      </c>
      <c r="E264" s="3">
        <v>10</v>
      </c>
      <c r="F264" s="3">
        <v>7</v>
      </c>
      <c r="G264" s="3">
        <f t="shared" si="27"/>
        <v>1</v>
      </c>
      <c r="H264" s="3">
        <f t="shared" si="27"/>
        <v>0.85</v>
      </c>
      <c r="I264" s="2">
        <v>18481668539.784889</v>
      </c>
      <c r="J264" s="2">
        <v>39857780124.731804</v>
      </c>
      <c r="K264" s="2">
        <f t="shared" si="26"/>
        <v>131263759.49516261</v>
      </c>
    </row>
    <row r="265" spans="3:11" x14ac:dyDescent="0.2">
      <c r="C265" s="2" t="s">
        <v>61</v>
      </c>
      <c r="D265" s="2" t="s">
        <v>62</v>
      </c>
      <c r="E265" s="3">
        <v>10</v>
      </c>
      <c r="F265" s="3">
        <v>1</v>
      </c>
      <c r="G265" s="3">
        <f t="shared" si="27"/>
        <v>1</v>
      </c>
      <c r="H265" s="3">
        <f t="shared" si="27"/>
        <v>0.55000000000000004</v>
      </c>
      <c r="I265" s="2">
        <v>18481668539.784889</v>
      </c>
      <c r="J265" s="2">
        <v>17248072759.077568</v>
      </c>
      <c r="K265" s="2">
        <f t="shared" si="26"/>
        <v>723527261.30196464</v>
      </c>
    </row>
    <row r="266" spans="3:11" x14ac:dyDescent="0.2">
      <c r="C266" s="2" t="s">
        <v>58</v>
      </c>
      <c r="D266" s="2" t="s">
        <v>69</v>
      </c>
      <c r="E266" s="3">
        <f>$A$208</f>
        <v>8</v>
      </c>
      <c r="F266" s="3">
        <v>-4</v>
      </c>
      <c r="G266" s="3">
        <f t="shared" si="27"/>
        <v>0.9</v>
      </c>
      <c r="H266" s="3">
        <f t="shared" si="27"/>
        <v>0.3</v>
      </c>
      <c r="I266" s="2">
        <v>1670126997.8780344</v>
      </c>
      <c r="J266" s="2">
        <v>139981320353.44016</v>
      </c>
      <c r="K266" s="2">
        <f t="shared" si="26"/>
        <v>5099452104.6474552</v>
      </c>
    </row>
    <row r="267" spans="3:11" x14ac:dyDescent="0.2">
      <c r="C267" s="2" t="s">
        <v>58</v>
      </c>
      <c r="D267" s="2" t="s">
        <v>70</v>
      </c>
      <c r="E267" s="3">
        <f t="shared" ref="E267:E268" si="28">$A$208</f>
        <v>8</v>
      </c>
      <c r="F267" s="3">
        <v>7</v>
      </c>
      <c r="G267" s="3">
        <f t="shared" si="27"/>
        <v>0.9</v>
      </c>
      <c r="H267" s="3">
        <f t="shared" si="27"/>
        <v>0.85</v>
      </c>
      <c r="I267" s="2">
        <v>1670126997.8780344</v>
      </c>
      <c r="J267" s="2">
        <v>39857780124.731804</v>
      </c>
      <c r="K267" s="2">
        <f t="shared" si="26"/>
        <v>10381976.780652478</v>
      </c>
    </row>
    <row r="268" spans="3:11" x14ac:dyDescent="0.2">
      <c r="C268" s="2" t="s">
        <v>58</v>
      </c>
      <c r="D268" s="2" t="s">
        <v>62</v>
      </c>
      <c r="E268" s="3">
        <f t="shared" si="28"/>
        <v>8</v>
      </c>
      <c r="F268" s="3">
        <v>1</v>
      </c>
      <c r="G268" s="3">
        <f t="shared" si="27"/>
        <v>0.9</v>
      </c>
      <c r="H268" s="3">
        <f t="shared" si="27"/>
        <v>0.55000000000000004</v>
      </c>
      <c r="I268" s="2">
        <v>1670126997.8780344</v>
      </c>
      <c r="J268" s="2">
        <v>17248072759.077568</v>
      </c>
      <c r="K268" s="2">
        <f t="shared" si="26"/>
        <v>231747947.02270606</v>
      </c>
    </row>
    <row r="269" spans="3:11" x14ac:dyDescent="0.2">
      <c r="C269" s="2" t="s">
        <v>69</v>
      </c>
      <c r="D269" s="2" t="s">
        <v>70</v>
      </c>
      <c r="E269" s="3">
        <v>-4</v>
      </c>
      <c r="F269" s="3">
        <v>7</v>
      </c>
      <c r="G269" s="3">
        <f t="shared" si="27"/>
        <v>0.3</v>
      </c>
      <c r="H269" s="3">
        <f t="shared" si="27"/>
        <v>0.85</v>
      </c>
      <c r="I269" s="2">
        <v>139981320353.44016</v>
      </c>
      <c r="J269" s="2">
        <v>39857780124.731804</v>
      </c>
      <c r="K269" s="2">
        <f t="shared" si="26"/>
        <v>5440132789.4647026</v>
      </c>
    </row>
    <row r="270" spans="3:11" x14ac:dyDescent="0.2">
      <c r="C270" s="2" t="s">
        <v>69</v>
      </c>
      <c r="D270" s="2" t="s">
        <v>62</v>
      </c>
      <c r="E270" s="3">
        <v>-4</v>
      </c>
      <c r="F270" s="3">
        <v>1</v>
      </c>
      <c r="G270" s="3">
        <f t="shared" si="27"/>
        <v>0.3</v>
      </c>
      <c r="H270" s="3">
        <f t="shared" si="27"/>
        <v>0.55000000000000004</v>
      </c>
      <c r="I270" s="2">
        <v>139981320353.44016</v>
      </c>
      <c r="J270" s="2">
        <v>17248072759.077568</v>
      </c>
      <c r="K270" s="2">
        <f t="shared" si="26"/>
        <v>982683706.95323634</v>
      </c>
    </row>
    <row r="271" spans="3:11" x14ac:dyDescent="0.2">
      <c r="C271" s="2" t="s">
        <v>70</v>
      </c>
      <c r="D271" s="2" t="s">
        <v>62</v>
      </c>
      <c r="E271" s="3">
        <v>7</v>
      </c>
      <c r="F271" s="3">
        <v>1</v>
      </c>
      <c r="G271" s="3">
        <f t="shared" si="27"/>
        <v>0.85</v>
      </c>
      <c r="H271" s="3">
        <f t="shared" si="27"/>
        <v>0.55000000000000004</v>
      </c>
      <c r="I271" s="2">
        <v>39857780124.731804</v>
      </c>
      <c r="J271" s="2">
        <v>17248072759.077568</v>
      </c>
      <c r="K271" s="2">
        <f t="shared" si="26"/>
        <v>513952675.95428413</v>
      </c>
    </row>
    <row r="272" spans="3:11" x14ac:dyDescent="0.2">
      <c r="J272" s="7">
        <f>I217+SUM(J217:J226)</f>
        <v>349628620540.07849</v>
      </c>
      <c r="K272" s="1">
        <f>(1-SQRT(SUM(K217:K271)/(I217+SUM(J217:J226))))*100</f>
        <v>59.835901578780117</v>
      </c>
    </row>
    <row r="273" spans="3:15" x14ac:dyDescent="0.2">
      <c r="K273" s="1"/>
    </row>
    <row r="275" spans="3:15" x14ac:dyDescent="0.2">
      <c r="C275" s="1" t="s">
        <v>71</v>
      </c>
      <c r="D275" s="1">
        <v>2016</v>
      </c>
    </row>
    <row r="276" spans="3:15" x14ac:dyDescent="0.2">
      <c r="C276" s="2" t="s">
        <v>72</v>
      </c>
      <c r="D276" s="2" t="s">
        <v>73</v>
      </c>
      <c r="E276" s="3">
        <v>-1</v>
      </c>
      <c r="F276" s="3">
        <v>9</v>
      </c>
      <c r="G276" s="3">
        <f t="shared" ref="G276:H285" si="29">(E276+10)/20</f>
        <v>0.45</v>
      </c>
      <c r="H276" s="3">
        <f t="shared" si="29"/>
        <v>0.95</v>
      </c>
      <c r="I276" s="2">
        <v>8187305239.414607</v>
      </c>
      <c r="J276" s="2">
        <v>152941817636.90009</v>
      </c>
      <c r="K276" s="2">
        <f>(G276-H276)^2*((I276+J276)/4)</f>
        <v>10070570179.769667</v>
      </c>
    </row>
    <row r="277" spans="3:15" x14ac:dyDescent="0.2">
      <c r="C277" s="2" t="s">
        <v>72</v>
      </c>
      <c r="D277" s="2" t="s">
        <v>74</v>
      </c>
      <c r="E277" s="3">
        <v>-1</v>
      </c>
      <c r="F277" s="3">
        <v>-3</v>
      </c>
      <c r="G277" s="3">
        <f t="shared" si="29"/>
        <v>0.45</v>
      </c>
      <c r="H277" s="3">
        <f t="shared" si="29"/>
        <v>0.35</v>
      </c>
      <c r="I277" s="2">
        <v>8187305239.414607</v>
      </c>
      <c r="J277" s="2">
        <v>22802984391.357815</v>
      </c>
      <c r="K277" s="2">
        <f t="shared" ref="K277:K285" si="30">(G277-H277)^2*((I277+J277)/4)</f>
        <v>77475724.076931119</v>
      </c>
    </row>
    <row r="278" spans="3:15" x14ac:dyDescent="0.2">
      <c r="C278" s="2" t="s">
        <v>72</v>
      </c>
      <c r="D278" s="2" t="s">
        <v>75</v>
      </c>
      <c r="E278" s="3">
        <v>-1</v>
      </c>
      <c r="F278" s="3">
        <v>-1</v>
      </c>
      <c r="G278" s="3">
        <f t="shared" si="29"/>
        <v>0.45</v>
      </c>
      <c r="H278" s="3">
        <f t="shared" si="29"/>
        <v>0.45</v>
      </c>
      <c r="I278" s="2">
        <v>8187305239.414607</v>
      </c>
      <c r="J278" s="2">
        <v>76702400285.911484</v>
      </c>
      <c r="K278" s="2">
        <f t="shared" si="30"/>
        <v>0</v>
      </c>
      <c r="O278" s="2">
        <f>(1-_xlfn.STDEV.S(G276,H276:H279))*100</f>
        <v>76.125327227373347</v>
      </c>
    </row>
    <row r="279" spans="3:15" x14ac:dyDescent="0.2">
      <c r="C279" s="2" t="s">
        <v>72</v>
      </c>
      <c r="D279" s="2" t="s">
        <v>76</v>
      </c>
      <c r="E279" s="3">
        <v>-1</v>
      </c>
      <c r="F279" s="3">
        <v>3</v>
      </c>
      <c r="G279" s="3">
        <f t="shared" si="29"/>
        <v>0.45</v>
      </c>
      <c r="H279" s="3">
        <f t="shared" si="29"/>
        <v>0.65</v>
      </c>
      <c r="I279" s="2">
        <v>8187305239.414607</v>
      </c>
      <c r="J279" s="2">
        <v>150336018558.71158</v>
      </c>
      <c r="K279" s="2">
        <f t="shared" si="30"/>
        <v>1585233237.9812622</v>
      </c>
    </row>
    <row r="280" spans="3:15" x14ac:dyDescent="0.2">
      <c r="C280" s="2" t="s">
        <v>73</v>
      </c>
      <c r="D280" s="2" t="s">
        <v>74</v>
      </c>
      <c r="E280" s="3">
        <v>9</v>
      </c>
      <c r="F280" s="3">
        <v>-3</v>
      </c>
      <c r="G280" s="3">
        <f t="shared" si="29"/>
        <v>0.95</v>
      </c>
      <c r="H280" s="3">
        <f t="shared" si="29"/>
        <v>0.35</v>
      </c>
      <c r="I280" s="2">
        <v>152941817636.90009</v>
      </c>
      <c r="J280" s="2">
        <v>22802984391.357815</v>
      </c>
      <c r="K280" s="2">
        <f t="shared" si="30"/>
        <v>15817032182.543211</v>
      </c>
    </row>
    <row r="281" spans="3:15" x14ac:dyDescent="0.2">
      <c r="C281" s="2" t="s">
        <v>73</v>
      </c>
      <c r="D281" s="2" t="s">
        <v>75</v>
      </c>
      <c r="E281" s="3">
        <v>9</v>
      </c>
      <c r="F281" s="3">
        <v>-1</v>
      </c>
      <c r="G281" s="3">
        <f t="shared" si="29"/>
        <v>0.95</v>
      </c>
      <c r="H281" s="3">
        <f t="shared" si="29"/>
        <v>0.45</v>
      </c>
      <c r="I281" s="2">
        <v>152941817636.90009</v>
      </c>
      <c r="J281" s="2">
        <v>76702400285.911484</v>
      </c>
      <c r="K281" s="2">
        <f t="shared" si="30"/>
        <v>14352763620.17572</v>
      </c>
    </row>
    <row r="282" spans="3:15" x14ac:dyDescent="0.2">
      <c r="C282" s="2" t="s">
        <v>73</v>
      </c>
      <c r="D282" s="2" t="s">
        <v>76</v>
      </c>
      <c r="E282" s="3">
        <v>9</v>
      </c>
      <c r="F282" s="3">
        <v>3</v>
      </c>
      <c r="G282" s="3">
        <f t="shared" si="29"/>
        <v>0.95</v>
      </c>
      <c r="H282" s="3">
        <f t="shared" si="29"/>
        <v>0.65</v>
      </c>
      <c r="I282" s="2">
        <v>152941817636.90009</v>
      </c>
      <c r="J282" s="2">
        <v>150336018558.71158</v>
      </c>
      <c r="K282" s="2">
        <f t="shared" si="30"/>
        <v>6823751314.4012594</v>
      </c>
    </row>
    <row r="283" spans="3:15" x14ac:dyDescent="0.2">
      <c r="C283" s="2" t="s">
        <v>74</v>
      </c>
      <c r="D283" s="2" t="s">
        <v>75</v>
      </c>
      <c r="E283" s="3">
        <v>-3</v>
      </c>
      <c r="F283" s="3">
        <v>-1</v>
      </c>
      <c r="G283" s="3">
        <f t="shared" si="29"/>
        <v>0.35</v>
      </c>
      <c r="H283" s="3">
        <f t="shared" si="29"/>
        <v>0.45</v>
      </c>
      <c r="I283" s="2">
        <v>22802984391.357815</v>
      </c>
      <c r="J283" s="2">
        <v>76702400285.911484</v>
      </c>
      <c r="K283" s="2">
        <f t="shared" si="30"/>
        <v>248763461.69317344</v>
      </c>
    </row>
    <row r="284" spans="3:15" x14ac:dyDescent="0.2">
      <c r="C284" s="2" t="s">
        <v>74</v>
      </c>
      <c r="D284" s="2" t="s">
        <v>76</v>
      </c>
      <c r="E284" s="3">
        <v>-3</v>
      </c>
      <c r="F284" s="3">
        <v>3</v>
      </c>
      <c r="G284" s="3">
        <f t="shared" si="29"/>
        <v>0.35</v>
      </c>
      <c r="H284" s="3">
        <f t="shared" si="29"/>
        <v>0.65</v>
      </c>
      <c r="I284" s="2">
        <v>22802984391.357815</v>
      </c>
      <c r="J284" s="2">
        <v>150336018558.71158</v>
      </c>
      <c r="K284" s="2">
        <f t="shared" si="30"/>
        <v>3895627566.3765626</v>
      </c>
    </row>
    <row r="285" spans="3:15" x14ac:dyDescent="0.2">
      <c r="C285" s="2" t="s">
        <v>75</v>
      </c>
      <c r="D285" s="2" t="s">
        <v>76</v>
      </c>
      <c r="E285" s="3">
        <v>-1</v>
      </c>
      <c r="F285" s="3">
        <v>3</v>
      </c>
      <c r="G285" s="3">
        <f t="shared" si="29"/>
        <v>0.45</v>
      </c>
      <c r="H285" s="3">
        <f t="shared" si="29"/>
        <v>0.65</v>
      </c>
      <c r="I285" s="2">
        <v>76702400285.911484</v>
      </c>
      <c r="J285" s="2">
        <v>150336018558.71158</v>
      </c>
      <c r="K285" s="2">
        <f t="shared" si="30"/>
        <v>2270384188.4462309</v>
      </c>
    </row>
    <row r="286" spans="3:15" x14ac:dyDescent="0.2">
      <c r="K286" s="1">
        <f>(1-SQRT(SUM(K276:K285)/(I276+SUM(J276:J279))))*100</f>
        <v>63.370216701119666</v>
      </c>
    </row>
    <row r="287" spans="3:15" x14ac:dyDescent="0.2">
      <c r="K287" s="1"/>
    </row>
    <row r="289" spans="1:15" x14ac:dyDescent="0.2">
      <c r="K289" s="1"/>
    </row>
    <row r="292" spans="1:15" x14ac:dyDescent="0.2">
      <c r="C292" s="1" t="s">
        <v>77</v>
      </c>
      <c r="D292" s="2">
        <v>2009</v>
      </c>
    </row>
    <row r="293" spans="1:15" x14ac:dyDescent="0.2">
      <c r="A293" s="2">
        <v>8</v>
      </c>
      <c r="C293" s="2" t="s">
        <v>78</v>
      </c>
      <c r="D293" s="2" t="s">
        <v>79</v>
      </c>
      <c r="E293" s="3">
        <f>$A$293</f>
        <v>8</v>
      </c>
      <c r="F293" s="3">
        <v>2</v>
      </c>
      <c r="G293" s="3">
        <f t="shared" ref="G293:H308" si="31">(E293+10)/20</f>
        <v>0.9</v>
      </c>
      <c r="H293" s="3">
        <f t="shared" si="31"/>
        <v>0.6</v>
      </c>
      <c r="I293" s="8">
        <v>255000000</v>
      </c>
      <c r="J293" s="2">
        <v>5944159874.1880569</v>
      </c>
      <c r="K293" s="2">
        <f>(G293-H293)^2*((I293+J293)/13)</f>
        <v>42917260.667455792</v>
      </c>
    </row>
    <row r="294" spans="1:15" x14ac:dyDescent="0.2">
      <c r="C294" s="2" t="s">
        <v>78</v>
      </c>
      <c r="D294" s="2" t="s">
        <v>80</v>
      </c>
      <c r="E294" s="3">
        <f t="shared" ref="E294:E306" si="32">$A$293</f>
        <v>8</v>
      </c>
      <c r="F294" s="3">
        <v>10</v>
      </c>
      <c r="G294" s="3">
        <f t="shared" si="31"/>
        <v>0.9</v>
      </c>
      <c r="H294" s="3">
        <f t="shared" si="31"/>
        <v>1</v>
      </c>
      <c r="I294" s="8">
        <v>255000000</v>
      </c>
      <c r="J294" s="2">
        <v>174860147.73671493</v>
      </c>
      <c r="K294" s="2">
        <f t="shared" ref="K294:K357" si="33">(G294-H294)^2*((I294+J294)/13)</f>
        <v>330661.65210516518</v>
      </c>
      <c r="O294" s="2">
        <f>(1-_xlfn.STDEV.S(G293,H293:H306))*100</f>
        <v>85.925368989019972</v>
      </c>
    </row>
    <row r="295" spans="1:15" x14ac:dyDescent="0.2">
      <c r="C295" s="2" t="s">
        <v>78</v>
      </c>
      <c r="D295" s="2" t="s">
        <v>81</v>
      </c>
      <c r="E295" s="3">
        <f t="shared" si="32"/>
        <v>8</v>
      </c>
      <c r="F295" s="3">
        <v>10</v>
      </c>
      <c r="G295" s="3">
        <f t="shared" si="31"/>
        <v>0.9</v>
      </c>
      <c r="H295" s="3">
        <f t="shared" si="31"/>
        <v>1</v>
      </c>
      <c r="I295" s="8">
        <v>255000000</v>
      </c>
      <c r="J295" s="2">
        <v>164545084.03036368</v>
      </c>
      <c r="K295" s="2">
        <f t="shared" si="33"/>
        <v>322726.9877156642</v>
      </c>
    </row>
    <row r="296" spans="1:15" x14ac:dyDescent="0.2">
      <c r="C296" s="2" t="s">
        <v>78</v>
      </c>
      <c r="D296" s="2" t="s">
        <v>128</v>
      </c>
      <c r="E296" s="3">
        <f t="shared" si="32"/>
        <v>8</v>
      </c>
      <c r="F296" s="3">
        <v>10</v>
      </c>
      <c r="G296" s="3">
        <f t="shared" si="31"/>
        <v>0.9</v>
      </c>
      <c r="H296" s="3">
        <f>(F296+10)/20</f>
        <v>1</v>
      </c>
      <c r="I296" s="8">
        <v>255000000</v>
      </c>
      <c r="J296" s="2">
        <v>326447976.59896654</v>
      </c>
      <c r="K296" s="2">
        <f t="shared" si="33"/>
        <v>447267.67430689716</v>
      </c>
    </row>
    <row r="297" spans="1:15" x14ac:dyDescent="0.2">
      <c r="C297" s="2" t="s">
        <v>78</v>
      </c>
      <c r="D297" s="2" t="s">
        <v>82</v>
      </c>
      <c r="E297" s="3">
        <f t="shared" si="32"/>
        <v>8</v>
      </c>
      <c r="F297" s="3">
        <v>9</v>
      </c>
      <c r="G297" s="3">
        <f t="shared" si="31"/>
        <v>0.9</v>
      </c>
      <c r="H297" s="3">
        <f t="shared" si="31"/>
        <v>0.95</v>
      </c>
      <c r="I297" s="8">
        <v>255000000</v>
      </c>
      <c r="J297" s="2">
        <v>56336865.594379626</v>
      </c>
      <c r="K297" s="2">
        <f t="shared" si="33"/>
        <v>59872.474152765157</v>
      </c>
    </row>
    <row r="298" spans="1:15" x14ac:dyDescent="0.2">
      <c r="C298" s="2" t="s">
        <v>78</v>
      </c>
      <c r="D298" s="2" t="s">
        <v>83</v>
      </c>
      <c r="E298" s="3">
        <f t="shared" si="32"/>
        <v>8</v>
      </c>
      <c r="F298" s="3">
        <v>10</v>
      </c>
      <c r="G298" s="3">
        <f t="shared" si="31"/>
        <v>0.9</v>
      </c>
      <c r="H298" s="3">
        <f t="shared" si="31"/>
        <v>1</v>
      </c>
      <c r="I298" s="8">
        <v>255000000</v>
      </c>
      <c r="J298" s="8">
        <v>20400000</v>
      </c>
      <c r="K298" s="2">
        <f t="shared" si="33"/>
        <v>211846.15384615373</v>
      </c>
    </row>
    <row r="299" spans="1:15" x14ac:dyDescent="0.2">
      <c r="C299" s="2" t="s">
        <v>78</v>
      </c>
      <c r="D299" s="2" t="s">
        <v>84</v>
      </c>
      <c r="E299" s="3">
        <f t="shared" si="32"/>
        <v>8</v>
      </c>
      <c r="F299" s="3">
        <v>10</v>
      </c>
      <c r="G299" s="3">
        <f t="shared" si="31"/>
        <v>0.9</v>
      </c>
      <c r="H299" s="3">
        <f t="shared" si="31"/>
        <v>1</v>
      </c>
      <c r="I299" s="8">
        <v>255000000</v>
      </c>
      <c r="J299" s="2">
        <v>238035771.86276361</v>
      </c>
      <c r="K299" s="2">
        <f t="shared" si="33"/>
        <v>379258.28604827949</v>
      </c>
    </row>
    <row r="300" spans="1:15" x14ac:dyDescent="0.2">
      <c r="C300" s="2" t="s">
        <v>78</v>
      </c>
      <c r="D300" s="2" t="s">
        <v>85</v>
      </c>
      <c r="E300" s="3">
        <f t="shared" si="32"/>
        <v>8</v>
      </c>
      <c r="F300" s="3">
        <v>5</v>
      </c>
      <c r="G300" s="3">
        <f t="shared" si="31"/>
        <v>0.9</v>
      </c>
      <c r="H300" s="3">
        <f t="shared" si="31"/>
        <v>0.75</v>
      </c>
      <c r="I300" s="8">
        <v>255000000</v>
      </c>
      <c r="J300" s="2">
        <v>13336410533.670525</v>
      </c>
      <c r="K300" s="2">
        <f t="shared" si="33"/>
        <v>23523595.15442976</v>
      </c>
    </row>
    <row r="301" spans="1:15" x14ac:dyDescent="0.2">
      <c r="C301" s="2" t="s">
        <v>78</v>
      </c>
      <c r="D301" s="2" t="s">
        <v>86</v>
      </c>
      <c r="E301" s="3">
        <f t="shared" si="32"/>
        <v>8</v>
      </c>
      <c r="F301" s="3">
        <v>10</v>
      </c>
      <c r="G301" s="3">
        <f t="shared" si="31"/>
        <v>0.9</v>
      </c>
      <c r="H301" s="3">
        <f t="shared" si="31"/>
        <v>1</v>
      </c>
      <c r="I301" s="8">
        <v>255000000</v>
      </c>
      <c r="J301" s="8">
        <v>703000000</v>
      </c>
      <c r="K301" s="2">
        <f t="shared" si="33"/>
        <v>736923.07692307665</v>
      </c>
    </row>
    <row r="302" spans="1:15" x14ac:dyDescent="0.2">
      <c r="C302" s="2" t="s">
        <v>78</v>
      </c>
      <c r="D302" s="2" t="s">
        <v>129</v>
      </c>
      <c r="E302" s="3">
        <f t="shared" si="32"/>
        <v>8</v>
      </c>
      <c r="F302" s="3">
        <v>9</v>
      </c>
      <c r="G302" s="3">
        <f t="shared" si="31"/>
        <v>0.9</v>
      </c>
      <c r="H302" s="3">
        <f t="shared" si="31"/>
        <v>0.95</v>
      </c>
      <c r="I302" s="8">
        <v>255000000</v>
      </c>
      <c r="J302" s="2">
        <v>968619332.89888191</v>
      </c>
      <c r="K302" s="2">
        <f t="shared" si="33"/>
        <v>235311.41017286127</v>
      </c>
    </row>
    <row r="303" spans="1:15" x14ac:dyDescent="0.2">
      <c r="C303" s="2" t="s">
        <v>78</v>
      </c>
      <c r="D303" s="2" t="s">
        <v>87</v>
      </c>
      <c r="E303" s="3">
        <f t="shared" si="32"/>
        <v>8</v>
      </c>
      <c r="F303" s="3">
        <v>8</v>
      </c>
      <c r="G303" s="3">
        <f t="shared" si="31"/>
        <v>0.9</v>
      </c>
      <c r="H303" s="3">
        <f t="shared" si="31"/>
        <v>0.9</v>
      </c>
      <c r="I303" s="8">
        <v>255000000</v>
      </c>
      <c r="J303" s="2">
        <v>852047685.69611788</v>
      </c>
      <c r="K303" s="2">
        <f t="shared" si="33"/>
        <v>0</v>
      </c>
    </row>
    <row r="304" spans="1:15" x14ac:dyDescent="0.2">
      <c r="C304" s="2" t="s">
        <v>78</v>
      </c>
      <c r="D304" s="2" t="s">
        <v>88</v>
      </c>
      <c r="E304" s="3">
        <f t="shared" si="32"/>
        <v>8</v>
      </c>
      <c r="F304" s="3">
        <v>2</v>
      </c>
      <c r="G304" s="3">
        <f t="shared" si="31"/>
        <v>0.9</v>
      </c>
      <c r="H304" s="3">
        <f t="shared" si="31"/>
        <v>0.6</v>
      </c>
      <c r="I304" s="8">
        <v>255000000</v>
      </c>
      <c r="J304" s="2">
        <v>485033054.86194044</v>
      </c>
      <c r="K304" s="2">
        <f t="shared" si="33"/>
        <v>5123305.7644288195</v>
      </c>
    </row>
    <row r="305" spans="3:11" x14ac:dyDescent="0.2">
      <c r="C305" s="2" t="s">
        <v>78</v>
      </c>
      <c r="D305" s="2" t="s">
        <v>89</v>
      </c>
      <c r="E305" s="3">
        <f t="shared" si="32"/>
        <v>8</v>
      </c>
      <c r="F305" s="3">
        <v>10</v>
      </c>
      <c r="G305" s="3">
        <f t="shared" si="31"/>
        <v>0.9</v>
      </c>
      <c r="H305" s="3">
        <f t="shared" si="31"/>
        <v>1</v>
      </c>
      <c r="I305" s="8">
        <v>255000000</v>
      </c>
      <c r="J305" s="2">
        <v>31507017.130248223</v>
      </c>
      <c r="K305" s="2">
        <f t="shared" si="33"/>
        <v>220390.01317711396</v>
      </c>
    </row>
    <row r="306" spans="3:11" x14ac:dyDescent="0.2">
      <c r="C306" s="2" t="s">
        <v>78</v>
      </c>
      <c r="D306" s="2" t="s">
        <v>90</v>
      </c>
      <c r="E306" s="3">
        <f t="shared" si="32"/>
        <v>8</v>
      </c>
      <c r="F306" s="3">
        <v>8</v>
      </c>
      <c r="G306" s="3">
        <f t="shared" si="31"/>
        <v>0.9</v>
      </c>
      <c r="H306" s="3">
        <f t="shared" si="31"/>
        <v>0.9</v>
      </c>
      <c r="I306" s="8">
        <v>255000000</v>
      </c>
      <c r="J306" s="2">
        <v>663470297.74968922</v>
      </c>
      <c r="K306" s="2">
        <f t="shared" si="33"/>
        <v>0</v>
      </c>
    </row>
    <row r="307" spans="3:11" x14ac:dyDescent="0.2">
      <c r="C307" s="2" t="s">
        <v>79</v>
      </c>
      <c r="D307" s="2" t="s">
        <v>80</v>
      </c>
      <c r="E307" s="3">
        <v>2</v>
      </c>
      <c r="F307" s="3">
        <v>10</v>
      </c>
      <c r="G307" s="3">
        <f t="shared" si="31"/>
        <v>0.6</v>
      </c>
      <c r="H307" s="3">
        <f t="shared" si="31"/>
        <v>1</v>
      </c>
      <c r="I307" s="2">
        <v>5944159874.1880569</v>
      </c>
      <c r="J307" s="2">
        <v>174860147.73671493</v>
      </c>
      <c r="K307" s="2">
        <f t="shared" si="33"/>
        <v>75311015.654458746</v>
      </c>
    </row>
    <row r="308" spans="3:11" x14ac:dyDescent="0.2">
      <c r="C308" s="2" t="s">
        <v>79</v>
      </c>
      <c r="D308" s="2" t="s">
        <v>81</v>
      </c>
      <c r="E308" s="3">
        <v>2</v>
      </c>
      <c r="F308" s="3">
        <v>10</v>
      </c>
      <c r="G308" s="3">
        <f t="shared" si="31"/>
        <v>0.6</v>
      </c>
      <c r="H308" s="3">
        <f t="shared" si="31"/>
        <v>1</v>
      </c>
      <c r="I308" s="2">
        <v>5944159874.1880569</v>
      </c>
      <c r="J308" s="2">
        <v>164545084.03036368</v>
      </c>
      <c r="K308" s="2">
        <f t="shared" si="33"/>
        <v>75184061.02422674</v>
      </c>
    </row>
    <row r="309" spans="3:11" x14ac:dyDescent="0.2">
      <c r="C309" s="2" t="s">
        <v>79</v>
      </c>
      <c r="D309" s="2" t="s">
        <v>128</v>
      </c>
      <c r="E309" s="3">
        <v>2</v>
      </c>
      <c r="F309" s="3">
        <v>10</v>
      </c>
      <c r="G309" s="3">
        <f t="shared" ref="G309:H378" si="34">(E309+10)/20</f>
        <v>0.6</v>
      </c>
      <c r="H309" s="3">
        <f t="shared" si="34"/>
        <v>1</v>
      </c>
      <c r="I309" s="2">
        <v>5944159874.1880569</v>
      </c>
      <c r="J309" s="2">
        <v>326447976.59896654</v>
      </c>
      <c r="K309" s="2">
        <f t="shared" si="33"/>
        <v>77176712.009686455</v>
      </c>
    </row>
    <row r="310" spans="3:11" x14ac:dyDescent="0.2">
      <c r="C310" s="2" t="s">
        <v>79</v>
      </c>
      <c r="D310" s="2" t="s">
        <v>82</v>
      </c>
      <c r="E310" s="3">
        <v>2</v>
      </c>
      <c r="F310" s="3">
        <v>9</v>
      </c>
      <c r="G310" s="3">
        <f t="shared" si="34"/>
        <v>0.6</v>
      </c>
      <c r="H310" s="3">
        <f t="shared" si="34"/>
        <v>0.95</v>
      </c>
      <c r="I310" s="2">
        <v>5944159874.1880569</v>
      </c>
      <c r="J310" s="2">
        <v>56336865.594379626</v>
      </c>
      <c r="K310" s="2">
        <f t="shared" si="33"/>
        <v>56543142.355642177</v>
      </c>
    </row>
    <row r="311" spans="3:11" x14ac:dyDescent="0.2">
      <c r="C311" s="2" t="s">
        <v>79</v>
      </c>
      <c r="D311" s="2" t="s">
        <v>83</v>
      </c>
      <c r="E311" s="3">
        <v>2</v>
      </c>
      <c r="F311" s="3">
        <v>10</v>
      </c>
      <c r="G311" s="3">
        <f t="shared" si="34"/>
        <v>0.6</v>
      </c>
      <c r="H311" s="3">
        <f t="shared" si="34"/>
        <v>1</v>
      </c>
      <c r="I311" s="2">
        <v>5944159874.1880569</v>
      </c>
      <c r="J311" s="8">
        <v>20400000</v>
      </c>
      <c r="K311" s="2">
        <f t="shared" si="33"/>
        <v>73409967.68231456</v>
      </c>
    </row>
    <row r="312" spans="3:11" x14ac:dyDescent="0.2">
      <c r="C312" s="2" t="s">
        <v>79</v>
      </c>
      <c r="D312" s="2" t="s">
        <v>84</v>
      </c>
      <c r="E312" s="3">
        <v>2</v>
      </c>
      <c r="F312" s="3">
        <v>10</v>
      </c>
      <c r="G312" s="3">
        <f t="shared" si="34"/>
        <v>0.6</v>
      </c>
      <c r="H312" s="3">
        <f t="shared" si="34"/>
        <v>1</v>
      </c>
      <c r="I312" s="2">
        <v>5944159874.1880569</v>
      </c>
      <c r="J312" s="2">
        <v>238035771.86276361</v>
      </c>
      <c r="K312" s="2">
        <f t="shared" si="33"/>
        <v>76088561.797548577</v>
      </c>
    </row>
    <row r="313" spans="3:11" x14ac:dyDescent="0.2">
      <c r="C313" s="2" t="s">
        <v>79</v>
      </c>
      <c r="D313" s="2" t="s">
        <v>85</v>
      </c>
      <c r="E313" s="3">
        <v>2</v>
      </c>
      <c r="F313" s="3">
        <v>5</v>
      </c>
      <c r="G313" s="3">
        <f t="shared" si="34"/>
        <v>0.6</v>
      </c>
      <c r="H313" s="3">
        <f t="shared" si="34"/>
        <v>0.75</v>
      </c>
      <c r="I313" s="2">
        <v>5944159874.1880569</v>
      </c>
      <c r="J313" s="2">
        <v>13336410533.670525</v>
      </c>
      <c r="K313" s="2">
        <f t="shared" si="33"/>
        <v>33370218.0136014</v>
      </c>
    </row>
    <row r="314" spans="3:11" x14ac:dyDescent="0.2">
      <c r="C314" s="2" t="s">
        <v>79</v>
      </c>
      <c r="D314" s="2" t="s">
        <v>86</v>
      </c>
      <c r="E314" s="3">
        <v>2</v>
      </c>
      <c r="F314" s="3">
        <v>10</v>
      </c>
      <c r="G314" s="3">
        <f t="shared" si="34"/>
        <v>0.6</v>
      </c>
      <c r="H314" s="3">
        <f t="shared" si="34"/>
        <v>1</v>
      </c>
      <c r="I314" s="2">
        <v>5944159874.1880569</v>
      </c>
      <c r="J314" s="8">
        <v>703000000</v>
      </c>
      <c r="K314" s="2">
        <f t="shared" si="33"/>
        <v>81811198.451545328</v>
      </c>
    </row>
    <row r="315" spans="3:11" x14ac:dyDescent="0.2">
      <c r="C315" s="2" t="s">
        <v>79</v>
      </c>
      <c r="D315" s="2" t="s">
        <v>129</v>
      </c>
      <c r="E315" s="3">
        <v>2</v>
      </c>
      <c r="F315" s="3">
        <v>9</v>
      </c>
      <c r="G315" s="3">
        <f t="shared" si="34"/>
        <v>0.6</v>
      </c>
      <c r="H315" s="3">
        <f t="shared" si="34"/>
        <v>0.95</v>
      </c>
      <c r="I315" s="2">
        <v>5944159874.1880569</v>
      </c>
      <c r="J315" s="2">
        <v>968619332.89888191</v>
      </c>
      <c r="K315" s="2">
        <f t="shared" si="33"/>
        <v>65139650.220626913</v>
      </c>
    </row>
    <row r="316" spans="3:11" x14ac:dyDescent="0.2">
      <c r="C316" s="2" t="s">
        <v>79</v>
      </c>
      <c r="D316" s="2" t="s">
        <v>87</v>
      </c>
      <c r="E316" s="3">
        <v>2</v>
      </c>
      <c r="F316" s="3">
        <v>8</v>
      </c>
      <c r="G316" s="3">
        <f t="shared" si="34"/>
        <v>0.6</v>
      </c>
      <c r="H316" s="3">
        <f t="shared" si="34"/>
        <v>0.9</v>
      </c>
      <c r="I316" s="2">
        <v>5944159874.1880569</v>
      </c>
      <c r="J316" s="2">
        <v>852047685.69611788</v>
      </c>
      <c r="K316" s="2">
        <f t="shared" si="33"/>
        <v>47050667.722275071</v>
      </c>
    </row>
    <row r="317" spans="3:11" x14ac:dyDescent="0.2">
      <c r="C317" s="2" t="s">
        <v>79</v>
      </c>
      <c r="D317" s="2" t="s">
        <v>88</v>
      </c>
      <c r="E317" s="3">
        <v>2</v>
      </c>
      <c r="F317" s="3">
        <v>2</v>
      </c>
      <c r="G317" s="3">
        <f t="shared" si="34"/>
        <v>0.6</v>
      </c>
      <c r="H317" s="3">
        <f t="shared" si="34"/>
        <v>0.6</v>
      </c>
      <c r="I317" s="2">
        <v>5944159874.1880569</v>
      </c>
      <c r="J317" s="2">
        <v>485033054.86194044</v>
      </c>
      <c r="K317" s="2">
        <f t="shared" si="33"/>
        <v>0</v>
      </c>
    </row>
    <row r="318" spans="3:11" x14ac:dyDescent="0.2">
      <c r="C318" s="2" t="s">
        <v>79</v>
      </c>
      <c r="D318" s="2" t="s">
        <v>89</v>
      </c>
      <c r="E318" s="3">
        <v>2</v>
      </c>
      <c r="F318" s="3">
        <v>10</v>
      </c>
      <c r="G318" s="3">
        <f t="shared" si="34"/>
        <v>0.6</v>
      </c>
      <c r="H318" s="3">
        <f t="shared" si="34"/>
        <v>1</v>
      </c>
      <c r="I318" s="2">
        <v>5944159874.1880569</v>
      </c>
      <c r="J318" s="2">
        <v>31507017.130248223</v>
      </c>
      <c r="K318" s="2">
        <f t="shared" si="33"/>
        <v>73546669.431609929</v>
      </c>
    </row>
    <row r="319" spans="3:11" x14ac:dyDescent="0.2">
      <c r="C319" s="2" t="s">
        <v>79</v>
      </c>
      <c r="D319" s="2" t="s">
        <v>90</v>
      </c>
      <c r="E319" s="3">
        <v>2</v>
      </c>
      <c r="F319" s="3">
        <v>8</v>
      </c>
      <c r="G319" s="3">
        <f t="shared" si="34"/>
        <v>0.6</v>
      </c>
      <c r="H319" s="3">
        <f t="shared" si="34"/>
        <v>0.9</v>
      </c>
      <c r="I319" s="2">
        <v>5944159874.1880569</v>
      </c>
      <c r="J319" s="2">
        <v>663470297.74968922</v>
      </c>
      <c r="K319" s="2">
        <f t="shared" si="33"/>
        <v>45745131.959569022</v>
      </c>
    </row>
    <row r="320" spans="3:11" x14ac:dyDescent="0.2">
      <c r="C320" s="2" t="s">
        <v>80</v>
      </c>
      <c r="D320" s="2" t="s">
        <v>81</v>
      </c>
      <c r="E320" s="3">
        <v>10</v>
      </c>
      <c r="F320" s="3">
        <v>10</v>
      </c>
      <c r="G320" s="3">
        <f t="shared" si="34"/>
        <v>1</v>
      </c>
      <c r="H320" s="3">
        <f t="shared" si="34"/>
        <v>1</v>
      </c>
      <c r="I320" s="2">
        <v>174860147.73671493</v>
      </c>
      <c r="J320" s="2">
        <v>164545084.03036368</v>
      </c>
      <c r="K320" s="2">
        <f t="shared" si="33"/>
        <v>0</v>
      </c>
    </row>
    <row r="321" spans="3:11" x14ac:dyDescent="0.2">
      <c r="C321" s="2" t="s">
        <v>80</v>
      </c>
      <c r="D321" s="2" t="s">
        <v>128</v>
      </c>
      <c r="E321" s="3">
        <v>10</v>
      </c>
      <c r="F321" s="3">
        <v>10</v>
      </c>
      <c r="G321" s="3">
        <f t="shared" si="34"/>
        <v>1</v>
      </c>
      <c r="H321" s="3">
        <f t="shared" si="34"/>
        <v>1</v>
      </c>
      <c r="I321" s="2">
        <v>174860147.73671493</v>
      </c>
      <c r="J321" s="2">
        <v>326447976.59896654</v>
      </c>
      <c r="K321" s="2">
        <f t="shared" si="33"/>
        <v>0</v>
      </c>
    </row>
    <row r="322" spans="3:11" x14ac:dyDescent="0.2">
      <c r="C322" s="2" t="s">
        <v>80</v>
      </c>
      <c r="D322" s="2" t="s">
        <v>82</v>
      </c>
      <c r="E322" s="3">
        <v>10</v>
      </c>
      <c r="F322" s="3">
        <v>9</v>
      </c>
      <c r="G322" s="3">
        <f t="shared" si="34"/>
        <v>1</v>
      </c>
      <c r="H322" s="3">
        <f t="shared" si="34"/>
        <v>0.95</v>
      </c>
      <c r="I322" s="2">
        <v>174860147.73671493</v>
      </c>
      <c r="J322" s="2">
        <v>56336865.594379626</v>
      </c>
      <c r="K322" s="2">
        <f t="shared" si="33"/>
        <v>44460.964102133643</v>
      </c>
    </row>
    <row r="323" spans="3:11" x14ac:dyDescent="0.2">
      <c r="C323" s="2" t="s">
        <v>80</v>
      </c>
      <c r="D323" s="2" t="s">
        <v>83</v>
      </c>
      <c r="E323" s="3">
        <v>10</v>
      </c>
      <c r="F323" s="3">
        <v>10</v>
      </c>
      <c r="G323" s="3">
        <f t="shared" si="34"/>
        <v>1</v>
      </c>
      <c r="H323" s="3">
        <f t="shared" si="34"/>
        <v>1</v>
      </c>
      <c r="I323" s="2">
        <v>174860147.73671493</v>
      </c>
      <c r="J323" s="8">
        <v>20400000</v>
      </c>
      <c r="K323" s="2">
        <f t="shared" si="33"/>
        <v>0</v>
      </c>
    </row>
    <row r="324" spans="3:11" x14ac:dyDescent="0.2">
      <c r="C324" s="2" t="s">
        <v>80</v>
      </c>
      <c r="D324" s="2" t="s">
        <v>84</v>
      </c>
      <c r="E324" s="3">
        <v>10</v>
      </c>
      <c r="F324" s="3">
        <v>10</v>
      </c>
      <c r="G324" s="3">
        <f t="shared" si="34"/>
        <v>1</v>
      </c>
      <c r="H324" s="3">
        <f t="shared" si="34"/>
        <v>1</v>
      </c>
      <c r="I324" s="2">
        <v>174860147.73671493</v>
      </c>
      <c r="J324" s="2">
        <v>238035771.86276361</v>
      </c>
      <c r="K324" s="2">
        <f t="shared" si="33"/>
        <v>0</v>
      </c>
    </row>
    <row r="325" spans="3:11" x14ac:dyDescent="0.2">
      <c r="C325" s="2" t="s">
        <v>80</v>
      </c>
      <c r="D325" s="2" t="s">
        <v>85</v>
      </c>
      <c r="E325" s="3">
        <v>10</v>
      </c>
      <c r="F325" s="3">
        <v>5</v>
      </c>
      <c r="G325" s="3">
        <f t="shared" si="34"/>
        <v>1</v>
      </c>
      <c r="H325" s="3">
        <f t="shared" si="34"/>
        <v>0.75</v>
      </c>
      <c r="I325" s="2">
        <v>174860147.73671493</v>
      </c>
      <c r="J325" s="2">
        <v>13336410533.670525</v>
      </c>
      <c r="K325" s="2">
        <f t="shared" si="33"/>
        <v>64958032.12215019</v>
      </c>
    </row>
    <row r="326" spans="3:11" x14ac:dyDescent="0.2">
      <c r="C326" s="2" t="s">
        <v>80</v>
      </c>
      <c r="D326" s="2" t="s">
        <v>86</v>
      </c>
      <c r="E326" s="3">
        <v>10</v>
      </c>
      <c r="F326" s="3">
        <v>10</v>
      </c>
      <c r="G326" s="3">
        <f t="shared" si="34"/>
        <v>1</v>
      </c>
      <c r="H326" s="3">
        <f t="shared" si="34"/>
        <v>1</v>
      </c>
      <c r="I326" s="2">
        <v>174860147.73671493</v>
      </c>
      <c r="J326" s="8">
        <v>703000000</v>
      </c>
      <c r="K326" s="2">
        <f t="shared" si="33"/>
        <v>0</v>
      </c>
    </row>
    <row r="327" spans="3:11" x14ac:dyDescent="0.2">
      <c r="C327" s="2" t="s">
        <v>80</v>
      </c>
      <c r="D327" s="2" t="s">
        <v>129</v>
      </c>
      <c r="E327" s="3">
        <v>10</v>
      </c>
      <c r="F327" s="3">
        <v>9</v>
      </c>
      <c r="G327" s="3">
        <f t="shared" si="34"/>
        <v>1</v>
      </c>
      <c r="H327" s="3">
        <f t="shared" si="34"/>
        <v>0.95</v>
      </c>
      <c r="I327" s="2">
        <v>174860147.73671493</v>
      </c>
      <c r="J327" s="2">
        <v>968619332.89888191</v>
      </c>
      <c r="K327" s="2">
        <f t="shared" si="33"/>
        <v>219899.90012223052</v>
      </c>
    </row>
    <row r="328" spans="3:11" x14ac:dyDescent="0.2">
      <c r="C328" s="2" t="s">
        <v>80</v>
      </c>
      <c r="D328" s="2" t="s">
        <v>87</v>
      </c>
      <c r="E328" s="3">
        <v>10</v>
      </c>
      <c r="F328" s="3">
        <v>8</v>
      </c>
      <c r="G328" s="3">
        <f t="shared" si="34"/>
        <v>1</v>
      </c>
      <c r="H328" s="3">
        <f t="shared" si="34"/>
        <v>0.9</v>
      </c>
      <c r="I328" s="2">
        <v>174860147.73671493</v>
      </c>
      <c r="J328" s="2">
        <v>852047685.69611788</v>
      </c>
      <c r="K328" s="2">
        <f t="shared" si="33"/>
        <v>789929.10264064022</v>
      </c>
    </row>
    <row r="329" spans="3:11" x14ac:dyDescent="0.2">
      <c r="C329" s="2" t="s">
        <v>80</v>
      </c>
      <c r="D329" s="2" t="s">
        <v>88</v>
      </c>
      <c r="E329" s="3">
        <v>10</v>
      </c>
      <c r="F329" s="3">
        <v>2</v>
      </c>
      <c r="G329" s="3">
        <f t="shared" si="34"/>
        <v>1</v>
      </c>
      <c r="H329" s="3">
        <f t="shared" si="34"/>
        <v>0.6</v>
      </c>
      <c r="I329" s="2">
        <v>174860147.73671493</v>
      </c>
      <c r="J329" s="2">
        <v>485033054.86194044</v>
      </c>
      <c r="K329" s="2">
        <f t="shared" si="33"/>
        <v>8121762.4935219139</v>
      </c>
    </row>
    <row r="330" spans="3:11" x14ac:dyDescent="0.2">
      <c r="C330" s="2" t="s">
        <v>80</v>
      </c>
      <c r="D330" s="2" t="s">
        <v>89</v>
      </c>
      <c r="E330" s="3">
        <v>10</v>
      </c>
      <c r="F330" s="3">
        <v>10</v>
      </c>
      <c r="G330" s="3">
        <f t="shared" si="34"/>
        <v>1</v>
      </c>
      <c r="H330" s="3">
        <f t="shared" si="34"/>
        <v>1</v>
      </c>
      <c r="I330" s="2">
        <v>174860147.73671493</v>
      </c>
      <c r="J330" s="2">
        <v>31507017.130248223</v>
      </c>
      <c r="K330" s="2">
        <f t="shared" si="33"/>
        <v>0</v>
      </c>
    </row>
    <row r="331" spans="3:11" x14ac:dyDescent="0.2">
      <c r="C331" s="2" t="s">
        <v>80</v>
      </c>
      <c r="D331" s="2" t="s">
        <v>90</v>
      </c>
      <c r="E331" s="3">
        <v>10</v>
      </c>
      <c r="F331" s="3">
        <v>8</v>
      </c>
      <c r="G331" s="3">
        <f t="shared" si="34"/>
        <v>1</v>
      </c>
      <c r="H331" s="3">
        <f t="shared" si="34"/>
        <v>0.9</v>
      </c>
      <c r="I331" s="2">
        <v>174860147.73671493</v>
      </c>
      <c r="J331" s="2">
        <v>663470297.74968922</v>
      </c>
      <c r="K331" s="2">
        <f t="shared" si="33"/>
        <v>644869.57345107989</v>
      </c>
    </row>
    <row r="332" spans="3:11" x14ac:dyDescent="0.2">
      <c r="C332" s="2" t="s">
        <v>81</v>
      </c>
      <c r="D332" s="2" t="s">
        <v>128</v>
      </c>
      <c r="E332" s="3">
        <v>10</v>
      </c>
      <c r="F332" s="3">
        <v>10</v>
      </c>
      <c r="G332" s="3">
        <f t="shared" si="34"/>
        <v>1</v>
      </c>
      <c r="H332" s="3">
        <f t="shared" si="34"/>
        <v>1</v>
      </c>
      <c r="I332" s="2">
        <v>164545084.03036368</v>
      </c>
      <c r="J332" s="2">
        <v>326447976.59896654</v>
      </c>
      <c r="K332" s="2">
        <f t="shared" si="33"/>
        <v>0</v>
      </c>
    </row>
    <row r="333" spans="3:11" x14ac:dyDescent="0.2">
      <c r="C333" s="2" t="s">
        <v>81</v>
      </c>
      <c r="D333" s="2" t="s">
        <v>82</v>
      </c>
      <c r="E333" s="3">
        <v>10</v>
      </c>
      <c r="F333" s="3">
        <v>9</v>
      </c>
      <c r="G333" s="3">
        <f t="shared" si="34"/>
        <v>1</v>
      </c>
      <c r="H333" s="3">
        <f t="shared" si="34"/>
        <v>0.95</v>
      </c>
      <c r="I333" s="2">
        <v>164545084.03036368</v>
      </c>
      <c r="J333" s="2">
        <v>56336865.594379626</v>
      </c>
      <c r="K333" s="2">
        <f t="shared" si="33"/>
        <v>42477.298004758406</v>
      </c>
    </row>
    <row r="334" spans="3:11" x14ac:dyDescent="0.2">
      <c r="C334" s="2" t="s">
        <v>81</v>
      </c>
      <c r="D334" s="2" t="s">
        <v>83</v>
      </c>
      <c r="E334" s="3">
        <v>10</v>
      </c>
      <c r="F334" s="3">
        <v>10</v>
      </c>
      <c r="G334" s="3">
        <f t="shared" si="34"/>
        <v>1</v>
      </c>
      <c r="H334" s="3">
        <f t="shared" si="34"/>
        <v>1</v>
      </c>
      <c r="I334" s="2">
        <v>164545084.03036368</v>
      </c>
      <c r="J334" s="8">
        <v>20400000</v>
      </c>
      <c r="K334" s="2">
        <f t="shared" si="33"/>
        <v>0</v>
      </c>
    </row>
    <row r="335" spans="3:11" x14ac:dyDescent="0.2">
      <c r="C335" s="2" t="s">
        <v>81</v>
      </c>
      <c r="D335" s="2" t="s">
        <v>84</v>
      </c>
      <c r="E335" s="3">
        <v>10</v>
      </c>
      <c r="F335" s="3">
        <v>10</v>
      </c>
      <c r="G335" s="3">
        <f t="shared" si="34"/>
        <v>1</v>
      </c>
      <c r="H335" s="3">
        <f t="shared" si="34"/>
        <v>1</v>
      </c>
      <c r="I335" s="2">
        <v>164545084.03036368</v>
      </c>
      <c r="J335" s="2">
        <v>238035771.86276361</v>
      </c>
      <c r="K335" s="2">
        <f t="shared" si="33"/>
        <v>0</v>
      </c>
    </row>
    <row r="336" spans="3:11" x14ac:dyDescent="0.2">
      <c r="C336" s="2" t="s">
        <v>81</v>
      </c>
      <c r="D336" s="2" t="s">
        <v>85</v>
      </c>
      <c r="E336" s="3">
        <v>10</v>
      </c>
      <c r="F336" s="3">
        <v>5</v>
      </c>
      <c r="G336" s="3">
        <f t="shared" si="34"/>
        <v>1</v>
      </c>
      <c r="H336" s="3">
        <f t="shared" si="34"/>
        <v>0.75</v>
      </c>
      <c r="I336" s="2">
        <v>164545084.03036368</v>
      </c>
      <c r="J336" s="2">
        <v>13336410533.670525</v>
      </c>
      <c r="K336" s="2">
        <f t="shared" si="33"/>
        <v>64908440.469715804</v>
      </c>
    </row>
    <row r="337" spans="3:11" x14ac:dyDescent="0.2">
      <c r="C337" s="2" t="s">
        <v>81</v>
      </c>
      <c r="D337" s="2" t="s">
        <v>86</v>
      </c>
      <c r="E337" s="3">
        <v>10</v>
      </c>
      <c r="F337" s="3">
        <v>10</v>
      </c>
      <c r="G337" s="3">
        <f t="shared" si="34"/>
        <v>1</v>
      </c>
      <c r="H337" s="3">
        <f t="shared" si="34"/>
        <v>1</v>
      </c>
      <c r="I337" s="2">
        <v>164545084.03036368</v>
      </c>
      <c r="J337" s="8">
        <v>703000000</v>
      </c>
      <c r="K337" s="2">
        <f t="shared" si="33"/>
        <v>0</v>
      </c>
    </row>
    <row r="338" spans="3:11" x14ac:dyDescent="0.2">
      <c r="C338" s="2" t="s">
        <v>81</v>
      </c>
      <c r="D338" s="2" t="s">
        <v>129</v>
      </c>
      <c r="E338" s="3">
        <v>10</v>
      </c>
      <c r="F338" s="3">
        <v>9</v>
      </c>
      <c r="G338" s="3">
        <f t="shared" si="34"/>
        <v>1</v>
      </c>
      <c r="H338" s="3">
        <f t="shared" si="34"/>
        <v>0.95</v>
      </c>
      <c r="I338" s="2">
        <v>164545084.03036368</v>
      </c>
      <c r="J338" s="2">
        <v>968619332.89888191</v>
      </c>
      <c r="K338" s="2">
        <f t="shared" si="33"/>
        <v>217916.23402485528</v>
      </c>
    </row>
    <row r="339" spans="3:11" x14ac:dyDescent="0.2">
      <c r="C339" s="2" t="s">
        <v>81</v>
      </c>
      <c r="D339" s="2" t="s">
        <v>87</v>
      </c>
      <c r="E339" s="3">
        <v>10</v>
      </c>
      <c r="F339" s="3">
        <v>8</v>
      </c>
      <c r="G339" s="3">
        <f t="shared" si="34"/>
        <v>1</v>
      </c>
      <c r="H339" s="3">
        <f t="shared" si="34"/>
        <v>0.9</v>
      </c>
      <c r="I339" s="2">
        <v>164545084.03036368</v>
      </c>
      <c r="J339" s="2">
        <v>852047685.69611788</v>
      </c>
      <c r="K339" s="2">
        <f t="shared" si="33"/>
        <v>781994.43825113925</v>
      </c>
    </row>
    <row r="340" spans="3:11" x14ac:dyDescent="0.2">
      <c r="C340" s="2" t="s">
        <v>81</v>
      </c>
      <c r="D340" s="2" t="s">
        <v>88</v>
      </c>
      <c r="E340" s="3">
        <v>10</v>
      </c>
      <c r="F340" s="3">
        <v>2</v>
      </c>
      <c r="G340" s="3">
        <f t="shared" si="34"/>
        <v>1</v>
      </c>
      <c r="H340" s="3">
        <f t="shared" si="34"/>
        <v>0.6</v>
      </c>
      <c r="I340" s="2">
        <v>164545084.03036368</v>
      </c>
      <c r="J340" s="2">
        <v>485033054.86194044</v>
      </c>
      <c r="K340" s="2">
        <f t="shared" si="33"/>
        <v>7994807.8632898992</v>
      </c>
    </row>
    <row r="341" spans="3:11" x14ac:dyDescent="0.2">
      <c r="C341" s="2" t="s">
        <v>81</v>
      </c>
      <c r="D341" s="2" t="s">
        <v>89</v>
      </c>
      <c r="E341" s="3">
        <v>10</v>
      </c>
      <c r="F341" s="3">
        <v>10</v>
      </c>
      <c r="G341" s="3">
        <f t="shared" si="34"/>
        <v>1</v>
      </c>
      <c r="H341" s="3">
        <f t="shared" si="34"/>
        <v>1</v>
      </c>
      <c r="I341" s="2">
        <v>164545084.03036368</v>
      </c>
      <c r="J341" s="2">
        <v>31507017.130248223</v>
      </c>
      <c r="K341" s="2">
        <f t="shared" si="33"/>
        <v>0</v>
      </c>
    </row>
    <row r="342" spans="3:11" x14ac:dyDescent="0.2">
      <c r="C342" s="2" t="s">
        <v>81</v>
      </c>
      <c r="D342" s="2" t="s">
        <v>90</v>
      </c>
      <c r="E342" s="3">
        <v>10</v>
      </c>
      <c r="F342" s="3">
        <v>8</v>
      </c>
      <c r="G342" s="3">
        <f t="shared" si="34"/>
        <v>1</v>
      </c>
      <c r="H342" s="3">
        <f t="shared" si="34"/>
        <v>0.9</v>
      </c>
      <c r="I342" s="2">
        <v>164545084.03036368</v>
      </c>
      <c r="J342" s="2">
        <v>663470297.74968922</v>
      </c>
      <c r="K342" s="2">
        <f t="shared" si="33"/>
        <v>636934.90906157892</v>
      </c>
    </row>
    <row r="343" spans="3:11" x14ac:dyDescent="0.2">
      <c r="C343" s="2" t="s">
        <v>128</v>
      </c>
      <c r="D343" s="2" t="s">
        <v>82</v>
      </c>
      <c r="E343" s="3">
        <v>10</v>
      </c>
      <c r="F343" s="3">
        <v>9</v>
      </c>
      <c r="G343" s="3">
        <f t="shared" si="34"/>
        <v>1</v>
      </c>
      <c r="H343" s="3">
        <f t="shared" si="34"/>
        <v>0.95</v>
      </c>
      <c r="I343" s="2">
        <v>326447976.59896654</v>
      </c>
      <c r="J343" s="2">
        <v>56336865.594379626</v>
      </c>
      <c r="K343" s="2">
        <f t="shared" si="33"/>
        <v>73612.469652566695</v>
      </c>
    </row>
    <row r="344" spans="3:11" x14ac:dyDescent="0.2">
      <c r="C344" s="2" t="s">
        <v>128</v>
      </c>
      <c r="D344" s="2" t="s">
        <v>83</v>
      </c>
      <c r="E344" s="3">
        <v>10</v>
      </c>
      <c r="F344" s="3">
        <v>10</v>
      </c>
      <c r="G344" s="3">
        <f t="shared" si="34"/>
        <v>1</v>
      </c>
      <c r="H344" s="3">
        <f t="shared" si="34"/>
        <v>1</v>
      </c>
      <c r="I344" s="2">
        <v>326447976.59896654</v>
      </c>
      <c r="J344" s="8">
        <v>20400000</v>
      </c>
      <c r="K344" s="2">
        <f t="shared" si="33"/>
        <v>0</v>
      </c>
    </row>
    <row r="345" spans="3:11" x14ac:dyDescent="0.2">
      <c r="C345" s="2" t="s">
        <v>128</v>
      </c>
      <c r="D345" s="2" t="s">
        <v>84</v>
      </c>
      <c r="E345" s="3">
        <v>10</v>
      </c>
      <c r="F345" s="3">
        <v>10</v>
      </c>
      <c r="G345" s="3">
        <f t="shared" si="34"/>
        <v>1</v>
      </c>
      <c r="H345" s="3">
        <f t="shared" si="34"/>
        <v>1</v>
      </c>
      <c r="I345" s="2">
        <v>326447976.59896654</v>
      </c>
      <c r="J345" s="2">
        <v>238035771.86276361</v>
      </c>
      <c r="K345" s="2">
        <f t="shared" si="33"/>
        <v>0</v>
      </c>
    </row>
    <row r="346" spans="3:11" x14ac:dyDescent="0.2">
      <c r="C346" s="2" t="s">
        <v>128</v>
      </c>
      <c r="D346" s="2" t="s">
        <v>85</v>
      </c>
      <c r="E346" s="3">
        <v>10</v>
      </c>
      <c r="F346" s="3">
        <v>5</v>
      </c>
      <c r="G346" s="3">
        <f t="shared" si="34"/>
        <v>1</v>
      </c>
      <c r="H346" s="3">
        <f t="shared" si="34"/>
        <v>0.75</v>
      </c>
      <c r="I346" s="2">
        <v>326447976.59896654</v>
      </c>
      <c r="J346" s="2">
        <v>13336410533.670525</v>
      </c>
      <c r="K346" s="2">
        <f t="shared" si="33"/>
        <v>65686819.760911018</v>
      </c>
    </row>
    <row r="347" spans="3:11" x14ac:dyDescent="0.2">
      <c r="C347" s="2" t="s">
        <v>128</v>
      </c>
      <c r="D347" s="2" t="s">
        <v>86</v>
      </c>
      <c r="E347" s="3">
        <v>10</v>
      </c>
      <c r="F347" s="3">
        <v>10</v>
      </c>
      <c r="G347" s="3">
        <f t="shared" si="34"/>
        <v>1</v>
      </c>
      <c r="H347" s="3">
        <f t="shared" si="34"/>
        <v>1</v>
      </c>
      <c r="I347" s="2">
        <v>326447976.59896654</v>
      </c>
      <c r="J347" s="8">
        <v>703000000</v>
      </c>
      <c r="K347" s="2">
        <f t="shared" si="33"/>
        <v>0</v>
      </c>
    </row>
    <row r="348" spans="3:11" x14ac:dyDescent="0.2">
      <c r="C348" s="2" t="s">
        <v>128</v>
      </c>
      <c r="D348" s="2" t="s">
        <v>129</v>
      </c>
      <c r="E348" s="3">
        <v>10</v>
      </c>
      <c r="F348" s="3">
        <v>9</v>
      </c>
      <c r="G348" s="3">
        <f t="shared" si="34"/>
        <v>1</v>
      </c>
      <c r="H348" s="3">
        <f t="shared" si="34"/>
        <v>0.95</v>
      </c>
      <c r="I348" s="2">
        <v>326447976.59896654</v>
      </c>
      <c r="J348" s="2">
        <v>968619332.89888191</v>
      </c>
      <c r="K348" s="2">
        <f t="shared" si="33"/>
        <v>249051.40567266362</v>
      </c>
    </row>
    <row r="349" spans="3:11" x14ac:dyDescent="0.2">
      <c r="C349" s="2" t="s">
        <v>128</v>
      </c>
      <c r="D349" s="2" t="s">
        <v>87</v>
      </c>
      <c r="E349" s="3">
        <v>10</v>
      </c>
      <c r="F349" s="3">
        <v>8</v>
      </c>
      <c r="G349" s="3">
        <f t="shared" si="34"/>
        <v>1</v>
      </c>
      <c r="H349" s="3">
        <f t="shared" si="34"/>
        <v>0.9</v>
      </c>
      <c r="I349" s="2">
        <v>326447976.59896654</v>
      </c>
      <c r="J349" s="2">
        <v>852047685.69611788</v>
      </c>
      <c r="K349" s="2">
        <f t="shared" si="33"/>
        <v>906535.12484237226</v>
      </c>
    </row>
    <row r="350" spans="3:11" x14ac:dyDescent="0.2">
      <c r="C350" s="2" t="s">
        <v>128</v>
      </c>
      <c r="D350" s="2" t="s">
        <v>88</v>
      </c>
      <c r="E350" s="3">
        <v>10</v>
      </c>
      <c r="F350" s="3">
        <v>2</v>
      </c>
      <c r="G350" s="3">
        <f t="shared" si="34"/>
        <v>1</v>
      </c>
      <c r="H350" s="3">
        <f t="shared" si="34"/>
        <v>0.6</v>
      </c>
      <c r="I350" s="2">
        <v>326447976.59896654</v>
      </c>
      <c r="J350" s="2">
        <v>485033054.86194044</v>
      </c>
      <c r="K350" s="2">
        <f t="shared" si="33"/>
        <v>9987458.8487496264</v>
      </c>
    </row>
    <row r="351" spans="3:11" x14ac:dyDescent="0.2">
      <c r="C351" s="2" t="s">
        <v>128</v>
      </c>
      <c r="D351" s="2" t="s">
        <v>89</v>
      </c>
      <c r="E351" s="3">
        <v>10</v>
      </c>
      <c r="F351" s="3">
        <v>10</v>
      </c>
      <c r="G351" s="3">
        <f t="shared" si="34"/>
        <v>1</v>
      </c>
      <c r="H351" s="3">
        <f t="shared" si="34"/>
        <v>1</v>
      </c>
      <c r="I351" s="2">
        <v>326447976.59896654</v>
      </c>
      <c r="J351" s="2">
        <v>31507017.130248223</v>
      </c>
      <c r="K351" s="2">
        <f t="shared" si="33"/>
        <v>0</v>
      </c>
    </row>
    <row r="352" spans="3:11" x14ac:dyDescent="0.2">
      <c r="C352" s="2" t="s">
        <v>128</v>
      </c>
      <c r="D352" s="2" t="s">
        <v>90</v>
      </c>
      <c r="E352" s="3">
        <v>10</v>
      </c>
      <c r="F352" s="3">
        <v>8</v>
      </c>
      <c r="G352" s="3">
        <f t="shared" si="34"/>
        <v>1</v>
      </c>
      <c r="H352" s="3">
        <f t="shared" si="34"/>
        <v>0.9</v>
      </c>
      <c r="I352" s="2">
        <v>326447976.59896654</v>
      </c>
      <c r="J352" s="2">
        <v>663470297.74968922</v>
      </c>
      <c r="K352" s="2">
        <f t="shared" si="33"/>
        <v>761475.59565281169</v>
      </c>
    </row>
    <row r="353" spans="3:11" x14ac:dyDescent="0.2">
      <c r="C353" s="2" t="s">
        <v>82</v>
      </c>
      <c r="D353" s="2" t="s">
        <v>83</v>
      </c>
      <c r="E353" s="3">
        <v>9</v>
      </c>
      <c r="F353" s="3">
        <v>10</v>
      </c>
      <c r="G353" s="3">
        <f t="shared" si="34"/>
        <v>0.95</v>
      </c>
      <c r="H353" s="3">
        <f t="shared" si="34"/>
        <v>1</v>
      </c>
      <c r="I353" s="2">
        <v>56336865.594379626</v>
      </c>
      <c r="J353" s="8">
        <v>20400000</v>
      </c>
      <c r="K353" s="2">
        <f t="shared" si="33"/>
        <v>14757.089537380725</v>
      </c>
    </row>
    <row r="354" spans="3:11" x14ac:dyDescent="0.2">
      <c r="C354" s="2" t="s">
        <v>82</v>
      </c>
      <c r="D354" s="2" t="s">
        <v>84</v>
      </c>
      <c r="E354" s="3">
        <v>9</v>
      </c>
      <c r="F354" s="3">
        <v>10</v>
      </c>
      <c r="G354" s="3">
        <f t="shared" si="34"/>
        <v>0.95</v>
      </c>
      <c r="H354" s="3">
        <f t="shared" si="34"/>
        <v>1</v>
      </c>
      <c r="I354" s="2">
        <v>56336865.594379626</v>
      </c>
      <c r="J354" s="2">
        <v>238035771.86276361</v>
      </c>
      <c r="K354" s="2">
        <f t="shared" si="33"/>
        <v>56610.122587912265</v>
      </c>
    </row>
    <row r="355" spans="3:11" x14ac:dyDescent="0.2">
      <c r="C355" s="2" t="s">
        <v>82</v>
      </c>
      <c r="D355" s="2" t="s">
        <v>85</v>
      </c>
      <c r="E355" s="3">
        <v>9</v>
      </c>
      <c r="F355" s="3">
        <v>5</v>
      </c>
      <c r="G355" s="3">
        <f t="shared" si="34"/>
        <v>0.95</v>
      </c>
      <c r="H355" s="3">
        <f t="shared" si="34"/>
        <v>0.75</v>
      </c>
      <c r="I355" s="2">
        <v>56336865.594379626</v>
      </c>
      <c r="J355" s="2">
        <v>13336410533.670525</v>
      </c>
      <c r="K355" s="2">
        <f t="shared" si="33"/>
        <v>41208453.536199681</v>
      </c>
    </row>
    <row r="356" spans="3:11" x14ac:dyDescent="0.2">
      <c r="C356" s="2" t="s">
        <v>82</v>
      </c>
      <c r="D356" s="2" t="s">
        <v>86</v>
      </c>
      <c r="E356" s="3">
        <v>9</v>
      </c>
      <c r="F356" s="3">
        <v>10</v>
      </c>
      <c r="G356" s="3">
        <f t="shared" si="34"/>
        <v>0.95</v>
      </c>
      <c r="H356" s="3">
        <f t="shared" si="34"/>
        <v>1</v>
      </c>
      <c r="I356" s="2">
        <v>56336865.594379626</v>
      </c>
      <c r="J356" s="8">
        <v>703000000</v>
      </c>
      <c r="K356" s="2">
        <f t="shared" si="33"/>
        <v>146026.32030661171</v>
      </c>
    </row>
    <row r="357" spans="3:11" x14ac:dyDescent="0.2">
      <c r="C357" s="2" t="s">
        <v>82</v>
      </c>
      <c r="D357" s="2" t="s">
        <v>129</v>
      </c>
      <c r="E357" s="3">
        <v>9</v>
      </c>
      <c r="F357" s="3">
        <v>9</v>
      </c>
      <c r="G357" s="3">
        <f t="shared" si="34"/>
        <v>0.95</v>
      </c>
      <c r="H357" s="3">
        <f t="shared" si="34"/>
        <v>0.95</v>
      </c>
      <c r="I357" s="2">
        <v>56336865.594379626</v>
      </c>
      <c r="J357" s="2">
        <v>968619332.89888191</v>
      </c>
      <c r="K357" s="2">
        <f t="shared" si="33"/>
        <v>0</v>
      </c>
    </row>
    <row r="358" spans="3:11" x14ac:dyDescent="0.2">
      <c r="C358" s="2" t="s">
        <v>82</v>
      </c>
      <c r="D358" s="2" t="s">
        <v>87</v>
      </c>
      <c r="E358" s="3">
        <v>9</v>
      </c>
      <c r="F358" s="3">
        <v>8</v>
      </c>
      <c r="G358" s="3">
        <f t="shared" si="34"/>
        <v>0.95</v>
      </c>
      <c r="H358" s="3">
        <f t="shared" si="34"/>
        <v>0.9</v>
      </c>
      <c r="I358" s="2">
        <v>56336865.594379626</v>
      </c>
      <c r="J358" s="2">
        <v>852047685.69611788</v>
      </c>
      <c r="K358" s="2">
        <f t="shared" ref="K358:K397" si="35">(G358-H358)^2*((I358+J358)/13)</f>
        <v>174689.33678663368</v>
      </c>
    </row>
    <row r="359" spans="3:11" x14ac:dyDescent="0.2">
      <c r="C359" s="2" t="s">
        <v>82</v>
      </c>
      <c r="D359" s="2" t="s">
        <v>88</v>
      </c>
      <c r="E359" s="3">
        <v>9</v>
      </c>
      <c r="F359" s="3">
        <v>2</v>
      </c>
      <c r="G359" s="3">
        <f t="shared" si="34"/>
        <v>0.95</v>
      </c>
      <c r="H359" s="3">
        <f t="shared" si="34"/>
        <v>0.6</v>
      </c>
      <c r="I359" s="2">
        <v>56336865.594379626</v>
      </c>
      <c r="J359" s="2">
        <v>485033054.86194044</v>
      </c>
      <c r="K359" s="2">
        <f t="shared" si="35"/>
        <v>5101370.4042999381</v>
      </c>
    </row>
    <row r="360" spans="3:11" x14ac:dyDescent="0.2">
      <c r="C360" s="2" t="s">
        <v>82</v>
      </c>
      <c r="D360" s="2" t="s">
        <v>89</v>
      </c>
      <c r="E360" s="3">
        <v>9</v>
      </c>
      <c r="F360" s="3">
        <v>10</v>
      </c>
      <c r="G360" s="3">
        <f t="shared" si="34"/>
        <v>0.95</v>
      </c>
      <c r="H360" s="3">
        <f t="shared" si="34"/>
        <v>1</v>
      </c>
      <c r="I360" s="2">
        <v>56336865.594379626</v>
      </c>
      <c r="J360" s="2">
        <v>31507017.130248223</v>
      </c>
      <c r="K360" s="2">
        <f t="shared" si="35"/>
        <v>16893.054370120772</v>
      </c>
    </row>
    <row r="361" spans="3:11" x14ac:dyDescent="0.2">
      <c r="C361" s="2" t="s">
        <v>82</v>
      </c>
      <c r="D361" s="2" t="s">
        <v>90</v>
      </c>
      <c r="E361" s="3">
        <v>9</v>
      </c>
      <c r="F361" s="3">
        <v>8</v>
      </c>
      <c r="G361" s="3">
        <f t="shared" si="34"/>
        <v>0.95</v>
      </c>
      <c r="H361" s="3">
        <f t="shared" si="34"/>
        <v>0.9</v>
      </c>
      <c r="I361" s="2">
        <v>56336865.594379626</v>
      </c>
      <c r="J361" s="2">
        <v>663470297.74968922</v>
      </c>
      <c r="K361" s="2">
        <f t="shared" si="35"/>
        <v>138424.45448924365</v>
      </c>
    </row>
    <row r="362" spans="3:11" x14ac:dyDescent="0.2">
      <c r="C362" s="2" t="s">
        <v>83</v>
      </c>
      <c r="D362" s="2" t="s">
        <v>84</v>
      </c>
      <c r="E362" s="3">
        <v>10</v>
      </c>
      <c r="F362" s="3">
        <v>10</v>
      </c>
      <c r="G362" s="3">
        <f t="shared" si="34"/>
        <v>1</v>
      </c>
      <c r="H362" s="3">
        <f t="shared" si="34"/>
        <v>1</v>
      </c>
      <c r="I362" s="8">
        <v>20400000</v>
      </c>
      <c r="J362" s="2">
        <v>238035771.86276361</v>
      </c>
      <c r="K362" s="2">
        <f t="shared" si="35"/>
        <v>0</v>
      </c>
    </row>
    <row r="363" spans="3:11" x14ac:dyDescent="0.2">
      <c r="C363" s="2" t="s">
        <v>83</v>
      </c>
      <c r="D363" s="2" t="s">
        <v>85</v>
      </c>
      <c r="E363" s="3">
        <v>10</v>
      </c>
      <c r="F363" s="3">
        <v>5</v>
      </c>
      <c r="G363" s="3">
        <f t="shared" si="34"/>
        <v>1</v>
      </c>
      <c r="H363" s="3">
        <f t="shared" si="34"/>
        <v>0.75</v>
      </c>
      <c r="I363" s="8">
        <v>20400000</v>
      </c>
      <c r="J363" s="2">
        <v>13336410533.670525</v>
      </c>
      <c r="K363" s="2">
        <f t="shared" si="35"/>
        <v>64215435.258031368</v>
      </c>
    </row>
    <row r="364" spans="3:11" x14ac:dyDescent="0.2">
      <c r="C364" s="2" t="s">
        <v>83</v>
      </c>
      <c r="D364" s="2" t="s">
        <v>86</v>
      </c>
      <c r="E364" s="3">
        <v>10</v>
      </c>
      <c r="F364" s="3">
        <v>10</v>
      </c>
      <c r="G364" s="3">
        <f t="shared" si="34"/>
        <v>1</v>
      </c>
      <c r="H364" s="3">
        <f t="shared" si="34"/>
        <v>1</v>
      </c>
      <c r="I364" s="8">
        <v>20400000</v>
      </c>
      <c r="J364" s="8">
        <v>703000000</v>
      </c>
      <c r="K364" s="2">
        <f t="shared" si="35"/>
        <v>0</v>
      </c>
    </row>
    <row r="365" spans="3:11" x14ac:dyDescent="0.2">
      <c r="C365" s="2" t="s">
        <v>83</v>
      </c>
      <c r="D365" s="2" t="s">
        <v>129</v>
      </c>
      <c r="E365" s="3">
        <v>10</v>
      </c>
      <c r="F365" s="3">
        <v>9</v>
      </c>
      <c r="G365" s="3">
        <f t="shared" si="34"/>
        <v>1</v>
      </c>
      <c r="H365" s="3">
        <f t="shared" si="34"/>
        <v>0.95</v>
      </c>
      <c r="I365" s="8">
        <v>20400000</v>
      </c>
      <c r="J365" s="2">
        <v>968619332.89888191</v>
      </c>
      <c r="K365" s="2">
        <f t="shared" si="35"/>
        <v>190196.02555747761</v>
      </c>
    </row>
    <row r="366" spans="3:11" x14ac:dyDescent="0.2">
      <c r="C366" s="2" t="s">
        <v>83</v>
      </c>
      <c r="D366" s="2" t="s">
        <v>87</v>
      </c>
      <c r="E366" s="3">
        <v>10</v>
      </c>
      <c r="F366" s="3">
        <v>8</v>
      </c>
      <c r="G366" s="3">
        <f t="shared" si="34"/>
        <v>1</v>
      </c>
      <c r="H366" s="3">
        <f t="shared" si="34"/>
        <v>0.9</v>
      </c>
      <c r="I366" s="8">
        <v>20400000</v>
      </c>
      <c r="J366" s="2">
        <v>852047685.69611788</v>
      </c>
      <c r="K366" s="2">
        <f t="shared" si="35"/>
        <v>671113.6043816288</v>
      </c>
    </row>
    <row r="367" spans="3:11" x14ac:dyDescent="0.2">
      <c r="C367" s="2" t="s">
        <v>83</v>
      </c>
      <c r="D367" s="2" t="s">
        <v>88</v>
      </c>
      <c r="E367" s="3">
        <v>10</v>
      </c>
      <c r="F367" s="3">
        <v>2</v>
      </c>
      <c r="G367" s="3">
        <f t="shared" si="34"/>
        <v>1</v>
      </c>
      <c r="H367" s="3">
        <f t="shared" si="34"/>
        <v>0.6</v>
      </c>
      <c r="I367" s="8">
        <v>20400000</v>
      </c>
      <c r="J367" s="2">
        <v>485033054.86194044</v>
      </c>
      <c r="K367" s="2">
        <f t="shared" si="35"/>
        <v>6220714.5213777293</v>
      </c>
    </row>
    <row r="368" spans="3:11" x14ac:dyDescent="0.2">
      <c r="C368" s="2" t="s">
        <v>83</v>
      </c>
      <c r="D368" s="2" t="s">
        <v>89</v>
      </c>
      <c r="E368" s="3">
        <v>10</v>
      </c>
      <c r="F368" s="3">
        <v>10</v>
      </c>
      <c r="G368" s="3">
        <f t="shared" si="34"/>
        <v>1</v>
      </c>
      <c r="H368" s="3">
        <f t="shared" si="34"/>
        <v>1</v>
      </c>
      <c r="I368" s="8">
        <v>20400000</v>
      </c>
      <c r="J368" s="2">
        <v>31507017.130248223</v>
      </c>
      <c r="K368" s="2">
        <f t="shared" si="35"/>
        <v>0</v>
      </c>
    </row>
    <row r="369" spans="3:11" x14ac:dyDescent="0.2">
      <c r="C369" s="2" t="s">
        <v>83</v>
      </c>
      <c r="D369" s="2" t="s">
        <v>90</v>
      </c>
      <c r="E369" s="3">
        <v>10</v>
      </c>
      <c r="F369" s="3">
        <v>8</v>
      </c>
      <c r="G369" s="3">
        <f t="shared" si="34"/>
        <v>1</v>
      </c>
      <c r="H369" s="3">
        <f t="shared" si="34"/>
        <v>0.9</v>
      </c>
      <c r="I369" s="8">
        <v>20400000</v>
      </c>
      <c r="J369" s="2">
        <v>663470297.74968922</v>
      </c>
      <c r="K369" s="2">
        <f t="shared" si="35"/>
        <v>526054.07519206835</v>
      </c>
    </row>
    <row r="370" spans="3:11" x14ac:dyDescent="0.2">
      <c r="C370" s="2" t="s">
        <v>84</v>
      </c>
      <c r="D370" s="2" t="s">
        <v>86</v>
      </c>
      <c r="E370" s="3">
        <v>10</v>
      </c>
      <c r="F370" s="3">
        <v>10</v>
      </c>
      <c r="G370" s="3">
        <f t="shared" si="34"/>
        <v>1</v>
      </c>
      <c r="H370" s="3">
        <f t="shared" si="34"/>
        <v>1</v>
      </c>
      <c r="I370" s="2">
        <v>238035771.86276361</v>
      </c>
      <c r="J370" s="8">
        <v>703000000</v>
      </c>
      <c r="K370" s="2">
        <f t="shared" si="35"/>
        <v>0</v>
      </c>
    </row>
    <row r="371" spans="3:11" x14ac:dyDescent="0.2">
      <c r="C371" s="2" t="s">
        <v>84</v>
      </c>
      <c r="D371" s="2" t="s">
        <v>129</v>
      </c>
      <c r="E371" s="3">
        <v>10</v>
      </c>
      <c r="F371" s="3">
        <v>9</v>
      </c>
      <c r="G371" s="3">
        <f t="shared" si="34"/>
        <v>1</v>
      </c>
      <c r="H371" s="3">
        <f t="shared" si="34"/>
        <v>0.95</v>
      </c>
      <c r="I371" s="2">
        <v>238035771.86276361</v>
      </c>
      <c r="J371" s="2">
        <v>968619332.89888191</v>
      </c>
      <c r="K371" s="2">
        <f t="shared" si="35"/>
        <v>232049.05860800919</v>
      </c>
    </row>
    <row r="372" spans="3:11" x14ac:dyDescent="0.2">
      <c r="C372" s="2" t="s">
        <v>84</v>
      </c>
      <c r="D372" s="2" t="s">
        <v>87</v>
      </c>
      <c r="E372" s="3">
        <v>10</v>
      </c>
      <c r="F372" s="3">
        <v>8</v>
      </c>
      <c r="G372" s="3">
        <f t="shared" si="34"/>
        <v>1</v>
      </c>
      <c r="H372" s="3">
        <f t="shared" si="34"/>
        <v>0.9</v>
      </c>
      <c r="I372" s="2">
        <v>238035771.86276361</v>
      </c>
      <c r="J372" s="2">
        <v>852047685.69611788</v>
      </c>
      <c r="K372" s="2">
        <f t="shared" si="35"/>
        <v>838525.73658375465</v>
      </c>
    </row>
    <row r="373" spans="3:11" x14ac:dyDescent="0.2">
      <c r="C373" s="2" t="s">
        <v>84</v>
      </c>
      <c r="D373" s="2" t="s">
        <v>88</v>
      </c>
      <c r="E373" s="3">
        <v>10</v>
      </c>
      <c r="F373" s="3">
        <v>2</v>
      </c>
      <c r="G373" s="3">
        <f t="shared" si="34"/>
        <v>1</v>
      </c>
      <c r="H373" s="3">
        <f t="shared" si="34"/>
        <v>0.6</v>
      </c>
      <c r="I373" s="2">
        <v>238035771.86276361</v>
      </c>
      <c r="J373" s="2">
        <v>485033054.86194044</v>
      </c>
      <c r="K373" s="2">
        <f t="shared" si="35"/>
        <v>8899308.6366117429</v>
      </c>
    </row>
    <row r="374" spans="3:11" x14ac:dyDescent="0.2">
      <c r="C374" s="2" t="s">
        <v>84</v>
      </c>
      <c r="D374" s="2" t="s">
        <v>89</v>
      </c>
      <c r="E374" s="3">
        <v>10</v>
      </c>
      <c r="F374" s="3">
        <v>10</v>
      </c>
      <c r="G374" s="3">
        <f t="shared" si="34"/>
        <v>1</v>
      </c>
      <c r="H374" s="3">
        <f t="shared" si="34"/>
        <v>1</v>
      </c>
      <c r="I374" s="2">
        <v>238035771.86276361</v>
      </c>
      <c r="J374" s="2">
        <v>31507017.130248223</v>
      </c>
      <c r="K374" s="2">
        <f t="shared" si="35"/>
        <v>0</v>
      </c>
    </row>
    <row r="375" spans="3:11" x14ac:dyDescent="0.2">
      <c r="C375" s="2" t="s">
        <v>84</v>
      </c>
      <c r="D375" s="2" t="s">
        <v>90</v>
      </c>
      <c r="E375" s="3">
        <v>10</v>
      </c>
      <c r="F375" s="3">
        <v>8</v>
      </c>
      <c r="G375" s="3">
        <f t="shared" si="34"/>
        <v>1</v>
      </c>
      <c r="H375" s="3">
        <f t="shared" si="34"/>
        <v>0.9</v>
      </c>
      <c r="I375" s="2">
        <v>238035771.86276361</v>
      </c>
      <c r="J375" s="2">
        <v>663470297.74968922</v>
      </c>
      <c r="K375" s="2">
        <f t="shared" si="35"/>
        <v>693466.20739419409</v>
      </c>
    </row>
    <row r="376" spans="3:11" x14ac:dyDescent="0.2">
      <c r="C376" s="2" t="s">
        <v>84</v>
      </c>
      <c r="D376" s="2" t="s">
        <v>85</v>
      </c>
      <c r="E376" s="3">
        <v>10</v>
      </c>
      <c r="F376" s="3">
        <v>5</v>
      </c>
      <c r="G376" s="3">
        <f t="shared" si="34"/>
        <v>1</v>
      </c>
      <c r="H376" s="3">
        <f t="shared" si="34"/>
        <v>0.75</v>
      </c>
      <c r="I376" s="2">
        <v>238035771.86276361</v>
      </c>
      <c r="J376" s="2">
        <v>13336410533.670525</v>
      </c>
      <c r="K376" s="2">
        <f t="shared" si="35"/>
        <v>65261761.084294662</v>
      </c>
    </row>
    <row r="377" spans="3:11" x14ac:dyDescent="0.2">
      <c r="C377" s="2" t="s">
        <v>85</v>
      </c>
      <c r="D377" s="2" t="s">
        <v>86</v>
      </c>
      <c r="E377" s="3">
        <v>5</v>
      </c>
      <c r="F377" s="3">
        <v>10</v>
      </c>
      <c r="G377" s="3">
        <f t="shared" si="34"/>
        <v>0.75</v>
      </c>
      <c r="H377" s="3">
        <f t="shared" si="34"/>
        <v>1</v>
      </c>
      <c r="I377" s="2">
        <v>13336410533.670525</v>
      </c>
      <c r="J377" s="8">
        <v>703000000</v>
      </c>
      <c r="K377" s="2">
        <f t="shared" si="35"/>
        <v>67497166.027262136</v>
      </c>
    </row>
    <row r="378" spans="3:11" x14ac:dyDescent="0.2">
      <c r="C378" s="2" t="s">
        <v>85</v>
      </c>
      <c r="D378" s="2" t="s">
        <v>129</v>
      </c>
      <c r="E378" s="3">
        <v>5</v>
      </c>
      <c r="F378" s="3">
        <v>9</v>
      </c>
      <c r="G378" s="3">
        <f t="shared" si="34"/>
        <v>0.75</v>
      </c>
      <c r="H378" s="3">
        <f t="shared" si="34"/>
        <v>0.95</v>
      </c>
      <c r="I378" s="2">
        <v>13336410533.670525</v>
      </c>
      <c r="J378" s="2">
        <v>968619332.89888191</v>
      </c>
      <c r="K378" s="2">
        <f t="shared" si="35"/>
        <v>44015476.512521222</v>
      </c>
    </row>
    <row r="379" spans="3:11" x14ac:dyDescent="0.2">
      <c r="C379" s="2" t="s">
        <v>85</v>
      </c>
      <c r="D379" s="2" t="s">
        <v>87</v>
      </c>
      <c r="E379" s="3">
        <v>5</v>
      </c>
      <c r="F379" s="3">
        <v>8</v>
      </c>
      <c r="G379" s="3">
        <f t="shared" ref="G379:H397" si="36">(E379+10)/20</f>
        <v>0.75</v>
      </c>
      <c r="H379" s="3">
        <f t="shared" si="36"/>
        <v>0.9</v>
      </c>
      <c r="I379" s="2">
        <v>13336410533.670525</v>
      </c>
      <c r="J379" s="2">
        <v>852047685.69611788</v>
      </c>
      <c r="K379" s="2">
        <f t="shared" si="35"/>
        <v>24556946.918134581</v>
      </c>
    </row>
    <row r="380" spans="3:11" x14ac:dyDescent="0.2">
      <c r="C380" s="2" t="s">
        <v>85</v>
      </c>
      <c r="D380" s="2" t="s">
        <v>88</v>
      </c>
      <c r="E380" s="3">
        <v>5</v>
      </c>
      <c r="F380" s="3">
        <v>2</v>
      </c>
      <c r="G380" s="3">
        <f t="shared" si="36"/>
        <v>0.75</v>
      </c>
      <c r="H380" s="3">
        <f t="shared" si="36"/>
        <v>0.6</v>
      </c>
      <c r="I380" s="2">
        <v>13336410533.670525</v>
      </c>
      <c r="J380" s="2">
        <v>485033054.86194044</v>
      </c>
      <c r="K380" s="2">
        <f t="shared" si="35"/>
        <v>23921729.287844658</v>
      </c>
    </row>
    <row r="381" spans="3:11" x14ac:dyDescent="0.2">
      <c r="C381" s="2" t="s">
        <v>85</v>
      </c>
      <c r="D381" s="2" t="s">
        <v>89</v>
      </c>
      <c r="E381" s="3">
        <v>5</v>
      </c>
      <c r="F381" s="3">
        <v>10</v>
      </c>
      <c r="G381" s="3">
        <f t="shared" si="36"/>
        <v>0.75</v>
      </c>
      <c r="H381" s="3">
        <f t="shared" si="36"/>
        <v>1</v>
      </c>
      <c r="I381" s="2">
        <v>13336410533.670525</v>
      </c>
      <c r="J381" s="2">
        <v>31507017.130248223</v>
      </c>
      <c r="K381" s="2">
        <f t="shared" si="35"/>
        <v>64268834.378849871</v>
      </c>
    </row>
    <row r="382" spans="3:11" x14ac:dyDescent="0.2">
      <c r="C382" s="2" t="s">
        <v>85</v>
      </c>
      <c r="D382" s="2" t="s">
        <v>90</v>
      </c>
      <c r="E382" s="3">
        <v>5</v>
      </c>
      <c r="F382" s="3">
        <v>8</v>
      </c>
      <c r="G382" s="3">
        <f t="shared" si="36"/>
        <v>0.75</v>
      </c>
      <c r="H382" s="3">
        <f t="shared" si="36"/>
        <v>0.9</v>
      </c>
      <c r="I382" s="2">
        <v>13336410533.670525</v>
      </c>
      <c r="J382" s="2">
        <v>663470297.74968922</v>
      </c>
      <c r="K382" s="2">
        <f t="shared" si="35"/>
        <v>24230562.977458067</v>
      </c>
    </row>
    <row r="383" spans="3:11" x14ac:dyDescent="0.2">
      <c r="C383" s="2" t="s">
        <v>86</v>
      </c>
      <c r="D383" s="2" t="s">
        <v>87</v>
      </c>
      <c r="E383" s="3">
        <v>10</v>
      </c>
      <c r="F383" s="3">
        <v>8</v>
      </c>
      <c r="G383" s="3">
        <f t="shared" si="36"/>
        <v>1</v>
      </c>
      <c r="H383" s="3">
        <f t="shared" si="36"/>
        <v>0.9</v>
      </c>
      <c r="I383" s="8">
        <v>703000000</v>
      </c>
      <c r="J383" s="2">
        <v>852047685.69611788</v>
      </c>
      <c r="K383" s="2">
        <f t="shared" si="35"/>
        <v>1196190.5274585516</v>
      </c>
    </row>
    <row r="384" spans="3:11" x14ac:dyDescent="0.2">
      <c r="C384" s="2" t="s">
        <v>86</v>
      </c>
      <c r="D384" s="2" t="s">
        <v>88</v>
      </c>
      <c r="E384" s="3">
        <v>10</v>
      </c>
      <c r="F384" s="3">
        <v>2</v>
      </c>
      <c r="G384" s="3">
        <f t="shared" si="36"/>
        <v>1</v>
      </c>
      <c r="H384" s="3">
        <f t="shared" si="36"/>
        <v>0.6</v>
      </c>
      <c r="I384" s="8">
        <v>703000000</v>
      </c>
      <c r="J384" s="2">
        <v>485033054.86194044</v>
      </c>
      <c r="K384" s="2">
        <f t="shared" si="35"/>
        <v>14621945.290608499</v>
      </c>
    </row>
    <row r="385" spans="3:11" x14ac:dyDescent="0.2">
      <c r="C385" s="2" t="s">
        <v>86</v>
      </c>
      <c r="D385" s="2" t="s">
        <v>89</v>
      </c>
      <c r="E385" s="3">
        <v>10</v>
      </c>
      <c r="F385" s="3">
        <v>10</v>
      </c>
      <c r="G385" s="3">
        <f t="shared" si="36"/>
        <v>1</v>
      </c>
      <c r="H385" s="3">
        <f t="shared" si="36"/>
        <v>1</v>
      </c>
      <c r="I385" s="8">
        <v>703000000</v>
      </c>
      <c r="J385" s="2">
        <v>31507017.130248223</v>
      </c>
      <c r="K385" s="2">
        <f t="shared" si="35"/>
        <v>0</v>
      </c>
    </row>
    <row r="386" spans="3:11" x14ac:dyDescent="0.2">
      <c r="C386" s="2" t="s">
        <v>86</v>
      </c>
      <c r="D386" s="2" t="s">
        <v>90</v>
      </c>
      <c r="E386" s="3">
        <v>10</v>
      </c>
      <c r="F386" s="3">
        <v>8</v>
      </c>
      <c r="G386" s="3">
        <f t="shared" si="36"/>
        <v>1</v>
      </c>
      <c r="H386" s="3">
        <f t="shared" si="36"/>
        <v>0.9</v>
      </c>
      <c r="I386" s="8">
        <v>703000000</v>
      </c>
      <c r="J386" s="2">
        <v>663470297.74968922</v>
      </c>
      <c r="K386" s="2">
        <f t="shared" si="35"/>
        <v>1051130.998268991</v>
      </c>
    </row>
    <row r="387" spans="3:11" x14ac:dyDescent="0.2">
      <c r="C387" s="2" t="s">
        <v>86</v>
      </c>
      <c r="D387" s="2" t="s">
        <v>129</v>
      </c>
      <c r="E387" s="3">
        <v>10</v>
      </c>
      <c r="F387" s="3">
        <v>9</v>
      </c>
      <c r="G387" s="3">
        <f t="shared" si="36"/>
        <v>1</v>
      </c>
      <c r="H387" s="3">
        <f t="shared" si="36"/>
        <v>0.95</v>
      </c>
      <c r="I387" s="8">
        <v>703000000</v>
      </c>
      <c r="J387" s="2">
        <v>968619332.89888191</v>
      </c>
      <c r="K387" s="2">
        <f t="shared" si="35"/>
        <v>321465.25632670859</v>
      </c>
    </row>
    <row r="388" spans="3:11" x14ac:dyDescent="0.2">
      <c r="C388" s="2" t="s">
        <v>129</v>
      </c>
      <c r="D388" s="2" t="s">
        <v>88</v>
      </c>
      <c r="E388" s="3">
        <v>9</v>
      </c>
      <c r="F388" s="3">
        <v>2</v>
      </c>
      <c r="G388" s="3">
        <f t="shared" si="36"/>
        <v>0.95</v>
      </c>
      <c r="H388" s="3">
        <f t="shared" si="36"/>
        <v>0.6</v>
      </c>
      <c r="I388" s="2">
        <v>968619332.89888191</v>
      </c>
      <c r="J388" s="2">
        <v>485033054.86194044</v>
      </c>
      <c r="K388" s="2">
        <f t="shared" si="35"/>
        <v>13697878.269284669</v>
      </c>
    </row>
    <row r="389" spans="3:11" x14ac:dyDescent="0.2">
      <c r="C389" s="2" t="s">
        <v>129</v>
      </c>
      <c r="D389" s="2" t="s">
        <v>89</v>
      </c>
      <c r="E389" s="3">
        <v>9</v>
      </c>
      <c r="F389" s="3">
        <v>10</v>
      </c>
      <c r="G389" s="3">
        <f t="shared" si="36"/>
        <v>0.95</v>
      </c>
      <c r="H389" s="3">
        <f t="shared" si="36"/>
        <v>1</v>
      </c>
      <c r="I389" s="2">
        <v>968619332.89888191</v>
      </c>
      <c r="J389" s="2">
        <v>31507017.130248223</v>
      </c>
      <c r="K389" s="2">
        <f t="shared" si="35"/>
        <v>192331.99039021769</v>
      </c>
    </row>
    <row r="390" spans="3:11" x14ac:dyDescent="0.2">
      <c r="C390" s="2" t="s">
        <v>129</v>
      </c>
      <c r="D390" s="2" t="s">
        <v>90</v>
      </c>
      <c r="E390" s="3">
        <v>9</v>
      </c>
      <c r="F390" s="3">
        <v>8</v>
      </c>
      <c r="G390" s="3">
        <f t="shared" si="36"/>
        <v>0.95</v>
      </c>
      <c r="H390" s="3">
        <f t="shared" si="36"/>
        <v>0.9</v>
      </c>
      <c r="I390" s="2">
        <v>968619332.89888191</v>
      </c>
      <c r="J390" s="2">
        <v>663470297.74968922</v>
      </c>
      <c r="K390" s="2">
        <f t="shared" si="35"/>
        <v>313863.39050933975</v>
      </c>
    </row>
    <row r="391" spans="3:11" x14ac:dyDescent="0.2">
      <c r="C391" s="2" t="s">
        <v>129</v>
      </c>
      <c r="D391" s="2" t="s">
        <v>87</v>
      </c>
      <c r="E391" s="3">
        <v>9</v>
      </c>
      <c r="F391" s="3">
        <v>8</v>
      </c>
      <c r="G391" s="3">
        <f t="shared" si="36"/>
        <v>0.95</v>
      </c>
      <c r="H391" s="3">
        <f t="shared" si="36"/>
        <v>0.9</v>
      </c>
      <c r="I391" s="2">
        <v>968619332.89888191</v>
      </c>
      <c r="J391" s="2">
        <v>852047685.69611788</v>
      </c>
      <c r="K391" s="2">
        <f t="shared" si="35"/>
        <v>350128.27280672983</v>
      </c>
    </row>
    <row r="392" spans="3:11" x14ac:dyDescent="0.2">
      <c r="C392" s="2" t="s">
        <v>87</v>
      </c>
      <c r="D392" s="2" t="s">
        <v>89</v>
      </c>
      <c r="E392" s="3">
        <v>8</v>
      </c>
      <c r="F392" s="3">
        <v>10</v>
      </c>
      <c r="G392" s="3">
        <f t="shared" si="36"/>
        <v>0.9</v>
      </c>
      <c r="H392" s="3">
        <f t="shared" si="36"/>
        <v>1</v>
      </c>
      <c r="I392" s="2">
        <v>852047685.69611788</v>
      </c>
      <c r="J392" s="2">
        <v>31507017.130248223</v>
      </c>
      <c r="K392" s="2">
        <f t="shared" si="35"/>
        <v>679657.463712589</v>
      </c>
    </row>
    <row r="393" spans="3:11" x14ac:dyDescent="0.2">
      <c r="C393" s="2" t="s">
        <v>87</v>
      </c>
      <c r="D393" s="2" t="s">
        <v>90</v>
      </c>
      <c r="E393" s="3">
        <v>8</v>
      </c>
      <c r="F393" s="3">
        <v>8</v>
      </c>
      <c r="G393" s="3">
        <f t="shared" si="36"/>
        <v>0.9</v>
      </c>
      <c r="H393" s="3">
        <f t="shared" si="36"/>
        <v>0.9</v>
      </c>
      <c r="I393" s="2">
        <v>852047685.69611788</v>
      </c>
      <c r="J393" s="2">
        <v>663470297.74968922</v>
      </c>
      <c r="K393" s="2">
        <f t="shared" si="35"/>
        <v>0</v>
      </c>
    </row>
    <row r="394" spans="3:11" x14ac:dyDescent="0.2">
      <c r="C394" s="2" t="s">
        <v>87</v>
      </c>
      <c r="D394" s="2" t="s">
        <v>88</v>
      </c>
      <c r="E394" s="3">
        <v>8</v>
      </c>
      <c r="F394" s="3">
        <v>2</v>
      </c>
      <c r="G394" s="3">
        <f t="shared" si="36"/>
        <v>0.9</v>
      </c>
      <c r="H394" s="3">
        <f t="shared" si="36"/>
        <v>0.6</v>
      </c>
      <c r="I394" s="2">
        <v>852047685.69611788</v>
      </c>
      <c r="J394" s="2">
        <v>485033054.86194044</v>
      </c>
      <c r="K394" s="2">
        <f t="shared" si="35"/>
        <v>9256712.8192480989</v>
      </c>
    </row>
    <row r="395" spans="3:11" x14ac:dyDescent="0.2">
      <c r="C395" s="2" t="s">
        <v>88</v>
      </c>
      <c r="D395" s="2" t="s">
        <v>89</v>
      </c>
      <c r="E395" s="3">
        <v>2</v>
      </c>
      <c r="F395" s="3">
        <v>10</v>
      </c>
      <c r="G395" s="3">
        <f t="shared" si="36"/>
        <v>0.6</v>
      </c>
      <c r="H395" s="3">
        <f t="shared" si="36"/>
        <v>1</v>
      </c>
      <c r="I395" s="2">
        <v>31507017.130248223</v>
      </c>
      <c r="J395" s="2">
        <v>31507017.130248223</v>
      </c>
      <c r="K395" s="2">
        <f t="shared" si="35"/>
        <v>775557.34474457172</v>
      </c>
    </row>
    <row r="396" spans="3:11" x14ac:dyDescent="0.2">
      <c r="C396" s="2" t="s">
        <v>88</v>
      </c>
      <c r="D396" s="2" t="s">
        <v>90</v>
      </c>
      <c r="E396" s="3">
        <v>2</v>
      </c>
      <c r="F396" s="3">
        <v>8</v>
      </c>
      <c r="G396" s="3">
        <f t="shared" si="36"/>
        <v>0.6</v>
      </c>
      <c r="H396" s="3">
        <f t="shared" si="36"/>
        <v>0.9</v>
      </c>
      <c r="I396" s="2">
        <v>31507017.130248223</v>
      </c>
      <c r="J396" s="2">
        <v>663470297.74968922</v>
      </c>
      <c r="K396" s="2">
        <f t="shared" si="35"/>
        <v>4811381.4107072605</v>
      </c>
    </row>
    <row r="397" spans="3:11" x14ac:dyDescent="0.2">
      <c r="C397" s="2" t="s">
        <v>90</v>
      </c>
      <c r="D397" s="2" t="s">
        <v>89</v>
      </c>
      <c r="E397" s="3">
        <v>8</v>
      </c>
      <c r="F397" s="3">
        <v>10</v>
      </c>
      <c r="G397" s="3">
        <f t="shared" si="36"/>
        <v>0.9</v>
      </c>
      <c r="H397" s="3">
        <f t="shared" si="36"/>
        <v>1</v>
      </c>
      <c r="I397" s="2">
        <v>663470297.74968922</v>
      </c>
      <c r="J397" s="2">
        <v>663470297.74968922</v>
      </c>
      <c r="K397" s="2">
        <f t="shared" si="35"/>
        <v>1020723.5349995213</v>
      </c>
    </row>
    <row r="398" spans="3:11" x14ac:dyDescent="0.2">
      <c r="K398" s="1">
        <f>(1-SQRT(SUM(K293:K397)/(I293+SUM(J293:J306))))*100</f>
        <v>74.512955368450719</v>
      </c>
    </row>
    <row r="403" spans="3:15" x14ac:dyDescent="0.2">
      <c r="C403" s="1" t="s">
        <v>91</v>
      </c>
      <c r="D403" s="1">
        <v>2008</v>
      </c>
    </row>
    <row r="404" spans="3:15" x14ac:dyDescent="0.2">
      <c r="C404" s="2" t="s">
        <v>92</v>
      </c>
      <c r="D404" s="2" t="s">
        <v>93</v>
      </c>
      <c r="E404" s="3">
        <v>7</v>
      </c>
      <c r="F404" s="3">
        <v>0</v>
      </c>
      <c r="G404" s="3">
        <f t="shared" ref="G404:H419" si="37">(E404+10)/20</f>
        <v>0.85</v>
      </c>
      <c r="H404" s="3">
        <f t="shared" si="37"/>
        <v>0.5</v>
      </c>
      <c r="I404" s="2">
        <v>15383136311.805462</v>
      </c>
      <c r="J404" s="2">
        <v>19129040395.452148</v>
      </c>
      <c r="K404" s="2">
        <f>(G404-H404)^2*((I404+J404)/15)</f>
        <v>281849443.10927045</v>
      </c>
    </row>
    <row r="405" spans="3:15" x14ac:dyDescent="0.2">
      <c r="C405" s="2" t="s">
        <v>92</v>
      </c>
      <c r="D405" s="2" t="s">
        <v>143</v>
      </c>
      <c r="E405" s="3">
        <v>7</v>
      </c>
      <c r="F405" s="3">
        <v>4</v>
      </c>
      <c r="G405" s="3">
        <f t="shared" si="37"/>
        <v>0.85</v>
      </c>
      <c r="H405" s="3">
        <f t="shared" si="37"/>
        <v>0.7</v>
      </c>
      <c r="I405" s="2">
        <v>15383136311.805462</v>
      </c>
      <c r="J405" s="2">
        <v>50055049171.11853</v>
      </c>
      <c r="K405" s="2">
        <f t="shared" ref="K405:K468" si="38">(G405-H405)^2*((I405+J405)/15)</f>
        <v>98157278.224386021</v>
      </c>
    </row>
    <row r="406" spans="3:15" x14ac:dyDescent="0.2">
      <c r="C406" s="2" t="s">
        <v>92</v>
      </c>
      <c r="D406" s="2" t="s">
        <v>94</v>
      </c>
      <c r="E406" s="3">
        <v>7</v>
      </c>
      <c r="F406" s="3">
        <v>7</v>
      </c>
      <c r="G406" s="3">
        <f t="shared" si="37"/>
        <v>0.85</v>
      </c>
      <c r="H406" s="3">
        <f t="shared" si="37"/>
        <v>0.85</v>
      </c>
      <c r="I406" s="2">
        <v>15383136311.805462</v>
      </c>
      <c r="J406" s="2">
        <v>24568186514.397526</v>
      </c>
      <c r="K406" s="2">
        <f t="shared" si="38"/>
        <v>0</v>
      </c>
    </row>
    <row r="407" spans="3:15" x14ac:dyDescent="0.2">
      <c r="C407" s="2" t="s">
        <v>92</v>
      </c>
      <c r="D407" s="2" t="s">
        <v>95</v>
      </c>
      <c r="E407" s="3">
        <v>7</v>
      </c>
      <c r="F407" s="3">
        <v>6</v>
      </c>
      <c r="G407" s="3">
        <f t="shared" si="37"/>
        <v>0.85</v>
      </c>
      <c r="H407" s="3">
        <f t="shared" si="37"/>
        <v>0.8</v>
      </c>
      <c r="I407" s="2">
        <v>15383136311.805462</v>
      </c>
      <c r="J407" s="2">
        <v>11937133415.740543</v>
      </c>
      <c r="K407" s="2">
        <f t="shared" si="38"/>
        <v>4553378.2879243223</v>
      </c>
    </row>
    <row r="408" spans="3:15" x14ac:dyDescent="0.2">
      <c r="C408" s="2" t="s">
        <v>92</v>
      </c>
      <c r="D408" s="2" t="s">
        <v>96</v>
      </c>
      <c r="E408" s="3">
        <v>7</v>
      </c>
      <c r="F408" s="3">
        <v>7</v>
      </c>
      <c r="G408" s="3">
        <f t="shared" si="37"/>
        <v>0.85</v>
      </c>
      <c r="H408" s="3">
        <f t="shared" si="37"/>
        <v>0.85</v>
      </c>
      <c r="I408" s="2">
        <v>15383136311.805462</v>
      </c>
      <c r="J408" s="2">
        <v>25356946951.594219</v>
      </c>
      <c r="K408" s="2">
        <f t="shared" si="38"/>
        <v>0</v>
      </c>
    </row>
    <row r="409" spans="3:15" x14ac:dyDescent="0.2">
      <c r="C409" s="2" t="s">
        <v>92</v>
      </c>
      <c r="D409" s="2" t="s">
        <v>97</v>
      </c>
      <c r="E409" s="3">
        <v>7</v>
      </c>
      <c r="F409" s="3">
        <v>-4</v>
      </c>
      <c r="G409" s="3">
        <f t="shared" si="37"/>
        <v>0.85</v>
      </c>
      <c r="H409" s="3">
        <f t="shared" si="37"/>
        <v>0.3</v>
      </c>
      <c r="I409" s="2">
        <v>15383136311.805462</v>
      </c>
      <c r="J409" s="2">
        <v>7012076136.58358</v>
      </c>
      <c r="K409" s="2">
        <f t="shared" si="38"/>
        <v>451636784.37584579</v>
      </c>
      <c r="O409" s="2">
        <f>(1-_xlfn.STDEV.S(G404,H404:H418))*100</f>
        <v>75.371510399539304</v>
      </c>
    </row>
    <row r="410" spans="3:15" x14ac:dyDescent="0.2">
      <c r="C410" s="2" t="s">
        <v>92</v>
      </c>
      <c r="D410" s="2" t="s">
        <v>144</v>
      </c>
      <c r="E410" s="3">
        <v>7</v>
      </c>
      <c r="F410" s="3">
        <v>10</v>
      </c>
      <c r="G410" s="3">
        <f t="shared" si="37"/>
        <v>0.85</v>
      </c>
      <c r="H410" s="3">
        <f t="shared" si="37"/>
        <v>1</v>
      </c>
      <c r="I410" s="2">
        <v>15383136311.805462</v>
      </c>
      <c r="J410" s="2">
        <v>2807818687.1596055</v>
      </c>
      <c r="K410" s="2">
        <f t="shared" si="38"/>
        <v>27286432.498447612</v>
      </c>
    </row>
    <row r="411" spans="3:15" x14ac:dyDescent="0.2">
      <c r="C411" s="2" t="s">
        <v>92</v>
      </c>
      <c r="D411" s="2" t="s">
        <v>145</v>
      </c>
      <c r="E411" s="3">
        <v>7</v>
      </c>
      <c r="F411" s="3">
        <v>-5</v>
      </c>
      <c r="G411" s="3">
        <f t="shared" si="37"/>
        <v>0.85</v>
      </c>
      <c r="H411" s="3">
        <f t="shared" si="37"/>
        <v>0.25</v>
      </c>
      <c r="I411" s="2">
        <v>15383136311.805462</v>
      </c>
      <c r="J411" s="2">
        <v>2373579534.8736606</v>
      </c>
      <c r="K411" s="2">
        <f t="shared" si="38"/>
        <v>426161180.32029891</v>
      </c>
    </row>
    <row r="412" spans="3:15" x14ac:dyDescent="0.2">
      <c r="C412" s="2" t="s">
        <v>92</v>
      </c>
      <c r="D412" s="2" t="s">
        <v>98</v>
      </c>
      <c r="E412" s="3">
        <v>7</v>
      </c>
      <c r="F412" s="3">
        <v>8</v>
      </c>
      <c r="G412" s="3">
        <f t="shared" si="37"/>
        <v>0.85</v>
      </c>
      <c r="H412" s="3">
        <f t="shared" si="37"/>
        <v>0.9</v>
      </c>
      <c r="I412" s="2">
        <v>15383136311.805462</v>
      </c>
      <c r="J412" s="2">
        <v>63681669732.4916</v>
      </c>
      <c r="K412" s="2">
        <f t="shared" si="38"/>
        <v>13177467.674049532</v>
      </c>
    </row>
    <row r="413" spans="3:15" x14ac:dyDescent="0.2">
      <c r="C413" s="2" t="s">
        <v>92</v>
      </c>
      <c r="D413" s="2" t="s">
        <v>99</v>
      </c>
      <c r="E413" s="3">
        <v>7</v>
      </c>
      <c r="F413" s="3">
        <v>-1</v>
      </c>
      <c r="G413" s="3">
        <f t="shared" si="37"/>
        <v>0.85</v>
      </c>
      <c r="H413" s="3">
        <f t="shared" si="37"/>
        <v>0.45</v>
      </c>
      <c r="I413" s="2">
        <v>15383136311.805462</v>
      </c>
      <c r="J413" s="2">
        <v>12184564690.830519</v>
      </c>
      <c r="K413" s="2">
        <f t="shared" si="38"/>
        <v>294055477.36145037</v>
      </c>
    </row>
    <row r="414" spans="3:15" x14ac:dyDescent="0.2">
      <c r="C414" s="2" t="s">
        <v>92</v>
      </c>
      <c r="D414" s="2" t="s">
        <v>100</v>
      </c>
      <c r="E414" s="3">
        <v>7</v>
      </c>
      <c r="F414" s="3">
        <v>6</v>
      </c>
      <c r="G414" s="3">
        <f t="shared" si="37"/>
        <v>0.85</v>
      </c>
      <c r="H414" s="3">
        <f t="shared" si="37"/>
        <v>0.8</v>
      </c>
      <c r="I414" s="2">
        <v>15383136311.805462</v>
      </c>
      <c r="J414" s="2">
        <v>1930259178.5080106</v>
      </c>
      <c r="K414" s="2">
        <f t="shared" si="38"/>
        <v>2885565.9150522379</v>
      </c>
    </row>
    <row r="415" spans="3:15" x14ac:dyDescent="0.2">
      <c r="C415" s="2" t="s">
        <v>92</v>
      </c>
      <c r="D415" s="2" t="s">
        <v>101</v>
      </c>
      <c r="E415" s="3">
        <v>7</v>
      </c>
      <c r="F415" s="3">
        <v>6</v>
      </c>
      <c r="G415" s="3">
        <f t="shared" si="37"/>
        <v>0.85</v>
      </c>
      <c r="H415" s="3">
        <f t="shared" si="37"/>
        <v>0.8</v>
      </c>
      <c r="I415" s="2">
        <v>15383136311.805462</v>
      </c>
      <c r="J415" s="2">
        <v>2375182613.2618032</v>
      </c>
      <c r="K415" s="2">
        <f t="shared" si="38"/>
        <v>2959719.8208445366</v>
      </c>
    </row>
    <row r="416" spans="3:15" x14ac:dyDescent="0.2">
      <c r="C416" s="2" t="s">
        <v>92</v>
      </c>
      <c r="D416" s="2" t="s">
        <v>102</v>
      </c>
      <c r="E416" s="3">
        <v>7</v>
      </c>
      <c r="F416" s="3">
        <v>-5</v>
      </c>
      <c r="G416" s="3">
        <f t="shared" si="37"/>
        <v>0.85</v>
      </c>
      <c r="H416" s="3">
        <f t="shared" si="37"/>
        <v>0.25</v>
      </c>
      <c r="I416" s="2">
        <v>15383136311.805462</v>
      </c>
      <c r="J416" s="2">
        <v>11093241543.967829</v>
      </c>
      <c r="K416" s="2">
        <f t="shared" si="38"/>
        <v>635433068.53855896</v>
      </c>
    </row>
    <row r="417" spans="3:11" x14ac:dyDescent="0.2">
      <c r="C417" s="2" t="s">
        <v>92</v>
      </c>
      <c r="D417" s="2" t="s">
        <v>103</v>
      </c>
      <c r="E417" s="3">
        <v>7</v>
      </c>
      <c r="F417" s="3">
        <v>4</v>
      </c>
      <c r="G417" s="3">
        <f t="shared" si="37"/>
        <v>0.85</v>
      </c>
      <c r="H417" s="3">
        <f t="shared" si="37"/>
        <v>0.7</v>
      </c>
      <c r="I417" s="2">
        <v>15383136311.805462</v>
      </c>
      <c r="J417" s="2">
        <v>680353840818.19983</v>
      </c>
      <c r="K417" s="2">
        <f t="shared" si="38"/>
        <v>1043605465.6950082</v>
      </c>
    </row>
    <row r="418" spans="3:11" x14ac:dyDescent="0.2">
      <c r="C418" s="2" t="s">
        <v>92</v>
      </c>
      <c r="D418" s="2" t="s">
        <v>104</v>
      </c>
      <c r="E418" s="3">
        <v>7</v>
      </c>
      <c r="F418" s="3">
        <v>7</v>
      </c>
      <c r="G418" s="3">
        <f t="shared" si="37"/>
        <v>0.85</v>
      </c>
      <c r="H418" s="3">
        <f t="shared" si="37"/>
        <v>0.85</v>
      </c>
      <c r="I418" s="2">
        <v>15383136311.805462</v>
      </c>
      <c r="J418" s="2">
        <v>6849328422.6359911</v>
      </c>
      <c r="K418" s="2">
        <f t="shared" si="38"/>
        <v>0</v>
      </c>
    </row>
    <row r="419" spans="3:11" x14ac:dyDescent="0.2">
      <c r="C419" s="2" t="s">
        <v>93</v>
      </c>
      <c r="D419" s="2" t="s">
        <v>143</v>
      </c>
      <c r="E419" s="3">
        <v>0</v>
      </c>
      <c r="F419" s="3">
        <v>4</v>
      </c>
      <c r="G419" s="3">
        <f t="shared" si="37"/>
        <v>0.5</v>
      </c>
      <c r="H419" s="3">
        <f t="shared" si="37"/>
        <v>0.7</v>
      </c>
      <c r="I419" s="2">
        <v>19129040395.452148</v>
      </c>
      <c r="J419" s="2">
        <v>50055049171.11853</v>
      </c>
      <c r="K419" s="2">
        <f t="shared" si="38"/>
        <v>184490905.51085505</v>
      </c>
    </row>
    <row r="420" spans="3:11" x14ac:dyDescent="0.2">
      <c r="C420" s="2" t="s">
        <v>93</v>
      </c>
      <c r="D420" s="2" t="s">
        <v>94</v>
      </c>
      <c r="E420" s="3">
        <v>0</v>
      </c>
      <c r="F420" s="3">
        <v>7</v>
      </c>
      <c r="G420" s="3">
        <f t="shared" ref="G420:H460" si="39">(E420+10)/20</f>
        <v>0.5</v>
      </c>
      <c r="H420" s="3">
        <f t="shared" si="39"/>
        <v>0.85</v>
      </c>
      <c r="I420" s="2">
        <v>19129040395.452148</v>
      </c>
      <c r="J420" s="2">
        <v>24568186514.397526</v>
      </c>
      <c r="K420" s="2">
        <f t="shared" si="38"/>
        <v>356860686.43043894</v>
      </c>
    </row>
    <row r="421" spans="3:11" x14ac:dyDescent="0.2">
      <c r="C421" s="2" t="s">
        <v>93</v>
      </c>
      <c r="D421" s="2" t="s">
        <v>95</v>
      </c>
      <c r="E421" s="3">
        <v>0</v>
      </c>
      <c r="F421" s="3">
        <v>6</v>
      </c>
      <c r="G421" s="3">
        <f t="shared" si="39"/>
        <v>0.5</v>
      </c>
      <c r="H421" s="3">
        <f t="shared" si="39"/>
        <v>0.8</v>
      </c>
      <c r="I421" s="2">
        <v>19129040395.452148</v>
      </c>
      <c r="J421" s="2">
        <v>11937133415.740543</v>
      </c>
      <c r="K421" s="2">
        <f t="shared" si="38"/>
        <v>186397042.86715621</v>
      </c>
    </row>
    <row r="422" spans="3:11" x14ac:dyDescent="0.2">
      <c r="C422" s="2" t="s">
        <v>93</v>
      </c>
      <c r="D422" s="2" t="s">
        <v>96</v>
      </c>
      <c r="E422" s="3">
        <v>0</v>
      </c>
      <c r="F422" s="3">
        <v>7</v>
      </c>
      <c r="G422" s="3">
        <f t="shared" si="39"/>
        <v>0.5</v>
      </c>
      <c r="H422" s="3">
        <f t="shared" si="39"/>
        <v>0.85</v>
      </c>
      <c r="I422" s="2">
        <v>19129040395.452148</v>
      </c>
      <c r="J422" s="2">
        <v>25356946951.594219</v>
      </c>
      <c r="K422" s="2">
        <f t="shared" si="38"/>
        <v>363302230.00087869</v>
      </c>
    </row>
    <row r="423" spans="3:11" x14ac:dyDescent="0.2">
      <c r="C423" s="2" t="s">
        <v>93</v>
      </c>
      <c r="D423" s="2" t="s">
        <v>97</v>
      </c>
      <c r="E423" s="3">
        <v>0</v>
      </c>
      <c r="F423" s="3">
        <v>-4</v>
      </c>
      <c r="G423" s="3">
        <f t="shared" si="39"/>
        <v>0.5</v>
      </c>
      <c r="H423" s="3">
        <f t="shared" si="39"/>
        <v>0.3</v>
      </c>
      <c r="I423" s="2">
        <v>19129040395.452148</v>
      </c>
      <c r="J423" s="2">
        <v>7012076136.58358</v>
      </c>
      <c r="K423" s="2">
        <f t="shared" si="38"/>
        <v>69709644.085428625</v>
      </c>
    </row>
    <row r="424" spans="3:11" x14ac:dyDescent="0.2">
      <c r="C424" s="2" t="s">
        <v>93</v>
      </c>
      <c r="D424" s="2" t="s">
        <v>144</v>
      </c>
      <c r="E424" s="3">
        <v>0</v>
      </c>
      <c r="F424" s="3">
        <v>10</v>
      </c>
      <c r="G424" s="3">
        <f t="shared" si="39"/>
        <v>0.5</v>
      </c>
      <c r="H424" s="3">
        <f t="shared" si="39"/>
        <v>1</v>
      </c>
      <c r="I424" s="2">
        <v>19129040395.452148</v>
      </c>
      <c r="J424" s="2">
        <v>2807818687.1596055</v>
      </c>
      <c r="K424" s="2">
        <f t="shared" si="38"/>
        <v>365614318.04352927</v>
      </c>
    </row>
    <row r="425" spans="3:11" x14ac:dyDescent="0.2">
      <c r="C425" s="2" t="s">
        <v>93</v>
      </c>
      <c r="D425" s="2" t="s">
        <v>145</v>
      </c>
      <c r="E425" s="3">
        <v>0</v>
      </c>
      <c r="F425" s="3">
        <v>-5</v>
      </c>
      <c r="G425" s="3">
        <f t="shared" si="39"/>
        <v>0.5</v>
      </c>
      <c r="H425" s="3">
        <f t="shared" si="39"/>
        <v>0.25</v>
      </c>
      <c r="I425" s="2">
        <v>19129040395.452148</v>
      </c>
      <c r="J425" s="2">
        <v>2373579534.8736606</v>
      </c>
      <c r="K425" s="2">
        <f t="shared" si="38"/>
        <v>89594249.709690869</v>
      </c>
    </row>
    <row r="426" spans="3:11" x14ac:dyDescent="0.2">
      <c r="C426" s="2" t="s">
        <v>93</v>
      </c>
      <c r="D426" s="2" t="s">
        <v>98</v>
      </c>
      <c r="E426" s="3">
        <v>0</v>
      </c>
      <c r="F426" s="3">
        <v>8</v>
      </c>
      <c r="G426" s="3">
        <f t="shared" si="39"/>
        <v>0.5</v>
      </c>
      <c r="H426" s="3">
        <f t="shared" si="39"/>
        <v>0.9</v>
      </c>
      <c r="I426" s="2">
        <v>19129040395.452148</v>
      </c>
      <c r="J426" s="2">
        <v>63681669732.4916</v>
      </c>
      <c r="K426" s="2">
        <f t="shared" si="38"/>
        <v>883314241.36473358</v>
      </c>
    </row>
    <row r="427" spans="3:11" x14ac:dyDescent="0.2">
      <c r="C427" s="2" t="s">
        <v>93</v>
      </c>
      <c r="D427" s="2" t="s">
        <v>99</v>
      </c>
      <c r="E427" s="3">
        <v>0</v>
      </c>
      <c r="F427" s="3">
        <v>-1</v>
      </c>
      <c r="G427" s="3">
        <f t="shared" si="39"/>
        <v>0.5</v>
      </c>
      <c r="H427" s="3">
        <f t="shared" si="39"/>
        <v>0.45</v>
      </c>
      <c r="I427" s="2">
        <v>19129040395.452148</v>
      </c>
      <c r="J427" s="2">
        <v>12184564690.830519</v>
      </c>
      <c r="K427" s="2">
        <f t="shared" si="38"/>
        <v>5218934.181047109</v>
      </c>
    </row>
    <row r="428" spans="3:11" x14ac:dyDescent="0.2">
      <c r="C428" s="2" t="s">
        <v>93</v>
      </c>
      <c r="D428" s="2" t="s">
        <v>100</v>
      </c>
      <c r="E428" s="3">
        <v>0</v>
      </c>
      <c r="F428" s="3">
        <v>6</v>
      </c>
      <c r="G428" s="3">
        <f t="shared" si="39"/>
        <v>0.5</v>
      </c>
      <c r="H428" s="3">
        <f t="shared" si="39"/>
        <v>0.8</v>
      </c>
      <c r="I428" s="2">
        <v>19129040395.452148</v>
      </c>
      <c r="J428" s="2">
        <v>1930259178.5080106</v>
      </c>
      <c r="K428" s="2">
        <f t="shared" si="38"/>
        <v>126355797.44376098</v>
      </c>
    </row>
    <row r="429" spans="3:11" x14ac:dyDescent="0.2">
      <c r="C429" s="2" t="s">
        <v>93</v>
      </c>
      <c r="D429" s="2" t="s">
        <v>101</v>
      </c>
      <c r="E429" s="3">
        <v>0</v>
      </c>
      <c r="F429" s="3">
        <v>6</v>
      </c>
      <c r="G429" s="3">
        <f t="shared" si="39"/>
        <v>0.5</v>
      </c>
      <c r="H429" s="3">
        <f t="shared" si="39"/>
        <v>0.8</v>
      </c>
      <c r="I429" s="2">
        <v>19129040395.452148</v>
      </c>
      <c r="J429" s="2">
        <v>2375182613.2618032</v>
      </c>
      <c r="K429" s="2">
        <f t="shared" si="38"/>
        <v>129025338.05228375</v>
      </c>
    </row>
    <row r="430" spans="3:11" x14ac:dyDescent="0.2">
      <c r="C430" s="2" t="s">
        <v>93</v>
      </c>
      <c r="D430" s="2" t="s">
        <v>102</v>
      </c>
      <c r="E430" s="3">
        <v>0</v>
      </c>
      <c r="F430" s="3">
        <v>-5</v>
      </c>
      <c r="G430" s="3">
        <f t="shared" si="39"/>
        <v>0.5</v>
      </c>
      <c r="H430" s="3">
        <f t="shared" si="39"/>
        <v>0.25</v>
      </c>
      <c r="I430" s="2">
        <v>19129040395.452148</v>
      </c>
      <c r="J430" s="2">
        <v>11093241543.967829</v>
      </c>
      <c r="K430" s="2">
        <f t="shared" si="38"/>
        <v>125926174.74758323</v>
      </c>
    </row>
    <row r="431" spans="3:11" x14ac:dyDescent="0.2">
      <c r="C431" s="2" t="s">
        <v>93</v>
      </c>
      <c r="D431" s="2" t="s">
        <v>103</v>
      </c>
      <c r="E431" s="3">
        <v>0</v>
      </c>
      <c r="F431" s="3">
        <v>4</v>
      </c>
      <c r="G431" s="3">
        <f t="shared" si="39"/>
        <v>0.5</v>
      </c>
      <c r="H431" s="3">
        <f t="shared" si="39"/>
        <v>0.7</v>
      </c>
      <c r="I431" s="2">
        <v>19129040395.452148</v>
      </c>
      <c r="J431" s="2">
        <v>680353840818.19983</v>
      </c>
      <c r="K431" s="2">
        <f t="shared" si="38"/>
        <v>1865287683.2364044</v>
      </c>
    </row>
    <row r="432" spans="3:11" x14ac:dyDescent="0.2">
      <c r="C432" s="2" t="s">
        <v>93</v>
      </c>
      <c r="D432" s="2" t="s">
        <v>104</v>
      </c>
      <c r="E432" s="3">
        <v>0</v>
      </c>
      <c r="F432" s="3">
        <v>7</v>
      </c>
      <c r="G432" s="3">
        <f t="shared" si="39"/>
        <v>0.5</v>
      </c>
      <c r="H432" s="3">
        <f t="shared" si="39"/>
        <v>0.85</v>
      </c>
      <c r="I432" s="2">
        <v>19129040395.452148</v>
      </c>
      <c r="J432" s="2">
        <v>6849328422.6359911</v>
      </c>
      <c r="K432" s="2">
        <f t="shared" si="38"/>
        <v>212156678.6810531</v>
      </c>
    </row>
    <row r="433" spans="3:11" x14ac:dyDescent="0.2">
      <c r="C433" s="2" t="s">
        <v>143</v>
      </c>
      <c r="D433" s="2" t="s">
        <v>94</v>
      </c>
      <c r="E433" s="3">
        <v>4</v>
      </c>
      <c r="F433" s="3">
        <v>7</v>
      </c>
      <c r="G433" s="3">
        <f t="shared" si="39"/>
        <v>0.7</v>
      </c>
      <c r="H433" s="3">
        <f t="shared" si="39"/>
        <v>0.85</v>
      </c>
      <c r="I433" s="2">
        <v>50055049171.11853</v>
      </c>
      <c r="J433" s="2">
        <v>24568186514.397526</v>
      </c>
      <c r="K433" s="2">
        <f t="shared" si="38"/>
        <v>111934853.52827412</v>
      </c>
    </row>
    <row r="434" spans="3:11" x14ac:dyDescent="0.2">
      <c r="C434" s="2" t="s">
        <v>143</v>
      </c>
      <c r="D434" s="2" t="s">
        <v>95</v>
      </c>
      <c r="E434" s="3">
        <v>4</v>
      </c>
      <c r="F434" s="3">
        <v>6</v>
      </c>
      <c r="G434" s="3">
        <f t="shared" si="39"/>
        <v>0.7</v>
      </c>
      <c r="H434" s="3">
        <f t="shared" si="39"/>
        <v>0.8</v>
      </c>
      <c r="I434" s="2">
        <v>50055049171.11853</v>
      </c>
      <c r="J434" s="2">
        <v>11937133415.740543</v>
      </c>
      <c r="K434" s="2">
        <f t="shared" si="38"/>
        <v>41328121.724572785</v>
      </c>
    </row>
    <row r="435" spans="3:11" x14ac:dyDescent="0.2">
      <c r="C435" s="2" t="s">
        <v>143</v>
      </c>
      <c r="D435" s="2" t="s">
        <v>96</v>
      </c>
      <c r="E435" s="3">
        <v>4</v>
      </c>
      <c r="F435" s="3">
        <v>7</v>
      </c>
      <c r="G435" s="3">
        <f t="shared" si="39"/>
        <v>0.7</v>
      </c>
      <c r="H435" s="3">
        <f t="shared" si="39"/>
        <v>0.85</v>
      </c>
      <c r="I435" s="2">
        <v>50055049171.11853</v>
      </c>
      <c r="J435" s="2">
        <v>25356946951.594219</v>
      </c>
      <c r="K435" s="2">
        <f t="shared" si="38"/>
        <v>113117994.18406916</v>
      </c>
    </row>
    <row r="436" spans="3:11" x14ac:dyDescent="0.2">
      <c r="C436" s="2" t="s">
        <v>143</v>
      </c>
      <c r="D436" s="2" t="s">
        <v>97</v>
      </c>
      <c r="E436" s="3">
        <v>4</v>
      </c>
      <c r="F436" s="3">
        <v>-4</v>
      </c>
      <c r="G436" s="3">
        <f t="shared" si="39"/>
        <v>0.7</v>
      </c>
      <c r="H436" s="3">
        <f t="shared" si="39"/>
        <v>0.3</v>
      </c>
      <c r="I436" s="2">
        <v>50055049171.11853</v>
      </c>
      <c r="J436" s="2">
        <v>7012076136.58358</v>
      </c>
      <c r="K436" s="2">
        <f t="shared" si="38"/>
        <v>608716003.28215575</v>
      </c>
    </row>
    <row r="437" spans="3:11" x14ac:dyDescent="0.2">
      <c r="C437" s="2" t="s">
        <v>143</v>
      </c>
      <c r="D437" s="2" t="s">
        <v>144</v>
      </c>
      <c r="E437" s="3">
        <v>4</v>
      </c>
      <c r="F437" s="3">
        <v>10</v>
      </c>
      <c r="G437" s="3">
        <f t="shared" si="39"/>
        <v>0.7</v>
      </c>
      <c r="H437" s="3">
        <f t="shared" si="39"/>
        <v>1</v>
      </c>
      <c r="I437" s="2">
        <v>50055049171.11853</v>
      </c>
      <c r="J437" s="2">
        <v>2807818687.1596055</v>
      </c>
      <c r="K437" s="2">
        <f t="shared" si="38"/>
        <v>317177207.14966887</v>
      </c>
    </row>
    <row r="438" spans="3:11" x14ac:dyDescent="0.2">
      <c r="C438" s="2" t="s">
        <v>143</v>
      </c>
      <c r="D438" s="2" t="s">
        <v>145</v>
      </c>
      <c r="E438" s="3">
        <v>4</v>
      </c>
      <c r="F438" s="3">
        <v>-5</v>
      </c>
      <c r="G438" s="3">
        <f t="shared" si="39"/>
        <v>0.7</v>
      </c>
      <c r="H438" s="3">
        <f t="shared" si="39"/>
        <v>0.25</v>
      </c>
      <c r="I438" s="2">
        <v>50055049171.11853</v>
      </c>
      <c r="J438" s="2">
        <v>2373579534.8736606</v>
      </c>
      <c r="K438" s="2">
        <f t="shared" si="38"/>
        <v>707786487.5308944</v>
      </c>
    </row>
    <row r="439" spans="3:11" x14ac:dyDescent="0.2">
      <c r="C439" s="2" t="s">
        <v>143</v>
      </c>
      <c r="D439" s="2" t="s">
        <v>98</v>
      </c>
      <c r="E439" s="3">
        <v>4</v>
      </c>
      <c r="F439" s="3">
        <v>8</v>
      </c>
      <c r="G439" s="3">
        <f t="shared" si="39"/>
        <v>0.7</v>
      </c>
      <c r="H439" s="3">
        <f t="shared" si="39"/>
        <v>0.9</v>
      </c>
      <c r="I439" s="2">
        <v>50055049171.11853</v>
      </c>
      <c r="J439" s="2">
        <v>63681669732.4916</v>
      </c>
      <c r="K439" s="2">
        <f t="shared" si="38"/>
        <v>303297917.07629395</v>
      </c>
    </row>
    <row r="440" spans="3:11" x14ac:dyDescent="0.2">
      <c r="C440" s="2" t="s">
        <v>143</v>
      </c>
      <c r="D440" s="2" t="s">
        <v>99</v>
      </c>
      <c r="E440" s="3">
        <v>4</v>
      </c>
      <c r="F440" s="3">
        <v>-1</v>
      </c>
      <c r="G440" s="3">
        <f t="shared" si="39"/>
        <v>0.7</v>
      </c>
      <c r="H440" s="3">
        <f t="shared" si="39"/>
        <v>0.45</v>
      </c>
      <c r="I440" s="2">
        <v>50055049171.11853</v>
      </c>
      <c r="J440" s="2">
        <v>12184564690.830519</v>
      </c>
      <c r="K440" s="2">
        <f t="shared" si="38"/>
        <v>259331724.42478758</v>
      </c>
    </row>
    <row r="441" spans="3:11" x14ac:dyDescent="0.2">
      <c r="C441" s="2" t="s">
        <v>143</v>
      </c>
      <c r="D441" s="2" t="s">
        <v>100</v>
      </c>
      <c r="E441" s="3">
        <v>4</v>
      </c>
      <c r="F441" s="3">
        <v>6</v>
      </c>
      <c r="G441" s="3">
        <f t="shared" si="39"/>
        <v>0.7</v>
      </c>
      <c r="H441" s="3">
        <f t="shared" si="39"/>
        <v>0.8</v>
      </c>
      <c r="I441" s="2">
        <v>50055049171.11853</v>
      </c>
      <c r="J441" s="2">
        <v>1930259178.5080106</v>
      </c>
      <c r="K441" s="2">
        <f t="shared" si="38"/>
        <v>34656872.233084418</v>
      </c>
    </row>
    <row r="442" spans="3:11" x14ac:dyDescent="0.2">
      <c r="C442" s="2" t="s">
        <v>143</v>
      </c>
      <c r="D442" s="2" t="s">
        <v>101</v>
      </c>
      <c r="E442" s="3">
        <v>4</v>
      </c>
      <c r="F442" s="3">
        <v>6</v>
      </c>
      <c r="G442" s="3">
        <f t="shared" si="39"/>
        <v>0.7</v>
      </c>
      <c r="H442" s="3">
        <f t="shared" si="39"/>
        <v>0.8</v>
      </c>
      <c r="I442" s="2">
        <v>50055049171.11853</v>
      </c>
      <c r="J442" s="2">
        <v>2375182613.2618032</v>
      </c>
      <c r="K442" s="2">
        <f t="shared" si="38"/>
        <v>34953487.856253617</v>
      </c>
    </row>
    <row r="443" spans="3:11" x14ac:dyDescent="0.2">
      <c r="C443" s="2" t="s">
        <v>143</v>
      </c>
      <c r="D443" s="2" t="s">
        <v>102</v>
      </c>
      <c r="E443" s="3">
        <v>4</v>
      </c>
      <c r="F443" s="3">
        <v>-5</v>
      </c>
      <c r="G443" s="3">
        <f t="shared" si="39"/>
        <v>0.7</v>
      </c>
      <c r="H443" s="3">
        <f t="shared" si="39"/>
        <v>0.25</v>
      </c>
      <c r="I443" s="2">
        <v>50055049171.11853</v>
      </c>
      <c r="J443" s="2">
        <v>11093241543.967829</v>
      </c>
      <c r="K443" s="2">
        <f t="shared" si="38"/>
        <v>825501924.65366566</v>
      </c>
    </row>
    <row r="444" spans="3:11" x14ac:dyDescent="0.2">
      <c r="C444" s="2" t="s">
        <v>143</v>
      </c>
      <c r="D444" s="2" t="s">
        <v>103</v>
      </c>
      <c r="E444" s="3">
        <v>4</v>
      </c>
      <c r="F444" s="3">
        <v>4</v>
      </c>
      <c r="G444" s="3">
        <f t="shared" si="39"/>
        <v>0.7</v>
      </c>
      <c r="H444" s="3">
        <f t="shared" si="39"/>
        <v>0.7</v>
      </c>
      <c r="I444" s="2">
        <v>50055049171.11853</v>
      </c>
      <c r="J444" s="2">
        <v>680353840818.19983</v>
      </c>
      <c r="K444" s="2">
        <f t="shared" si="38"/>
        <v>0</v>
      </c>
    </row>
    <row r="445" spans="3:11" x14ac:dyDescent="0.2">
      <c r="C445" s="2" t="s">
        <v>143</v>
      </c>
      <c r="D445" s="2" t="s">
        <v>104</v>
      </c>
      <c r="E445" s="3">
        <v>4</v>
      </c>
      <c r="F445" s="3">
        <v>7</v>
      </c>
      <c r="G445" s="3">
        <f t="shared" si="39"/>
        <v>0.7</v>
      </c>
      <c r="H445" s="3">
        <f t="shared" si="39"/>
        <v>0.85</v>
      </c>
      <c r="I445" s="2">
        <v>50055049171.11853</v>
      </c>
      <c r="J445" s="2">
        <v>6849328422.6359911</v>
      </c>
      <c r="K445" s="2">
        <f t="shared" si="38"/>
        <v>85356566.39063181</v>
      </c>
    </row>
    <row r="446" spans="3:11" x14ac:dyDescent="0.2">
      <c r="C446" s="2" t="s">
        <v>94</v>
      </c>
      <c r="D446" s="2" t="s">
        <v>95</v>
      </c>
      <c r="E446" s="3">
        <v>7</v>
      </c>
      <c r="F446" s="3">
        <v>6</v>
      </c>
      <c r="G446" s="3">
        <f t="shared" si="39"/>
        <v>0.85</v>
      </c>
      <c r="H446" s="3">
        <f t="shared" si="39"/>
        <v>0.8</v>
      </c>
      <c r="I446" s="2">
        <v>24568186514.397526</v>
      </c>
      <c r="J446" s="2">
        <v>11937133415.740543</v>
      </c>
      <c r="K446" s="2">
        <f t="shared" si="38"/>
        <v>6084219.9883563286</v>
      </c>
    </row>
    <row r="447" spans="3:11" x14ac:dyDescent="0.2">
      <c r="C447" s="2" t="s">
        <v>94</v>
      </c>
      <c r="D447" s="2" t="s">
        <v>96</v>
      </c>
      <c r="E447" s="3">
        <v>7</v>
      </c>
      <c r="F447" s="3">
        <v>7</v>
      </c>
      <c r="G447" s="3">
        <f t="shared" si="39"/>
        <v>0.85</v>
      </c>
      <c r="H447" s="3">
        <f t="shared" si="39"/>
        <v>0.85</v>
      </c>
      <c r="I447" s="2">
        <v>24568186514.397526</v>
      </c>
      <c r="J447" s="2">
        <v>25356946951.594219</v>
      </c>
      <c r="K447" s="2">
        <f t="shared" si="38"/>
        <v>0</v>
      </c>
    </row>
    <row r="448" spans="3:11" x14ac:dyDescent="0.2">
      <c r="C448" s="2" t="s">
        <v>94</v>
      </c>
      <c r="D448" s="2" t="s">
        <v>97</v>
      </c>
      <c r="E448" s="3">
        <v>7</v>
      </c>
      <c r="F448" s="3">
        <v>-2</v>
      </c>
      <c r="G448" s="3">
        <f t="shared" si="39"/>
        <v>0.85</v>
      </c>
      <c r="H448" s="3">
        <f t="shared" si="39"/>
        <v>0.4</v>
      </c>
      <c r="I448" s="2">
        <v>24568186514.397526</v>
      </c>
      <c r="J448" s="2">
        <v>7012076136.58358</v>
      </c>
      <c r="K448" s="2">
        <f t="shared" si="38"/>
        <v>426333545.78824484</v>
      </c>
    </row>
    <row r="449" spans="3:11" x14ac:dyDescent="0.2">
      <c r="C449" s="2" t="s">
        <v>94</v>
      </c>
      <c r="D449" s="2" t="s">
        <v>144</v>
      </c>
      <c r="E449" s="3">
        <v>7</v>
      </c>
      <c r="F449" s="3">
        <v>10</v>
      </c>
      <c r="G449" s="3">
        <f t="shared" si="39"/>
        <v>0.85</v>
      </c>
      <c r="H449" s="3">
        <f t="shared" si="39"/>
        <v>1</v>
      </c>
      <c r="I449" s="2">
        <v>24568186514.397526</v>
      </c>
      <c r="J449" s="2">
        <v>2807818687.1596055</v>
      </c>
      <c r="K449" s="2">
        <f t="shared" si="38"/>
        <v>41064007.802335709</v>
      </c>
    </row>
    <row r="450" spans="3:11" x14ac:dyDescent="0.2">
      <c r="C450" s="2" t="s">
        <v>94</v>
      </c>
      <c r="D450" s="2" t="s">
        <v>145</v>
      </c>
      <c r="E450" s="3">
        <v>7</v>
      </c>
      <c r="F450" s="3">
        <v>-5</v>
      </c>
      <c r="G450" s="3">
        <f t="shared" si="39"/>
        <v>0.85</v>
      </c>
      <c r="H450" s="3">
        <f t="shared" si="39"/>
        <v>0.25</v>
      </c>
      <c r="I450" s="2">
        <v>24568186514.397526</v>
      </c>
      <c r="J450" s="2">
        <v>2373579534.8736606</v>
      </c>
      <c r="K450" s="2">
        <f t="shared" si="38"/>
        <v>646602385.18250847</v>
      </c>
    </row>
    <row r="451" spans="3:11" x14ac:dyDescent="0.2">
      <c r="C451" s="2" t="s">
        <v>94</v>
      </c>
      <c r="D451" s="2" t="s">
        <v>98</v>
      </c>
      <c r="E451" s="3">
        <v>7</v>
      </c>
      <c r="F451" s="3">
        <v>-1</v>
      </c>
      <c r="G451" s="3">
        <f t="shared" si="39"/>
        <v>0.85</v>
      </c>
      <c r="H451" s="3">
        <f t="shared" si="39"/>
        <v>0.45</v>
      </c>
      <c r="I451" s="2">
        <v>24568186514.397526</v>
      </c>
      <c r="J451" s="2">
        <v>63681669732.4916</v>
      </c>
      <c r="K451" s="2">
        <f t="shared" si="38"/>
        <v>941331799.96681714</v>
      </c>
    </row>
    <row r="452" spans="3:11" x14ac:dyDescent="0.2">
      <c r="C452" s="2" t="s">
        <v>94</v>
      </c>
      <c r="D452" s="2" t="s">
        <v>99</v>
      </c>
      <c r="E452" s="3">
        <v>7</v>
      </c>
      <c r="F452" s="3">
        <v>4</v>
      </c>
      <c r="G452" s="3">
        <f t="shared" si="39"/>
        <v>0.85</v>
      </c>
      <c r="H452" s="3">
        <f t="shared" si="39"/>
        <v>0.7</v>
      </c>
      <c r="I452" s="2">
        <v>24568186514.397526</v>
      </c>
      <c r="J452" s="2">
        <v>12184564690.830519</v>
      </c>
      <c r="K452" s="2">
        <f t="shared" si="38"/>
        <v>55129126.807842076</v>
      </c>
    </row>
    <row r="453" spans="3:11" x14ac:dyDescent="0.2">
      <c r="C453" s="2" t="s">
        <v>94</v>
      </c>
      <c r="D453" s="2" t="s">
        <v>100</v>
      </c>
      <c r="E453" s="3">
        <v>7</v>
      </c>
      <c r="F453" s="3">
        <v>6</v>
      </c>
      <c r="G453" s="3">
        <f t="shared" si="39"/>
        <v>0.85</v>
      </c>
      <c r="H453" s="3">
        <f t="shared" si="39"/>
        <v>0.8</v>
      </c>
      <c r="I453" s="2">
        <v>24568186514.397526</v>
      </c>
      <c r="J453" s="2">
        <v>1930259178.5080106</v>
      </c>
      <c r="K453" s="2">
        <f t="shared" si="38"/>
        <v>4416407.6154842451</v>
      </c>
    </row>
    <row r="454" spans="3:11" x14ac:dyDescent="0.2">
      <c r="C454" s="2" t="s">
        <v>94</v>
      </c>
      <c r="D454" s="2" t="s">
        <v>101</v>
      </c>
      <c r="E454" s="3">
        <v>7</v>
      </c>
      <c r="F454" s="3">
        <v>6</v>
      </c>
      <c r="G454" s="3">
        <f t="shared" si="39"/>
        <v>0.85</v>
      </c>
      <c r="H454" s="3">
        <f t="shared" si="39"/>
        <v>0.8</v>
      </c>
      <c r="I454" s="2">
        <v>24568186514.397526</v>
      </c>
      <c r="J454" s="2">
        <v>2375182613.2618032</v>
      </c>
      <c r="K454" s="2">
        <f t="shared" si="38"/>
        <v>4490561.5212765429</v>
      </c>
    </row>
    <row r="455" spans="3:11" x14ac:dyDescent="0.2">
      <c r="C455" s="2" t="s">
        <v>94</v>
      </c>
      <c r="D455" s="2" t="s">
        <v>102</v>
      </c>
      <c r="E455" s="3">
        <v>7</v>
      </c>
      <c r="F455" s="3">
        <v>-5</v>
      </c>
      <c r="G455" s="3">
        <f t="shared" si="39"/>
        <v>0.85</v>
      </c>
      <c r="H455" s="3">
        <f t="shared" si="39"/>
        <v>0.25</v>
      </c>
      <c r="I455" s="2">
        <v>24568186514.397526</v>
      </c>
      <c r="J455" s="2">
        <v>11093241543.967829</v>
      </c>
      <c r="K455" s="2">
        <f t="shared" si="38"/>
        <v>855874273.40076852</v>
      </c>
    </row>
    <row r="456" spans="3:11" x14ac:dyDescent="0.2">
      <c r="C456" s="2" t="s">
        <v>94</v>
      </c>
      <c r="D456" s="2" t="s">
        <v>103</v>
      </c>
      <c r="E456" s="3">
        <v>7</v>
      </c>
      <c r="F456" s="3">
        <v>4</v>
      </c>
      <c r="G456" s="3">
        <f t="shared" si="39"/>
        <v>0.85</v>
      </c>
      <c r="H456" s="3">
        <f t="shared" si="39"/>
        <v>0.7</v>
      </c>
      <c r="I456" s="2">
        <v>24568186514.397526</v>
      </c>
      <c r="J456" s="2">
        <v>680353840818.19983</v>
      </c>
      <c r="K456" s="2">
        <f t="shared" si="38"/>
        <v>1057383040.9988965</v>
      </c>
    </row>
    <row r="457" spans="3:11" x14ac:dyDescent="0.2">
      <c r="C457" s="2" t="s">
        <v>94</v>
      </c>
      <c r="D457" s="2" t="s">
        <v>104</v>
      </c>
      <c r="E457" s="3">
        <v>5</v>
      </c>
      <c r="F457" s="3">
        <v>7</v>
      </c>
      <c r="G457" s="3">
        <f t="shared" si="39"/>
        <v>0.75</v>
      </c>
      <c r="H457" s="3">
        <f t="shared" si="39"/>
        <v>0.85</v>
      </c>
      <c r="I457" s="2">
        <v>24568186514.397526</v>
      </c>
      <c r="J457" s="2">
        <v>6849328422.6359911</v>
      </c>
      <c r="K457" s="2">
        <f t="shared" si="38"/>
        <v>20945009.958022334</v>
      </c>
    </row>
    <row r="458" spans="3:11" x14ac:dyDescent="0.2">
      <c r="C458" s="2" t="s">
        <v>95</v>
      </c>
      <c r="D458" s="2" t="s">
        <v>96</v>
      </c>
      <c r="E458" s="3">
        <v>6</v>
      </c>
      <c r="F458" s="3">
        <v>7</v>
      </c>
      <c r="G458" s="3">
        <f t="shared" si="39"/>
        <v>0.8</v>
      </c>
      <c r="H458" s="3">
        <f t="shared" si="39"/>
        <v>0.85</v>
      </c>
      <c r="I458" s="2">
        <v>11937133415.740543</v>
      </c>
      <c r="J458" s="2">
        <v>25356946951.594219</v>
      </c>
      <c r="K458" s="2">
        <f t="shared" si="38"/>
        <v>6215680.0612224443</v>
      </c>
    </row>
    <row r="459" spans="3:11" x14ac:dyDescent="0.2">
      <c r="C459" s="2" t="s">
        <v>95</v>
      </c>
      <c r="D459" s="2" t="s">
        <v>97</v>
      </c>
      <c r="E459" s="3">
        <v>6</v>
      </c>
      <c r="F459" s="3">
        <v>-4</v>
      </c>
      <c r="G459" s="3">
        <f t="shared" si="39"/>
        <v>0.8</v>
      </c>
      <c r="H459" s="3">
        <f t="shared" si="39"/>
        <v>0.3</v>
      </c>
      <c r="I459" s="2">
        <v>11937133415.740543</v>
      </c>
      <c r="J459" s="2">
        <v>7012076136.58358</v>
      </c>
      <c r="K459" s="2">
        <f t="shared" si="38"/>
        <v>315820159.20540208</v>
      </c>
    </row>
    <row r="460" spans="3:11" x14ac:dyDescent="0.2">
      <c r="C460" s="2" t="s">
        <v>95</v>
      </c>
      <c r="D460" s="2" t="s">
        <v>144</v>
      </c>
      <c r="E460" s="3">
        <v>6</v>
      </c>
      <c r="F460" s="3">
        <v>10</v>
      </c>
      <c r="G460" s="3">
        <f t="shared" si="39"/>
        <v>0.8</v>
      </c>
      <c r="H460" s="3">
        <f t="shared" si="39"/>
        <v>1</v>
      </c>
      <c r="I460" s="2">
        <v>11937133415.740543</v>
      </c>
      <c r="J460" s="2">
        <v>2807818687.1596055</v>
      </c>
      <c r="K460" s="2">
        <f t="shared" si="38"/>
        <v>39319872.274400376</v>
      </c>
    </row>
    <row r="461" spans="3:11" x14ac:dyDescent="0.2">
      <c r="C461" s="2" t="s">
        <v>95</v>
      </c>
      <c r="D461" s="2" t="s">
        <v>145</v>
      </c>
      <c r="E461" s="3">
        <v>6</v>
      </c>
      <c r="F461" s="3">
        <v>-5</v>
      </c>
      <c r="G461" s="3">
        <f t="shared" ref="G461:H476" si="40">(E461+10)/20</f>
        <v>0.8</v>
      </c>
      <c r="H461" s="3">
        <f t="shared" si="40"/>
        <v>0.25</v>
      </c>
      <c r="I461" s="2">
        <v>11937133415.740543</v>
      </c>
      <c r="J461" s="2">
        <v>2373579534.8736606</v>
      </c>
      <c r="K461" s="2">
        <f t="shared" si="38"/>
        <v>288599377.83738649</v>
      </c>
    </row>
    <row r="462" spans="3:11" x14ac:dyDescent="0.2">
      <c r="C462" s="2" t="s">
        <v>95</v>
      </c>
      <c r="D462" s="2" t="s">
        <v>98</v>
      </c>
      <c r="E462" s="3">
        <v>6</v>
      </c>
      <c r="F462" s="3">
        <v>8</v>
      </c>
      <c r="G462" s="3">
        <f t="shared" si="40"/>
        <v>0.8</v>
      </c>
      <c r="H462" s="3">
        <f t="shared" si="40"/>
        <v>0.9</v>
      </c>
      <c r="I462" s="2">
        <v>11937133415.740543</v>
      </c>
      <c r="J462" s="2">
        <v>63681669732.4916</v>
      </c>
      <c r="K462" s="2">
        <f t="shared" si="38"/>
        <v>50412535.432154737</v>
      </c>
    </row>
    <row r="463" spans="3:11" x14ac:dyDescent="0.2">
      <c r="C463" s="2" t="s">
        <v>95</v>
      </c>
      <c r="D463" s="2" t="s">
        <v>99</v>
      </c>
      <c r="E463" s="3">
        <v>6</v>
      </c>
      <c r="F463" s="3">
        <v>-1</v>
      </c>
      <c r="G463" s="3">
        <f t="shared" si="40"/>
        <v>0.8</v>
      </c>
      <c r="H463" s="3">
        <f t="shared" si="40"/>
        <v>0.45</v>
      </c>
      <c r="I463" s="2">
        <v>11937133415.740543</v>
      </c>
      <c r="J463" s="2">
        <v>12184564690.830519</v>
      </c>
      <c r="K463" s="2">
        <f t="shared" si="38"/>
        <v>196993867.87033036</v>
      </c>
    </row>
    <row r="464" spans="3:11" x14ac:dyDescent="0.2">
      <c r="C464" s="2" t="s">
        <v>95</v>
      </c>
      <c r="D464" s="2" t="s">
        <v>100</v>
      </c>
      <c r="E464" s="3">
        <v>6</v>
      </c>
      <c r="F464" s="3">
        <v>6</v>
      </c>
      <c r="G464" s="3">
        <f t="shared" si="40"/>
        <v>0.8</v>
      </c>
      <c r="H464" s="3">
        <f t="shared" si="40"/>
        <v>0.8</v>
      </c>
      <c r="I464" s="2">
        <v>11937133415.740543</v>
      </c>
      <c r="J464" s="2">
        <v>1930259178.5080106</v>
      </c>
      <c r="K464" s="2">
        <f t="shared" si="38"/>
        <v>0</v>
      </c>
    </row>
    <row r="465" spans="3:11" x14ac:dyDescent="0.2">
      <c r="C465" s="2" t="s">
        <v>95</v>
      </c>
      <c r="D465" s="2" t="s">
        <v>101</v>
      </c>
      <c r="E465" s="3">
        <v>6</v>
      </c>
      <c r="F465" s="3">
        <v>6</v>
      </c>
      <c r="G465" s="3">
        <f t="shared" si="40"/>
        <v>0.8</v>
      </c>
      <c r="H465" s="3">
        <f t="shared" si="40"/>
        <v>0.8</v>
      </c>
      <c r="I465" s="2">
        <v>11937133415.740543</v>
      </c>
      <c r="J465" s="2">
        <v>2375182613.2618032</v>
      </c>
      <c r="K465" s="2">
        <f t="shared" si="38"/>
        <v>0</v>
      </c>
    </row>
    <row r="466" spans="3:11" x14ac:dyDescent="0.2">
      <c r="C466" s="2" t="s">
        <v>95</v>
      </c>
      <c r="D466" s="2" t="s">
        <v>102</v>
      </c>
      <c r="E466" s="3">
        <v>6</v>
      </c>
      <c r="F466" s="3">
        <v>-5</v>
      </c>
      <c r="G466" s="3">
        <f t="shared" si="40"/>
        <v>0.8</v>
      </c>
      <c r="H466" s="3">
        <f t="shared" si="40"/>
        <v>0.25</v>
      </c>
      <c r="I466" s="2">
        <v>11937133415.740543</v>
      </c>
      <c r="J466" s="2">
        <v>11093241543.967829</v>
      </c>
      <c r="K466" s="2">
        <f t="shared" si="38"/>
        <v>464445895.02078563</v>
      </c>
    </row>
    <row r="467" spans="3:11" x14ac:dyDescent="0.2">
      <c r="C467" s="2" t="s">
        <v>95</v>
      </c>
      <c r="D467" s="2" t="s">
        <v>103</v>
      </c>
      <c r="E467" s="3">
        <v>6</v>
      </c>
      <c r="F467" s="3">
        <v>4</v>
      </c>
      <c r="G467" s="3">
        <f t="shared" si="40"/>
        <v>0.8</v>
      </c>
      <c r="H467" s="3">
        <f t="shared" si="40"/>
        <v>0.7</v>
      </c>
      <c r="I467" s="2">
        <v>11937133415.740543</v>
      </c>
      <c r="J467" s="2">
        <v>680353840818.19983</v>
      </c>
      <c r="K467" s="2">
        <f t="shared" si="38"/>
        <v>461527316.1559611</v>
      </c>
    </row>
    <row r="468" spans="3:11" x14ac:dyDescent="0.2">
      <c r="C468" s="2" t="s">
        <v>95</v>
      </c>
      <c r="D468" s="2" t="s">
        <v>104</v>
      </c>
      <c r="E468" s="3">
        <v>6</v>
      </c>
      <c r="F468" s="3">
        <v>7</v>
      </c>
      <c r="G468" s="3">
        <f t="shared" si="40"/>
        <v>0.8</v>
      </c>
      <c r="H468" s="3">
        <f t="shared" si="40"/>
        <v>0.85</v>
      </c>
      <c r="I468" s="2">
        <v>11937133415.740543</v>
      </c>
      <c r="J468" s="2">
        <v>6849328422.6359911</v>
      </c>
      <c r="K468" s="2">
        <f t="shared" si="38"/>
        <v>3131076.9730627472</v>
      </c>
    </row>
    <row r="469" spans="3:11" x14ac:dyDescent="0.2">
      <c r="C469" s="2" t="s">
        <v>96</v>
      </c>
      <c r="D469" s="2" t="s">
        <v>97</v>
      </c>
      <c r="E469" s="3">
        <v>7</v>
      </c>
      <c r="F469" s="3">
        <v>-4</v>
      </c>
      <c r="G469" s="3">
        <f t="shared" si="40"/>
        <v>0.85</v>
      </c>
      <c r="H469" s="3">
        <f t="shared" si="40"/>
        <v>0.3</v>
      </c>
      <c r="I469" s="2">
        <v>25356946951.594219</v>
      </c>
      <c r="J469" s="2">
        <v>7012076136.58358</v>
      </c>
      <c r="K469" s="2">
        <f t="shared" ref="K469:K523" si="41">(G469-H469)^2*((I469+J469)/15)</f>
        <v>652775298.94491899</v>
      </c>
    </row>
    <row r="470" spans="3:11" x14ac:dyDescent="0.2">
      <c r="C470" s="2" t="s">
        <v>96</v>
      </c>
      <c r="D470" s="2" t="s">
        <v>144</v>
      </c>
      <c r="E470" s="3">
        <v>7</v>
      </c>
      <c r="F470" s="3">
        <v>10</v>
      </c>
      <c r="G470" s="3">
        <f t="shared" si="40"/>
        <v>0.85</v>
      </c>
      <c r="H470" s="3">
        <f t="shared" si="40"/>
        <v>1</v>
      </c>
      <c r="I470" s="2">
        <v>25356946951.594219</v>
      </c>
      <c r="J470" s="2">
        <v>2807818687.1596055</v>
      </c>
      <c r="K470" s="2">
        <f t="shared" si="41"/>
        <v>42247148.458130747</v>
      </c>
    </row>
    <row r="471" spans="3:11" x14ac:dyDescent="0.2">
      <c r="C471" s="2" t="s">
        <v>96</v>
      </c>
      <c r="D471" s="2" t="s">
        <v>145</v>
      </c>
      <c r="E471" s="3">
        <v>7</v>
      </c>
      <c r="F471" s="3">
        <v>-5</v>
      </c>
      <c r="G471" s="3">
        <f t="shared" si="40"/>
        <v>0.85</v>
      </c>
      <c r="H471" s="3">
        <f t="shared" si="40"/>
        <v>0.25</v>
      </c>
      <c r="I471" s="2">
        <v>25356946951.594219</v>
      </c>
      <c r="J471" s="2">
        <v>2373579534.8736606</v>
      </c>
      <c r="K471" s="2">
        <f t="shared" si="41"/>
        <v>665532635.67522907</v>
      </c>
    </row>
    <row r="472" spans="3:11" x14ac:dyDescent="0.2">
      <c r="C472" s="2" t="s">
        <v>96</v>
      </c>
      <c r="D472" s="2" t="s">
        <v>98</v>
      </c>
      <c r="E472" s="3">
        <v>7</v>
      </c>
      <c r="F472" s="3">
        <v>8</v>
      </c>
      <c r="G472" s="3">
        <f t="shared" si="40"/>
        <v>0.85</v>
      </c>
      <c r="H472" s="3">
        <f t="shared" si="40"/>
        <v>0.9</v>
      </c>
      <c r="I472" s="2">
        <v>25356946951.594219</v>
      </c>
      <c r="J472" s="2">
        <v>63681669732.4916</v>
      </c>
      <c r="K472" s="2">
        <f t="shared" si="41"/>
        <v>14839769.447347661</v>
      </c>
    </row>
    <row r="473" spans="3:11" x14ac:dyDescent="0.2">
      <c r="C473" s="2" t="s">
        <v>96</v>
      </c>
      <c r="D473" s="2" t="s">
        <v>99</v>
      </c>
      <c r="E473" s="3">
        <v>7</v>
      </c>
      <c r="F473" s="3">
        <v>-1</v>
      </c>
      <c r="G473" s="3">
        <f t="shared" si="40"/>
        <v>0.85</v>
      </c>
      <c r="H473" s="3">
        <f t="shared" si="40"/>
        <v>0.45</v>
      </c>
      <c r="I473" s="2">
        <v>25356946951.594219</v>
      </c>
      <c r="J473" s="2">
        <v>12184564690.830519</v>
      </c>
      <c r="K473" s="2">
        <f t="shared" si="41"/>
        <v>400442790.85253048</v>
      </c>
    </row>
    <row r="474" spans="3:11" x14ac:dyDescent="0.2">
      <c r="C474" s="2" t="s">
        <v>96</v>
      </c>
      <c r="D474" s="2" t="s">
        <v>100</v>
      </c>
      <c r="E474" s="3">
        <v>7</v>
      </c>
      <c r="F474" s="3">
        <v>6</v>
      </c>
      <c r="G474" s="3">
        <f t="shared" si="40"/>
        <v>0.85</v>
      </c>
      <c r="H474" s="3">
        <f t="shared" si="40"/>
        <v>0.8</v>
      </c>
      <c r="I474" s="2">
        <v>25356946951.594219</v>
      </c>
      <c r="J474" s="2">
        <v>1930259178.5080106</v>
      </c>
      <c r="K474" s="2">
        <f t="shared" si="41"/>
        <v>4547867.6883503599</v>
      </c>
    </row>
    <row r="475" spans="3:11" x14ac:dyDescent="0.2">
      <c r="C475" s="2" t="s">
        <v>96</v>
      </c>
      <c r="D475" s="2" t="s">
        <v>101</v>
      </c>
      <c r="E475" s="3">
        <v>7</v>
      </c>
      <c r="F475" s="3">
        <v>6</v>
      </c>
      <c r="G475" s="3">
        <f t="shared" si="40"/>
        <v>0.85</v>
      </c>
      <c r="H475" s="3">
        <f t="shared" si="40"/>
        <v>0.8</v>
      </c>
      <c r="I475" s="2">
        <v>25356946951.594219</v>
      </c>
      <c r="J475" s="2">
        <v>2375182613.2618032</v>
      </c>
      <c r="K475" s="2">
        <f t="shared" si="41"/>
        <v>4622021.5941426577</v>
      </c>
    </row>
    <row r="476" spans="3:11" x14ac:dyDescent="0.2">
      <c r="C476" s="2" t="s">
        <v>96</v>
      </c>
      <c r="D476" s="2" t="s">
        <v>102</v>
      </c>
      <c r="E476" s="3">
        <v>7</v>
      </c>
      <c r="F476" s="3">
        <v>-5</v>
      </c>
      <c r="G476" s="3">
        <f t="shared" si="40"/>
        <v>0.85</v>
      </c>
      <c r="H476" s="3">
        <f t="shared" si="40"/>
        <v>0.25</v>
      </c>
      <c r="I476" s="2">
        <v>25356946951.594219</v>
      </c>
      <c r="J476" s="2">
        <v>11093241543.967829</v>
      </c>
      <c r="K476" s="2">
        <f t="shared" si="41"/>
        <v>874804523.89348912</v>
      </c>
    </row>
    <row r="477" spans="3:11" x14ac:dyDescent="0.2">
      <c r="C477" s="2" t="s">
        <v>96</v>
      </c>
      <c r="D477" s="2" t="s">
        <v>103</v>
      </c>
      <c r="E477" s="3">
        <v>7</v>
      </c>
      <c r="F477" s="3">
        <v>4</v>
      </c>
      <c r="G477" s="3">
        <f t="shared" ref="G477:H492" si="42">(E477+10)/20</f>
        <v>0.85</v>
      </c>
      <c r="H477" s="3">
        <f t="shared" si="42"/>
        <v>0.7</v>
      </c>
      <c r="I477" s="2">
        <v>25356946951.594219</v>
      </c>
      <c r="J477" s="2">
        <v>680353840818.19983</v>
      </c>
      <c r="K477" s="2">
        <f t="shared" si="41"/>
        <v>1058566181.6546913</v>
      </c>
    </row>
    <row r="478" spans="3:11" x14ac:dyDescent="0.2">
      <c r="C478" s="2" t="s">
        <v>96</v>
      </c>
      <c r="D478" s="2" t="s">
        <v>104</v>
      </c>
      <c r="E478" s="3">
        <v>7</v>
      </c>
      <c r="F478" s="3">
        <v>7</v>
      </c>
      <c r="G478" s="3">
        <f t="shared" si="42"/>
        <v>0.85</v>
      </c>
      <c r="H478" s="3">
        <f t="shared" si="42"/>
        <v>0.85</v>
      </c>
      <c r="I478" s="2">
        <v>25356946951.594219</v>
      </c>
      <c r="J478" s="2">
        <v>6849328422.6359911</v>
      </c>
      <c r="K478" s="2">
        <f t="shared" si="41"/>
        <v>0</v>
      </c>
    </row>
    <row r="479" spans="3:11" x14ac:dyDescent="0.2">
      <c r="C479" s="2" t="s">
        <v>97</v>
      </c>
      <c r="D479" s="2" t="s">
        <v>144</v>
      </c>
      <c r="E479" s="3">
        <v>-4</v>
      </c>
      <c r="F479" s="3">
        <v>10</v>
      </c>
      <c r="G479" s="3">
        <f t="shared" si="42"/>
        <v>0.3</v>
      </c>
      <c r="H479" s="3">
        <f t="shared" si="42"/>
        <v>1</v>
      </c>
      <c r="I479" s="2">
        <v>7012076136.58358</v>
      </c>
      <c r="J479" s="2">
        <v>2807818687.1596055</v>
      </c>
      <c r="K479" s="2">
        <f t="shared" si="41"/>
        <v>320783230.90894401</v>
      </c>
    </row>
    <row r="480" spans="3:11" x14ac:dyDescent="0.2">
      <c r="C480" s="2" t="s">
        <v>97</v>
      </c>
      <c r="D480" s="2" t="s">
        <v>145</v>
      </c>
      <c r="E480" s="3">
        <v>-4</v>
      </c>
      <c r="F480" s="3">
        <v>-5</v>
      </c>
      <c r="G480" s="3">
        <f t="shared" si="42"/>
        <v>0.3</v>
      </c>
      <c r="H480" s="3">
        <f t="shared" si="42"/>
        <v>0.25</v>
      </c>
      <c r="I480" s="2">
        <v>7012076136.58358</v>
      </c>
      <c r="J480" s="2">
        <v>2373579534.8736606</v>
      </c>
      <c r="K480" s="2">
        <f t="shared" si="41"/>
        <v>1564275.9452428727</v>
      </c>
    </row>
    <row r="481" spans="3:11" x14ac:dyDescent="0.2">
      <c r="C481" s="2" t="s">
        <v>97</v>
      </c>
      <c r="D481" s="2" t="s">
        <v>98</v>
      </c>
      <c r="E481" s="3">
        <v>-4</v>
      </c>
      <c r="F481" s="3">
        <v>8</v>
      </c>
      <c r="G481" s="3">
        <f t="shared" si="42"/>
        <v>0.3</v>
      </c>
      <c r="H481" s="3">
        <f t="shared" si="42"/>
        <v>0.9</v>
      </c>
      <c r="I481" s="2">
        <v>7012076136.58358</v>
      </c>
      <c r="J481" s="2">
        <v>63681669732.4916</v>
      </c>
      <c r="K481" s="2">
        <f t="shared" si="41"/>
        <v>1696649900.8578048</v>
      </c>
    </row>
    <row r="482" spans="3:11" x14ac:dyDescent="0.2">
      <c r="C482" s="2" t="s">
        <v>97</v>
      </c>
      <c r="D482" s="2" t="s">
        <v>99</v>
      </c>
      <c r="E482" s="3">
        <v>-4</v>
      </c>
      <c r="F482" s="3">
        <v>-1</v>
      </c>
      <c r="G482" s="3">
        <f t="shared" si="42"/>
        <v>0.3</v>
      </c>
      <c r="H482" s="3">
        <f t="shared" si="42"/>
        <v>0.45</v>
      </c>
      <c r="I482" s="2">
        <v>7012076136.58358</v>
      </c>
      <c r="J482" s="2">
        <v>12184564690.830519</v>
      </c>
      <c r="K482" s="2">
        <f t="shared" si="41"/>
        <v>28794961.241121158</v>
      </c>
    </row>
    <row r="483" spans="3:11" x14ac:dyDescent="0.2">
      <c r="C483" s="2" t="s">
        <v>97</v>
      </c>
      <c r="D483" s="2" t="s">
        <v>100</v>
      </c>
      <c r="E483" s="3">
        <v>-4</v>
      </c>
      <c r="F483" s="3">
        <v>6</v>
      </c>
      <c r="G483" s="3">
        <f t="shared" si="42"/>
        <v>0.3</v>
      </c>
      <c r="H483" s="3">
        <f t="shared" si="42"/>
        <v>0.8</v>
      </c>
      <c r="I483" s="2">
        <v>7012076136.58358</v>
      </c>
      <c r="J483" s="2">
        <v>1930259178.5080106</v>
      </c>
      <c r="K483" s="2">
        <f t="shared" si="41"/>
        <v>149038921.91819319</v>
      </c>
    </row>
    <row r="484" spans="3:11" x14ac:dyDescent="0.2">
      <c r="C484" s="2" t="s">
        <v>97</v>
      </c>
      <c r="D484" s="2" t="s">
        <v>101</v>
      </c>
      <c r="E484" s="3">
        <v>-4</v>
      </c>
      <c r="F484" s="3">
        <v>6</v>
      </c>
      <c r="G484" s="3">
        <f t="shared" si="42"/>
        <v>0.3</v>
      </c>
      <c r="H484" s="3">
        <f t="shared" si="42"/>
        <v>0.8</v>
      </c>
      <c r="I484" s="2">
        <v>7012076136.58358</v>
      </c>
      <c r="J484" s="2">
        <v>2375182613.2618032</v>
      </c>
      <c r="K484" s="2">
        <f t="shared" si="41"/>
        <v>156454312.49742305</v>
      </c>
    </row>
    <row r="485" spans="3:11" x14ac:dyDescent="0.2">
      <c r="C485" s="2" t="s">
        <v>97</v>
      </c>
      <c r="D485" s="2" t="s">
        <v>102</v>
      </c>
      <c r="E485" s="3">
        <v>-4</v>
      </c>
      <c r="F485" s="3">
        <v>-5</v>
      </c>
      <c r="G485" s="3">
        <f t="shared" si="42"/>
        <v>0.3</v>
      </c>
      <c r="H485" s="3">
        <f t="shared" si="42"/>
        <v>0.25</v>
      </c>
      <c r="I485" s="2">
        <v>7012076136.58358</v>
      </c>
      <c r="J485" s="2">
        <v>11093241543.967829</v>
      </c>
      <c r="K485" s="2">
        <f t="shared" si="41"/>
        <v>3017552.946758566</v>
      </c>
    </row>
    <row r="486" spans="3:11" x14ac:dyDescent="0.2">
      <c r="C486" s="2" t="s">
        <v>97</v>
      </c>
      <c r="D486" s="2" t="s">
        <v>103</v>
      </c>
      <c r="E486" s="3">
        <v>-4</v>
      </c>
      <c r="F486" s="3">
        <v>4</v>
      </c>
      <c r="G486" s="3">
        <f t="shared" si="42"/>
        <v>0.3</v>
      </c>
      <c r="H486" s="3">
        <f t="shared" si="42"/>
        <v>0.7</v>
      </c>
      <c r="I486" s="2">
        <v>7012076136.58358</v>
      </c>
      <c r="J486" s="2">
        <v>680353840818.19983</v>
      </c>
      <c r="K486" s="2">
        <f t="shared" si="41"/>
        <v>7331903114.1843557</v>
      </c>
    </row>
    <row r="487" spans="3:11" x14ac:dyDescent="0.2">
      <c r="C487" s="2" t="s">
        <v>97</v>
      </c>
      <c r="D487" s="2" t="s">
        <v>104</v>
      </c>
      <c r="E487" s="3">
        <v>-4</v>
      </c>
      <c r="F487" s="3">
        <v>7</v>
      </c>
      <c r="G487" s="3">
        <f t="shared" si="42"/>
        <v>0.3</v>
      </c>
      <c r="H487" s="3">
        <f t="shared" si="42"/>
        <v>0.85</v>
      </c>
      <c r="I487" s="2">
        <v>7012076136.58358</v>
      </c>
      <c r="J487" s="2">
        <v>6849328422.6359911</v>
      </c>
      <c r="K487" s="2">
        <f t="shared" si="41"/>
        <v>279538325.27759475</v>
      </c>
    </row>
    <row r="488" spans="3:11" x14ac:dyDescent="0.2">
      <c r="C488" s="2" t="s">
        <v>144</v>
      </c>
      <c r="D488" s="2" t="s">
        <v>145</v>
      </c>
      <c r="E488" s="3">
        <v>10</v>
      </c>
      <c r="F488" s="3">
        <v>-5</v>
      </c>
      <c r="G488" s="3">
        <f t="shared" si="42"/>
        <v>1</v>
      </c>
      <c r="H488" s="3">
        <f t="shared" si="42"/>
        <v>0.25</v>
      </c>
      <c r="I488" s="2">
        <v>2807818687.1596055</v>
      </c>
      <c r="J488" s="2">
        <v>2373579534.8736606</v>
      </c>
      <c r="K488" s="2">
        <f t="shared" si="41"/>
        <v>194302433.32624748</v>
      </c>
    </row>
    <row r="489" spans="3:11" x14ac:dyDescent="0.2">
      <c r="C489" s="2" t="s">
        <v>144</v>
      </c>
      <c r="D489" s="2" t="s">
        <v>98</v>
      </c>
      <c r="E489" s="3">
        <v>10</v>
      </c>
      <c r="F489" s="3">
        <v>8</v>
      </c>
      <c r="G489" s="3">
        <f t="shared" si="42"/>
        <v>1</v>
      </c>
      <c r="H489" s="3">
        <f t="shared" si="42"/>
        <v>0.9</v>
      </c>
      <c r="I489" s="2">
        <v>2807818687.1596055</v>
      </c>
      <c r="J489" s="2">
        <v>63681669732.4916</v>
      </c>
      <c r="K489" s="2">
        <f t="shared" si="41"/>
        <v>44326325.613100782</v>
      </c>
    </row>
    <row r="490" spans="3:11" x14ac:dyDescent="0.2">
      <c r="C490" s="2" t="s">
        <v>144</v>
      </c>
      <c r="D490" s="2" t="s">
        <v>99</v>
      </c>
      <c r="E490" s="3">
        <v>10</v>
      </c>
      <c r="F490" s="3">
        <v>-1</v>
      </c>
      <c r="G490" s="3">
        <f t="shared" si="42"/>
        <v>1</v>
      </c>
      <c r="H490" s="3">
        <f t="shared" si="42"/>
        <v>0.45</v>
      </c>
      <c r="I490" s="2">
        <v>2807818687.1596055</v>
      </c>
      <c r="J490" s="2">
        <v>12184564690.830519</v>
      </c>
      <c r="K490" s="2">
        <f t="shared" si="41"/>
        <v>302346398.12280089</v>
      </c>
    </row>
    <row r="491" spans="3:11" x14ac:dyDescent="0.2">
      <c r="C491" s="2" t="s">
        <v>144</v>
      </c>
      <c r="D491" s="2" t="s">
        <v>100</v>
      </c>
      <c r="E491" s="3">
        <v>10</v>
      </c>
      <c r="F491" s="3">
        <v>6</v>
      </c>
      <c r="G491" s="3">
        <f t="shared" si="42"/>
        <v>1</v>
      </c>
      <c r="H491" s="3">
        <f t="shared" si="42"/>
        <v>0.8</v>
      </c>
      <c r="I491" s="2">
        <v>2807818687.1596055</v>
      </c>
      <c r="J491" s="2">
        <v>1930259178.5080106</v>
      </c>
      <c r="K491" s="2">
        <f t="shared" si="41"/>
        <v>12634874.308446968</v>
      </c>
    </row>
    <row r="492" spans="3:11" x14ac:dyDescent="0.2">
      <c r="C492" s="2" t="s">
        <v>144</v>
      </c>
      <c r="D492" s="2" t="s">
        <v>101</v>
      </c>
      <c r="E492" s="3">
        <v>10</v>
      </c>
      <c r="F492" s="3">
        <v>6</v>
      </c>
      <c r="G492" s="3">
        <f t="shared" si="42"/>
        <v>1</v>
      </c>
      <c r="H492" s="3">
        <f t="shared" si="42"/>
        <v>0.8</v>
      </c>
      <c r="I492" s="2">
        <v>2807818687.1596055</v>
      </c>
      <c r="J492" s="2">
        <v>2375182613.2618032</v>
      </c>
      <c r="K492" s="2">
        <f t="shared" si="41"/>
        <v>13821336.801123751</v>
      </c>
    </row>
    <row r="493" spans="3:11" x14ac:dyDescent="0.2">
      <c r="C493" s="2" t="s">
        <v>144</v>
      </c>
      <c r="D493" s="2" t="s">
        <v>102</v>
      </c>
      <c r="E493" s="3">
        <v>10</v>
      </c>
      <c r="F493" s="3">
        <v>-5</v>
      </c>
      <c r="G493" s="3">
        <f t="shared" ref="G493:H508" si="43">(E493+10)/20</f>
        <v>1</v>
      </c>
      <c r="H493" s="3">
        <f t="shared" si="43"/>
        <v>0.25</v>
      </c>
      <c r="I493" s="2">
        <v>2807818687.1596055</v>
      </c>
      <c r="J493" s="2">
        <v>11093241543.967829</v>
      </c>
      <c r="K493" s="2">
        <f t="shared" si="41"/>
        <v>521289758.66727877</v>
      </c>
    </row>
    <row r="494" spans="3:11" x14ac:dyDescent="0.2">
      <c r="C494" s="2" t="s">
        <v>144</v>
      </c>
      <c r="D494" s="2" t="s">
        <v>103</v>
      </c>
      <c r="E494" s="3">
        <v>10</v>
      </c>
      <c r="F494" s="3">
        <v>4</v>
      </c>
      <c r="G494" s="3">
        <f t="shared" si="43"/>
        <v>1</v>
      </c>
      <c r="H494" s="3">
        <f t="shared" si="43"/>
        <v>0.7</v>
      </c>
      <c r="I494" s="2">
        <v>2807818687.1596055</v>
      </c>
      <c r="J494" s="2">
        <v>680353840818.19983</v>
      </c>
      <c r="K494" s="2">
        <f t="shared" si="41"/>
        <v>4098969957.0321574</v>
      </c>
    </row>
    <row r="495" spans="3:11" x14ac:dyDescent="0.2">
      <c r="C495" s="2" t="s">
        <v>144</v>
      </c>
      <c r="D495" s="2" t="s">
        <v>104</v>
      </c>
      <c r="E495" s="3">
        <v>10</v>
      </c>
      <c r="F495" s="3">
        <v>7</v>
      </c>
      <c r="G495" s="3">
        <f t="shared" si="43"/>
        <v>1</v>
      </c>
      <c r="H495" s="3">
        <f t="shared" si="43"/>
        <v>0.85</v>
      </c>
      <c r="I495" s="2">
        <v>2807818687.1596055</v>
      </c>
      <c r="J495" s="2">
        <v>6849328422.6359911</v>
      </c>
      <c r="K495" s="2">
        <f t="shared" si="41"/>
        <v>14485720.664693398</v>
      </c>
    </row>
    <row r="496" spans="3:11" x14ac:dyDescent="0.2">
      <c r="C496" s="2" t="s">
        <v>145</v>
      </c>
      <c r="D496" s="2" t="s">
        <v>98</v>
      </c>
      <c r="E496" s="3">
        <v>-5</v>
      </c>
      <c r="F496" s="3">
        <v>8</v>
      </c>
      <c r="G496" s="3">
        <f t="shared" si="43"/>
        <v>0.25</v>
      </c>
      <c r="H496" s="3">
        <f t="shared" si="43"/>
        <v>0.9</v>
      </c>
      <c r="I496" s="2">
        <v>2373579534.8736606</v>
      </c>
      <c r="J496" s="2">
        <v>63681669732.4916</v>
      </c>
      <c r="K496" s="2">
        <f t="shared" si="41"/>
        <v>1860556187.6974549</v>
      </c>
    </row>
    <row r="497" spans="3:11" x14ac:dyDescent="0.2">
      <c r="C497" s="2" t="s">
        <v>145</v>
      </c>
      <c r="D497" s="2" t="s">
        <v>99</v>
      </c>
      <c r="E497" s="3">
        <v>-5</v>
      </c>
      <c r="F497" s="3">
        <v>-1</v>
      </c>
      <c r="G497" s="3">
        <f t="shared" si="43"/>
        <v>0.25</v>
      </c>
      <c r="H497" s="3">
        <f t="shared" si="43"/>
        <v>0.45</v>
      </c>
      <c r="I497" s="2">
        <v>2373579534.8736606</v>
      </c>
      <c r="J497" s="2">
        <v>12184564690.830519</v>
      </c>
      <c r="K497" s="2">
        <f t="shared" si="41"/>
        <v>38821717.935211159</v>
      </c>
    </row>
    <row r="498" spans="3:11" x14ac:dyDescent="0.2">
      <c r="C498" s="2" t="s">
        <v>145</v>
      </c>
      <c r="D498" s="2" t="s">
        <v>100</v>
      </c>
      <c r="E498" s="3">
        <v>-5</v>
      </c>
      <c r="F498" s="3">
        <v>6</v>
      </c>
      <c r="G498" s="3">
        <f t="shared" si="43"/>
        <v>0.25</v>
      </c>
      <c r="H498" s="3">
        <f t="shared" si="43"/>
        <v>0.8</v>
      </c>
      <c r="I498" s="2">
        <v>2373579534.8736606</v>
      </c>
      <c r="J498" s="2">
        <v>1930259178.5080106</v>
      </c>
      <c r="K498" s="2">
        <f t="shared" si="41"/>
        <v>86794080.719863713</v>
      </c>
    </row>
    <row r="499" spans="3:11" x14ac:dyDescent="0.2">
      <c r="C499" s="2" t="s">
        <v>145</v>
      </c>
      <c r="D499" s="2" t="s">
        <v>101</v>
      </c>
      <c r="E499" s="3">
        <v>-5</v>
      </c>
      <c r="F499" s="3">
        <v>6</v>
      </c>
      <c r="G499" s="3">
        <f t="shared" si="43"/>
        <v>0.25</v>
      </c>
      <c r="H499" s="3">
        <f t="shared" si="43"/>
        <v>0.8</v>
      </c>
      <c r="I499" s="2">
        <v>2373579534.8736606</v>
      </c>
      <c r="J499" s="2">
        <v>2375182613.2618032</v>
      </c>
      <c r="K499" s="2">
        <f t="shared" si="41"/>
        <v>95766703.320731863</v>
      </c>
    </row>
    <row r="500" spans="3:11" x14ac:dyDescent="0.2">
      <c r="C500" s="2" t="s">
        <v>145</v>
      </c>
      <c r="D500" s="2" t="s">
        <v>102</v>
      </c>
      <c r="E500" s="3">
        <v>-5</v>
      </c>
      <c r="F500" s="3">
        <v>-5</v>
      </c>
      <c r="G500" s="3">
        <f t="shared" si="43"/>
        <v>0.25</v>
      </c>
      <c r="H500" s="3">
        <f t="shared" si="43"/>
        <v>0.25</v>
      </c>
      <c r="I500" s="2">
        <v>2373579534.8736606</v>
      </c>
      <c r="J500" s="2">
        <v>11093241543.967829</v>
      </c>
      <c r="K500" s="2">
        <f t="shared" si="41"/>
        <v>0</v>
      </c>
    </row>
    <row r="501" spans="3:11" x14ac:dyDescent="0.2">
      <c r="C501" s="2" t="s">
        <v>145</v>
      </c>
      <c r="D501" s="2" t="s">
        <v>103</v>
      </c>
      <c r="E501" s="3">
        <v>-5</v>
      </c>
      <c r="F501" s="3">
        <v>4</v>
      </c>
      <c r="G501" s="3">
        <f t="shared" si="43"/>
        <v>0.25</v>
      </c>
      <c r="H501" s="3">
        <f t="shared" si="43"/>
        <v>0.7</v>
      </c>
      <c r="I501" s="2">
        <v>2373579534.8736606</v>
      </c>
      <c r="J501" s="2">
        <v>680353840818.19983</v>
      </c>
      <c r="K501" s="2">
        <f t="shared" si="41"/>
        <v>9216820174.7664909</v>
      </c>
    </row>
    <row r="502" spans="3:11" x14ac:dyDescent="0.2">
      <c r="C502" s="2" t="s">
        <v>145</v>
      </c>
      <c r="D502" s="2" t="s">
        <v>104</v>
      </c>
      <c r="E502" s="3">
        <v>-5</v>
      </c>
      <c r="F502" s="3">
        <v>7</v>
      </c>
      <c r="G502" s="3">
        <f t="shared" si="43"/>
        <v>0.25</v>
      </c>
      <c r="H502" s="3">
        <f t="shared" si="43"/>
        <v>0.85</v>
      </c>
      <c r="I502" s="2">
        <v>2373579534.8736606</v>
      </c>
      <c r="J502" s="2">
        <v>6849328422.6359911</v>
      </c>
      <c r="K502" s="2">
        <f t="shared" si="41"/>
        <v>221349790.98023161</v>
      </c>
    </row>
    <row r="503" spans="3:11" x14ac:dyDescent="0.2">
      <c r="C503" s="2" t="s">
        <v>98</v>
      </c>
      <c r="D503" s="2" t="s">
        <v>99</v>
      </c>
      <c r="E503" s="3">
        <v>8</v>
      </c>
      <c r="F503" s="3">
        <v>-1</v>
      </c>
      <c r="G503" s="3">
        <f t="shared" si="43"/>
        <v>0.9</v>
      </c>
      <c r="H503" s="3">
        <f t="shared" si="43"/>
        <v>0.45</v>
      </c>
      <c r="I503" s="2">
        <v>63681669732.4916</v>
      </c>
      <c r="J503" s="2">
        <v>12184564690.830519</v>
      </c>
      <c r="K503" s="2">
        <f t="shared" si="41"/>
        <v>1024194164.7148486</v>
      </c>
    </row>
    <row r="504" spans="3:11" x14ac:dyDescent="0.2">
      <c r="C504" s="2" t="s">
        <v>98</v>
      </c>
      <c r="D504" s="2" t="s">
        <v>100</v>
      </c>
      <c r="E504" s="3">
        <v>8</v>
      </c>
      <c r="F504" s="3">
        <v>6</v>
      </c>
      <c r="G504" s="3">
        <f t="shared" si="43"/>
        <v>0.9</v>
      </c>
      <c r="H504" s="3">
        <f t="shared" si="43"/>
        <v>0.8</v>
      </c>
      <c r="I504" s="2">
        <v>63681669732.4916</v>
      </c>
      <c r="J504" s="2">
        <v>1930259178.5080106</v>
      </c>
      <c r="K504" s="2">
        <f t="shared" si="41"/>
        <v>43741285.940666385</v>
      </c>
    </row>
    <row r="505" spans="3:11" x14ac:dyDescent="0.2">
      <c r="C505" s="2" t="s">
        <v>98</v>
      </c>
      <c r="D505" s="2" t="s">
        <v>101</v>
      </c>
      <c r="E505" s="3">
        <v>8</v>
      </c>
      <c r="F505" s="3">
        <v>6</v>
      </c>
      <c r="G505" s="3">
        <f t="shared" si="43"/>
        <v>0.9</v>
      </c>
      <c r="H505" s="3">
        <f t="shared" si="43"/>
        <v>0.8</v>
      </c>
      <c r="I505" s="2">
        <v>63681669732.4916</v>
      </c>
      <c r="J505" s="2">
        <v>2375182613.2618032</v>
      </c>
      <c r="K505" s="2">
        <f t="shared" si="41"/>
        <v>44037901.563835576</v>
      </c>
    </row>
    <row r="506" spans="3:11" x14ac:dyDescent="0.2">
      <c r="C506" s="2" t="s">
        <v>98</v>
      </c>
      <c r="D506" s="2" t="s">
        <v>102</v>
      </c>
      <c r="E506" s="3">
        <v>8</v>
      </c>
      <c r="F506" s="3">
        <v>-5</v>
      </c>
      <c r="G506" s="3">
        <f t="shared" si="43"/>
        <v>0.9</v>
      </c>
      <c r="H506" s="3">
        <f t="shared" si="43"/>
        <v>0.25</v>
      </c>
      <c r="I506" s="2">
        <v>63681669732.4916</v>
      </c>
      <c r="J506" s="2">
        <v>11093241543.967829</v>
      </c>
      <c r="K506" s="2">
        <f t="shared" si="41"/>
        <v>2106160000.9536073</v>
      </c>
    </row>
    <row r="507" spans="3:11" x14ac:dyDescent="0.2">
      <c r="C507" s="2" t="s">
        <v>98</v>
      </c>
      <c r="D507" s="2" t="s">
        <v>103</v>
      </c>
      <c r="E507" s="3">
        <v>8</v>
      </c>
      <c r="F507" s="3">
        <v>4</v>
      </c>
      <c r="G507" s="3">
        <f t="shared" si="43"/>
        <v>0.9</v>
      </c>
      <c r="H507" s="3">
        <f t="shared" si="43"/>
        <v>0.7</v>
      </c>
      <c r="I507" s="2">
        <v>63681669732.4916</v>
      </c>
      <c r="J507" s="2">
        <v>680353840818.19983</v>
      </c>
      <c r="K507" s="2">
        <f t="shared" si="41"/>
        <v>1984094694.8018453</v>
      </c>
    </row>
    <row r="508" spans="3:11" x14ac:dyDescent="0.2">
      <c r="C508" s="2" t="s">
        <v>98</v>
      </c>
      <c r="D508" s="2" t="s">
        <v>104</v>
      </c>
      <c r="E508" s="3">
        <v>8</v>
      </c>
      <c r="F508" s="3">
        <v>7</v>
      </c>
      <c r="G508" s="3">
        <f t="shared" si="43"/>
        <v>0.9</v>
      </c>
      <c r="H508" s="3">
        <f t="shared" si="43"/>
        <v>0.85</v>
      </c>
      <c r="I508" s="2">
        <v>63681669732.4916</v>
      </c>
      <c r="J508" s="2">
        <v>6849328422.6359911</v>
      </c>
      <c r="K508" s="2">
        <f t="shared" si="41"/>
        <v>11755166.359187953</v>
      </c>
    </row>
    <row r="509" spans="3:11" x14ac:dyDescent="0.2">
      <c r="C509" s="2" t="s">
        <v>99</v>
      </c>
      <c r="D509" s="2" t="s">
        <v>100</v>
      </c>
      <c r="E509" s="3">
        <v>-1</v>
      </c>
      <c r="F509" s="3">
        <v>6</v>
      </c>
      <c r="G509" s="3">
        <f t="shared" ref="G509:H523" si="44">(E509+10)/20</f>
        <v>0.45</v>
      </c>
      <c r="H509" s="3">
        <f t="shared" si="44"/>
        <v>0.8</v>
      </c>
      <c r="I509" s="2">
        <v>12184564690.830519</v>
      </c>
      <c r="J509" s="2">
        <v>1930259178.5080106</v>
      </c>
      <c r="K509" s="2">
        <f t="shared" si="41"/>
        <v>115271061.59959802</v>
      </c>
    </row>
    <row r="510" spans="3:11" x14ac:dyDescent="0.2">
      <c r="C510" s="2" t="s">
        <v>99</v>
      </c>
      <c r="D510" s="2" t="s">
        <v>101</v>
      </c>
      <c r="E510" s="3">
        <v>-1</v>
      </c>
      <c r="F510" s="3">
        <v>6</v>
      </c>
      <c r="G510" s="3">
        <f t="shared" si="44"/>
        <v>0.45</v>
      </c>
      <c r="H510" s="3">
        <f t="shared" si="44"/>
        <v>0.8</v>
      </c>
      <c r="I510" s="2">
        <v>12184564690.830519</v>
      </c>
      <c r="J510" s="2">
        <v>2375182613.2618032</v>
      </c>
      <c r="K510" s="2">
        <f t="shared" si="41"/>
        <v>118904602.98342066</v>
      </c>
    </row>
    <row r="511" spans="3:11" x14ac:dyDescent="0.2">
      <c r="C511" s="2" t="s">
        <v>99</v>
      </c>
      <c r="D511" s="2" t="s">
        <v>102</v>
      </c>
      <c r="E511" s="3">
        <v>-1</v>
      </c>
      <c r="F511" s="3">
        <v>-5</v>
      </c>
      <c r="G511" s="3">
        <f t="shared" si="44"/>
        <v>0.45</v>
      </c>
      <c r="H511" s="3">
        <f t="shared" si="44"/>
        <v>0.25</v>
      </c>
      <c r="I511" s="2">
        <v>12184564690.830519</v>
      </c>
      <c r="J511" s="2">
        <v>11093241543.967829</v>
      </c>
      <c r="K511" s="2">
        <f t="shared" si="41"/>
        <v>62074149.95946227</v>
      </c>
    </row>
    <row r="512" spans="3:11" x14ac:dyDescent="0.2">
      <c r="C512" s="2" t="s">
        <v>99</v>
      </c>
      <c r="D512" s="2" t="s">
        <v>103</v>
      </c>
      <c r="E512" s="3">
        <v>-1</v>
      </c>
      <c r="F512" s="3">
        <v>4</v>
      </c>
      <c r="G512" s="3">
        <f t="shared" si="44"/>
        <v>0.45</v>
      </c>
      <c r="H512" s="3">
        <f t="shared" si="44"/>
        <v>0.7</v>
      </c>
      <c r="I512" s="2">
        <v>12184564690.830519</v>
      </c>
      <c r="J512" s="2">
        <v>680353840818.19983</v>
      </c>
      <c r="K512" s="2">
        <f t="shared" si="41"/>
        <v>2885576689.6209583</v>
      </c>
    </row>
    <row r="513" spans="3:11" x14ac:dyDescent="0.2">
      <c r="C513" s="2" t="s">
        <v>99</v>
      </c>
      <c r="D513" s="2" t="s">
        <v>104</v>
      </c>
      <c r="E513" s="3">
        <v>-1</v>
      </c>
      <c r="F513" s="3">
        <v>7</v>
      </c>
      <c r="G513" s="3">
        <f t="shared" si="44"/>
        <v>0.45</v>
      </c>
      <c r="H513" s="3">
        <f t="shared" si="44"/>
        <v>0.85</v>
      </c>
      <c r="I513" s="2">
        <v>12184564690.830519</v>
      </c>
      <c r="J513" s="2">
        <v>6849328422.6359911</v>
      </c>
      <c r="K513" s="2">
        <f t="shared" si="41"/>
        <v>203028193.21030942</v>
      </c>
    </row>
    <row r="514" spans="3:11" x14ac:dyDescent="0.2">
      <c r="C514" s="2" t="s">
        <v>100</v>
      </c>
      <c r="D514" s="2" t="s">
        <v>101</v>
      </c>
      <c r="E514" s="3">
        <v>6</v>
      </c>
      <c r="F514" s="3">
        <v>6</v>
      </c>
      <c r="G514" s="3">
        <f t="shared" si="44"/>
        <v>0.8</v>
      </c>
      <c r="H514" s="3">
        <f t="shared" si="44"/>
        <v>0.8</v>
      </c>
      <c r="I514" s="2">
        <v>1930259178.5080106</v>
      </c>
      <c r="J514" s="2">
        <v>2375182613.2618032</v>
      </c>
      <c r="K514" s="2">
        <f t="shared" si="41"/>
        <v>0</v>
      </c>
    </row>
    <row r="515" spans="3:11" x14ac:dyDescent="0.2">
      <c r="C515" s="2" t="s">
        <v>100</v>
      </c>
      <c r="D515" s="2" t="s">
        <v>102</v>
      </c>
      <c r="E515" s="3">
        <v>6</v>
      </c>
      <c r="F515" s="3">
        <v>-5</v>
      </c>
      <c r="G515" s="3">
        <f t="shared" si="44"/>
        <v>0.8</v>
      </c>
      <c r="H515" s="3">
        <f t="shared" si="44"/>
        <v>0.25</v>
      </c>
      <c r="I515" s="2">
        <v>1930259178.5080106</v>
      </c>
      <c r="J515" s="2">
        <v>11093241543.967829</v>
      </c>
      <c r="K515" s="2">
        <f t="shared" si="41"/>
        <v>262640597.90326282</v>
      </c>
    </row>
    <row r="516" spans="3:11" x14ac:dyDescent="0.2">
      <c r="C516" s="2" t="s">
        <v>100</v>
      </c>
      <c r="D516" s="2" t="s">
        <v>103</v>
      </c>
      <c r="E516" s="3">
        <v>6</v>
      </c>
      <c r="F516" s="3">
        <v>4</v>
      </c>
      <c r="G516" s="3">
        <f t="shared" si="44"/>
        <v>0.8</v>
      </c>
      <c r="H516" s="3">
        <f t="shared" si="44"/>
        <v>0.7</v>
      </c>
      <c r="I516" s="2">
        <v>1930259178.5080106</v>
      </c>
      <c r="J516" s="2">
        <v>680353840818.19983</v>
      </c>
      <c r="K516" s="2">
        <f t="shared" si="41"/>
        <v>454856066.6644727</v>
      </c>
    </row>
    <row r="517" spans="3:11" x14ac:dyDescent="0.2">
      <c r="C517" s="2" t="s">
        <v>100</v>
      </c>
      <c r="D517" s="2" t="s">
        <v>104</v>
      </c>
      <c r="E517" s="3">
        <v>6</v>
      </c>
      <c r="F517" s="3">
        <v>7</v>
      </c>
      <c r="G517" s="3">
        <f t="shared" si="44"/>
        <v>0.8</v>
      </c>
      <c r="H517" s="3">
        <f t="shared" si="44"/>
        <v>0.85</v>
      </c>
      <c r="I517" s="2">
        <v>1930259178.5080106</v>
      </c>
      <c r="J517" s="2">
        <v>6849328422.6359911</v>
      </c>
      <c r="K517" s="2">
        <f t="shared" si="41"/>
        <v>1463264.6001906632</v>
      </c>
    </row>
    <row r="518" spans="3:11" x14ac:dyDescent="0.2">
      <c r="C518" s="2" t="s">
        <v>101</v>
      </c>
      <c r="D518" s="2" t="s">
        <v>102</v>
      </c>
      <c r="E518" s="3">
        <v>6</v>
      </c>
      <c r="F518" s="3">
        <v>-5</v>
      </c>
      <c r="G518" s="3">
        <f t="shared" si="44"/>
        <v>0.8</v>
      </c>
      <c r="H518" s="3">
        <f t="shared" si="44"/>
        <v>0.25</v>
      </c>
      <c r="I518" s="2">
        <v>2375182613.2618032</v>
      </c>
      <c r="J518" s="2">
        <v>11093241543.967829</v>
      </c>
      <c r="K518" s="2">
        <f t="shared" si="41"/>
        <v>271613220.50413096</v>
      </c>
    </row>
    <row r="519" spans="3:11" x14ac:dyDescent="0.2">
      <c r="C519" s="2" t="s">
        <v>101</v>
      </c>
      <c r="D519" s="2" t="s">
        <v>103</v>
      </c>
      <c r="E519" s="3">
        <v>6</v>
      </c>
      <c r="F519" s="3">
        <v>4</v>
      </c>
      <c r="G519" s="3">
        <f t="shared" si="44"/>
        <v>0.8</v>
      </c>
      <c r="H519" s="3">
        <f t="shared" si="44"/>
        <v>0.7</v>
      </c>
      <c r="I519" s="2">
        <v>2375182613.2618032</v>
      </c>
      <c r="J519" s="2">
        <v>680353840818.19983</v>
      </c>
      <c r="K519" s="2">
        <f t="shared" si="41"/>
        <v>455152682.28764194</v>
      </c>
    </row>
    <row r="520" spans="3:11" x14ac:dyDescent="0.2">
      <c r="C520" s="2" t="s">
        <v>101</v>
      </c>
      <c r="D520" s="2" t="s">
        <v>104</v>
      </c>
      <c r="E520" s="3">
        <v>6</v>
      </c>
      <c r="F520" s="3">
        <v>7</v>
      </c>
      <c r="G520" s="3">
        <f t="shared" si="44"/>
        <v>0.8</v>
      </c>
      <c r="H520" s="3">
        <f t="shared" si="44"/>
        <v>0.85</v>
      </c>
      <c r="I520" s="2">
        <v>2375182613.2618032</v>
      </c>
      <c r="J520" s="2">
        <v>6849328422.6359911</v>
      </c>
      <c r="K520" s="2">
        <f t="shared" si="41"/>
        <v>1537418.505982962</v>
      </c>
    </row>
    <row r="521" spans="3:11" x14ac:dyDescent="0.2">
      <c r="C521" s="2" t="s">
        <v>102</v>
      </c>
      <c r="D521" s="2" t="s">
        <v>103</v>
      </c>
      <c r="E521" s="3">
        <v>-5</v>
      </c>
      <c r="F521" s="3">
        <v>4</v>
      </c>
      <c r="G521" s="3">
        <f t="shared" si="44"/>
        <v>0.25</v>
      </c>
      <c r="H521" s="3">
        <f t="shared" si="44"/>
        <v>0.7</v>
      </c>
      <c r="I521" s="2">
        <v>11093241543.967829</v>
      </c>
      <c r="J521" s="2">
        <v>680353840818.19983</v>
      </c>
      <c r="K521" s="2">
        <f t="shared" si="41"/>
        <v>9334535611.8892593</v>
      </c>
    </row>
    <row r="522" spans="3:11" x14ac:dyDescent="0.2">
      <c r="C522" s="2" t="s">
        <v>102</v>
      </c>
      <c r="D522" s="2" t="s">
        <v>104</v>
      </c>
      <c r="E522" s="3">
        <v>-5</v>
      </c>
      <c r="F522" s="3">
        <v>7</v>
      </c>
      <c r="G522" s="3">
        <f t="shared" si="44"/>
        <v>0.25</v>
      </c>
      <c r="H522" s="3">
        <f t="shared" si="44"/>
        <v>0.85</v>
      </c>
      <c r="I522" s="2">
        <v>11093241543.967829</v>
      </c>
      <c r="J522" s="2">
        <v>6849328422.6359911</v>
      </c>
      <c r="K522" s="2">
        <f t="shared" si="41"/>
        <v>430621679.19849169</v>
      </c>
    </row>
    <row r="523" spans="3:11" x14ac:dyDescent="0.2">
      <c r="C523" s="2" t="s">
        <v>103</v>
      </c>
      <c r="D523" s="2" t="s">
        <v>104</v>
      </c>
      <c r="E523" s="3">
        <v>7</v>
      </c>
      <c r="F523" s="3">
        <v>7</v>
      </c>
      <c r="G523" s="3">
        <f t="shared" si="44"/>
        <v>0.85</v>
      </c>
      <c r="H523" s="3">
        <f t="shared" si="44"/>
        <v>0.85</v>
      </c>
      <c r="I523" s="2">
        <v>680353840818.19983</v>
      </c>
      <c r="J523" s="2">
        <v>6849328422.6359911</v>
      </c>
      <c r="K523" s="2">
        <f t="shared" si="41"/>
        <v>0</v>
      </c>
    </row>
    <row r="524" spans="3:11" x14ac:dyDescent="0.2">
      <c r="K524" s="1">
        <f>(1-SQRT(SUM(K404:K523)/(I404+SUM(J404:J418))))*100</f>
        <v>73.102952530687261</v>
      </c>
    </row>
    <row r="527" spans="3:11" x14ac:dyDescent="0.2">
      <c r="C527" s="1" t="s">
        <v>105</v>
      </c>
      <c r="D527" s="2">
        <v>2009</v>
      </c>
    </row>
    <row r="528" spans="3:11" x14ac:dyDescent="0.2">
      <c r="C528" s="2" t="s">
        <v>106</v>
      </c>
      <c r="D528" s="2" t="s">
        <v>137</v>
      </c>
      <c r="E528" s="3">
        <v>-2</v>
      </c>
      <c r="F528" s="3">
        <v>-1</v>
      </c>
      <c r="G528" s="3">
        <f t="shared" ref="G528:H543" si="45">(E528+10)/20</f>
        <v>0.4</v>
      </c>
      <c r="H528" s="3">
        <f t="shared" si="45"/>
        <v>0.45</v>
      </c>
      <c r="I528" s="2">
        <v>19508303017.476265</v>
      </c>
      <c r="J528" s="2">
        <v>3710661655.2454042</v>
      </c>
      <c r="K528" s="2">
        <f>(G528-H528)^2*((I528+J528)/7)</f>
        <v>8292487.3831148772</v>
      </c>
    </row>
    <row r="529" spans="1:15" x14ac:dyDescent="0.2">
      <c r="C529" s="2" t="s">
        <v>106</v>
      </c>
      <c r="D529" s="2" t="s">
        <v>138</v>
      </c>
      <c r="E529" s="3">
        <v>-2</v>
      </c>
      <c r="F529" s="3">
        <v>5</v>
      </c>
      <c r="G529" s="3">
        <f t="shared" si="45"/>
        <v>0.4</v>
      </c>
      <c r="H529" s="3">
        <f t="shared" si="45"/>
        <v>0.75</v>
      </c>
      <c r="I529" s="2">
        <v>19508303017.476265</v>
      </c>
      <c r="J529" s="2">
        <v>35544357956.459129</v>
      </c>
      <c r="K529" s="2">
        <f t="shared" ref="K529:K555" si="46">(G529-H529)^2*((I529+J529)/7)</f>
        <v>963421567.04386926</v>
      </c>
    </row>
    <row r="530" spans="1:15" x14ac:dyDescent="0.2">
      <c r="C530" s="2" t="s">
        <v>106</v>
      </c>
      <c r="D530" s="2" t="s">
        <v>108</v>
      </c>
      <c r="E530" s="3">
        <v>-2</v>
      </c>
      <c r="F530" s="3">
        <v>3</v>
      </c>
      <c r="G530" s="3">
        <f t="shared" si="45"/>
        <v>0.4</v>
      </c>
      <c r="H530" s="3">
        <f t="shared" si="45"/>
        <v>0.65</v>
      </c>
      <c r="I530" s="2">
        <v>19508303017.476265</v>
      </c>
      <c r="J530" s="2">
        <v>22765426236.1614</v>
      </c>
      <c r="K530" s="2">
        <f t="shared" si="46"/>
        <v>377444011.19319344</v>
      </c>
    </row>
    <row r="531" spans="1:15" x14ac:dyDescent="0.2">
      <c r="C531" s="2" t="s">
        <v>106</v>
      </c>
      <c r="D531" s="2" t="s">
        <v>109</v>
      </c>
      <c r="E531" s="3">
        <v>-2</v>
      </c>
      <c r="F531" s="3">
        <v>-4</v>
      </c>
      <c r="G531" s="3">
        <f t="shared" si="45"/>
        <v>0.4</v>
      </c>
      <c r="H531" s="3">
        <f t="shared" si="45"/>
        <v>0.3</v>
      </c>
      <c r="I531" s="2">
        <v>19508303017.476265</v>
      </c>
      <c r="J531" s="2">
        <v>49696600512.515869</v>
      </c>
      <c r="K531" s="2">
        <f t="shared" si="46"/>
        <v>98864147.899988815</v>
      </c>
      <c r="O531" s="2">
        <f>(1-_xlfn.STDEV.S(G528,H528:H534))*100</f>
        <v>74.088061218261345</v>
      </c>
    </row>
    <row r="532" spans="1:15" x14ac:dyDescent="0.2">
      <c r="C532" s="2" t="s">
        <v>106</v>
      </c>
      <c r="D532" s="2" t="s">
        <v>110</v>
      </c>
      <c r="E532" s="3">
        <v>-2</v>
      </c>
      <c r="F532" s="3">
        <v>-6</v>
      </c>
      <c r="G532" s="3">
        <f t="shared" si="45"/>
        <v>0.4</v>
      </c>
      <c r="H532" s="3">
        <f t="shared" si="45"/>
        <v>0.2</v>
      </c>
      <c r="I532" s="2">
        <v>19508303017.476265</v>
      </c>
      <c r="J532" s="2">
        <v>34088542632.210712</v>
      </c>
      <c r="K532" s="2">
        <f t="shared" si="46"/>
        <v>306267689.42678285</v>
      </c>
    </row>
    <row r="533" spans="1:15" x14ac:dyDescent="0.2">
      <c r="A533" s="2">
        <v>9</v>
      </c>
      <c r="C533" s="2" t="s">
        <v>106</v>
      </c>
      <c r="D533" s="2" t="s">
        <v>139</v>
      </c>
      <c r="E533" s="3">
        <v>-2</v>
      </c>
      <c r="F533" s="3">
        <f>$A$533</f>
        <v>9</v>
      </c>
      <c r="G533" s="3">
        <f t="shared" si="45"/>
        <v>0.4</v>
      </c>
      <c r="H533" s="3">
        <f t="shared" si="45"/>
        <v>0.95</v>
      </c>
      <c r="I533" s="2">
        <v>19508303017.476265</v>
      </c>
      <c r="J533" s="2">
        <v>418925646.51863521</v>
      </c>
      <c r="K533" s="2">
        <f t="shared" si="46"/>
        <v>861140952.97977936</v>
      </c>
    </row>
    <row r="534" spans="1:15" x14ac:dyDescent="0.2">
      <c r="C534" s="2" t="s">
        <v>106</v>
      </c>
      <c r="D534" s="2" t="s">
        <v>140</v>
      </c>
      <c r="E534" s="3">
        <v>-2</v>
      </c>
      <c r="F534" s="3">
        <v>-4</v>
      </c>
      <c r="G534" s="3">
        <f t="shared" si="45"/>
        <v>0.4</v>
      </c>
      <c r="H534" s="3">
        <f t="shared" si="45"/>
        <v>0.3</v>
      </c>
      <c r="I534" s="2">
        <v>19508303017.476265</v>
      </c>
      <c r="J534" s="2">
        <v>20249558527.720245</v>
      </c>
      <c r="K534" s="2">
        <f t="shared" si="46"/>
        <v>56796945.064566478</v>
      </c>
    </row>
    <row r="535" spans="1:15" x14ac:dyDescent="0.2">
      <c r="C535" s="2" t="s">
        <v>137</v>
      </c>
      <c r="D535" s="2" t="s">
        <v>138</v>
      </c>
      <c r="E535" s="3">
        <v>-1</v>
      </c>
      <c r="F535" s="3">
        <v>5</v>
      </c>
      <c r="G535" s="3">
        <f t="shared" si="45"/>
        <v>0.45</v>
      </c>
      <c r="H535" s="3">
        <f t="shared" si="45"/>
        <v>0.75</v>
      </c>
      <c r="I535" s="2">
        <v>3710661655.2454042</v>
      </c>
      <c r="J535" s="2">
        <v>35544357956.459129</v>
      </c>
      <c r="K535" s="2">
        <f t="shared" si="46"/>
        <v>504707395.00762975</v>
      </c>
    </row>
    <row r="536" spans="1:15" x14ac:dyDescent="0.2">
      <c r="C536" s="2" t="s">
        <v>137</v>
      </c>
      <c r="D536" s="2" t="s">
        <v>108</v>
      </c>
      <c r="E536" s="3">
        <v>-1</v>
      </c>
      <c r="F536" s="3">
        <v>3</v>
      </c>
      <c r="G536" s="3">
        <f t="shared" si="45"/>
        <v>0.45</v>
      </c>
      <c r="H536" s="3">
        <f t="shared" si="45"/>
        <v>0.65</v>
      </c>
      <c r="I536" s="2">
        <v>3710661655.2454042</v>
      </c>
      <c r="J536" s="2">
        <v>22765426236.1614</v>
      </c>
      <c r="K536" s="2">
        <f t="shared" si="46"/>
        <v>151291930.80803892</v>
      </c>
    </row>
    <row r="537" spans="1:15" x14ac:dyDescent="0.2">
      <c r="C537" s="2" t="s">
        <v>137</v>
      </c>
      <c r="D537" s="2" t="s">
        <v>109</v>
      </c>
      <c r="E537" s="3">
        <v>-1</v>
      </c>
      <c r="F537" s="3">
        <v>-4</v>
      </c>
      <c r="G537" s="3">
        <f t="shared" si="45"/>
        <v>0.45</v>
      </c>
      <c r="H537" s="3">
        <f t="shared" si="45"/>
        <v>0.3</v>
      </c>
      <c r="I537" s="2">
        <v>3710661655.2454042</v>
      </c>
      <c r="J537" s="2">
        <v>49696600512.515869</v>
      </c>
      <c r="K537" s="2">
        <f t="shared" si="46"/>
        <v>171666199.82494703</v>
      </c>
    </row>
    <row r="538" spans="1:15" x14ac:dyDescent="0.2">
      <c r="C538" s="2" t="s">
        <v>137</v>
      </c>
      <c r="D538" s="2" t="s">
        <v>110</v>
      </c>
      <c r="E538" s="3">
        <v>-1</v>
      </c>
      <c r="F538" s="3">
        <v>-6</v>
      </c>
      <c r="G538" s="3">
        <f t="shared" si="45"/>
        <v>0.45</v>
      </c>
      <c r="H538" s="3">
        <f t="shared" si="45"/>
        <v>0.2</v>
      </c>
      <c r="I538" s="2">
        <v>3710661655.2454042</v>
      </c>
      <c r="J538" s="2">
        <v>34088542632.210712</v>
      </c>
      <c r="K538" s="2">
        <f t="shared" si="46"/>
        <v>337492895.42371529</v>
      </c>
    </row>
    <row r="539" spans="1:15" x14ac:dyDescent="0.2">
      <c r="C539" s="2" t="s">
        <v>137</v>
      </c>
      <c r="D539" s="2" t="s">
        <v>139</v>
      </c>
      <c r="E539" s="3">
        <v>-1</v>
      </c>
      <c r="F539" s="3">
        <f>$A$533</f>
        <v>9</v>
      </c>
      <c r="G539" s="3">
        <f t="shared" si="45"/>
        <v>0.45</v>
      </c>
      <c r="H539" s="3">
        <f t="shared" si="45"/>
        <v>0.95</v>
      </c>
      <c r="I539" s="2">
        <v>3710661655.2454042</v>
      </c>
      <c r="J539" s="2">
        <v>418925646.51863521</v>
      </c>
      <c r="K539" s="2">
        <f t="shared" si="46"/>
        <v>147485260.7772871</v>
      </c>
    </row>
    <row r="540" spans="1:15" x14ac:dyDescent="0.2">
      <c r="C540" s="2" t="s">
        <v>137</v>
      </c>
      <c r="D540" s="2" t="s">
        <v>140</v>
      </c>
      <c r="E540" s="3">
        <v>-1</v>
      </c>
      <c r="F540" s="3">
        <v>-4</v>
      </c>
      <c r="G540" s="3">
        <f t="shared" si="45"/>
        <v>0.45</v>
      </c>
      <c r="H540" s="3">
        <f t="shared" si="45"/>
        <v>0.3</v>
      </c>
      <c r="I540" s="2">
        <v>3710661655.2454042</v>
      </c>
      <c r="J540" s="2">
        <v>20249558527.720245</v>
      </c>
      <c r="K540" s="2">
        <f t="shared" si="46"/>
        <v>77014993.445246741</v>
      </c>
    </row>
    <row r="541" spans="1:15" x14ac:dyDescent="0.2">
      <c r="C541" s="2" t="s">
        <v>138</v>
      </c>
      <c r="D541" s="2" t="s">
        <v>108</v>
      </c>
      <c r="E541" s="3">
        <v>5</v>
      </c>
      <c r="F541" s="3">
        <v>3</v>
      </c>
      <c r="G541" s="3">
        <f t="shared" si="45"/>
        <v>0.75</v>
      </c>
      <c r="H541" s="3">
        <f t="shared" si="45"/>
        <v>0.65</v>
      </c>
      <c r="I541" s="2">
        <v>35544357956.459129</v>
      </c>
      <c r="J541" s="2">
        <v>22765426236.1614</v>
      </c>
      <c r="K541" s="2">
        <f t="shared" si="46"/>
        <v>83299691.703743562</v>
      </c>
    </row>
    <row r="542" spans="1:15" x14ac:dyDescent="0.2">
      <c r="C542" s="2" t="s">
        <v>138</v>
      </c>
      <c r="D542" s="2" t="s">
        <v>109</v>
      </c>
      <c r="E542" s="3">
        <v>5</v>
      </c>
      <c r="F542" s="3">
        <v>-4</v>
      </c>
      <c r="G542" s="3">
        <f t="shared" si="45"/>
        <v>0.75</v>
      </c>
      <c r="H542" s="3">
        <f t="shared" si="45"/>
        <v>0.3</v>
      </c>
      <c r="I542" s="2">
        <v>35544357956.459129</v>
      </c>
      <c r="J542" s="2">
        <v>49696600512.515869</v>
      </c>
      <c r="K542" s="2">
        <f t="shared" si="46"/>
        <v>2465899155.7096343</v>
      </c>
    </row>
    <row r="543" spans="1:15" x14ac:dyDescent="0.2">
      <c r="C543" s="2" t="s">
        <v>138</v>
      </c>
      <c r="D543" s="2" t="s">
        <v>110</v>
      </c>
      <c r="E543" s="3">
        <v>5</v>
      </c>
      <c r="F543" s="3">
        <v>-6</v>
      </c>
      <c r="G543" s="3">
        <f t="shared" si="45"/>
        <v>0.75</v>
      </c>
      <c r="H543" s="3">
        <f t="shared" si="45"/>
        <v>0.2</v>
      </c>
      <c r="I543" s="2">
        <v>35544357956.459129</v>
      </c>
      <c r="J543" s="2">
        <v>34088542632.210712</v>
      </c>
      <c r="K543" s="2">
        <f t="shared" si="46"/>
        <v>3009136061.1532331</v>
      </c>
    </row>
    <row r="544" spans="1:15" x14ac:dyDescent="0.2">
      <c r="C544" s="2" t="s">
        <v>138</v>
      </c>
      <c r="D544" s="2" t="s">
        <v>139</v>
      </c>
      <c r="E544" s="3">
        <v>5</v>
      </c>
      <c r="F544" s="3">
        <f>$A$533</f>
        <v>9</v>
      </c>
      <c r="G544" s="3">
        <f t="shared" ref="G544:H555" si="47">(E544+10)/20</f>
        <v>0.75</v>
      </c>
      <c r="H544" s="3">
        <f t="shared" si="47"/>
        <v>0.95</v>
      </c>
      <c r="I544" s="2">
        <v>35544357956.459129</v>
      </c>
      <c r="J544" s="2">
        <v>418925646.51863521</v>
      </c>
      <c r="K544" s="2">
        <f t="shared" si="46"/>
        <v>205504477.73130143</v>
      </c>
    </row>
    <row r="545" spans="3:11" x14ac:dyDescent="0.2">
      <c r="C545" s="2" t="s">
        <v>138</v>
      </c>
      <c r="D545" s="2" t="s">
        <v>140</v>
      </c>
      <c r="E545" s="3">
        <v>5</v>
      </c>
      <c r="F545" s="3">
        <v>-4</v>
      </c>
      <c r="G545" s="3">
        <f t="shared" si="47"/>
        <v>0.75</v>
      </c>
      <c r="H545" s="3">
        <f t="shared" si="47"/>
        <v>0.3</v>
      </c>
      <c r="I545" s="2">
        <v>35544357956.459129</v>
      </c>
      <c r="J545" s="2">
        <v>20249558527.720245</v>
      </c>
      <c r="K545" s="2">
        <f t="shared" si="46"/>
        <v>1614038298.2923322</v>
      </c>
    </row>
    <row r="546" spans="3:11" x14ac:dyDescent="0.2">
      <c r="C546" s="2" t="s">
        <v>108</v>
      </c>
      <c r="D546" s="2" t="s">
        <v>109</v>
      </c>
      <c r="E546" s="3">
        <v>3</v>
      </c>
      <c r="F546" s="3">
        <v>-4</v>
      </c>
      <c r="G546" s="3">
        <f t="shared" si="47"/>
        <v>0.65</v>
      </c>
      <c r="H546" s="3">
        <f t="shared" si="47"/>
        <v>0.3</v>
      </c>
      <c r="I546" s="2">
        <v>22765426236.1614</v>
      </c>
      <c r="J546" s="2">
        <v>49696600512.515869</v>
      </c>
      <c r="K546" s="2">
        <f t="shared" si="46"/>
        <v>1268085468.1018527</v>
      </c>
    </row>
    <row r="547" spans="3:11" x14ac:dyDescent="0.2">
      <c r="C547" s="2" t="s">
        <v>108</v>
      </c>
      <c r="D547" s="2" t="s">
        <v>110</v>
      </c>
      <c r="E547" s="3">
        <v>3</v>
      </c>
      <c r="F547" s="3">
        <v>-6</v>
      </c>
      <c r="G547" s="3">
        <f t="shared" si="47"/>
        <v>0.65</v>
      </c>
      <c r="H547" s="3">
        <f t="shared" si="47"/>
        <v>0.2</v>
      </c>
      <c r="I547" s="2">
        <v>22765426236.1614</v>
      </c>
      <c r="J547" s="2">
        <v>34088542632.210712</v>
      </c>
      <c r="K547" s="2">
        <f t="shared" si="46"/>
        <v>1644704099.4064791</v>
      </c>
    </row>
    <row r="548" spans="3:11" x14ac:dyDescent="0.2">
      <c r="C548" s="2" t="s">
        <v>108</v>
      </c>
      <c r="D548" s="2" t="s">
        <v>139</v>
      </c>
      <c r="E548" s="3">
        <v>3</v>
      </c>
      <c r="F548" s="3">
        <f>$A$533</f>
        <v>9</v>
      </c>
      <c r="G548" s="3">
        <f t="shared" si="47"/>
        <v>0.65</v>
      </c>
      <c r="H548" s="3">
        <f t="shared" si="47"/>
        <v>0.95</v>
      </c>
      <c r="I548" s="2">
        <v>22765426236.1614</v>
      </c>
      <c r="J548" s="2">
        <v>418925646.51863521</v>
      </c>
      <c r="K548" s="2">
        <f t="shared" si="46"/>
        <v>298084524.20588601</v>
      </c>
    </row>
    <row r="549" spans="3:11" x14ac:dyDescent="0.2">
      <c r="C549" s="2" t="s">
        <v>108</v>
      </c>
      <c r="D549" s="2" t="s">
        <v>140</v>
      </c>
      <c r="E549" s="3">
        <v>3</v>
      </c>
      <c r="F549" s="3">
        <v>-4</v>
      </c>
      <c r="G549" s="3">
        <f t="shared" si="47"/>
        <v>0.65</v>
      </c>
      <c r="H549" s="3">
        <f t="shared" si="47"/>
        <v>0.3</v>
      </c>
      <c r="I549" s="2">
        <v>22765426236.1614</v>
      </c>
      <c r="J549" s="2">
        <v>20249558527.720245</v>
      </c>
      <c r="K549" s="2">
        <f t="shared" si="46"/>
        <v>752762233.36792898</v>
      </c>
    </row>
    <row r="550" spans="3:11" x14ac:dyDescent="0.2">
      <c r="C550" s="2" t="s">
        <v>109</v>
      </c>
      <c r="D550" s="2" t="s">
        <v>110</v>
      </c>
      <c r="E550" s="3">
        <v>-4</v>
      </c>
      <c r="F550" s="3">
        <v>-6</v>
      </c>
      <c r="G550" s="3">
        <f t="shared" si="47"/>
        <v>0.3</v>
      </c>
      <c r="H550" s="3">
        <f t="shared" si="47"/>
        <v>0.2</v>
      </c>
      <c r="I550" s="2">
        <v>49696600512.515869</v>
      </c>
      <c r="J550" s="2">
        <v>34088542632.210712</v>
      </c>
      <c r="K550" s="2">
        <f t="shared" si="46"/>
        <v>119693061.63532361</v>
      </c>
    </row>
    <row r="551" spans="3:11" x14ac:dyDescent="0.2">
      <c r="C551" s="2" t="s">
        <v>109</v>
      </c>
      <c r="D551" s="2" t="s">
        <v>139</v>
      </c>
      <c r="E551" s="3">
        <v>-4</v>
      </c>
      <c r="F551" s="3">
        <f>$A$533</f>
        <v>9</v>
      </c>
      <c r="G551" s="3">
        <f t="shared" si="47"/>
        <v>0.3</v>
      </c>
      <c r="H551" s="3">
        <f t="shared" si="47"/>
        <v>0.95</v>
      </c>
      <c r="I551" s="2">
        <v>49696600512.515869</v>
      </c>
      <c r="J551" s="2">
        <v>418925646.51863521</v>
      </c>
      <c r="K551" s="2">
        <f t="shared" si="46"/>
        <v>3024829971.741725</v>
      </c>
    </row>
    <row r="552" spans="3:11" x14ac:dyDescent="0.2">
      <c r="C552" s="2" t="s">
        <v>109</v>
      </c>
      <c r="D552" s="2" t="s">
        <v>140</v>
      </c>
      <c r="E552" s="3">
        <v>-4</v>
      </c>
      <c r="F552" s="3">
        <v>-4</v>
      </c>
      <c r="G552" s="3">
        <f t="shared" si="47"/>
        <v>0.3</v>
      </c>
      <c r="H552" s="3">
        <f t="shared" si="47"/>
        <v>0.3</v>
      </c>
      <c r="I552" s="2">
        <v>49696600512.515869</v>
      </c>
      <c r="J552" s="2">
        <v>20249558527.720245</v>
      </c>
      <c r="K552" s="2">
        <f t="shared" si="46"/>
        <v>0</v>
      </c>
    </row>
    <row r="553" spans="3:11" x14ac:dyDescent="0.2">
      <c r="C553" s="2" t="s">
        <v>110</v>
      </c>
      <c r="D553" s="2" t="s">
        <v>139</v>
      </c>
      <c r="E553" s="3">
        <v>-6</v>
      </c>
      <c r="F553" s="3">
        <f>$A$533</f>
        <v>9</v>
      </c>
      <c r="G553" s="3">
        <f t="shared" si="47"/>
        <v>0.2</v>
      </c>
      <c r="H553" s="3">
        <f t="shared" si="47"/>
        <v>0.95</v>
      </c>
      <c r="I553" s="2">
        <v>34088542632.210712</v>
      </c>
      <c r="J553" s="2">
        <v>418925646.51863521</v>
      </c>
      <c r="K553" s="2">
        <f t="shared" si="46"/>
        <v>2772921558.1121793</v>
      </c>
    </row>
    <row r="554" spans="3:11" x14ac:dyDescent="0.2">
      <c r="C554" s="2" t="s">
        <v>110</v>
      </c>
      <c r="D554" s="2" t="s">
        <v>140</v>
      </c>
      <c r="E554" s="3">
        <v>-6</v>
      </c>
      <c r="F554" s="3">
        <v>-4</v>
      </c>
      <c r="G554" s="3">
        <f t="shared" si="47"/>
        <v>0.2</v>
      </c>
      <c r="H554" s="3">
        <f t="shared" si="47"/>
        <v>0.3</v>
      </c>
      <c r="I554" s="2">
        <v>34088542632.210712</v>
      </c>
      <c r="J554" s="2">
        <v>20249558527.720245</v>
      </c>
      <c r="K554" s="2">
        <f t="shared" si="46"/>
        <v>77625858.799901322</v>
      </c>
    </row>
    <row r="555" spans="3:11" x14ac:dyDescent="0.2">
      <c r="C555" s="2" t="s">
        <v>139</v>
      </c>
      <c r="D555" s="2" t="s">
        <v>140</v>
      </c>
      <c r="E555" s="3">
        <f>$A$533</f>
        <v>9</v>
      </c>
      <c r="F555" s="3">
        <v>-4</v>
      </c>
      <c r="G555" s="3">
        <f t="shared" si="47"/>
        <v>0.95</v>
      </c>
      <c r="H555" s="3">
        <f t="shared" si="47"/>
        <v>0.3</v>
      </c>
      <c r="I555" s="2">
        <v>418925646.51863521</v>
      </c>
      <c r="J555" s="2">
        <v>20249558527.720245</v>
      </c>
      <c r="K555" s="2">
        <f t="shared" si="46"/>
        <v>1247490651.945132</v>
      </c>
    </row>
    <row r="556" spans="3:11" x14ac:dyDescent="0.2">
      <c r="K556" s="1">
        <f>(1-SQRT(SUM(K528:K555)/(I528+SUM(J528:J534))))*100</f>
        <v>65.105298539122771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D490-1CC8-3B4C-B514-6A6D64E5F46A}">
  <dimension ref="A2:F279"/>
  <sheetViews>
    <sheetView topLeftCell="A17" zoomScale="125" zoomScaleNormal="85" workbookViewId="0">
      <pane xSplit="1" topLeftCell="B1" activePane="topRight" state="frozen"/>
      <selection activeCell="A94" sqref="A94"/>
      <selection pane="topRight" activeCell="C11" sqref="C11"/>
    </sheetView>
  </sheetViews>
  <sheetFormatPr baseColWidth="10" defaultColWidth="9.1640625" defaultRowHeight="15" x14ac:dyDescent="0.2"/>
  <cols>
    <col min="1" max="1" width="44" style="2" bestFit="1" customWidth="1"/>
    <col min="2" max="2" width="23.33203125" style="2" customWidth="1"/>
    <col min="3" max="3" width="17.33203125" style="2" customWidth="1"/>
    <col min="4" max="5" width="7.6640625" style="2" customWidth="1"/>
    <col min="6" max="6" width="9.6640625" style="2" bestFit="1" customWidth="1"/>
    <col min="7" max="7" width="11" style="2" bestFit="1" customWidth="1"/>
    <col min="8" max="256" width="9.1640625" style="2"/>
    <col min="257" max="257" width="44" style="2" bestFit="1" customWidth="1"/>
    <col min="258" max="258" width="23.33203125" style="2" customWidth="1"/>
    <col min="259" max="259" width="17.33203125" style="2" customWidth="1"/>
    <col min="260" max="261" width="7.6640625" style="2" customWidth="1"/>
    <col min="262" max="262" width="9.6640625" style="2" bestFit="1" customWidth="1"/>
    <col min="263" max="263" width="11" style="2" bestFit="1" customWidth="1"/>
    <col min="264" max="512" width="9.1640625" style="2"/>
    <col min="513" max="513" width="44" style="2" bestFit="1" customWidth="1"/>
    <col min="514" max="514" width="23.33203125" style="2" customWidth="1"/>
    <col min="515" max="515" width="17.33203125" style="2" customWidth="1"/>
    <col min="516" max="517" width="7.6640625" style="2" customWidth="1"/>
    <col min="518" max="518" width="9.6640625" style="2" bestFit="1" customWidth="1"/>
    <col min="519" max="519" width="11" style="2" bestFit="1" customWidth="1"/>
    <col min="520" max="768" width="9.1640625" style="2"/>
    <col min="769" max="769" width="44" style="2" bestFit="1" customWidth="1"/>
    <col min="770" max="770" width="23.33203125" style="2" customWidth="1"/>
    <col min="771" max="771" width="17.33203125" style="2" customWidth="1"/>
    <col min="772" max="773" width="7.6640625" style="2" customWidth="1"/>
    <col min="774" max="774" width="9.6640625" style="2" bestFit="1" customWidth="1"/>
    <col min="775" max="775" width="11" style="2" bestFit="1" customWidth="1"/>
    <col min="776" max="1024" width="9.1640625" style="2"/>
    <col min="1025" max="1025" width="44" style="2" bestFit="1" customWidth="1"/>
    <col min="1026" max="1026" width="23.33203125" style="2" customWidth="1"/>
    <col min="1027" max="1027" width="17.33203125" style="2" customWidth="1"/>
    <col min="1028" max="1029" width="7.6640625" style="2" customWidth="1"/>
    <col min="1030" max="1030" width="9.6640625" style="2" bestFit="1" customWidth="1"/>
    <col min="1031" max="1031" width="11" style="2" bestFit="1" customWidth="1"/>
    <col min="1032" max="1280" width="9.1640625" style="2"/>
    <col min="1281" max="1281" width="44" style="2" bestFit="1" customWidth="1"/>
    <col min="1282" max="1282" width="23.33203125" style="2" customWidth="1"/>
    <col min="1283" max="1283" width="17.33203125" style="2" customWidth="1"/>
    <col min="1284" max="1285" width="7.6640625" style="2" customWidth="1"/>
    <col min="1286" max="1286" width="9.6640625" style="2" bestFit="1" customWidth="1"/>
    <col min="1287" max="1287" width="11" style="2" bestFit="1" customWidth="1"/>
    <col min="1288" max="1536" width="9.1640625" style="2"/>
    <col min="1537" max="1537" width="44" style="2" bestFit="1" customWidth="1"/>
    <col min="1538" max="1538" width="23.33203125" style="2" customWidth="1"/>
    <col min="1539" max="1539" width="17.33203125" style="2" customWidth="1"/>
    <col min="1540" max="1541" width="7.6640625" style="2" customWidth="1"/>
    <col min="1542" max="1542" width="9.6640625" style="2" bestFit="1" customWidth="1"/>
    <col min="1543" max="1543" width="11" style="2" bestFit="1" customWidth="1"/>
    <col min="1544" max="1792" width="9.1640625" style="2"/>
    <col min="1793" max="1793" width="44" style="2" bestFit="1" customWidth="1"/>
    <col min="1794" max="1794" width="23.33203125" style="2" customWidth="1"/>
    <col min="1795" max="1795" width="17.33203125" style="2" customWidth="1"/>
    <col min="1796" max="1797" width="7.6640625" style="2" customWidth="1"/>
    <col min="1798" max="1798" width="9.6640625" style="2" bestFit="1" customWidth="1"/>
    <col min="1799" max="1799" width="11" style="2" bestFit="1" customWidth="1"/>
    <col min="1800" max="2048" width="9.1640625" style="2"/>
    <col min="2049" max="2049" width="44" style="2" bestFit="1" customWidth="1"/>
    <col min="2050" max="2050" width="23.33203125" style="2" customWidth="1"/>
    <col min="2051" max="2051" width="17.33203125" style="2" customWidth="1"/>
    <col min="2052" max="2053" width="7.6640625" style="2" customWidth="1"/>
    <col min="2054" max="2054" width="9.6640625" style="2" bestFit="1" customWidth="1"/>
    <col min="2055" max="2055" width="11" style="2" bestFit="1" customWidth="1"/>
    <col min="2056" max="2304" width="9.1640625" style="2"/>
    <col min="2305" max="2305" width="44" style="2" bestFit="1" customWidth="1"/>
    <col min="2306" max="2306" width="23.33203125" style="2" customWidth="1"/>
    <col min="2307" max="2307" width="17.33203125" style="2" customWidth="1"/>
    <col min="2308" max="2309" width="7.6640625" style="2" customWidth="1"/>
    <col min="2310" max="2310" width="9.6640625" style="2" bestFit="1" customWidth="1"/>
    <col min="2311" max="2311" width="11" style="2" bestFit="1" customWidth="1"/>
    <col min="2312" max="2560" width="9.1640625" style="2"/>
    <col min="2561" max="2561" width="44" style="2" bestFit="1" customWidth="1"/>
    <col min="2562" max="2562" width="23.33203125" style="2" customWidth="1"/>
    <col min="2563" max="2563" width="17.33203125" style="2" customWidth="1"/>
    <col min="2564" max="2565" width="7.6640625" style="2" customWidth="1"/>
    <col min="2566" max="2566" width="9.6640625" style="2" bestFit="1" customWidth="1"/>
    <col min="2567" max="2567" width="11" style="2" bestFit="1" customWidth="1"/>
    <col min="2568" max="2816" width="9.1640625" style="2"/>
    <col min="2817" max="2817" width="44" style="2" bestFit="1" customWidth="1"/>
    <col min="2818" max="2818" width="23.33203125" style="2" customWidth="1"/>
    <col min="2819" max="2819" width="17.33203125" style="2" customWidth="1"/>
    <col min="2820" max="2821" width="7.6640625" style="2" customWidth="1"/>
    <col min="2822" max="2822" width="9.6640625" style="2" bestFit="1" customWidth="1"/>
    <col min="2823" max="2823" width="11" style="2" bestFit="1" customWidth="1"/>
    <col min="2824" max="3072" width="9.1640625" style="2"/>
    <col min="3073" max="3073" width="44" style="2" bestFit="1" customWidth="1"/>
    <col min="3074" max="3074" width="23.33203125" style="2" customWidth="1"/>
    <col min="3075" max="3075" width="17.33203125" style="2" customWidth="1"/>
    <col min="3076" max="3077" width="7.6640625" style="2" customWidth="1"/>
    <col min="3078" max="3078" width="9.6640625" style="2" bestFit="1" customWidth="1"/>
    <col min="3079" max="3079" width="11" style="2" bestFit="1" customWidth="1"/>
    <col min="3080" max="3328" width="9.1640625" style="2"/>
    <col min="3329" max="3329" width="44" style="2" bestFit="1" customWidth="1"/>
    <col min="3330" max="3330" width="23.33203125" style="2" customWidth="1"/>
    <col min="3331" max="3331" width="17.33203125" style="2" customWidth="1"/>
    <col min="3332" max="3333" width="7.6640625" style="2" customWidth="1"/>
    <col min="3334" max="3334" width="9.6640625" style="2" bestFit="1" customWidth="1"/>
    <col min="3335" max="3335" width="11" style="2" bestFit="1" customWidth="1"/>
    <col min="3336" max="3584" width="9.1640625" style="2"/>
    <col min="3585" max="3585" width="44" style="2" bestFit="1" customWidth="1"/>
    <col min="3586" max="3586" width="23.33203125" style="2" customWidth="1"/>
    <col min="3587" max="3587" width="17.33203125" style="2" customWidth="1"/>
    <col min="3588" max="3589" width="7.6640625" style="2" customWidth="1"/>
    <col min="3590" max="3590" width="9.6640625" style="2" bestFit="1" customWidth="1"/>
    <col min="3591" max="3591" width="11" style="2" bestFit="1" customWidth="1"/>
    <col min="3592" max="3840" width="9.1640625" style="2"/>
    <col min="3841" max="3841" width="44" style="2" bestFit="1" customWidth="1"/>
    <col min="3842" max="3842" width="23.33203125" style="2" customWidth="1"/>
    <col min="3843" max="3843" width="17.33203125" style="2" customWidth="1"/>
    <col min="3844" max="3845" width="7.6640625" style="2" customWidth="1"/>
    <col min="3846" max="3846" width="9.6640625" style="2" bestFit="1" customWidth="1"/>
    <col min="3847" max="3847" width="11" style="2" bestFit="1" customWidth="1"/>
    <col min="3848" max="4096" width="9.1640625" style="2"/>
    <col min="4097" max="4097" width="44" style="2" bestFit="1" customWidth="1"/>
    <col min="4098" max="4098" width="23.33203125" style="2" customWidth="1"/>
    <col min="4099" max="4099" width="17.33203125" style="2" customWidth="1"/>
    <col min="4100" max="4101" width="7.6640625" style="2" customWidth="1"/>
    <col min="4102" max="4102" width="9.6640625" style="2" bestFit="1" customWidth="1"/>
    <col min="4103" max="4103" width="11" style="2" bestFit="1" customWidth="1"/>
    <col min="4104" max="4352" width="9.1640625" style="2"/>
    <col min="4353" max="4353" width="44" style="2" bestFit="1" customWidth="1"/>
    <col min="4354" max="4354" width="23.33203125" style="2" customWidth="1"/>
    <col min="4355" max="4355" width="17.33203125" style="2" customWidth="1"/>
    <col min="4356" max="4357" width="7.6640625" style="2" customWidth="1"/>
    <col min="4358" max="4358" width="9.6640625" style="2" bestFit="1" customWidth="1"/>
    <col min="4359" max="4359" width="11" style="2" bestFit="1" customWidth="1"/>
    <col min="4360" max="4608" width="9.1640625" style="2"/>
    <col min="4609" max="4609" width="44" style="2" bestFit="1" customWidth="1"/>
    <col min="4610" max="4610" width="23.33203125" style="2" customWidth="1"/>
    <col min="4611" max="4611" width="17.33203125" style="2" customWidth="1"/>
    <col min="4612" max="4613" width="7.6640625" style="2" customWidth="1"/>
    <col min="4614" max="4614" width="9.6640625" style="2" bestFit="1" customWidth="1"/>
    <col min="4615" max="4615" width="11" style="2" bestFit="1" customWidth="1"/>
    <col min="4616" max="4864" width="9.1640625" style="2"/>
    <col min="4865" max="4865" width="44" style="2" bestFit="1" customWidth="1"/>
    <col min="4866" max="4866" width="23.33203125" style="2" customWidth="1"/>
    <col min="4867" max="4867" width="17.33203125" style="2" customWidth="1"/>
    <col min="4868" max="4869" width="7.6640625" style="2" customWidth="1"/>
    <col min="4870" max="4870" width="9.6640625" style="2" bestFit="1" customWidth="1"/>
    <col min="4871" max="4871" width="11" style="2" bestFit="1" customWidth="1"/>
    <col min="4872" max="5120" width="9.1640625" style="2"/>
    <col min="5121" max="5121" width="44" style="2" bestFit="1" customWidth="1"/>
    <col min="5122" max="5122" width="23.33203125" style="2" customWidth="1"/>
    <col min="5123" max="5123" width="17.33203125" style="2" customWidth="1"/>
    <col min="5124" max="5125" width="7.6640625" style="2" customWidth="1"/>
    <col min="5126" max="5126" width="9.6640625" style="2" bestFit="1" customWidth="1"/>
    <col min="5127" max="5127" width="11" style="2" bestFit="1" customWidth="1"/>
    <col min="5128" max="5376" width="9.1640625" style="2"/>
    <col min="5377" max="5377" width="44" style="2" bestFit="1" customWidth="1"/>
    <col min="5378" max="5378" width="23.33203125" style="2" customWidth="1"/>
    <col min="5379" max="5379" width="17.33203125" style="2" customWidth="1"/>
    <col min="5380" max="5381" width="7.6640625" style="2" customWidth="1"/>
    <col min="5382" max="5382" width="9.6640625" style="2" bestFit="1" customWidth="1"/>
    <col min="5383" max="5383" width="11" style="2" bestFit="1" customWidth="1"/>
    <col min="5384" max="5632" width="9.1640625" style="2"/>
    <col min="5633" max="5633" width="44" style="2" bestFit="1" customWidth="1"/>
    <col min="5634" max="5634" width="23.33203125" style="2" customWidth="1"/>
    <col min="5635" max="5635" width="17.33203125" style="2" customWidth="1"/>
    <col min="5636" max="5637" width="7.6640625" style="2" customWidth="1"/>
    <col min="5638" max="5638" width="9.6640625" style="2" bestFit="1" customWidth="1"/>
    <col min="5639" max="5639" width="11" style="2" bestFit="1" customWidth="1"/>
    <col min="5640" max="5888" width="9.1640625" style="2"/>
    <col min="5889" max="5889" width="44" style="2" bestFit="1" customWidth="1"/>
    <col min="5890" max="5890" width="23.33203125" style="2" customWidth="1"/>
    <col min="5891" max="5891" width="17.33203125" style="2" customWidth="1"/>
    <col min="5892" max="5893" width="7.6640625" style="2" customWidth="1"/>
    <col min="5894" max="5894" width="9.6640625" style="2" bestFit="1" customWidth="1"/>
    <col min="5895" max="5895" width="11" style="2" bestFit="1" customWidth="1"/>
    <col min="5896" max="6144" width="9.1640625" style="2"/>
    <col min="6145" max="6145" width="44" style="2" bestFit="1" customWidth="1"/>
    <col min="6146" max="6146" width="23.33203125" style="2" customWidth="1"/>
    <col min="6147" max="6147" width="17.33203125" style="2" customWidth="1"/>
    <col min="6148" max="6149" width="7.6640625" style="2" customWidth="1"/>
    <col min="6150" max="6150" width="9.6640625" style="2" bestFit="1" customWidth="1"/>
    <col min="6151" max="6151" width="11" style="2" bestFit="1" customWidth="1"/>
    <col min="6152" max="6400" width="9.1640625" style="2"/>
    <col min="6401" max="6401" width="44" style="2" bestFit="1" customWidth="1"/>
    <col min="6402" max="6402" width="23.33203125" style="2" customWidth="1"/>
    <col min="6403" max="6403" width="17.33203125" style="2" customWidth="1"/>
    <col min="6404" max="6405" width="7.6640625" style="2" customWidth="1"/>
    <col min="6406" max="6406" width="9.6640625" style="2" bestFit="1" customWidth="1"/>
    <col min="6407" max="6407" width="11" style="2" bestFit="1" customWidth="1"/>
    <col min="6408" max="6656" width="9.1640625" style="2"/>
    <col min="6657" max="6657" width="44" style="2" bestFit="1" customWidth="1"/>
    <col min="6658" max="6658" width="23.33203125" style="2" customWidth="1"/>
    <col min="6659" max="6659" width="17.33203125" style="2" customWidth="1"/>
    <col min="6660" max="6661" width="7.6640625" style="2" customWidth="1"/>
    <col min="6662" max="6662" width="9.6640625" style="2" bestFit="1" customWidth="1"/>
    <col min="6663" max="6663" width="11" style="2" bestFit="1" customWidth="1"/>
    <col min="6664" max="6912" width="9.1640625" style="2"/>
    <col min="6913" max="6913" width="44" style="2" bestFit="1" customWidth="1"/>
    <col min="6914" max="6914" width="23.33203125" style="2" customWidth="1"/>
    <col min="6915" max="6915" width="17.33203125" style="2" customWidth="1"/>
    <col min="6916" max="6917" width="7.6640625" style="2" customWidth="1"/>
    <col min="6918" max="6918" width="9.6640625" style="2" bestFit="1" customWidth="1"/>
    <col min="6919" max="6919" width="11" style="2" bestFit="1" customWidth="1"/>
    <col min="6920" max="7168" width="9.1640625" style="2"/>
    <col min="7169" max="7169" width="44" style="2" bestFit="1" customWidth="1"/>
    <col min="7170" max="7170" width="23.33203125" style="2" customWidth="1"/>
    <col min="7171" max="7171" width="17.33203125" style="2" customWidth="1"/>
    <col min="7172" max="7173" width="7.6640625" style="2" customWidth="1"/>
    <col min="7174" max="7174" width="9.6640625" style="2" bestFit="1" customWidth="1"/>
    <col min="7175" max="7175" width="11" style="2" bestFit="1" customWidth="1"/>
    <col min="7176" max="7424" width="9.1640625" style="2"/>
    <col min="7425" max="7425" width="44" style="2" bestFit="1" customWidth="1"/>
    <col min="7426" max="7426" width="23.33203125" style="2" customWidth="1"/>
    <col min="7427" max="7427" width="17.33203125" style="2" customWidth="1"/>
    <col min="7428" max="7429" width="7.6640625" style="2" customWidth="1"/>
    <col min="7430" max="7430" width="9.6640625" style="2" bestFit="1" customWidth="1"/>
    <col min="7431" max="7431" width="11" style="2" bestFit="1" customWidth="1"/>
    <col min="7432" max="7680" width="9.1640625" style="2"/>
    <col min="7681" max="7681" width="44" style="2" bestFit="1" customWidth="1"/>
    <col min="7682" max="7682" width="23.33203125" style="2" customWidth="1"/>
    <col min="7683" max="7683" width="17.33203125" style="2" customWidth="1"/>
    <col min="7684" max="7685" width="7.6640625" style="2" customWidth="1"/>
    <col min="7686" max="7686" width="9.6640625" style="2" bestFit="1" customWidth="1"/>
    <col min="7687" max="7687" width="11" style="2" bestFit="1" customWidth="1"/>
    <col min="7688" max="7936" width="9.1640625" style="2"/>
    <col min="7937" max="7937" width="44" style="2" bestFit="1" customWidth="1"/>
    <col min="7938" max="7938" width="23.33203125" style="2" customWidth="1"/>
    <col min="7939" max="7939" width="17.33203125" style="2" customWidth="1"/>
    <col min="7940" max="7941" width="7.6640625" style="2" customWidth="1"/>
    <col min="7942" max="7942" width="9.6640625" style="2" bestFit="1" customWidth="1"/>
    <col min="7943" max="7943" width="11" style="2" bestFit="1" customWidth="1"/>
    <col min="7944" max="8192" width="9.1640625" style="2"/>
    <col min="8193" max="8193" width="44" style="2" bestFit="1" customWidth="1"/>
    <col min="8194" max="8194" width="23.33203125" style="2" customWidth="1"/>
    <col min="8195" max="8195" width="17.33203125" style="2" customWidth="1"/>
    <col min="8196" max="8197" width="7.6640625" style="2" customWidth="1"/>
    <col min="8198" max="8198" width="9.6640625" style="2" bestFit="1" customWidth="1"/>
    <col min="8199" max="8199" width="11" style="2" bestFit="1" customWidth="1"/>
    <col min="8200" max="8448" width="9.1640625" style="2"/>
    <col min="8449" max="8449" width="44" style="2" bestFit="1" customWidth="1"/>
    <col min="8450" max="8450" width="23.33203125" style="2" customWidth="1"/>
    <col min="8451" max="8451" width="17.33203125" style="2" customWidth="1"/>
    <col min="8452" max="8453" width="7.6640625" style="2" customWidth="1"/>
    <col min="8454" max="8454" width="9.6640625" style="2" bestFit="1" customWidth="1"/>
    <col min="8455" max="8455" width="11" style="2" bestFit="1" customWidth="1"/>
    <col min="8456" max="8704" width="9.1640625" style="2"/>
    <col min="8705" max="8705" width="44" style="2" bestFit="1" customWidth="1"/>
    <col min="8706" max="8706" width="23.33203125" style="2" customWidth="1"/>
    <col min="8707" max="8707" width="17.33203125" style="2" customWidth="1"/>
    <col min="8708" max="8709" width="7.6640625" style="2" customWidth="1"/>
    <col min="8710" max="8710" width="9.6640625" style="2" bestFit="1" customWidth="1"/>
    <col min="8711" max="8711" width="11" style="2" bestFit="1" customWidth="1"/>
    <col min="8712" max="8960" width="9.1640625" style="2"/>
    <col min="8961" max="8961" width="44" style="2" bestFit="1" customWidth="1"/>
    <col min="8962" max="8962" width="23.33203125" style="2" customWidth="1"/>
    <col min="8963" max="8963" width="17.33203125" style="2" customWidth="1"/>
    <col min="8964" max="8965" width="7.6640625" style="2" customWidth="1"/>
    <col min="8966" max="8966" width="9.6640625" style="2" bestFit="1" customWidth="1"/>
    <col min="8967" max="8967" width="11" style="2" bestFit="1" customWidth="1"/>
    <col min="8968" max="9216" width="9.1640625" style="2"/>
    <col min="9217" max="9217" width="44" style="2" bestFit="1" customWidth="1"/>
    <col min="9218" max="9218" width="23.33203125" style="2" customWidth="1"/>
    <col min="9219" max="9219" width="17.33203125" style="2" customWidth="1"/>
    <col min="9220" max="9221" width="7.6640625" style="2" customWidth="1"/>
    <col min="9222" max="9222" width="9.6640625" style="2" bestFit="1" customWidth="1"/>
    <col min="9223" max="9223" width="11" style="2" bestFit="1" customWidth="1"/>
    <col min="9224" max="9472" width="9.1640625" style="2"/>
    <col min="9473" max="9473" width="44" style="2" bestFit="1" customWidth="1"/>
    <col min="9474" max="9474" width="23.33203125" style="2" customWidth="1"/>
    <col min="9475" max="9475" width="17.33203125" style="2" customWidth="1"/>
    <col min="9476" max="9477" width="7.6640625" style="2" customWidth="1"/>
    <col min="9478" max="9478" width="9.6640625" style="2" bestFit="1" customWidth="1"/>
    <col min="9479" max="9479" width="11" style="2" bestFit="1" customWidth="1"/>
    <col min="9480" max="9728" width="9.1640625" style="2"/>
    <col min="9729" max="9729" width="44" style="2" bestFit="1" customWidth="1"/>
    <col min="9730" max="9730" width="23.33203125" style="2" customWidth="1"/>
    <col min="9731" max="9731" width="17.33203125" style="2" customWidth="1"/>
    <col min="9732" max="9733" width="7.6640625" style="2" customWidth="1"/>
    <col min="9734" max="9734" width="9.6640625" style="2" bestFit="1" customWidth="1"/>
    <col min="9735" max="9735" width="11" style="2" bestFit="1" customWidth="1"/>
    <col min="9736" max="9984" width="9.1640625" style="2"/>
    <col min="9985" max="9985" width="44" style="2" bestFit="1" customWidth="1"/>
    <col min="9986" max="9986" width="23.33203125" style="2" customWidth="1"/>
    <col min="9987" max="9987" width="17.33203125" style="2" customWidth="1"/>
    <col min="9988" max="9989" width="7.6640625" style="2" customWidth="1"/>
    <col min="9990" max="9990" width="9.6640625" style="2" bestFit="1" customWidth="1"/>
    <col min="9991" max="9991" width="11" style="2" bestFit="1" customWidth="1"/>
    <col min="9992" max="10240" width="9.1640625" style="2"/>
    <col min="10241" max="10241" width="44" style="2" bestFit="1" customWidth="1"/>
    <col min="10242" max="10242" width="23.33203125" style="2" customWidth="1"/>
    <col min="10243" max="10243" width="17.33203125" style="2" customWidth="1"/>
    <col min="10244" max="10245" width="7.6640625" style="2" customWidth="1"/>
    <col min="10246" max="10246" width="9.6640625" style="2" bestFit="1" customWidth="1"/>
    <col min="10247" max="10247" width="11" style="2" bestFit="1" customWidth="1"/>
    <col min="10248" max="10496" width="9.1640625" style="2"/>
    <col min="10497" max="10497" width="44" style="2" bestFit="1" customWidth="1"/>
    <col min="10498" max="10498" width="23.33203125" style="2" customWidth="1"/>
    <col min="10499" max="10499" width="17.33203125" style="2" customWidth="1"/>
    <col min="10500" max="10501" width="7.6640625" style="2" customWidth="1"/>
    <col min="10502" max="10502" width="9.6640625" style="2" bestFit="1" customWidth="1"/>
    <col min="10503" max="10503" width="11" style="2" bestFit="1" customWidth="1"/>
    <col min="10504" max="10752" width="9.1640625" style="2"/>
    <col min="10753" max="10753" width="44" style="2" bestFit="1" customWidth="1"/>
    <col min="10754" max="10754" width="23.33203125" style="2" customWidth="1"/>
    <col min="10755" max="10755" width="17.33203125" style="2" customWidth="1"/>
    <col min="10756" max="10757" width="7.6640625" style="2" customWidth="1"/>
    <col min="10758" max="10758" width="9.6640625" style="2" bestFit="1" customWidth="1"/>
    <col min="10759" max="10759" width="11" style="2" bestFit="1" customWidth="1"/>
    <col min="10760" max="11008" width="9.1640625" style="2"/>
    <col min="11009" max="11009" width="44" style="2" bestFit="1" customWidth="1"/>
    <col min="11010" max="11010" width="23.33203125" style="2" customWidth="1"/>
    <col min="11011" max="11011" width="17.33203125" style="2" customWidth="1"/>
    <col min="11012" max="11013" width="7.6640625" style="2" customWidth="1"/>
    <col min="11014" max="11014" width="9.6640625" style="2" bestFit="1" customWidth="1"/>
    <col min="11015" max="11015" width="11" style="2" bestFit="1" customWidth="1"/>
    <col min="11016" max="11264" width="9.1640625" style="2"/>
    <col min="11265" max="11265" width="44" style="2" bestFit="1" customWidth="1"/>
    <col min="11266" max="11266" width="23.33203125" style="2" customWidth="1"/>
    <col min="11267" max="11267" width="17.33203125" style="2" customWidth="1"/>
    <col min="11268" max="11269" width="7.6640625" style="2" customWidth="1"/>
    <col min="11270" max="11270" width="9.6640625" style="2" bestFit="1" customWidth="1"/>
    <col min="11271" max="11271" width="11" style="2" bestFit="1" customWidth="1"/>
    <col min="11272" max="11520" width="9.1640625" style="2"/>
    <col min="11521" max="11521" width="44" style="2" bestFit="1" customWidth="1"/>
    <col min="11522" max="11522" width="23.33203125" style="2" customWidth="1"/>
    <col min="11523" max="11523" width="17.33203125" style="2" customWidth="1"/>
    <col min="11524" max="11525" width="7.6640625" style="2" customWidth="1"/>
    <col min="11526" max="11526" width="9.6640625" style="2" bestFit="1" customWidth="1"/>
    <col min="11527" max="11527" width="11" style="2" bestFit="1" customWidth="1"/>
    <col min="11528" max="11776" width="9.1640625" style="2"/>
    <col min="11777" max="11777" width="44" style="2" bestFit="1" customWidth="1"/>
    <col min="11778" max="11778" width="23.33203125" style="2" customWidth="1"/>
    <col min="11779" max="11779" width="17.33203125" style="2" customWidth="1"/>
    <col min="11780" max="11781" width="7.6640625" style="2" customWidth="1"/>
    <col min="11782" max="11782" width="9.6640625" style="2" bestFit="1" customWidth="1"/>
    <col min="11783" max="11783" width="11" style="2" bestFit="1" customWidth="1"/>
    <col min="11784" max="12032" width="9.1640625" style="2"/>
    <col min="12033" max="12033" width="44" style="2" bestFit="1" customWidth="1"/>
    <col min="12034" max="12034" width="23.33203125" style="2" customWidth="1"/>
    <col min="12035" max="12035" width="17.33203125" style="2" customWidth="1"/>
    <col min="12036" max="12037" width="7.6640625" style="2" customWidth="1"/>
    <col min="12038" max="12038" width="9.6640625" style="2" bestFit="1" customWidth="1"/>
    <col min="12039" max="12039" width="11" style="2" bestFit="1" customWidth="1"/>
    <col min="12040" max="12288" width="9.1640625" style="2"/>
    <col min="12289" max="12289" width="44" style="2" bestFit="1" customWidth="1"/>
    <col min="12290" max="12290" width="23.33203125" style="2" customWidth="1"/>
    <col min="12291" max="12291" width="17.33203125" style="2" customWidth="1"/>
    <col min="12292" max="12293" width="7.6640625" style="2" customWidth="1"/>
    <col min="12294" max="12294" width="9.6640625" style="2" bestFit="1" customWidth="1"/>
    <col min="12295" max="12295" width="11" style="2" bestFit="1" customWidth="1"/>
    <col min="12296" max="12544" width="9.1640625" style="2"/>
    <col min="12545" max="12545" width="44" style="2" bestFit="1" customWidth="1"/>
    <col min="12546" max="12546" width="23.33203125" style="2" customWidth="1"/>
    <col min="12547" max="12547" width="17.33203125" style="2" customWidth="1"/>
    <col min="12548" max="12549" width="7.6640625" style="2" customWidth="1"/>
    <col min="12550" max="12550" width="9.6640625" style="2" bestFit="1" customWidth="1"/>
    <col min="12551" max="12551" width="11" style="2" bestFit="1" customWidth="1"/>
    <col min="12552" max="12800" width="9.1640625" style="2"/>
    <col min="12801" max="12801" width="44" style="2" bestFit="1" customWidth="1"/>
    <col min="12802" max="12802" width="23.33203125" style="2" customWidth="1"/>
    <col min="12803" max="12803" width="17.33203125" style="2" customWidth="1"/>
    <col min="12804" max="12805" width="7.6640625" style="2" customWidth="1"/>
    <col min="12806" max="12806" width="9.6640625" style="2" bestFit="1" customWidth="1"/>
    <col min="12807" max="12807" width="11" style="2" bestFit="1" customWidth="1"/>
    <col min="12808" max="13056" width="9.1640625" style="2"/>
    <col min="13057" max="13057" width="44" style="2" bestFit="1" customWidth="1"/>
    <col min="13058" max="13058" width="23.33203125" style="2" customWidth="1"/>
    <col min="13059" max="13059" width="17.33203125" style="2" customWidth="1"/>
    <col min="13060" max="13061" width="7.6640625" style="2" customWidth="1"/>
    <col min="13062" max="13062" width="9.6640625" style="2" bestFit="1" customWidth="1"/>
    <col min="13063" max="13063" width="11" style="2" bestFit="1" customWidth="1"/>
    <col min="13064" max="13312" width="9.1640625" style="2"/>
    <col min="13313" max="13313" width="44" style="2" bestFit="1" customWidth="1"/>
    <col min="13314" max="13314" width="23.33203125" style="2" customWidth="1"/>
    <col min="13315" max="13315" width="17.33203125" style="2" customWidth="1"/>
    <col min="13316" max="13317" width="7.6640625" style="2" customWidth="1"/>
    <col min="13318" max="13318" width="9.6640625" style="2" bestFit="1" customWidth="1"/>
    <col min="13319" max="13319" width="11" style="2" bestFit="1" customWidth="1"/>
    <col min="13320" max="13568" width="9.1640625" style="2"/>
    <col min="13569" max="13569" width="44" style="2" bestFit="1" customWidth="1"/>
    <col min="13570" max="13570" width="23.33203125" style="2" customWidth="1"/>
    <col min="13571" max="13571" width="17.33203125" style="2" customWidth="1"/>
    <col min="13572" max="13573" width="7.6640625" style="2" customWidth="1"/>
    <col min="13574" max="13574" width="9.6640625" style="2" bestFit="1" customWidth="1"/>
    <col min="13575" max="13575" width="11" style="2" bestFit="1" customWidth="1"/>
    <col min="13576" max="13824" width="9.1640625" style="2"/>
    <col min="13825" max="13825" width="44" style="2" bestFit="1" customWidth="1"/>
    <col min="13826" max="13826" width="23.33203125" style="2" customWidth="1"/>
    <col min="13827" max="13827" width="17.33203125" style="2" customWidth="1"/>
    <col min="13828" max="13829" width="7.6640625" style="2" customWidth="1"/>
    <col min="13830" max="13830" width="9.6640625" style="2" bestFit="1" customWidth="1"/>
    <col min="13831" max="13831" width="11" style="2" bestFit="1" customWidth="1"/>
    <col min="13832" max="14080" width="9.1640625" style="2"/>
    <col min="14081" max="14081" width="44" style="2" bestFit="1" customWidth="1"/>
    <col min="14082" max="14082" width="23.33203125" style="2" customWidth="1"/>
    <col min="14083" max="14083" width="17.33203125" style="2" customWidth="1"/>
    <col min="14084" max="14085" width="7.6640625" style="2" customWidth="1"/>
    <col min="14086" max="14086" width="9.6640625" style="2" bestFit="1" customWidth="1"/>
    <col min="14087" max="14087" width="11" style="2" bestFit="1" customWidth="1"/>
    <col min="14088" max="14336" width="9.1640625" style="2"/>
    <col min="14337" max="14337" width="44" style="2" bestFit="1" customWidth="1"/>
    <col min="14338" max="14338" width="23.33203125" style="2" customWidth="1"/>
    <col min="14339" max="14339" width="17.33203125" style="2" customWidth="1"/>
    <col min="14340" max="14341" width="7.6640625" style="2" customWidth="1"/>
    <col min="14342" max="14342" width="9.6640625" style="2" bestFit="1" customWidth="1"/>
    <col min="14343" max="14343" width="11" style="2" bestFit="1" customWidth="1"/>
    <col min="14344" max="14592" width="9.1640625" style="2"/>
    <col min="14593" max="14593" width="44" style="2" bestFit="1" customWidth="1"/>
    <col min="14594" max="14594" width="23.33203125" style="2" customWidth="1"/>
    <col min="14595" max="14595" width="17.33203125" style="2" customWidth="1"/>
    <col min="14596" max="14597" width="7.6640625" style="2" customWidth="1"/>
    <col min="14598" max="14598" width="9.6640625" style="2" bestFit="1" customWidth="1"/>
    <col min="14599" max="14599" width="11" style="2" bestFit="1" customWidth="1"/>
    <col min="14600" max="14848" width="9.1640625" style="2"/>
    <col min="14849" max="14849" width="44" style="2" bestFit="1" customWidth="1"/>
    <col min="14850" max="14850" width="23.33203125" style="2" customWidth="1"/>
    <col min="14851" max="14851" width="17.33203125" style="2" customWidth="1"/>
    <col min="14852" max="14853" width="7.6640625" style="2" customWidth="1"/>
    <col min="14854" max="14854" width="9.6640625" style="2" bestFit="1" customWidth="1"/>
    <col min="14855" max="14855" width="11" style="2" bestFit="1" customWidth="1"/>
    <col min="14856" max="15104" width="9.1640625" style="2"/>
    <col min="15105" max="15105" width="44" style="2" bestFit="1" customWidth="1"/>
    <col min="15106" max="15106" width="23.33203125" style="2" customWidth="1"/>
    <col min="15107" max="15107" width="17.33203125" style="2" customWidth="1"/>
    <col min="15108" max="15109" width="7.6640625" style="2" customWidth="1"/>
    <col min="15110" max="15110" width="9.6640625" style="2" bestFit="1" customWidth="1"/>
    <col min="15111" max="15111" width="11" style="2" bestFit="1" customWidth="1"/>
    <col min="15112" max="15360" width="9.1640625" style="2"/>
    <col min="15361" max="15361" width="44" style="2" bestFit="1" customWidth="1"/>
    <col min="15362" max="15362" width="23.33203125" style="2" customWidth="1"/>
    <col min="15363" max="15363" width="17.33203125" style="2" customWidth="1"/>
    <col min="15364" max="15365" width="7.6640625" style="2" customWidth="1"/>
    <col min="15366" max="15366" width="9.6640625" style="2" bestFit="1" customWidth="1"/>
    <col min="15367" max="15367" width="11" style="2" bestFit="1" customWidth="1"/>
    <col min="15368" max="15616" width="9.1640625" style="2"/>
    <col min="15617" max="15617" width="44" style="2" bestFit="1" customWidth="1"/>
    <col min="15618" max="15618" width="23.33203125" style="2" customWidth="1"/>
    <col min="15619" max="15619" width="17.33203125" style="2" customWidth="1"/>
    <col min="15620" max="15621" width="7.6640625" style="2" customWidth="1"/>
    <col min="15622" max="15622" width="9.6640625" style="2" bestFit="1" customWidth="1"/>
    <col min="15623" max="15623" width="11" style="2" bestFit="1" customWidth="1"/>
    <col min="15624" max="15872" width="9.1640625" style="2"/>
    <col min="15873" max="15873" width="44" style="2" bestFit="1" customWidth="1"/>
    <col min="15874" max="15874" width="23.33203125" style="2" customWidth="1"/>
    <col min="15875" max="15875" width="17.33203125" style="2" customWidth="1"/>
    <col min="15876" max="15877" width="7.6640625" style="2" customWidth="1"/>
    <col min="15878" max="15878" width="9.6640625" style="2" bestFit="1" customWidth="1"/>
    <col min="15879" max="15879" width="11" style="2" bestFit="1" customWidth="1"/>
    <col min="15880" max="16128" width="9.1640625" style="2"/>
    <col min="16129" max="16129" width="44" style="2" bestFit="1" customWidth="1"/>
    <col min="16130" max="16130" width="23.33203125" style="2" customWidth="1"/>
    <col min="16131" max="16131" width="17.33203125" style="2" customWidth="1"/>
    <col min="16132" max="16133" width="7.6640625" style="2" customWidth="1"/>
    <col min="16134" max="16134" width="9.6640625" style="2" bestFit="1" customWidth="1"/>
    <col min="16135" max="16135" width="11" style="2" bestFit="1" customWidth="1"/>
    <col min="16136" max="16384" width="9.1640625" style="2"/>
  </cols>
  <sheetData>
    <row r="2" spans="1:6" ht="16" x14ac:dyDescent="0.2">
      <c r="C2" s="9"/>
      <c r="D2" s="9"/>
      <c r="E2" s="9"/>
    </row>
    <row r="5" spans="1:6" ht="17" x14ac:dyDescent="0.25">
      <c r="A5" s="1" t="s">
        <v>511</v>
      </c>
      <c r="B5" s="1" t="s">
        <v>512</v>
      </c>
      <c r="C5" s="1" t="s">
        <v>513</v>
      </c>
      <c r="D5" s="1" t="s">
        <v>514</v>
      </c>
      <c r="E5" s="1" t="s">
        <v>515</v>
      </c>
      <c r="F5" s="1" t="s">
        <v>516</v>
      </c>
    </row>
    <row r="6" spans="1:6" x14ac:dyDescent="0.2">
      <c r="A6" s="10" t="s">
        <v>6</v>
      </c>
      <c r="B6" s="2">
        <f>((D6+E6)/2)*(C6/C$21)</f>
        <v>0.11600172952739329</v>
      </c>
      <c r="C6" s="3">
        <v>2129440524.9576907</v>
      </c>
      <c r="D6" s="11">
        <v>4.55</v>
      </c>
      <c r="E6" s="11">
        <v>18.14</v>
      </c>
      <c r="F6" s="2">
        <f>(D6+E6)/2</f>
        <v>11.345000000000001</v>
      </c>
    </row>
    <row r="7" spans="1:6" x14ac:dyDescent="0.2">
      <c r="A7" s="10" t="s">
        <v>7</v>
      </c>
      <c r="B7" s="2">
        <f t="shared" ref="B7:B20" si="0">((D7+E7)/2)*(C7/C$21)</f>
        <v>3.3250399127694029E-2</v>
      </c>
      <c r="C7" s="3">
        <v>8156328768.676713</v>
      </c>
      <c r="D7" s="11">
        <v>0.184</v>
      </c>
      <c r="E7" s="11">
        <v>1.514</v>
      </c>
      <c r="F7" s="2">
        <f t="shared" ref="F7:F20" si="1">(D7+E7)/2</f>
        <v>0.84899999999999998</v>
      </c>
    </row>
    <row r="8" spans="1:6" x14ac:dyDescent="0.2">
      <c r="A8" s="10" t="s">
        <v>8</v>
      </c>
      <c r="B8" s="2">
        <f t="shared" si="0"/>
        <v>0.72657765342804459</v>
      </c>
      <c r="C8" s="3">
        <v>4283565545.4807315</v>
      </c>
      <c r="D8" s="11">
        <v>38.619999999999997</v>
      </c>
      <c r="E8" s="11">
        <v>32.03</v>
      </c>
      <c r="F8" s="2">
        <f t="shared" si="1"/>
        <v>35.325000000000003</v>
      </c>
    </row>
    <row r="9" spans="1:6" x14ac:dyDescent="0.2">
      <c r="A9" s="10" t="s">
        <v>9</v>
      </c>
      <c r="B9" s="2">
        <f t="shared" si="0"/>
        <v>3.5960645451413822E-2</v>
      </c>
      <c r="C9" s="3">
        <v>2338133534.168601</v>
      </c>
      <c r="D9" s="11">
        <v>4.7141000000000002</v>
      </c>
      <c r="E9" s="11">
        <v>1.6919999999999999</v>
      </c>
      <c r="F9" s="2">
        <f t="shared" si="1"/>
        <v>3.2030500000000002</v>
      </c>
    </row>
    <row r="10" spans="1:6" x14ac:dyDescent="0.2">
      <c r="A10" s="10" t="s">
        <v>10</v>
      </c>
      <c r="B10" s="2">
        <f t="shared" si="0"/>
        <v>7.111683807166351E-2</v>
      </c>
      <c r="C10" s="3">
        <v>703399601.42159665</v>
      </c>
      <c r="D10" s="11">
        <v>23.92</v>
      </c>
      <c r="E10" s="11">
        <v>18.192</v>
      </c>
      <c r="F10" s="2">
        <f t="shared" si="1"/>
        <v>21.056000000000001</v>
      </c>
    </row>
    <row r="11" spans="1:6" x14ac:dyDescent="0.2">
      <c r="A11" s="10" t="s">
        <v>19</v>
      </c>
      <c r="B11" s="2">
        <f>((D11+E11)/2)*(C11/C$21)</f>
        <v>3.0353287573058751</v>
      </c>
      <c r="C11" s="3">
        <v>96731892070.788498</v>
      </c>
      <c r="D11" s="11">
        <v>8.7858999999999998</v>
      </c>
      <c r="E11" s="11">
        <v>4.2839799999999997</v>
      </c>
      <c r="F11" s="2">
        <f t="shared" si="1"/>
        <v>6.5349399999999997</v>
      </c>
    </row>
    <row r="12" spans="1:6" x14ac:dyDescent="0.2">
      <c r="A12" s="10" t="s">
        <v>11</v>
      </c>
      <c r="B12" s="2">
        <f t="shared" si="0"/>
        <v>0.16184590805415372</v>
      </c>
      <c r="C12" s="3">
        <v>1209835049.7122512</v>
      </c>
      <c r="D12" s="11">
        <v>9.52</v>
      </c>
      <c r="E12" s="11">
        <v>46.2</v>
      </c>
      <c r="F12" s="2">
        <f t="shared" si="1"/>
        <v>27.86</v>
      </c>
    </row>
    <row r="13" spans="1:6" x14ac:dyDescent="0.2">
      <c r="A13" s="10" t="s">
        <v>12</v>
      </c>
      <c r="B13" s="2">
        <f t="shared" si="0"/>
        <v>0.4005101287165117</v>
      </c>
      <c r="C13" s="3">
        <v>3881258193.5048141</v>
      </c>
      <c r="D13" s="11">
        <v>13.9</v>
      </c>
      <c r="E13" s="11">
        <v>29.081</v>
      </c>
      <c r="F13" s="2">
        <f t="shared" si="1"/>
        <v>21.490500000000001</v>
      </c>
    </row>
    <row r="14" spans="1:6" x14ac:dyDescent="0.2">
      <c r="A14" s="10" t="s">
        <v>5</v>
      </c>
      <c r="B14" s="2">
        <f t="shared" si="0"/>
        <v>1.3608884436334565</v>
      </c>
      <c r="C14" s="3">
        <v>14811519347.881405</v>
      </c>
      <c r="D14" s="11">
        <v>10.09</v>
      </c>
      <c r="E14" s="11">
        <v>28.18</v>
      </c>
      <c r="F14" s="2">
        <f t="shared" si="1"/>
        <v>19.134999999999998</v>
      </c>
    </row>
    <row r="15" spans="1:6" x14ac:dyDescent="0.2">
      <c r="A15" s="10" t="s">
        <v>13</v>
      </c>
      <c r="B15" s="2">
        <f t="shared" si="0"/>
        <v>1.2732898890812077</v>
      </c>
      <c r="C15" s="3">
        <v>22958888391.101994</v>
      </c>
      <c r="D15" s="11">
        <v>3.22</v>
      </c>
      <c r="E15" s="11">
        <v>19.88</v>
      </c>
      <c r="F15" s="2">
        <f t="shared" si="1"/>
        <v>11.549999999999999</v>
      </c>
    </row>
    <row r="16" spans="1:6" x14ac:dyDescent="0.2">
      <c r="A16" s="10" t="s">
        <v>14</v>
      </c>
      <c r="B16" s="2">
        <f t="shared" si="0"/>
        <v>9.2387364029567778E-2</v>
      </c>
      <c r="C16" s="3">
        <v>1835057562.8462932</v>
      </c>
      <c r="D16" s="11">
        <v>16.88</v>
      </c>
      <c r="E16" s="11">
        <v>4.09</v>
      </c>
      <c r="F16" s="2">
        <f t="shared" si="1"/>
        <v>10.484999999999999</v>
      </c>
    </row>
    <row r="17" spans="1:6" x14ac:dyDescent="0.2">
      <c r="A17" s="10" t="s">
        <v>15</v>
      </c>
      <c r="B17" s="2">
        <f t="shared" si="0"/>
        <v>6.7163266026902105E-2</v>
      </c>
      <c r="C17" s="3">
        <v>1100504460.089366</v>
      </c>
      <c r="D17" s="11">
        <v>3.69</v>
      </c>
      <c r="E17" s="11">
        <v>21.73</v>
      </c>
      <c r="F17" s="2">
        <f t="shared" si="1"/>
        <v>12.71</v>
      </c>
    </row>
    <row r="18" spans="1:6" x14ac:dyDescent="0.2">
      <c r="A18" s="10" t="s">
        <v>16</v>
      </c>
      <c r="B18" s="2">
        <f t="shared" si="0"/>
        <v>6.8768531981500514E-2</v>
      </c>
      <c r="C18" s="3">
        <v>1116268443.8160377</v>
      </c>
      <c r="D18" s="11">
        <v>1.7</v>
      </c>
      <c r="E18" s="11">
        <v>23.96</v>
      </c>
      <c r="F18" s="2">
        <f t="shared" si="1"/>
        <v>12.83</v>
      </c>
    </row>
    <row r="19" spans="1:6" x14ac:dyDescent="0.2">
      <c r="A19" s="10" t="s">
        <v>17</v>
      </c>
      <c r="B19" s="2">
        <f t="shared" si="0"/>
        <v>0.62364294926973485</v>
      </c>
      <c r="C19" s="3">
        <v>6629902341.8977947</v>
      </c>
      <c r="D19" s="11">
        <v>7.08</v>
      </c>
      <c r="E19" s="11">
        <v>32.1</v>
      </c>
      <c r="F19" s="2">
        <f t="shared" si="1"/>
        <v>19.59</v>
      </c>
    </row>
    <row r="20" spans="1:6" x14ac:dyDescent="0.2">
      <c r="A20" s="10" t="s">
        <v>18</v>
      </c>
      <c r="B20" s="2">
        <f>((D20+E20)/2)*(C20/C$21)</f>
        <v>2.0588238675876811</v>
      </c>
      <c r="C20" s="3">
        <v>40373855857.88063</v>
      </c>
      <c r="D20" s="11">
        <v>19.79</v>
      </c>
      <c r="E20" s="11">
        <v>1.45</v>
      </c>
      <c r="F20" s="2">
        <f t="shared" si="1"/>
        <v>10.62</v>
      </c>
    </row>
    <row r="21" spans="1:6" s="12" customFormat="1" x14ac:dyDescent="0.2">
      <c r="A21" s="12" t="s">
        <v>116</v>
      </c>
      <c r="B21" s="1">
        <f>SUM(B6:B20)</f>
        <v>10.125556371292799</v>
      </c>
      <c r="C21" s="7">
        <f>SUM(C6:C20)</f>
        <v>208259849694.22443</v>
      </c>
      <c r="D21" s="7"/>
      <c r="E21" s="7"/>
      <c r="F21" s="13">
        <f>AVERAGE(F6:F20)</f>
        <v>14.972232666666672</v>
      </c>
    </row>
    <row r="24" spans="1:6" ht="17" x14ac:dyDescent="0.25">
      <c r="A24" s="1" t="s">
        <v>524</v>
      </c>
      <c r="B24" s="1" t="s">
        <v>112</v>
      </c>
      <c r="C24" s="1" t="s">
        <v>113</v>
      </c>
      <c r="D24" s="1" t="s">
        <v>114</v>
      </c>
      <c r="E24" s="1" t="s">
        <v>115</v>
      </c>
    </row>
    <row r="25" spans="1:6" x14ac:dyDescent="0.2">
      <c r="A25" s="2" t="s">
        <v>3</v>
      </c>
      <c r="B25" s="2">
        <f>((D25+E25)/2)*(C25/C$29)</f>
        <v>4.9961567756076839</v>
      </c>
      <c r="C25" s="2">
        <v>824212325824.2124</v>
      </c>
      <c r="D25" s="11">
        <f>16+2+2</f>
        <v>20</v>
      </c>
      <c r="E25" s="11">
        <f>27+1.1+0.68</f>
        <v>28.78</v>
      </c>
      <c r="F25" s="2">
        <f>(D25+E25)/2</f>
        <v>24.39</v>
      </c>
    </row>
    <row r="26" spans="1:6" x14ac:dyDescent="0.2">
      <c r="A26" s="2" t="s">
        <v>0</v>
      </c>
      <c r="B26" s="2">
        <f>((D26+E26)/2)*(C26/C$29)</f>
        <v>7.1911218915125978</v>
      </c>
      <c r="C26" s="2">
        <v>3087961712327.2568</v>
      </c>
      <c r="D26" s="11">
        <f>8.1+1.2+1.1</f>
        <v>10.399999999999999</v>
      </c>
      <c r="E26" s="11">
        <f>6.6+0.94+0.8</f>
        <v>8.34</v>
      </c>
      <c r="F26" s="2">
        <f>(D26+E26)/2</f>
        <v>9.3699999999999992</v>
      </c>
    </row>
    <row r="27" spans="1:6" x14ac:dyDescent="0.2">
      <c r="A27" s="2" t="s">
        <v>1</v>
      </c>
      <c r="B27" s="2">
        <f>((D27+E27)/2)*(C27/C$29)</f>
        <v>0.37310185629312692</v>
      </c>
      <c r="C27" s="2">
        <v>47506734022.247887</v>
      </c>
      <c r="D27" s="11">
        <f>16+11+3.3</f>
        <v>30.3</v>
      </c>
      <c r="E27" s="11">
        <f>22+9.9+1</f>
        <v>32.9</v>
      </c>
      <c r="F27" s="2">
        <f>(D27+E27)/2</f>
        <v>31.6</v>
      </c>
    </row>
    <row r="28" spans="1:6" x14ac:dyDescent="0.2">
      <c r="A28" s="2" t="s">
        <v>2</v>
      </c>
      <c r="B28" s="2">
        <f>((D28+E28)/2)*(C28/C$29)</f>
        <v>0.48214580551302</v>
      </c>
      <c r="C28" s="2">
        <v>63919673072.011452</v>
      </c>
      <c r="D28" s="11">
        <f>15+5.1+1.3</f>
        <v>21.400000000000002</v>
      </c>
      <c r="E28" s="11">
        <f>25+12+2.3</f>
        <v>39.299999999999997</v>
      </c>
      <c r="F28" s="2">
        <f>(D28+E28)/2</f>
        <v>30.35</v>
      </c>
    </row>
    <row r="29" spans="1:6" x14ac:dyDescent="0.2">
      <c r="A29" s="2" t="s">
        <v>117</v>
      </c>
      <c r="B29" s="1">
        <f>SUM(B25:B28)</f>
        <v>13.04252632892643</v>
      </c>
      <c r="C29" s="7">
        <f>SUM(C25:C28)</f>
        <v>4023600445245.7285</v>
      </c>
      <c r="D29" s="11"/>
      <c r="E29" s="11"/>
      <c r="F29" s="14">
        <f>AVERAGE(F25:F28)</f>
        <v>23.927500000000002</v>
      </c>
    </row>
    <row r="30" spans="1:6" x14ac:dyDescent="0.2">
      <c r="D30" s="11"/>
      <c r="E30" s="11"/>
    </row>
    <row r="32" spans="1:6" ht="17" x14ac:dyDescent="0.25">
      <c r="A32" s="1" t="s">
        <v>119</v>
      </c>
      <c r="B32" s="1" t="s">
        <v>112</v>
      </c>
      <c r="C32" s="1" t="s">
        <v>113</v>
      </c>
      <c r="D32" s="1" t="s">
        <v>114</v>
      </c>
      <c r="E32" s="1" t="s">
        <v>115</v>
      </c>
    </row>
    <row r="33" spans="1:6" x14ac:dyDescent="0.2">
      <c r="A33" s="2" t="s">
        <v>25</v>
      </c>
      <c r="B33" s="2">
        <f t="shared" ref="B33:B38" si="2">((D33+E33)/2)*(C33/C$39)</f>
        <v>1.9370936738739628</v>
      </c>
      <c r="C33" s="3">
        <v>65779909102.708412</v>
      </c>
      <c r="D33" s="11">
        <v>12.1</v>
      </c>
      <c r="E33" s="11">
        <v>8.6999999999999993</v>
      </c>
      <c r="F33" s="2">
        <f t="shared" ref="F33:F38" si="3">(D33+E33)/2</f>
        <v>10.399999999999999</v>
      </c>
    </row>
    <row r="34" spans="1:6" x14ac:dyDescent="0.2">
      <c r="A34" s="2" t="s">
        <v>26</v>
      </c>
      <c r="B34" s="2">
        <f t="shared" si="2"/>
        <v>4.15559882397823</v>
      </c>
      <c r="C34" s="3">
        <v>47727037752.145149</v>
      </c>
      <c r="D34" s="11">
        <v>39.9</v>
      </c>
      <c r="E34" s="11">
        <v>21.6</v>
      </c>
      <c r="F34" s="2">
        <f t="shared" si="3"/>
        <v>30.75</v>
      </c>
    </row>
    <row r="35" spans="1:6" x14ac:dyDescent="0.2">
      <c r="A35" s="2" t="s">
        <v>24</v>
      </c>
      <c r="B35" s="2">
        <f t="shared" si="2"/>
        <v>6.0049587998029628</v>
      </c>
      <c r="C35" s="3">
        <v>107297400116.9846</v>
      </c>
      <c r="D35" s="11">
        <v>26.6</v>
      </c>
      <c r="E35" s="11">
        <v>12.93</v>
      </c>
      <c r="F35" s="2">
        <f t="shared" si="3"/>
        <v>19.765000000000001</v>
      </c>
    </row>
    <row r="36" spans="1:6" x14ac:dyDescent="0.2">
      <c r="A36" s="2" t="s">
        <v>27</v>
      </c>
      <c r="B36" s="2">
        <f t="shared" si="2"/>
        <v>1.6412305298228596</v>
      </c>
      <c r="C36" s="3">
        <v>35834494559.57225</v>
      </c>
      <c r="D36" s="11">
        <v>13.46</v>
      </c>
      <c r="E36" s="11">
        <v>18.89</v>
      </c>
      <c r="F36" s="2">
        <f t="shared" si="3"/>
        <v>16.175000000000001</v>
      </c>
    </row>
    <row r="37" spans="1:6" x14ac:dyDescent="0.2">
      <c r="A37" s="2" t="s">
        <v>28</v>
      </c>
      <c r="B37" s="2">
        <f t="shared" si="2"/>
        <v>1.3083263564550334</v>
      </c>
      <c r="C37" s="3">
        <v>26654358209.234581</v>
      </c>
      <c r="D37" s="11">
        <v>12.43</v>
      </c>
      <c r="E37" s="11">
        <v>22.24</v>
      </c>
      <c r="F37" s="2">
        <f t="shared" si="3"/>
        <v>17.335000000000001</v>
      </c>
    </row>
    <row r="38" spans="1:6" x14ac:dyDescent="0.2">
      <c r="A38" s="2" t="s">
        <v>23</v>
      </c>
      <c r="B38" s="2">
        <f t="shared" si="2"/>
        <v>2.5195121052092531</v>
      </c>
      <c r="C38" s="3">
        <v>69870441179.220673</v>
      </c>
      <c r="D38" s="11">
        <v>22.51</v>
      </c>
      <c r="E38" s="11">
        <v>2.96</v>
      </c>
      <c r="F38" s="2">
        <f t="shared" si="3"/>
        <v>12.735000000000001</v>
      </c>
    </row>
    <row r="39" spans="1:6" x14ac:dyDescent="0.2">
      <c r="B39" s="1">
        <f>SUM(B33:B38)</f>
        <v>17.5667202891423</v>
      </c>
      <c r="C39" s="7">
        <f>SUM(C33:C38)</f>
        <v>353163640919.8656</v>
      </c>
      <c r="D39" s="7"/>
      <c r="E39" s="7"/>
      <c r="F39" s="14">
        <f>AVERAGE(F33:F38)</f>
        <v>17.860000000000003</v>
      </c>
    </row>
    <row r="41" spans="1:6" ht="17" x14ac:dyDescent="0.25">
      <c r="A41" s="1" t="s">
        <v>120</v>
      </c>
      <c r="B41" s="1" t="s">
        <v>112</v>
      </c>
      <c r="C41" s="1" t="s">
        <v>113</v>
      </c>
      <c r="D41" s="1" t="s">
        <v>121</v>
      </c>
      <c r="E41" s="1" t="s">
        <v>122</v>
      </c>
    </row>
    <row r="42" spans="1:6" x14ac:dyDescent="0.2">
      <c r="A42" s="2" t="s">
        <v>48</v>
      </c>
      <c r="B42" s="2">
        <f>((D42+E42)/2)*(C42/C$46)</f>
        <v>2.2382764103377086</v>
      </c>
      <c r="C42" s="2">
        <v>256532331727.85284</v>
      </c>
      <c r="D42" s="11">
        <f>2.3+2+1.2</f>
        <v>5.5</v>
      </c>
      <c r="E42" s="11">
        <f>4.7+3.8+1.5</f>
        <v>10</v>
      </c>
      <c r="F42" s="2">
        <f>(D42+E42)/2</f>
        <v>7.75</v>
      </c>
    </row>
    <row r="43" spans="1:6" x14ac:dyDescent="0.2">
      <c r="A43" s="2" t="s">
        <v>49</v>
      </c>
      <c r="B43" s="2">
        <f>((D43+E43)/2)*(C43/C$46)</f>
        <v>1.8202220739111508</v>
      </c>
      <c r="C43" s="2">
        <v>128879488764.20409</v>
      </c>
      <c r="D43" s="11">
        <f>8+4.3+0.12</f>
        <v>12.42</v>
      </c>
      <c r="E43" s="11">
        <f>7.5+4.4+0.77</f>
        <v>12.67</v>
      </c>
      <c r="F43" s="2">
        <f>(D43+E43)/2</f>
        <v>12.545</v>
      </c>
    </row>
    <row r="44" spans="1:6" x14ac:dyDescent="0.2">
      <c r="A44" s="2" t="s">
        <v>47</v>
      </c>
      <c r="B44" s="2">
        <f>((D44+E44)/2)*(C44/C$46)</f>
        <v>2.5712331984270964</v>
      </c>
      <c r="C44" s="2">
        <v>454954372409.91077</v>
      </c>
      <c r="D44" s="11">
        <f>2.5+3+0.22</f>
        <v>5.72</v>
      </c>
      <c r="E44" s="11">
        <f>1.9+1.7+0.72</f>
        <v>4.3199999999999994</v>
      </c>
      <c r="F44" s="2">
        <f>(D44+E44)/2</f>
        <v>5.0199999999999996</v>
      </c>
    </row>
    <row r="45" spans="1:6" x14ac:dyDescent="0.2">
      <c r="A45" s="2" t="s">
        <v>50</v>
      </c>
      <c r="B45" s="2">
        <f>((D45+E45)/2)*(C45/C$46)</f>
        <v>0.49126996929396299</v>
      </c>
      <c r="C45" s="2">
        <v>47873330022.233315</v>
      </c>
      <c r="D45" s="11">
        <f>5.1+3.3+1.6</f>
        <v>9.9999999999999982</v>
      </c>
      <c r="E45" s="11">
        <f>6.3+1.6+0.33</f>
        <v>8.23</v>
      </c>
      <c r="F45" s="2">
        <f>(D45+E45)/2</f>
        <v>9.1149999999999984</v>
      </c>
    </row>
    <row r="46" spans="1:6" x14ac:dyDescent="0.2">
      <c r="B46" s="1">
        <f>SUM(B42:B45)</f>
        <v>7.1210016519699195</v>
      </c>
      <c r="C46" s="7">
        <f>SUM(C42:C45)</f>
        <v>888239522924.20105</v>
      </c>
      <c r="D46" s="7"/>
      <c r="E46" s="7"/>
      <c r="F46" s="14">
        <f>AVERAGE(F42:F45)</f>
        <v>8.6074999999999999</v>
      </c>
    </row>
    <row r="48" spans="1:6" ht="17" x14ac:dyDescent="0.25">
      <c r="A48" s="1" t="s">
        <v>123</v>
      </c>
      <c r="B48" s="1" t="s">
        <v>112</v>
      </c>
      <c r="C48" s="1" t="s">
        <v>113</v>
      </c>
      <c r="D48" s="1" t="s">
        <v>114</v>
      </c>
      <c r="E48" s="1" t="s">
        <v>115</v>
      </c>
    </row>
    <row r="49" spans="1:6" x14ac:dyDescent="0.2">
      <c r="A49" s="2" t="s">
        <v>31</v>
      </c>
      <c r="B49" s="2">
        <f t="shared" ref="B49:B54" si="4">((D49+E49)/2)*(C49/C$55)</f>
        <v>2.2956301832851245</v>
      </c>
      <c r="C49" s="2">
        <v>37657768013.80101</v>
      </c>
      <c r="D49" s="11">
        <f>14+12+0.3</f>
        <v>26.3</v>
      </c>
      <c r="E49" s="11">
        <f>65+11+1.9+0.2</f>
        <v>78.100000000000009</v>
      </c>
      <c r="F49" s="2">
        <f t="shared" ref="F49:F54" si="5">(D49+E49)/2</f>
        <v>52.2</v>
      </c>
    </row>
    <row r="50" spans="1:6" x14ac:dyDescent="0.2">
      <c r="A50" s="2" t="s">
        <v>32</v>
      </c>
      <c r="B50" s="2">
        <f t="shared" si="4"/>
        <v>0.43036763814003115</v>
      </c>
      <c r="C50" s="2">
        <v>6676113038.1557198</v>
      </c>
      <c r="D50" s="15">
        <f>16+6.3+14.1+5</f>
        <v>41.4</v>
      </c>
      <c r="E50" s="15">
        <f>57.2+6.8+5</f>
        <v>69</v>
      </c>
      <c r="F50" s="2">
        <f t="shared" si="5"/>
        <v>55.2</v>
      </c>
    </row>
    <row r="51" spans="1:6" x14ac:dyDescent="0.2">
      <c r="A51" s="2" t="s">
        <v>34</v>
      </c>
      <c r="B51" s="2">
        <f t="shared" si="4"/>
        <v>1.5291059547277721</v>
      </c>
      <c r="C51" s="2">
        <v>26247669891.064445</v>
      </c>
      <c r="D51" s="11">
        <f>17+15+0.87+0.4</f>
        <v>33.269999999999996</v>
      </c>
      <c r="E51" s="11">
        <f>59+7+0.5</f>
        <v>66.5</v>
      </c>
      <c r="F51" s="2">
        <f t="shared" si="5"/>
        <v>49.884999999999998</v>
      </c>
    </row>
    <row r="52" spans="1:6" x14ac:dyDescent="0.2">
      <c r="A52" s="2" t="s">
        <v>33</v>
      </c>
      <c r="B52" s="2">
        <f t="shared" si="4"/>
        <v>0.9342837010154692</v>
      </c>
      <c r="C52" s="2">
        <v>35088683802.082138</v>
      </c>
      <c r="D52" s="11">
        <v>27.1</v>
      </c>
      <c r="E52" s="11">
        <v>18.5</v>
      </c>
      <c r="F52" s="2">
        <f t="shared" si="5"/>
        <v>22.8</v>
      </c>
    </row>
    <row r="53" spans="1:6" x14ac:dyDescent="0.2">
      <c r="A53" s="2" t="s">
        <v>35</v>
      </c>
      <c r="B53" s="2">
        <f t="shared" si="4"/>
        <v>9.0495887697139565</v>
      </c>
      <c r="C53" s="2">
        <v>739419184416.48059</v>
      </c>
      <c r="D53" s="11">
        <f>5.4+5.1+3.3+1.7+1.6</f>
        <v>17.100000000000001</v>
      </c>
      <c r="E53" s="11">
        <f>1.4+0.94+0.56+0.56+0.4</f>
        <v>3.86</v>
      </c>
      <c r="F53" s="2">
        <f t="shared" si="5"/>
        <v>10.48</v>
      </c>
    </row>
    <row r="54" spans="1:6" x14ac:dyDescent="0.2">
      <c r="A54" s="2" t="s">
        <v>36</v>
      </c>
      <c r="B54" s="2">
        <f t="shared" si="4"/>
        <v>1.0991854339341987</v>
      </c>
      <c r="C54" s="2">
        <v>11205076630.146416</v>
      </c>
      <c r="D54" s="15">
        <f>79.8+2.8+1.8+0.2</f>
        <v>84.6</v>
      </c>
      <c r="E54" s="15">
        <f>81.4+2</f>
        <v>83.4</v>
      </c>
      <c r="F54" s="2">
        <f t="shared" si="5"/>
        <v>84</v>
      </c>
    </row>
    <row r="55" spans="1:6" x14ac:dyDescent="0.2">
      <c r="A55" s="16"/>
      <c r="B55" s="1">
        <f>SUM(B49:B54)</f>
        <v>15.338161680816553</v>
      </c>
      <c r="C55" s="7">
        <f>SUM(C49:C54)</f>
        <v>856294495791.73022</v>
      </c>
      <c r="D55" s="7"/>
      <c r="E55" s="7"/>
      <c r="F55" s="14">
        <f>AVERAGE(F49:F54)</f>
        <v>45.760833333333331</v>
      </c>
    </row>
    <row r="56" spans="1:6" x14ac:dyDescent="0.2">
      <c r="A56" s="16"/>
      <c r="B56" s="16"/>
    </row>
    <row r="58" spans="1:6" ht="17" x14ac:dyDescent="0.25">
      <c r="A58" s="1" t="s">
        <v>124</v>
      </c>
      <c r="B58" s="1" t="s">
        <v>112</v>
      </c>
      <c r="C58" s="1" t="s">
        <v>113</v>
      </c>
      <c r="D58" s="1" t="s">
        <v>114</v>
      </c>
      <c r="E58" s="1" t="s">
        <v>115</v>
      </c>
    </row>
    <row r="59" spans="1:6" x14ac:dyDescent="0.2">
      <c r="A59" s="2" t="s">
        <v>39</v>
      </c>
      <c r="B59" s="2">
        <f>((D59+E59)/2)*(C59/C$66)</f>
        <v>0.24343229067810415</v>
      </c>
      <c r="C59" s="2">
        <v>29536750160.146709</v>
      </c>
      <c r="D59" s="11">
        <f>1.7+1.5+1.1+1.5+0.5</f>
        <v>6.3000000000000007</v>
      </c>
      <c r="E59" s="11">
        <f>39+21+5.7+0.2</f>
        <v>65.900000000000006</v>
      </c>
      <c r="F59" s="2">
        <f t="shared" ref="F59:F65" si="6">(D59+E59)/2</f>
        <v>36.1</v>
      </c>
    </row>
    <row r="60" spans="1:6" x14ac:dyDescent="0.2">
      <c r="A60" s="2" t="s">
        <v>40</v>
      </c>
      <c r="B60" s="2">
        <f t="shared" ref="B60:B65" si="7">((D60+E60)/2)*(C60/C$66)</f>
        <v>11.620456731639415</v>
      </c>
      <c r="C60" s="2">
        <v>1863773890433.3591</v>
      </c>
      <c r="D60" s="11">
        <f>8.2+5.4+3.1+0.2</f>
        <v>16.899999999999999</v>
      </c>
      <c r="E60" s="11">
        <f>26+5.5+5.3+0.82+0.1</f>
        <v>37.72</v>
      </c>
      <c r="F60" s="2">
        <f t="shared" si="6"/>
        <v>27.31</v>
      </c>
    </row>
    <row r="61" spans="1:6" x14ac:dyDescent="0.2">
      <c r="A61" s="2" t="s">
        <v>41</v>
      </c>
      <c r="B61" s="2">
        <f t="shared" si="7"/>
        <v>3.1812967853974494</v>
      </c>
      <c r="C61" s="2">
        <v>536877098893.63885</v>
      </c>
      <c r="D61" s="11">
        <f>13+5.1+3+1+1.5+1.1</f>
        <v>24.700000000000003</v>
      </c>
      <c r="E61" s="11">
        <f>12+6.8+5.7+1.8+0.71+0.2</f>
        <v>27.21</v>
      </c>
      <c r="F61" s="2">
        <f t="shared" si="6"/>
        <v>25.955000000000002</v>
      </c>
    </row>
    <row r="62" spans="1:6" x14ac:dyDescent="0.2">
      <c r="A62" s="2" t="s">
        <v>42</v>
      </c>
      <c r="B62" s="2">
        <f t="shared" si="7"/>
        <v>1.7932395147850897</v>
      </c>
      <c r="C62" s="2">
        <v>471754213663.37671</v>
      </c>
      <c r="D62" s="11">
        <f>4.4+2.2+2.6+1.2+0.2</f>
        <v>10.6</v>
      </c>
      <c r="E62" s="11">
        <f>6.4+8.9+4.1+3.1+0.2</f>
        <v>22.7</v>
      </c>
      <c r="F62" s="2">
        <f t="shared" si="6"/>
        <v>16.649999999999999</v>
      </c>
    </row>
    <row r="63" spans="1:6" x14ac:dyDescent="0.2">
      <c r="A63" s="2" t="s">
        <v>43</v>
      </c>
      <c r="B63" s="2">
        <f t="shared" si="7"/>
        <v>1.7497945653166282</v>
      </c>
      <c r="C63" s="2">
        <v>307468099909.54913</v>
      </c>
      <c r="D63" s="11">
        <f>13+7.6+2.8+2.7+2.2+0.46+0.1</f>
        <v>28.860000000000003</v>
      </c>
      <c r="E63" s="11">
        <f>11+3.6+4.9+0.99+0.46+0.045</f>
        <v>20.995000000000001</v>
      </c>
      <c r="F63" s="2">
        <f t="shared" si="6"/>
        <v>24.927500000000002</v>
      </c>
    </row>
    <row r="64" spans="1:6" x14ac:dyDescent="0.2">
      <c r="A64" s="2" t="s">
        <v>44</v>
      </c>
      <c r="B64" s="2">
        <f t="shared" si="7"/>
        <v>3.1004912343273148</v>
      </c>
      <c r="C64" s="2">
        <v>816049899794.01929</v>
      </c>
      <c r="D64" s="11">
        <f>4.6+4.3+2.9+2.9+1.7+0.5</f>
        <v>16.899999999999999</v>
      </c>
      <c r="E64" s="11">
        <f>6.8+4.1+3+1.1+1.3+0.084</f>
        <v>16.383999999999997</v>
      </c>
      <c r="F64" s="2">
        <f t="shared" si="6"/>
        <v>16.641999999999996</v>
      </c>
    </row>
    <row r="65" spans="1:6" x14ac:dyDescent="0.2">
      <c r="A65" s="2" t="s">
        <v>45</v>
      </c>
      <c r="B65" s="2">
        <f t="shared" si="7"/>
        <v>1.3617206132917972</v>
      </c>
      <c r="C65" s="2">
        <v>354717704806.19641</v>
      </c>
      <c r="D65" s="11">
        <f>2.1+3.1+3+2.1+1.1+0.5</f>
        <v>11.899999999999999</v>
      </c>
      <c r="E65" s="11">
        <f>6.8+3.5+6.8+2+0.63+2</f>
        <v>21.73</v>
      </c>
      <c r="F65" s="2">
        <f t="shared" si="6"/>
        <v>16.814999999999998</v>
      </c>
    </row>
    <row r="66" spans="1:6" x14ac:dyDescent="0.2">
      <c r="A66" s="16"/>
      <c r="B66" s="1">
        <f>SUM(B59:B65)</f>
        <v>23.050431735435797</v>
      </c>
      <c r="C66" s="7">
        <f>SUM(C59:C65)</f>
        <v>4380177657660.2861</v>
      </c>
      <c r="D66" s="7"/>
      <c r="E66" s="7"/>
      <c r="F66" s="14">
        <f>AVERAGE(F59:F65)</f>
        <v>23.485642857142857</v>
      </c>
    </row>
    <row r="67" spans="1:6" x14ac:dyDescent="0.2">
      <c r="A67" s="16"/>
      <c r="B67" s="16"/>
    </row>
    <row r="69" spans="1:6" x14ac:dyDescent="0.2">
      <c r="A69" s="1" t="s">
        <v>125</v>
      </c>
      <c r="B69" s="1"/>
      <c r="D69" s="1" t="s">
        <v>114</v>
      </c>
      <c r="E69" s="1" t="s">
        <v>115</v>
      </c>
    </row>
    <row r="70" spans="1:6" x14ac:dyDescent="0.2">
      <c r="A70" s="2" t="s">
        <v>53</v>
      </c>
      <c r="B70" s="2">
        <f t="shared" ref="B70:B75" si="8">((D70+E70)/2)*(C70/C$76)</f>
        <v>0.32105327189116661</v>
      </c>
      <c r="C70" s="2">
        <v>45750754989.617645</v>
      </c>
      <c r="D70" s="11">
        <f>11+4.6+3.1+1.3+1.1</f>
        <v>21.1</v>
      </c>
      <c r="E70" s="11">
        <f>4.1+3.6+1.2+0.55+0.35</f>
        <v>9.7999999999999989</v>
      </c>
      <c r="F70" s="2">
        <f t="shared" ref="F70:F75" si="9">(D70+E70)/2</f>
        <v>15.45</v>
      </c>
    </row>
    <row r="71" spans="1:6" x14ac:dyDescent="0.2">
      <c r="A71" s="2" t="s">
        <v>57</v>
      </c>
      <c r="B71" s="2">
        <f>((D71+E71)/2)*(C71/C$76)</f>
        <v>0.68911937653804856</v>
      </c>
      <c r="C71" s="2">
        <v>238741850314.15726</v>
      </c>
      <c r="D71" s="11">
        <f>0.82+0.61+0.27+0.28+0.13</f>
        <v>2.11</v>
      </c>
      <c r="E71" s="11">
        <f>5+4.1+0.59+0.57+0.34</f>
        <v>10.6</v>
      </c>
      <c r="F71" s="2">
        <f t="shared" si="9"/>
        <v>6.3549999999999995</v>
      </c>
    </row>
    <row r="72" spans="1:6" x14ac:dyDescent="0.2">
      <c r="A72" s="2" t="s">
        <v>55</v>
      </c>
      <c r="B72" s="2">
        <f t="shared" si="8"/>
        <v>0.95025036718253231</v>
      </c>
      <c r="C72" s="2">
        <v>119107618382.58754</v>
      </c>
      <c r="D72" s="11">
        <f>4.4+1.6+0.78+0.44+0.18</f>
        <v>7.4</v>
      </c>
      <c r="E72" s="11">
        <f>24+2.3+0.41+0.81+0.21</f>
        <v>27.73</v>
      </c>
      <c r="F72" s="2">
        <f t="shared" si="9"/>
        <v>17.565000000000001</v>
      </c>
    </row>
    <row r="73" spans="1:6" x14ac:dyDescent="0.2">
      <c r="A73" s="2" t="s">
        <v>56</v>
      </c>
      <c r="B73" s="2">
        <f t="shared" si="8"/>
        <v>0.61104781916627704</v>
      </c>
      <c r="C73" s="2">
        <v>159791627772.23462</v>
      </c>
      <c r="D73" s="11">
        <f>2.4+0.53+0.16+0.15+0.0084</f>
        <v>3.2483999999999997</v>
      </c>
      <c r="E73" s="11">
        <f>6.2+4.3+1.5+0.89+0.7</f>
        <v>13.59</v>
      </c>
      <c r="F73" s="2">
        <f t="shared" si="9"/>
        <v>8.4192</v>
      </c>
    </row>
    <row r="74" spans="1:6" x14ac:dyDescent="0.2">
      <c r="A74" s="2" t="s">
        <v>54</v>
      </c>
      <c r="B74" s="2">
        <f t="shared" si="8"/>
        <v>1.7224043122185797</v>
      </c>
      <c r="C74" s="2">
        <v>1163234174766.5491</v>
      </c>
      <c r="D74" s="11">
        <f>0.8+0.25+0.25+0.14+0.11</f>
        <v>1.55</v>
      </c>
      <c r="E74" s="11">
        <f>1.5+2.2+0.52+0.45+0.3</f>
        <v>4.9700000000000006</v>
      </c>
      <c r="F74" s="2">
        <f t="shared" si="9"/>
        <v>3.2600000000000002</v>
      </c>
    </row>
    <row r="75" spans="1:6" x14ac:dyDescent="0.2">
      <c r="A75" s="2" t="s">
        <v>126</v>
      </c>
      <c r="B75" s="2">
        <f t="shared" si="8"/>
        <v>1.3204551289408812</v>
      </c>
      <c r="C75" s="2">
        <v>475030915085.22394</v>
      </c>
      <c r="D75" s="11">
        <f>3.4+1.4+0.66+1.1+0.4</f>
        <v>6.9600000000000009</v>
      </c>
      <c r="E75" s="11">
        <f>2.6+0.91+0.94+0.43+0.4</f>
        <v>5.28</v>
      </c>
      <c r="F75" s="2">
        <f t="shared" si="9"/>
        <v>6.120000000000001</v>
      </c>
    </row>
    <row r="76" spans="1:6" x14ac:dyDescent="0.2">
      <c r="B76" s="1">
        <f>SUM(B70:B75)</f>
        <v>5.6143302759374851</v>
      </c>
      <c r="C76" s="7">
        <f>SUM(C70:C75)</f>
        <v>2201656941310.3701</v>
      </c>
      <c r="D76" s="7"/>
      <c r="E76" s="7"/>
      <c r="F76" s="14">
        <f>AVERAGE(F70:F75)</f>
        <v>9.5282</v>
      </c>
    </row>
    <row r="78" spans="1:6" ht="17" x14ac:dyDescent="0.25">
      <c r="A78" s="1" t="s">
        <v>127</v>
      </c>
      <c r="B78" s="1" t="s">
        <v>112</v>
      </c>
      <c r="C78" s="1" t="s">
        <v>113</v>
      </c>
      <c r="D78" s="1" t="s">
        <v>114</v>
      </c>
      <c r="E78" s="1" t="s">
        <v>115</v>
      </c>
    </row>
    <row r="79" spans="1:6" x14ac:dyDescent="0.2">
      <c r="A79" s="2" t="s">
        <v>78</v>
      </c>
      <c r="B79" s="2">
        <f>((D79+E79)/2)*(C79/C$94)</f>
        <v>1.437146226048556E-2</v>
      </c>
      <c r="C79" s="17">
        <v>255000000</v>
      </c>
      <c r="D79" s="11">
        <v>1.49</v>
      </c>
      <c r="E79" s="11">
        <v>1.24</v>
      </c>
      <c r="F79" s="2">
        <f>(D79+E79)/2</f>
        <v>1.365</v>
      </c>
    </row>
    <row r="80" spans="1:6" x14ac:dyDescent="0.2">
      <c r="A80" s="2" t="s">
        <v>79</v>
      </c>
      <c r="B80" s="2">
        <f t="shared" ref="B80:B93" si="10">((D80+E80)/2)*(C80/C$94)</f>
        <v>1.8296425702730699</v>
      </c>
      <c r="C80" s="2">
        <v>5944159874.1880598</v>
      </c>
      <c r="D80" s="11">
        <v>14.4</v>
      </c>
      <c r="E80" s="11">
        <v>0.51</v>
      </c>
      <c r="F80" s="2">
        <f t="shared" ref="F80:F93" si="11">(D80+E80)/2</f>
        <v>7.4550000000000001</v>
      </c>
    </row>
    <row r="81" spans="1:6" x14ac:dyDescent="0.2">
      <c r="A81" s="2" t="s">
        <v>128</v>
      </c>
      <c r="B81" s="2">
        <f t="shared" si="10"/>
        <v>9.596704044534057E-4</v>
      </c>
      <c r="C81" s="2">
        <v>326447976.59896654</v>
      </c>
      <c r="D81" s="11">
        <v>2.3999999999999998E-3</v>
      </c>
      <c r="E81" s="11">
        <v>0.14000000000000001</v>
      </c>
      <c r="F81" s="2">
        <f t="shared" si="11"/>
        <v>7.1200000000000013E-2</v>
      </c>
    </row>
    <row r="82" spans="1:6" x14ac:dyDescent="0.2">
      <c r="A82" s="2" t="s">
        <v>86</v>
      </c>
      <c r="B82" s="2">
        <f t="shared" si="10"/>
        <v>0.32038622970095942</v>
      </c>
      <c r="C82" s="17">
        <v>703000000</v>
      </c>
      <c r="D82" s="11">
        <f>0.41+0.26+0.021+0.1</f>
        <v>0.79099999999999993</v>
      </c>
      <c r="E82" s="11">
        <f>19+2.1+0.085+0.1</f>
        <v>21.285000000000004</v>
      </c>
      <c r="F82" s="2">
        <f t="shared" si="11"/>
        <v>11.038000000000002</v>
      </c>
    </row>
    <row r="83" spans="1:6" x14ac:dyDescent="0.2">
      <c r="A83" s="2" t="s">
        <v>80</v>
      </c>
      <c r="B83" s="2">
        <f t="shared" si="10"/>
        <v>5.8979148281457075E-2</v>
      </c>
      <c r="C83" s="2">
        <v>174860147.73671493</v>
      </c>
      <c r="D83" s="11">
        <f>0.13+0.1</f>
        <v>0.23</v>
      </c>
      <c r="E83" s="11">
        <f>16+0.0084+0.1</f>
        <v>16.108400000000003</v>
      </c>
      <c r="F83" s="2">
        <f t="shared" si="11"/>
        <v>8.1692000000000018</v>
      </c>
    </row>
    <row r="84" spans="1:6" x14ac:dyDescent="0.2">
      <c r="A84" s="2" t="s">
        <v>81</v>
      </c>
      <c r="B84" s="2">
        <f t="shared" si="10"/>
        <v>6.7938043964398381E-4</v>
      </c>
      <c r="C84" s="2">
        <v>164545084.03036368</v>
      </c>
      <c r="D84" s="11">
        <v>0.1</v>
      </c>
      <c r="E84" s="11">
        <v>0.1</v>
      </c>
      <c r="F84" s="2">
        <f t="shared" si="11"/>
        <v>0.1</v>
      </c>
    </row>
    <row r="85" spans="1:6" x14ac:dyDescent="0.2">
      <c r="A85" s="2" t="s">
        <v>82</v>
      </c>
      <c r="B85" s="2">
        <f t="shared" si="10"/>
        <v>1.1327909447415335E-3</v>
      </c>
      <c r="C85" s="2">
        <v>56336865.594379626</v>
      </c>
      <c r="D85" s="11">
        <f>0.024+0.1</f>
        <v>0.124</v>
      </c>
      <c r="E85" s="11">
        <f>0.75+0.1</f>
        <v>0.85</v>
      </c>
      <c r="F85" s="2">
        <f t="shared" si="11"/>
        <v>0.48699999999999999</v>
      </c>
    </row>
    <row r="86" spans="1:6" x14ac:dyDescent="0.2">
      <c r="A86" s="2" t="s">
        <v>83</v>
      </c>
      <c r="B86" s="2">
        <f>((D86+E86)/2)*(C86/C$94)</f>
        <v>9.1808901766618381E-5</v>
      </c>
      <c r="C86" s="17">
        <v>20400000</v>
      </c>
      <c r="D86" s="11">
        <f>0.018+0.1</f>
        <v>0.11800000000000001</v>
      </c>
      <c r="E86" s="11">
        <v>0.1</v>
      </c>
      <c r="F86" s="2">
        <f t="shared" si="11"/>
        <v>0.10900000000000001</v>
      </c>
    </row>
    <row r="87" spans="1:6" x14ac:dyDescent="0.2">
      <c r="A87" s="2" t="s">
        <v>84</v>
      </c>
      <c r="B87" s="2">
        <f t="shared" si="10"/>
        <v>1.5233582628903109E-3</v>
      </c>
      <c r="C87" s="2">
        <v>238035771.86276361</v>
      </c>
      <c r="D87" s="11">
        <v>0.1</v>
      </c>
      <c r="E87" s="11">
        <f>0.11+0.1</f>
        <v>0.21000000000000002</v>
      </c>
      <c r="F87" s="2">
        <f t="shared" si="11"/>
        <v>0.15500000000000003</v>
      </c>
    </row>
    <row r="88" spans="1:6" x14ac:dyDescent="0.2">
      <c r="A88" s="2" t="s">
        <v>85</v>
      </c>
      <c r="B88" s="2">
        <f t="shared" si="10"/>
        <v>0.15032448680391219</v>
      </c>
      <c r="C88" s="2">
        <v>13336410533.670525</v>
      </c>
      <c r="D88" s="11">
        <f>0.056+0.056+0.024+0.1</f>
        <v>0.23600000000000002</v>
      </c>
      <c r="E88" s="11">
        <f>0.21+0.1</f>
        <v>0.31</v>
      </c>
      <c r="F88" s="2">
        <f t="shared" si="11"/>
        <v>0.27300000000000002</v>
      </c>
    </row>
    <row r="89" spans="1:6" x14ac:dyDescent="0.2">
      <c r="A89" s="2" t="s">
        <v>87</v>
      </c>
      <c r="B89" s="2">
        <f t="shared" si="10"/>
        <v>9.3226182781460679E-2</v>
      </c>
      <c r="C89" s="2">
        <v>852047685.69611788</v>
      </c>
      <c r="D89" s="11">
        <f>2.7+0.1</f>
        <v>2.8000000000000003</v>
      </c>
      <c r="E89" s="11">
        <f>2.4+0.1</f>
        <v>2.5</v>
      </c>
      <c r="F89" s="2">
        <f t="shared" si="11"/>
        <v>2.6500000000000004</v>
      </c>
    </row>
    <row r="90" spans="1:6" x14ac:dyDescent="0.2">
      <c r="A90" s="2" t="s">
        <v>88</v>
      </c>
      <c r="B90" s="2">
        <f t="shared" si="10"/>
        <v>0.13971307849326561</v>
      </c>
      <c r="C90" s="2">
        <v>485033054.86194044</v>
      </c>
      <c r="D90" s="11">
        <f>2+1.2+0.73+0.028+0.1</f>
        <v>4.0579999999999998</v>
      </c>
      <c r="E90" s="11">
        <f>9.6+0.16+0.035+0.1</f>
        <v>9.8949999999999996</v>
      </c>
      <c r="F90" s="2">
        <f t="shared" si="11"/>
        <v>6.9764999999999997</v>
      </c>
    </row>
    <row r="91" spans="1:6" x14ac:dyDescent="0.2">
      <c r="A91" s="2" t="s">
        <v>89</v>
      </c>
      <c r="B91" s="2">
        <f t="shared" si="10"/>
        <v>1.4667360507085635E-2</v>
      </c>
      <c r="C91" s="2">
        <v>31507017.130248223</v>
      </c>
      <c r="D91" s="11">
        <f>0.35+0.1</f>
        <v>0.44999999999999996</v>
      </c>
      <c r="E91" s="11">
        <f>22+0.1</f>
        <v>22.1</v>
      </c>
      <c r="F91" s="2">
        <f t="shared" si="11"/>
        <v>11.275</v>
      </c>
    </row>
    <row r="92" spans="1:6" x14ac:dyDescent="0.2">
      <c r="A92" s="2" t="s">
        <v>90</v>
      </c>
      <c r="B92" s="2">
        <f t="shared" si="10"/>
        <v>9.9986755611518E-2</v>
      </c>
      <c r="C92" s="2">
        <v>663470297.74968922</v>
      </c>
      <c r="D92" s="11">
        <f>1.2+0.1</f>
        <v>1.3</v>
      </c>
      <c r="E92" s="11">
        <f>5.9+0.1</f>
        <v>6</v>
      </c>
      <c r="F92" s="2">
        <f t="shared" si="11"/>
        <v>3.65</v>
      </c>
    </row>
    <row r="93" spans="1:6" x14ac:dyDescent="0.2">
      <c r="A93" s="2" t="s">
        <v>129</v>
      </c>
      <c r="B93" s="2">
        <f t="shared" si="10"/>
        <v>0.2592805918674192</v>
      </c>
      <c r="C93" s="2">
        <v>968619332.89888191</v>
      </c>
      <c r="D93" s="11">
        <f>5.1+0.33+0.0999+0.041+0.1</f>
        <v>5.6708999999999996</v>
      </c>
      <c r="E93" s="11">
        <f>7+0.12+0.043+0.032+0.00048+0.1</f>
        <v>7.2954799999999995</v>
      </c>
      <c r="F93" s="2">
        <f t="shared" si="11"/>
        <v>6.4831899999999996</v>
      </c>
    </row>
    <row r="94" spans="1:6" x14ac:dyDescent="0.2">
      <c r="A94" s="12"/>
      <c r="B94" s="1">
        <f>SUM(B79:B93)</f>
        <v>2.9849648755341294</v>
      </c>
      <c r="C94" s="7">
        <f>SUM(C79:C93)</f>
        <v>24219873642.018654</v>
      </c>
      <c r="F94" s="14">
        <f>AVERAGE(F79:F93)</f>
        <v>4.0171393333333336</v>
      </c>
    </row>
    <row r="95" spans="1:6" x14ac:dyDescent="0.2">
      <c r="A95" s="12"/>
      <c r="B95" s="12"/>
    </row>
    <row r="96" spans="1:6" x14ac:dyDescent="0.2">
      <c r="A96" s="12"/>
      <c r="B96" s="12"/>
    </row>
    <row r="97" spans="1:6" x14ac:dyDescent="0.2">
      <c r="A97" s="12"/>
      <c r="B97" s="12"/>
    </row>
    <row r="98" spans="1:6" x14ac:dyDescent="0.2">
      <c r="A98" s="12"/>
      <c r="B98" s="12"/>
    </row>
    <row r="100" spans="1:6" ht="17" x14ac:dyDescent="0.25">
      <c r="A100" s="1" t="s">
        <v>134</v>
      </c>
      <c r="B100" s="1" t="s">
        <v>112</v>
      </c>
      <c r="C100" s="1" t="s">
        <v>113</v>
      </c>
      <c r="D100" s="1" t="s">
        <v>114</v>
      </c>
      <c r="E100" s="1" t="s">
        <v>115</v>
      </c>
    </row>
    <row r="101" spans="1:6" x14ac:dyDescent="0.2">
      <c r="A101" s="2" t="s">
        <v>60</v>
      </c>
      <c r="B101" s="2">
        <f>((D101+E101)/2)*(C101/C$105)</f>
        <v>1.4902537849327662</v>
      </c>
      <c r="C101" s="2">
        <v>28295673249.105373</v>
      </c>
      <c r="D101" s="11">
        <v>1.9</v>
      </c>
      <c r="E101" s="11">
        <v>5.0199999999999996</v>
      </c>
      <c r="F101" s="2">
        <f>(D101+E101)/2</f>
        <v>3.46</v>
      </c>
    </row>
    <row r="102" spans="1:6" x14ac:dyDescent="0.2">
      <c r="A102" s="2" t="s">
        <v>58</v>
      </c>
      <c r="B102" s="2">
        <f>((D102+E102)/2)*(C102/C$105)</f>
        <v>0.1352462498921736</v>
      </c>
      <c r="C102" s="2">
        <v>1670126997.8780344</v>
      </c>
      <c r="D102" s="11">
        <v>6.35</v>
      </c>
      <c r="E102" s="11">
        <v>4.29</v>
      </c>
      <c r="F102" s="2">
        <f>(D102+E102)/2</f>
        <v>5.32</v>
      </c>
    </row>
    <row r="103" spans="1:6" x14ac:dyDescent="0.2">
      <c r="A103" s="2" t="s">
        <v>61</v>
      </c>
      <c r="B103" s="2">
        <f>((D103+E103)/2)*(C103/C$105)</f>
        <v>1.610574323623321</v>
      </c>
      <c r="C103" s="2">
        <v>18481668539.784889</v>
      </c>
      <c r="D103" s="11">
        <v>10.7</v>
      </c>
      <c r="E103" s="11">
        <v>0.75</v>
      </c>
      <c r="F103" s="2">
        <f>(D103+E103)/2</f>
        <v>5.7249999999999996</v>
      </c>
    </row>
    <row r="104" spans="1:6" x14ac:dyDescent="0.2">
      <c r="A104" s="2" t="s">
        <v>62</v>
      </c>
      <c r="B104" s="2">
        <f>((D104+E104)/2)*(C104/C$105)</f>
        <v>0.19559644236352783</v>
      </c>
      <c r="C104" s="2">
        <v>17248072759.077568</v>
      </c>
      <c r="D104" s="11">
        <v>0.17</v>
      </c>
      <c r="E104" s="11">
        <v>1.32</v>
      </c>
      <c r="F104" s="2">
        <f>(D104+E104)/2</f>
        <v>0.745</v>
      </c>
    </row>
    <row r="105" spans="1:6" x14ac:dyDescent="0.2">
      <c r="B105" s="1">
        <f>SUM(B101:B104)</f>
        <v>3.4316708008117884</v>
      </c>
      <c r="C105" s="7">
        <f>SUM(C101:C104)</f>
        <v>65695541545.845863</v>
      </c>
      <c r="F105" s="14">
        <f>AVERAGE(F101:F104)</f>
        <v>3.8125</v>
      </c>
    </row>
    <row r="108" spans="1:6" ht="17" x14ac:dyDescent="0.25">
      <c r="A108" s="1" t="s">
        <v>135</v>
      </c>
      <c r="B108" s="1" t="s">
        <v>112</v>
      </c>
      <c r="C108" s="1" t="s">
        <v>113</v>
      </c>
      <c r="D108" s="1" t="s">
        <v>114</v>
      </c>
      <c r="E108" s="1" t="s">
        <v>115</v>
      </c>
    </row>
    <row r="109" spans="1:6" x14ac:dyDescent="0.2">
      <c r="A109" s="2" t="s">
        <v>64</v>
      </c>
      <c r="B109" s="2">
        <f>((D109+E109)/2)*(C109/C$120)</f>
        <v>1.616386870916546E-2</v>
      </c>
      <c r="C109" s="2">
        <v>922669570.51044226</v>
      </c>
      <c r="D109" s="11">
        <f>9.19+0.1</f>
        <v>9.2899999999999991</v>
      </c>
      <c r="E109" s="11">
        <f>2.86+0.1</f>
        <v>2.96</v>
      </c>
      <c r="F109" s="2">
        <f>(D109+E109)/2</f>
        <v>6.125</v>
      </c>
    </row>
    <row r="110" spans="1:6" x14ac:dyDescent="0.2">
      <c r="A110" s="2" t="s">
        <v>65</v>
      </c>
      <c r="B110" s="2">
        <f t="shared" ref="B110:B119" si="12">((D110+E110)/2)*(C110/C$120)</f>
        <v>9.1548692457366743E-2</v>
      </c>
      <c r="C110" s="2">
        <v>2097512651.1216919</v>
      </c>
      <c r="D110" s="11">
        <v>26.73</v>
      </c>
      <c r="E110" s="11">
        <f>3.69+0.1</f>
        <v>3.79</v>
      </c>
      <c r="F110" s="2">
        <f t="shared" ref="F110:F119" si="13">(D110+E110)/2</f>
        <v>15.26</v>
      </c>
    </row>
    <row r="111" spans="1:6" x14ac:dyDescent="0.2">
      <c r="A111" s="2" t="s">
        <v>66</v>
      </c>
      <c r="B111" s="2">
        <f t="shared" si="12"/>
        <v>0.251705716717673</v>
      </c>
      <c r="C111" s="2">
        <v>5890463354.6219378</v>
      </c>
      <c r="D111" s="11">
        <f>22+0.17+0.1</f>
        <v>22.270000000000003</v>
      </c>
      <c r="E111" s="11">
        <f>7.51+0.1</f>
        <v>7.6099999999999994</v>
      </c>
      <c r="F111" s="2">
        <f t="shared" si="13"/>
        <v>14.940000000000001</v>
      </c>
    </row>
    <row r="112" spans="1:6" x14ac:dyDescent="0.2">
      <c r="A112" s="2" t="s">
        <v>67</v>
      </c>
      <c r="B112" s="2">
        <f t="shared" si="12"/>
        <v>1.1764223643256932</v>
      </c>
      <c r="C112" s="2">
        <v>80993822423.190765</v>
      </c>
      <c r="D112" s="11">
        <f>3.8+3.7+0.019+0.019+0.0053+0.0045</f>
        <v>7.5478000000000005</v>
      </c>
      <c r="E112" s="11">
        <f>1.6+0.9+0.0088+0.1</f>
        <v>2.6088</v>
      </c>
      <c r="F112" s="2">
        <f t="shared" si="13"/>
        <v>5.0783000000000005</v>
      </c>
    </row>
    <row r="113" spans="1:6" x14ac:dyDescent="0.2">
      <c r="A113" s="2" t="s">
        <v>60</v>
      </c>
      <c r="B113" s="2">
        <f t="shared" si="12"/>
        <v>0.31441559447554751</v>
      </c>
      <c r="C113" s="2">
        <v>28295673249.105373</v>
      </c>
      <c r="D113" s="11">
        <v>2.56</v>
      </c>
      <c r="E113" s="11">
        <v>5.21</v>
      </c>
      <c r="F113" s="2">
        <f t="shared" si="13"/>
        <v>3.8849999999999998</v>
      </c>
    </row>
    <row r="114" spans="1:6" x14ac:dyDescent="0.2">
      <c r="A114" s="2" t="s">
        <v>68</v>
      </c>
      <c r="B114" s="2">
        <f t="shared" si="12"/>
        <v>0.25093410084309292</v>
      </c>
      <c r="C114" s="2">
        <v>14189510516.615805</v>
      </c>
      <c r="D114" s="11">
        <f>3.7+1.8+0.81+0.038+0.1</f>
        <v>6.4480000000000004</v>
      </c>
      <c r="E114" s="11">
        <f>3.7+1.9+0.3+0.018</f>
        <v>5.9179999999999993</v>
      </c>
      <c r="F114" s="2">
        <f t="shared" si="13"/>
        <v>6.1829999999999998</v>
      </c>
    </row>
    <row r="115" spans="1:6" x14ac:dyDescent="0.2">
      <c r="A115" s="2" t="s">
        <v>61</v>
      </c>
      <c r="B115" s="2">
        <f t="shared" si="12"/>
        <v>0.3525819166918982</v>
      </c>
      <c r="C115" s="2">
        <v>18481668539.784889</v>
      </c>
      <c r="D115" s="11">
        <v>12.17</v>
      </c>
      <c r="E115" s="11">
        <v>1.17</v>
      </c>
      <c r="F115" s="2">
        <f t="shared" si="13"/>
        <v>6.67</v>
      </c>
    </row>
    <row r="116" spans="1:6" x14ac:dyDescent="0.2">
      <c r="A116" s="2" t="s">
        <v>58</v>
      </c>
      <c r="B116" s="2">
        <f t="shared" si="12"/>
        <v>2.6439920504720951E-2</v>
      </c>
      <c r="C116" s="2">
        <v>1670126997.8780344</v>
      </c>
      <c r="D116" s="11">
        <v>6.76</v>
      </c>
      <c r="E116" s="11">
        <v>4.3099999999999996</v>
      </c>
      <c r="F116" s="2">
        <f t="shared" si="13"/>
        <v>5.5350000000000001</v>
      </c>
    </row>
    <row r="117" spans="1:6" x14ac:dyDescent="0.2">
      <c r="A117" s="2" t="s">
        <v>69</v>
      </c>
      <c r="B117" s="2">
        <f t="shared" si="12"/>
        <v>0.41818798725148398</v>
      </c>
      <c r="C117" s="2">
        <v>139981320353.44016</v>
      </c>
      <c r="D117" s="11">
        <f>0.8+0.25+0.041+0.1</f>
        <v>1.1910000000000001</v>
      </c>
      <c r="E117" s="11">
        <f>0.66+0.079+0.059+0.1</f>
        <v>0.89800000000000002</v>
      </c>
      <c r="F117" s="2">
        <f t="shared" si="13"/>
        <v>1.0445</v>
      </c>
    </row>
    <row r="118" spans="1:6" x14ac:dyDescent="0.2">
      <c r="A118" s="2" t="s">
        <v>70</v>
      </c>
      <c r="B118" s="2">
        <f t="shared" si="12"/>
        <v>0.40327618766861245</v>
      </c>
      <c r="C118" s="2">
        <v>39857780124.731804</v>
      </c>
      <c r="D118" s="11">
        <f>1.3+0.59+1.5+0.092+0.053+0.1</f>
        <v>3.6350000000000002</v>
      </c>
      <c r="E118" s="11">
        <f>0.94+1.5+0.58+0.29+0.018+0.012+0.1</f>
        <v>3.44</v>
      </c>
      <c r="F118" s="2">
        <f t="shared" si="13"/>
        <v>3.5375000000000001</v>
      </c>
    </row>
    <row r="119" spans="1:6" x14ac:dyDescent="0.2">
      <c r="A119" s="2" t="s">
        <v>62</v>
      </c>
      <c r="B119" s="2">
        <f t="shared" si="12"/>
        <v>0.20621007519800472</v>
      </c>
      <c r="C119" s="2">
        <v>17248072759.077568</v>
      </c>
      <c r="D119" s="11">
        <v>4.01</v>
      </c>
      <c r="E119" s="11">
        <v>4.3499999999999996</v>
      </c>
      <c r="F119" s="2">
        <f t="shared" si="13"/>
        <v>4.18</v>
      </c>
    </row>
    <row r="120" spans="1:6" x14ac:dyDescent="0.2">
      <c r="A120" s="16"/>
      <c r="B120" s="1">
        <f>SUM(B109:B119)</f>
        <v>3.5078864248432589</v>
      </c>
      <c r="C120" s="7">
        <f>SUM(C109:C119)</f>
        <v>349628620540.07843</v>
      </c>
      <c r="F120" s="14">
        <f>AVERAGE(F109:F119)</f>
        <v>6.5853000000000002</v>
      </c>
    </row>
    <row r="121" spans="1:6" x14ac:dyDescent="0.2">
      <c r="A121" s="16"/>
      <c r="B121" s="16"/>
    </row>
    <row r="122" spans="1:6" x14ac:dyDescent="0.2">
      <c r="A122" s="18"/>
      <c r="B122" s="18"/>
    </row>
    <row r="124" spans="1:6" ht="17" x14ac:dyDescent="0.25">
      <c r="A124" s="1" t="s">
        <v>136</v>
      </c>
      <c r="B124" s="1" t="s">
        <v>112</v>
      </c>
      <c r="C124" s="1" t="s">
        <v>113</v>
      </c>
      <c r="D124" s="1" t="s">
        <v>114</v>
      </c>
      <c r="E124" s="1" t="s">
        <v>115</v>
      </c>
    </row>
    <row r="125" spans="1:6" x14ac:dyDescent="0.2">
      <c r="A125" s="2" t="s">
        <v>106</v>
      </c>
      <c r="B125" s="2">
        <f>((D125+E125)/2)*(C125/C$133)</f>
        <v>0.40289512064234334</v>
      </c>
      <c r="C125" s="2">
        <v>19508303017.476265</v>
      </c>
      <c r="D125" s="11">
        <v>0.1</v>
      </c>
      <c r="E125" s="11">
        <f>6.1+1+0.29+0.092+0.1</f>
        <v>7.581999999999999</v>
      </c>
      <c r="F125" s="2">
        <f t="shared" ref="F125:F132" si="14">(D125+E125)/2</f>
        <v>3.8409999999999993</v>
      </c>
    </row>
    <row r="126" spans="1:6" x14ac:dyDescent="0.2">
      <c r="A126" s="2" t="s">
        <v>137</v>
      </c>
      <c r="B126" s="2">
        <f t="shared" ref="B126:B132" si="15">((D126+E126)/2)*(C126/C$133)</f>
        <v>0.12796012726674902</v>
      </c>
      <c r="C126" s="2">
        <v>3710661655.2454042</v>
      </c>
      <c r="D126" s="11">
        <f>0.77+0.68+0.5+0.14+0.1</f>
        <v>2.1900000000000004</v>
      </c>
      <c r="E126" s="11">
        <f>7.9+1.8+0.54+0.24+0.057+0.1</f>
        <v>10.637000000000002</v>
      </c>
      <c r="F126" s="2">
        <f t="shared" si="14"/>
        <v>6.4135000000000009</v>
      </c>
    </row>
    <row r="127" spans="1:6" x14ac:dyDescent="0.2">
      <c r="A127" s="2" t="s">
        <v>138</v>
      </c>
      <c r="B127" s="2">
        <f t="shared" si="15"/>
        <v>0.13282618109609595</v>
      </c>
      <c r="C127" s="2">
        <v>35544357956.459129</v>
      </c>
      <c r="D127" s="11">
        <f>0.51+0.066+0.029+0.1</f>
        <v>0.70500000000000007</v>
      </c>
      <c r="E127" s="11">
        <f>0.35+0.16+0.075+0.1</f>
        <v>0.68499999999999994</v>
      </c>
      <c r="F127" s="2">
        <f t="shared" si="14"/>
        <v>0.69500000000000006</v>
      </c>
    </row>
    <row r="128" spans="1:6" x14ac:dyDescent="0.2">
      <c r="A128" s="2" t="s">
        <v>108</v>
      </c>
      <c r="B128" s="2">
        <f t="shared" si="15"/>
        <v>1.0820110450418472</v>
      </c>
      <c r="C128" s="2">
        <v>22765426236.1614</v>
      </c>
      <c r="D128" s="11">
        <f>4.5+0.47+0.29+0.1+0.089+0.1</f>
        <v>5.5489999999999995</v>
      </c>
      <c r="E128" s="11">
        <f>9.9+1.9+0.23+0.1</f>
        <v>12.13</v>
      </c>
      <c r="F128" s="2">
        <f t="shared" si="14"/>
        <v>8.839500000000001</v>
      </c>
    </row>
    <row r="129" spans="1:6" x14ac:dyDescent="0.2">
      <c r="A129" s="2" t="s">
        <v>109</v>
      </c>
      <c r="B129" s="2">
        <f t="shared" si="15"/>
        <v>1.039051307213178</v>
      </c>
      <c r="C129" s="2">
        <v>49696600512.515869</v>
      </c>
      <c r="D129" s="11">
        <f>1.5+1.4+1.4+0.89+0.13+0.6+0.006</f>
        <v>5.9259999999999993</v>
      </c>
      <c r="E129" s="11">
        <f>1+0.56+0.16+0.016+0.015+0.1</f>
        <v>1.851</v>
      </c>
      <c r="F129" s="2">
        <f t="shared" si="14"/>
        <v>3.8884999999999996</v>
      </c>
    </row>
    <row r="130" spans="1:6" x14ac:dyDescent="0.2">
      <c r="A130" s="2" t="s">
        <v>110</v>
      </c>
      <c r="B130" s="2">
        <f t="shared" si="15"/>
        <v>0.53043865984298366</v>
      </c>
      <c r="C130" s="2">
        <v>34088542632.210712</v>
      </c>
      <c r="D130" s="11">
        <f>3.7+0.097+0.091+0.1</f>
        <v>3.9880000000000004</v>
      </c>
      <c r="E130" s="11">
        <f>0.75+0.65+0.3+0.1</f>
        <v>1.8</v>
      </c>
      <c r="F130" s="2">
        <f t="shared" si="14"/>
        <v>2.8940000000000001</v>
      </c>
    </row>
    <row r="131" spans="1:6" x14ac:dyDescent="0.2">
      <c r="A131" s="2" t="s">
        <v>139</v>
      </c>
      <c r="B131" s="2">
        <f t="shared" si="15"/>
        <v>2.4248182420811646E-2</v>
      </c>
      <c r="C131" s="2">
        <v>418925646.51863521</v>
      </c>
      <c r="D131" s="11">
        <f>0.25+0.2+0.1</f>
        <v>0.55000000000000004</v>
      </c>
      <c r="E131" s="11">
        <f>17+3.7+0.18+0.1</f>
        <v>20.98</v>
      </c>
      <c r="F131" s="2">
        <f t="shared" si="14"/>
        <v>10.765000000000001</v>
      </c>
    </row>
    <row r="132" spans="1:6" x14ac:dyDescent="0.2">
      <c r="A132" s="2" t="s">
        <v>140</v>
      </c>
      <c r="B132" s="2">
        <f t="shared" si="15"/>
        <v>0.79361838006781316</v>
      </c>
      <c r="C132" s="2">
        <v>20249558527.720245</v>
      </c>
      <c r="D132" s="11">
        <f>2.9+0.45+0.38+0.22+0.11+0.088+0.1</f>
        <v>4.2480000000000002</v>
      </c>
      <c r="E132" s="11">
        <f>4.9+4.2+0.9+0.23+0.1</f>
        <v>10.330000000000002</v>
      </c>
      <c r="F132" s="2">
        <f t="shared" si="14"/>
        <v>7.2890000000000015</v>
      </c>
    </row>
    <row r="133" spans="1:6" x14ac:dyDescent="0.2">
      <c r="B133" s="1">
        <f>SUM(B125:B132)</f>
        <v>4.1330490035918217</v>
      </c>
      <c r="C133" s="7">
        <f>SUM(C125:C132)</f>
        <v>185982376184.30768</v>
      </c>
      <c r="F133" s="14">
        <f>AVERAGE(F125:F132)</f>
        <v>5.5781875000000003</v>
      </c>
    </row>
    <row r="135" spans="1:6" ht="17" x14ac:dyDescent="0.25">
      <c r="A135" s="1" t="s">
        <v>141</v>
      </c>
      <c r="B135" s="1" t="s">
        <v>112</v>
      </c>
      <c r="C135" s="1" t="s">
        <v>113</v>
      </c>
      <c r="D135" s="1" t="s">
        <v>114</v>
      </c>
      <c r="E135" s="1" t="s">
        <v>115</v>
      </c>
    </row>
    <row r="136" spans="1:6" x14ac:dyDescent="0.2">
      <c r="A136" s="2" t="s">
        <v>72</v>
      </c>
      <c r="B136" s="2">
        <f>((D136+E136)/2)*(C136/C$141)</f>
        <v>0.37951180170091026</v>
      </c>
      <c r="C136" s="2">
        <v>8187305239.414607</v>
      </c>
      <c r="D136" s="11">
        <f>8.1+5.5+3+1.4</f>
        <v>18</v>
      </c>
      <c r="E136" s="11">
        <f>7.7+5.4+1.8+5.2</f>
        <v>20.100000000000001</v>
      </c>
      <c r="F136" s="2">
        <f>(D136+E136)/2</f>
        <v>19.05</v>
      </c>
    </row>
    <row r="137" spans="1:6" x14ac:dyDescent="0.2">
      <c r="A137" s="2" t="s">
        <v>73</v>
      </c>
      <c r="B137" s="2">
        <f>((D137+E137)/2)*(C137/C$141)</f>
        <v>4.677154788310383</v>
      </c>
      <c r="C137" s="2">
        <v>152941817636.90009</v>
      </c>
      <c r="D137" s="11">
        <f>10+4.4+2.7+0.66</f>
        <v>17.760000000000002</v>
      </c>
      <c r="E137" s="11">
        <f>4.5+2.3+0.5+0.076</f>
        <v>7.3759999999999994</v>
      </c>
      <c r="F137" s="2">
        <f>(D137+E137)/2</f>
        <v>12.568000000000001</v>
      </c>
    </row>
    <row r="138" spans="1:6" x14ac:dyDescent="0.2">
      <c r="A138" s="2" t="s">
        <v>74</v>
      </c>
      <c r="B138" s="2">
        <f>((D138+E138)/2)*(C138/C$141)</f>
        <v>1.3796517532651071</v>
      </c>
      <c r="C138" s="2">
        <v>22802984391.357815</v>
      </c>
      <c r="D138" s="11">
        <f>16+5.8+2.4+0.94</f>
        <v>25.14</v>
      </c>
      <c r="E138" s="11">
        <f>11+7.9+5.4+0.29</f>
        <v>24.589999999999996</v>
      </c>
      <c r="F138" s="2">
        <f>(D138+E138)/2</f>
        <v>24.864999999999998</v>
      </c>
    </row>
    <row r="139" spans="1:6" x14ac:dyDescent="0.2">
      <c r="A139" s="2" t="s">
        <v>75</v>
      </c>
      <c r="B139" s="2">
        <f>((D139+E139)/2)*(C139/C$141)</f>
        <v>3.9930102006111654</v>
      </c>
      <c r="C139" s="2">
        <v>76702400285.911484</v>
      </c>
      <c r="D139" s="11">
        <f>18+10+2.2+1.5</f>
        <v>31.7</v>
      </c>
      <c r="E139" s="11">
        <f>9.7+1.1+0.2+0.089</f>
        <v>11.088999999999999</v>
      </c>
      <c r="F139" s="2">
        <f>(D139+E139)/2</f>
        <v>21.394500000000001</v>
      </c>
    </row>
    <row r="140" spans="1:6" x14ac:dyDescent="0.2">
      <c r="A140" s="2" t="s">
        <v>76</v>
      </c>
      <c r="B140" s="2">
        <f>((D140+E140)/2)*(C140/C$141)</f>
        <v>2.3510252270789409</v>
      </c>
      <c r="C140" s="2">
        <v>150336018558.71158</v>
      </c>
      <c r="D140" s="11">
        <f>6.6+1.1+1.2+0.14</f>
        <v>9.0399999999999991</v>
      </c>
      <c r="E140" s="11">
        <f>3.4+0.39+0.014+0.0099</f>
        <v>3.8138999999999998</v>
      </c>
      <c r="F140" s="2">
        <f>(D140+E140)/2</f>
        <v>6.4269499999999997</v>
      </c>
    </row>
    <row r="141" spans="1:6" x14ac:dyDescent="0.2">
      <c r="B141" s="1">
        <f>SUM(B136:B140)</f>
        <v>12.780353770966506</v>
      </c>
      <c r="C141" s="7">
        <f>SUM(C136:C140)</f>
        <v>410970526112.29553</v>
      </c>
      <c r="F141" s="14">
        <f>AVERAGE(F136:F140)</f>
        <v>16.860890000000001</v>
      </c>
    </row>
    <row r="143" spans="1:6" x14ac:dyDescent="0.2">
      <c r="A143" s="1"/>
      <c r="B143" s="1"/>
      <c r="C143" s="1"/>
      <c r="D143" s="1"/>
      <c r="E143" s="1"/>
    </row>
    <row r="144" spans="1:6" x14ac:dyDescent="0.2">
      <c r="D144" s="11"/>
      <c r="E144" s="11"/>
    </row>
    <row r="145" spans="1:6" x14ac:dyDescent="0.2">
      <c r="D145" s="11"/>
      <c r="E145" s="11"/>
    </row>
    <row r="146" spans="1:6" x14ac:dyDescent="0.2">
      <c r="B146" s="1"/>
      <c r="C146" s="7"/>
      <c r="F146" s="14"/>
    </row>
    <row r="149" spans="1:6" ht="17" x14ac:dyDescent="0.25">
      <c r="A149" s="1" t="s">
        <v>142</v>
      </c>
      <c r="B149" s="1" t="s">
        <v>112</v>
      </c>
      <c r="C149" s="1" t="s">
        <v>113</v>
      </c>
      <c r="D149" s="1" t="s">
        <v>114</v>
      </c>
      <c r="E149" s="1" t="s">
        <v>115</v>
      </c>
    </row>
    <row r="150" spans="1:6" x14ac:dyDescent="0.2">
      <c r="A150" s="2" t="s">
        <v>92</v>
      </c>
      <c r="B150" s="2">
        <f>((D150+E150)/2)*(C150/C$166)</f>
        <v>0.34079282736665223</v>
      </c>
      <c r="C150" s="2">
        <v>15383136311.805462</v>
      </c>
      <c r="D150" s="11">
        <f>11+5.9+3.9+8.9+2.5+1.6</f>
        <v>33.799999999999997</v>
      </c>
      <c r="E150" s="11">
        <f>2.6+1.5+1.4+0.64+0.34+0.51+0.37+0.16+0.1+0.1</f>
        <v>7.7199999999999989</v>
      </c>
      <c r="F150" s="2">
        <f>(D150+E150)/2</f>
        <v>20.759999999999998</v>
      </c>
    </row>
    <row r="151" spans="1:6" x14ac:dyDescent="0.2">
      <c r="A151" s="2" t="s">
        <v>93</v>
      </c>
      <c r="B151" s="2">
        <f t="shared" ref="B151:B165" si="16">((D151+E151)/2)*(C151/C$166)</f>
        <v>0.43919030311867202</v>
      </c>
      <c r="C151" s="2">
        <v>19129040395.452148</v>
      </c>
      <c r="D151" s="11">
        <f>2.9+2.7+1.9+1.9+1.3+0.89+0.69+0.39+0.2</f>
        <v>12.870000000000001</v>
      </c>
      <c r="E151" s="11">
        <f>17+4.7+3.6+1.4+1+0.72+0.64+0.49+0.18+0.13+0.1+0.1+0.1</f>
        <v>30.16</v>
      </c>
      <c r="F151" s="2">
        <f t="shared" ref="F151:F165" si="17">(D151+E151)/2</f>
        <v>21.515000000000001</v>
      </c>
    </row>
    <row r="152" spans="1:6" x14ac:dyDescent="0.2">
      <c r="A152" s="2" t="s">
        <v>143</v>
      </c>
      <c r="B152" s="2">
        <f t="shared" si="16"/>
        <v>1.4403984010048194</v>
      </c>
      <c r="C152" s="2">
        <v>50055049171.11853</v>
      </c>
      <c r="D152" s="11">
        <f>5.8+3.2+3.2+3.2+1.2+1.1+1.8+0.78+0.56+0.55+0.54+0.47+0.32+0.3</f>
        <v>23.02</v>
      </c>
      <c r="E152" s="11">
        <f>27+0.77+0.65+0.59+0.35+0.34+0.26+0.25+0.21+0.14+0.097+0.055+0.2</f>
        <v>30.912000000000003</v>
      </c>
      <c r="F152" s="2">
        <f t="shared" si="17"/>
        <v>26.966000000000001</v>
      </c>
    </row>
    <row r="153" spans="1:6" x14ac:dyDescent="0.2">
      <c r="A153" s="2" t="s">
        <v>94</v>
      </c>
      <c r="B153" s="2">
        <f t="shared" si="16"/>
        <v>0.59012975080922314</v>
      </c>
      <c r="C153" s="2">
        <v>24568186514.397526</v>
      </c>
      <c r="D153" s="11">
        <f>5.8+2.4+0.95+0.75+0.75+0.56+0.27+0.17+0.086+0.039+0.039+0.1</f>
        <v>11.913999999999998</v>
      </c>
      <c r="E153" s="11">
        <f>17+10+2.1+1.6+1.5+0.41+0.2+0.17+0.024+0.1</f>
        <v>33.104000000000006</v>
      </c>
      <c r="F153" s="2">
        <f t="shared" si="17"/>
        <v>22.509</v>
      </c>
    </row>
    <row r="154" spans="1:6" x14ac:dyDescent="0.2">
      <c r="A154" s="2" t="s">
        <v>95</v>
      </c>
      <c r="B154" s="2">
        <f t="shared" si="16"/>
        <v>0.25198024787340845</v>
      </c>
      <c r="C154" s="2">
        <v>11937133415.740543</v>
      </c>
      <c r="D154" s="11">
        <f>19+0.76+0.47+0.47+0.39+0.16+0.046+0.036+0.1</f>
        <v>21.432000000000002</v>
      </c>
      <c r="E154" s="11">
        <f>7+3.6+3+1.2+0.76+0.68+0.87+0.47+0.31+0.14+0.1</f>
        <v>18.13</v>
      </c>
      <c r="F154" s="2">
        <f t="shared" si="17"/>
        <v>19.780999999999999</v>
      </c>
    </row>
    <row r="155" spans="1:6" x14ac:dyDescent="0.2">
      <c r="A155" s="2" t="s">
        <v>96</v>
      </c>
      <c r="B155" s="2">
        <f t="shared" si="16"/>
        <v>0.76956403343495516</v>
      </c>
      <c r="C155" s="2">
        <v>25356946951.594219</v>
      </c>
      <c r="D155" s="11">
        <f>22+3.3+2.4+2.8+2.4+2.2+1.1+0.89+0.78+0.63+0.33+0.2+0.31+0.26+0.16+0.12+0.1</f>
        <v>39.980000000000004</v>
      </c>
      <c r="E155" s="11">
        <f>11+2.8+1+0.41+0.31+0.3+0.28+0.074+0.6+0.026+0.1</f>
        <v>16.900000000000006</v>
      </c>
      <c r="F155" s="2">
        <f t="shared" si="17"/>
        <v>28.440000000000005</v>
      </c>
    </row>
    <row r="156" spans="1:6" x14ac:dyDescent="0.2">
      <c r="A156" s="2" t="s">
        <v>97</v>
      </c>
      <c r="B156" s="2">
        <f t="shared" si="16"/>
        <v>0.27590998357076335</v>
      </c>
      <c r="C156" s="2">
        <v>7012076136.58358</v>
      </c>
      <c r="D156" s="11">
        <f>45+7.2+3.4+2.9+2.3+2.3+1+0.77+0.14+0.074+0.1</f>
        <v>65.183999999999983</v>
      </c>
      <c r="E156" s="11">
        <f>4.1+1.3+0.57+0.84+0.79+0.32+0.3+0.081+0.035+0.03+0.081+0.014+0.1</f>
        <v>8.5609999999999982</v>
      </c>
      <c r="F156" s="2">
        <f t="shared" si="17"/>
        <v>36.872499999999988</v>
      </c>
    </row>
    <row r="157" spans="1:6" x14ac:dyDescent="0.2">
      <c r="A157" s="2" t="s">
        <v>144</v>
      </c>
      <c r="B157" s="2">
        <f t="shared" si="16"/>
        <v>2.8718167875791782E-2</v>
      </c>
      <c r="C157" s="2">
        <v>2807818687.1596055</v>
      </c>
      <c r="D157" s="11">
        <f>15+0.93+0.56+0.31+0.032+0.026+0.1</f>
        <v>16.957999999999998</v>
      </c>
      <c r="E157" s="11">
        <f>0.97+0.43+0.41+0.15+0.11+0.041+0.1</f>
        <v>2.2109999999999999</v>
      </c>
      <c r="F157" s="2">
        <f t="shared" si="17"/>
        <v>9.5844999999999985</v>
      </c>
    </row>
    <row r="158" spans="1:6" x14ac:dyDescent="0.2">
      <c r="A158" s="2" t="s">
        <v>145</v>
      </c>
      <c r="B158" s="2">
        <f t="shared" si="16"/>
        <v>3.3258292871036189E-2</v>
      </c>
      <c r="C158" s="2">
        <v>2373579534.8736606</v>
      </c>
      <c r="D158" s="11">
        <f>4.5+1.2+1.1+0.85+0.33+0.23+0.11+0.0078+0.073+0.1</f>
        <v>8.5007999999999999</v>
      </c>
      <c r="E158" s="11">
        <f>9.8+6.8+0.68+0.19+0.077+0.057+0.056+0.1</f>
        <v>17.760000000000005</v>
      </c>
      <c r="F158" s="2">
        <f t="shared" si="17"/>
        <v>13.130400000000002</v>
      </c>
    </row>
    <row r="159" spans="1:6" x14ac:dyDescent="0.2">
      <c r="A159" s="2" t="s">
        <v>98</v>
      </c>
      <c r="B159" s="2">
        <f t="shared" si="16"/>
        <v>0.83192662808888418</v>
      </c>
      <c r="C159" s="2">
        <v>63681669732.4916</v>
      </c>
      <c r="D159" s="11">
        <f>1.6+1+0.87+0.86+0.73+0.46+0.36+0.34+0.14+0.089+0.071+0.1</f>
        <v>6.62</v>
      </c>
      <c r="E159" s="11">
        <f>12+3.3+1.5+0.14+0.72+0.041+0.063+0.1</f>
        <v>17.864000000000001</v>
      </c>
      <c r="F159" s="2">
        <f t="shared" si="17"/>
        <v>12.242000000000001</v>
      </c>
    </row>
    <row r="160" spans="1:6" x14ac:dyDescent="0.2">
      <c r="A160" s="2" t="s">
        <v>99</v>
      </c>
      <c r="B160" s="2">
        <f t="shared" si="16"/>
        <v>6.0286280549514765E-2</v>
      </c>
      <c r="C160" s="2">
        <v>12184564690.830519</v>
      </c>
      <c r="D160" s="11">
        <f>1.2+0.6+0.32+0.19+0.19+0.16+0.13+0.11+0.039+0.1</f>
        <v>3.0389999999999997</v>
      </c>
      <c r="E160" s="11">
        <f>2.4+2.2+0.53+0.44+0.21+0.15+0.13+0.074+0.1</f>
        <v>6.234</v>
      </c>
      <c r="F160" s="2">
        <f t="shared" si="17"/>
        <v>4.6364999999999998</v>
      </c>
    </row>
    <row r="161" spans="1:6" x14ac:dyDescent="0.2">
      <c r="A161" s="2" t="s">
        <v>100</v>
      </c>
      <c r="B161" s="2">
        <f t="shared" si="16"/>
        <v>3.679804106858045E-2</v>
      </c>
      <c r="C161" s="2">
        <v>1930259178.5080106</v>
      </c>
      <c r="D161" s="11">
        <f>0.85+0.63+0.37+0.19+0.044+0.1</f>
        <v>2.1840000000000002</v>
      </c>
      <c r="E161" s="11">
        <f>26+3.5+3.5+0.37+0.075+0.1</f>
        <v>33.545000000000002</v>
      </c>
      <c r="F161" s="2">
        <f t="shared" si="17"/>
        <v>17.8645</v>
      </c>
    </row>
    <row r="162" spans="1:6" x14ac:dyDescent="0.2">
      <c r="A162" s="2" t="s">
        <v>101</v>
      </c>
      <c r="B162" s="2">
        <f t="shared" si="16"/>
        <v>2.6282884678035325E-2</v>
      </c>
      <c r="C162" s="2">
        <v>2375182613.2618032</v>
      </c>
      <c r="D162" s="11">
        <f>1.8+1.4+1.2+0.5+0.28+0.21+0.049+0.1</f>
        <v>5.5390000000000006</v>
      </c>
      <c r="E162" s="11">
        <f>14+1+0.051+0.049+0.1</f>
        <v>15.2</v>
      </c>
      <c r="F162" s="2">
        <f t="shared" si="17"/>
        <v>10.3695</v>
      </c>
    </row>
    <row r="163" spans="1:6" x14ac:dyDescent="0.2">
      <c r="A163" s="2" t="s">
        <v>102</v>
      </c>
      <c r="B163" s="2">
        <f t="shared" si="16"/>
        <v>9.587559594099232E-2</v>
      </c>
      <c r="C163" s="2">
        <v>11093241543.967829</v>
      </c>
      <c r="D163" s="11">
        <f>4.9+3.3+0.98+0.54+0.3+0.093+0.1</f>
        <v>10.212999999999999</v>
      </c>
      <c r="E163" s="11">
        <f>3.1+2+0.58+0.14+0.065+0.1</f>
        <v>5.9849999999999994</v>
      </c>
      <c r="F163" s="2">
        <f t="shared" si="17"/>
        <v>8.0990000000000002</v>
      </c>
    </row>
    <row r="164" spans="1:6" x14ac:dyDescent="0.2">
      <c r="A164" s="2" t="s">
        <v>103</v>
      </c>
      <c r="B164" s="2">
        <f t="shared" si="16"/>
        <v>3.8842469281716312</v>
      </c>
      <c r="C164" s="2">
        <v>680353840818.19983</v>
      </c>
      <c r="D164" s="11">
        <v>6.2</v>
      </c>
      <c r="E164" s="11">
        <v>4.5</v>
      </c>
      <c r="F164" s="2">
        <f t="shared" si="17"/>
        <v>5.35</v>
      </c>
    </row>
    <row r="165" spans="1:6" x14ac:dyDescent="0.2">
      <c r="A165" s="2" t="s">
        <v>104</v>
      </c>
      <c r="B165" s="2">
        <f t="shared" si="16"/>
        <v>4.4892729459889869E-2</v>
      </c>
      <c r="C165" s="2">
        <v>6849328422.6359911</v>
      </c>
      <c r="D165" s="11">
        <f>0.82+0.74+0.58+0.15+0.074+0.1</f>
        <v>2.464</v>
      </c>
      <c r="E165" s="11">
        <f>7.2+1+0.71+0.4+0.3+0.11+0.1</f>
        <v>9.82</v>
      </c>
      <c r="F165" s="2">
        <f t="shared" si="17"/>
        <v>6.1420000000000003</v>
      </c>
    </row>
    <row r="166" spans="1:6" x14ac:dyDescent="0.2">
      <c r="B166" s="1">
        <f>SUM(B150:B165)</f>
        <v>9.1502510958828491</v>
      </c>
      <c r="C166" s="7">
        <f>SUM(C150:C165)</f>
        <v>937091054118.62085</v>
      </c>
      <c r="F166" s="14">
        <f>AVERAGE(F150:F165)</f>
        <v>16.516368749999998</v>
      </c>
    </row>
    <row r="167" spans="1:6" s="1" customFormat="1" x14ac:dyDescent="0.2">
      <c r="A167" s="1" t="s">
        <v>146</v>
      </c>
    </row>
    <row r="168" spans="1:6" s="1" customFormat="1" x14ac:dyDescent="0.2"/>
    <row r="169" spans="1:6" s="1" customFormat="1" x14ac:dyDescent="0.2">
      <c r="A169" s="1" t="s">
        <v>147</v>
      </c>
    </row>
    <row r="170" spans="1:6" x14ac:dyDescent="0.2">
      <c r="A170" s="2" t="s">
        <v>148</v>
      </c>
    </row>
    <row r="171" spans="1:6" x14ac:dyDescent="0.2">
      <c r="A171" s="2" t="s">
        <v>149</v>
      </c>
    </row>
    <row r="172" spans="1:6" x14ac:dyDescent="0.2">
      <c r="A172" s="2" t="s">
        <v>150</v>
      </c>
    </row>
    <row r="173" spans="1:6" x14ac:dyDescent="0.2">
      <c r="A173" s="2" t="s">
        <v>151</v>
      </c>
    </row>
    <row r="174" spans="1:6" x14ac:dyDescent="0.2">
      <c r="A174" s="2" t="s">
        <v>152</v>
      </c>
    </row>
    <row r="175" spans="1:6" x14ac:dyDescent="0.2">
      <c r="A175" s="2" t="s">
        <v>153</v>
      </c>
    </row>
    <row r="176" spans="1:6" x14ac:dyDescent="0.2">
      <c r="A176" s="2" t="s">
        <v>154</v>
      </c>
    </row>
    <row r="177" spans="1:1" x14ac:dyDescent="0.2">
      <c r="A177" s="2" t="s">
        <v>155</v>
      </c>
    </row>
    <row r="178" spans="1:1" x14ac:dyDescent="0.2">
      <c r="A178" s="2" t="s">
        <v>156</v>
      </c>
    </row>
    <row r="179" spans="1:1" x14ac:dyDescent="0.2">
      <c r="A179" s="2" t="s">
        <v>157</v>
      </c>
    </row>
    <row r="180" spans="1:1" x14ac:dyDescent="0.2">
      <c r="A180" s="2" t="s">
        <v>158</v>
      </c>
    </row>
    <row r="181" spans="1:1" x14ac:dyDescent="0.2">
      <c r="A181" s="2" t="s">
        <v>159</v>
      </c>
    </row>
    <row r="182" spans="1:1" x14ac:dyDescent="0.2">
      <c r="A182" s="2" t="s">
        <v>160</v>
      </c>
    </row>
    <row r="183" spans="1:1" x14ac:dyDescent="0.2">
      <c r="A183" s="2" t="s">
        <v>161</v>
      </c>
    </row>
    <row r="184" spans="1:1" x14ac:dyDescent="0.2">
      <c r="A184" s="2" t="s">
        <v>162</v>
      </c>
    </row>
    <row r="185" spans="1:1" x14ac:dyDescent="0.2">
      <c r="A185" s="2" t="s">
        <v>163</v>
      </c>
    </row>
    <row r="186" spans="1:1" x14ac:dyDescent="0.2">
      <c r="A186" s="2" t="s">
        <v>164</v>
      </c>
    </row>
    <row r="187" spans="1:1" x14ac:dyDescent="0.2">
      <c r="A187" s="2" t="s">
        <v>165</v>
      </c>
    </row>
    <row r="188" spans="1:1" x14ac:dyDescent="0.2">
      <c r="A188" s="2" t="s">
        <v>166</v>
      </c>
    </row>
    <row r="189" spans="1:1" x14ac:dyDescent="0.2">
      <c r="A189" s="2" t="s">
        <v>167</v>
      </c>
    </row>
    <row r="190" spans="1:1" x14ac:dyDescent="0.2">
      <c r="A190" s="2" t="s">
        <v>168</v>
      </c>
    </row>
    <row r="191" spans="1:1" x14ac:dyDescent="0.2">
      <c r="A191" s="2" t="s">
        <v>169</v>
      </c>
    </row>
    <row r="192" spans="1:1" x14ac:dyDescent="0.2">
      <c r="A192" s="2" t="s">
        <v>170</v>
      </c>
    </row>
    <row r="193" spans="1:1" x14ac:dyDescent="0.2">
      <c r="A193" s="2" t="s">
        <v>171</v>
      </c>
    </row>
    <row r="194" spans="1:1" x14ac:dyDescent="0.2">
      <c r="A194" s="2" t="s">
        <v>172</v>
      </c>
    </row>
    <row r="195" spans="1:1" x14ac:dyDescent="0.2">
      <c r="A195" s="2" t="s">
        <v>173</v>
      </c>
    </row>
    <row r="196" spans="1:1" x14ac:dyDescent="0.2">
      <c r="A196" s="2" t="s">
        <v>174</v>
      </c>
    </row>
    <row r="197" spans="1:1" x14ac:dyDescent="0.2">
      <c r="A197" s="2" t="s">
        <v>175</v>
      </c>
    </row>
    <row r="198" spans="1:1" x14ac:dyDescent="0.2">
      <c r="A198" s="2" t="s">
        <v>176</v>
      </c>
    </row>
    <row r="199" spans="1:1" x14ac:dyDescent="0.2">
      <c r="A199" s="2" t="s">
        <v>177</v>
      </c>
    </row>
    <row r="200" spans="1:1" x14ac:dyDescent="0.2">
      <c r="A200" s="2" t="s">
        <v>178</v>
      </c>
    </row>
    <row r="201" spans="1:1" x14ac:dyDescent="0.2">
      <c r="A201" s="2" t="s">
        <v>179</v>
      </c>
    </row>
    <row r="202" spans="1:1" x14ac:dyDescent="0.2">
      <c r="A202" s="2" t="s">
        <v>180</v>
      </c>
    </row>
    <row r="203" spans="1:1" x14ac:dyDescent="0.2">
      <c r="A203" s="2" t="s">
        <v>181</v>
      </c>
    </row>
    <row r="204" spans="1:1" x14ac:dyDescent="0.2">
      <c r="A204" s="2" t="s">
        <v>182</v>
      </c>
    </row>
    <row r="205" spans="1:1" x14ac:dyDescent="0.2">
      <c r="A205" s="2" t="s">
        <v>183</v>
      </c>
    </row>
    <row r="206" spans="1:1" x14ac:dyDescent="0.2">
      <c r="A206" s="2" t="s">
        <v>184</v>
      </c>
    </row>
    <row r="207" spans="1:1" x14ac:dyDescent="0.2">
      <c r="A207" s="2" t="s">
        <v>185</v>
      </c>
    </row>
    <row r="208" spans="1:1" x14ac:dyDescent="0.2">
      <c r="A208" s="2" t="s">
        <v>186</v>
      </c>
    </row>
    <row r="209" spans="1:1" x14ac:dyDescent="0.2">
      <c r="A209" s="2" t="s">
        <v>187</v>
      </c>
    </row>
    <row r="210" spans="1:1" x14ac:dyDescent="0.2">
      <c r="A210" s="2" t="s">
        <v>188</v>
      </c>
    </row>
    <row r="211" spans="1:1" x14ac:dyDescent="0.2">
      <c r="A211" s="2" t="s">
        <v>189</v>
      </c>
    </row>
    <row r="212" spans="1:1" x14ac:dyDescent="0.2">
      <c r="A212" s="2" t="s">
        <v>190</v>
      </c>
    </row>
    <row r="213" spans="1:1" x14ac:dyDescent="0.2">
      <c r="A213" s="2" t="s">
        <v>191</v>
      </c>
    </row>
    <row r="214" spans="1:1" x14ac:dyDescent="0.2">
      <c r="A214" s="2" t="s">
        <v>192</v>
      </c>
    </row>
    <row r="215" spans="1:1" x14ac:dyDescent="0.2">
      <c r="A215" s="2" t="s">
        <v>193</v>
      </c>
    </row>
    <row r="216" spans="1:1" x14ac:dyDescent="0.2">
      <c r="A216" s="2" t="s">
        <v>194</v>
      </c>
    </row>
    <row r="217" spans="1:1" x14ac:dyDescent="0.2">
      <c r="A217" s="2" t="s">
        <v>195</v>
      </c>
    </row>
    <row r="218" spans="1:1" x14ac:dyDescent="0.2">
      <c r="A218" s="2" t="s">
        <v>196</v>
      </c>
    </row>
    <row r="219" spans="1:1" x14ac:dyDescent="0.2">
      <c r="A219" s="2" t="s">
        <v>197</v>
      </c>
    </row>
    <row r="220" spans="1:1" x14ac:dyDescent="0.2">
      <c r="A220" s="2" t="s">
        <v>198</v>
      </c>
    </row>
    <row r="221" spans="1:1" x14ac:dyDescent="0.2">
      <c r="A221" s="2" t="s">
        <v>199</v>
      </c>
    </row>
    <row r="222" spans="1:1" x14ac:dyDescent="0.2">
      <c r="A222" s="2" t="s">
        <v>200</v>
      </c>
    </row>
    <row r="223" spans="1:1" x14ac:dyDescent="0.2">
      <c r="A223" s="2" t="s">
        <v>201</v>
      </c>
    </row>
    <row r="224" spans="1:1" s="1" customFormat="1" x14ac:dyDescent="0.2"/>
    <row r="225" spans="1:2" x14ac:dyDescent="0.2">
      <c r="A225" s="1" t="s">
        <v>202</v>
      </c>
      <c r="B225" s="1"/>
    </row>
    <row r="226" spans="1:2" x14ac:dyDescent="0.2">
      <c r="A226" s="2" t="s">
        <v>203</v>
      </c>
    </row>
    <row r="227" spans="1:2" x14ac:dyDescent="0.2">
      <c r="A227" s="2" t="s">
        <v>204</v>
      </c>
    </row>
    <row r="228" spans="1:2" x14ac:dyDescent="0.2">
      <c r="A228" s="2" t="s">
        <v>205</v>
      </c>
    </row>
    <row r="229" spans="1:2" x14ac:dyDescent="0.2">
      <c r="A229" s="2" t="s">
        <v>206</v>
      </c>
    </row>
    <row r="230" spans="1:2" x14ac:dyDescent="0.2">
      <c r="A230" s="2" t="s">
        <v>207</v>
      </c>
    </row>
    <row r="231" spans="1:2" x14ac:dyDescent="0.2">
      <c r="A231" s="2" t="s">
        <v>208</v>
      </c>
    </row>
    <row r="232" spans="1:2" x14ac:dyDescent="0.2">
      <c r="A232" s="2" t="s">
        <v>209</v>
      </c>
    </row>
    <row r="233" spans="1:2" x14ac:dyDescent="0.2">
      <c r="A233" s="2" t="s">
        <v>210</v>
      </c>
    </row>
    <row r="234" spans="1:2" x14ac:dyDescent="0.2">
      <c r="A234" s="2" t="s">
        <v>211</v>
      </c>
    </row>
    <row r="235" spans="1:2" x14ac:dyDescent="0.2">
      <c r="A235" s="2" t="s">
        <v>212</v>
      </c>
    </row>
    <row r="236" spans="1:2" x14ac:dyDescent="0.2">
      <c r="A236" s="2" t="s">
        <v>213</v>
      </c>
    </row>
    <row r="237" spans="1:2" x14ac:dyDescent="0.2">
      <c r="A237" s="2" t="s">
        <v>214</v>
      </c>
    </row>
    <row r="238" spans="1:2" x14ac:dyDescent="0.2">
      <c r="A238" s="2" t="s">
        <v>215</v>
      </c>
    </row>
    <row r="239" spans="1:2" x14ac:dyDescent="0.2">
      <c r="A239" s="2" t="s">
        <v>216</v>
      </c>
    </row>
    <row r="241" spans="1:2" x14ac:dyDescent="0.2">
      <c r="A241" s="1" t="s">
        <v>217</v>
      </c>
      <c r="B241" s="1"/>
    </row>
    <row r="242" spans="1:2" x14ac:dyDescent="0.2">
      <c r="A242" s="2" t="s">
        <v>218</v>
      </c>
    </row>
    <row r="243" spans="1:2" x14ac:dyDescent="0.2">
      <c r="A243" s="2" t="s">
        <v>219</v>
      </c>
    </row>
    <row r="244" spans="1:2" x14ac:dyDescent="0.2">
      <c r="A244" s="2" t="s">
        <v>220</v>
      </c>
    </row>
    <row r="245" spans="1:2" x14ac:dyDescent="0.2">
      <c r="A245" s="2" t="s">
        <v>221</v>
      </c>
    </row>
    <row r="246" spans="1:2" x14ac:dyDescent="0.2">
      <c r="A246" s="2" t="s">
        <v>222</v>
      </c>
    </row>
    <row r="247" spans="1:2" x14ac:dyDescent="0.2">
      <c r="A247" s="2" t="s">
        <v>223</v>
      </c>
    </row>
    <row r="248" spans="1:2" x14ac:dyDescent="0.2">
      <c r="A248" s="2" t="s">
        <v>224</v>
      </c>
    </row>
    <row r="249" spans="1:2" x14ac:dyDescent="0.2">
      <c r="A249" s="2" t="s">
        <v>225</v>
      </c>
    </row>
    <row r="252" spans="1:2" x14ac:dyDescent="0.2">
      <c r="A252" s="1" t="s">
        <v>226</v>
      </c>
      <c r="B252" s="1"/>
    </row>
    <row r="253" spans="1:2" x14ac:dyDescent="0.2">
      <c r="A253" s="2" t="s">
        <v>227</v>
      </c>
    </row>
    <row r="254" spans="1:2" x14ac:dyDescent="0.2">
      <c r="A254" s="2" t="s">
        <v>228</v>
      </c>
    </row>
    <row r="255" spans="1:2" x14ac:dyDescent="0.2">
      <c r="A255" s="2" t="s">
        <v>229</v>
      </c>
    </row>
    <row r="256" spans="1:2" x14ac:dyDescent="0.2">
      <c r="A256" s="2" t="s">
        <v>230</v>
      </c>
    </row>
    <row r="257" spans="1:2" x14ac:dyDescent="0.2">
      <c r="A257" s="2" t="s">
        <v>231</v>
      </c>
    </row>
    <row r="258" spans="1:2" x14ac:dyDescent="0.2">
      <c r="A258" s="2" t="s">
        <v>232</v>
      </c>
    </row>
    <row r="259" spans="1:2" x14ac:dyDescent="0.2">
      <c r="A259" s="2" t="s">
        <v>233</v>
      </c>
    </row>
    <row r="260" spans="1:2" x14ac:dyDescent="0.2">
      <c r="A260" s="2" t="s">
        <v>234</v>
      </c>
    </row>
    <row r="261" spans="1:2" x14ac:dyDescent="0.2">
      <c r="A261" s="2" t="s">
        <v>235</v>
      </c>
    </row>
    <row r="262" spans="1:2" x14ac:dyDescent="0.2">
      <c r="A262" s="2" t="s">
        <v>236</v>
      </c>
    </row>
    <row r="263" spans="1:2" x14ac:dyDescent="0.2">
      <c r="A263" s="2" t="s">
        <v>237</v>
      </c>
    </row>
    <row r="266" spans="1:2" x14ac:dyDescent="0.2">
      <c r="A266" s="1" t="s">
        <v>238</v>
      </c>
      <c r="B266" s="1"/>
    </row>
    <row r="267" spans="1:2" x14ac:dyDescent="0.2">
      <c r="A267" s="12" t="s">
        <v>239</v>
      </c>
      <c r="B267" s="12"/>
    </row>
    <row r="268" spans="1:2" x14ac:dyDescent="0.2">
      <c r="A268" s="2" t="s">
        <v>240</v>
      </c>
    </row>
    <row r="269" spans="1:2" x14ac:dyDescent="0.2">
      <c r="A269" s="2" t="s">
        <v>241</v>
      </c>
    </row>
    <row r="270" spans="1:2" x14ac:dyDescent="0.2">
      <c r="A270" s="2" t="s">
        <v>242</v>
      </c>
    </row>
    <row r="271" spans="1:2" x14ac:dyDescent="0.2">
      <c r="A271" s="2" t="s">
        <v>243</v>
      </c>
    </row>
    <row r="272" spans="1:2" x14ac:dyDescent="0.2">
      <c r="A272" s="2" t="s">
        <v>244</v>
      </c>
    </row>
    <row r="273" spans="1:1" x14ac:dyDescent="0.2">
      <c r="A273" s="2" t="s">
        <v>245</v>
      </c>
    </row>
    <row r="274" spans="1:1" x14ac:dyDescent="0.2">
      <c r="A274" s="2" t="s">
        <v>246</v>
      </c>
    </row>
    <row r="275" spans="1:1" x14ac:dyDescent="0.2">
      <c r="A275" s="2" t="s">
        <v>247</v>
      </c>
    </row>
    <row r="276" spans="1:1" x14ac:dyDescent="0.2">
      <c r="A276" s="2" t="s">
        <v>248</v>
      </c>
    </row>
    <row r="277" spans="1:1" x14ac:dyDescent="0.2">
      <c r="A277" s="2" t="s">
        <v>249</v>
      </c>
    </row>
    <row r="278" spans="1:1" x14ac:dyDescent="0.2">
      <c r="A278" s="2" t="s">
        <v>250</v>
      </c>
    </row>
    <row r="279" spans="1:1" x14ac:dyDescent="0.2">
      <c r="A279" s="2" t="s">
        <v>251</v>
      </c>
    </row>
  </sheetData>
  <pageMargins left="0.7" right="0.7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67C9-4271-C24E-B04A-0843ED8860F9}">
  <dimension ref="A2:AQ274"/>
  <sheetViews>
    <sheetView zoomScale="70" zoomScaleNormal="70" workbookViewId="0">
      <pane xSplit="1" topLeftCell="B1" activePane="topRight" state="frozen"/>
      <selection activeCell="A94" sqref="A94"/>
      <selection pane="topRight" activeCell="C26" sqref="C26"/>
    </sheetView>
  </sheetViews>
  <sheetFormatPr baseColWidth="10" defaultColWidth="9.1640625" defaultRowHeight="15" x14ac:dyDescent="0.2"/>
  <cols>
    <col min="1" max="1" width="44" style="2" bestFit="1" customWidth="1"/>
    <col min="2" max="2" width="23.33203125" style="2" customWidth="1"/>
    <col min="3" max="3" width="17.33203125" style="2" customWidth="1"/>
    <col min="4" max="5" width="7.6640625" style="2" customWidth="1"/>
    <col min="6" max="6" width="17.83203125" style="2" customWidth="1"/>
    <col min="7" max="7" width="15.5" style="2" customWidth="1"/>
    <col min="8" max="8" width="17.83203125" style="2" customWidth="1"/>
    <col min="9" max="9" width="15.83203125" style="2" customWidth="1"/>
    <col min="10" max="12" width="15.1640625" style="2" customWidth="1"/>
    <col min="13" max="13" width="12.5" style="2" bestFit="1" customWidth="1"/>
    <col min="14" max="14" width="11.6640625" style="2" bestFit="1" customWidth="1"/>
    <col min="15" max="15" width="12.5" style="2" bestFit="1" customWidth="1"/>
    <col min="16" max="16" width="11.1640625" style="2" bestFit="1" customWidth="1"/>
    <col min="17" max="17" width="12.6640625" style="2" bestFit="1" customWidth="1"/>
    <col min="18" max="18" width="11.5" style="2" bestFit="1" customWidth="1"/>
    <col min="19" max="19" width="12.6640625" style="2" bestFit="1" customWidth="1"/>
    <col min="20" max="20" width="11.6640625" style="2" bestFit="1" customWidth="1"/>
    <col min="21" max="21" width="11.5" style="2" bestFit="1" customWidth="1"/>
    <col min="22" max="23" width="12.5" style="2" bestFit="1" customWidth="1"/>
    <col min="24" max="25" width="12.33203125" style="2" bestFit="1" customWidth="1"/>
    <col min="26" max="26" width="11" style="2" bestFit="1" customWidth="1"/>
    <col min="27" max="28" width="9.6640625" style="2" bestFit="1" customWidth="1"/>
    <col min="29" max="29" width="9.5" style="2" bestFit="1" customWidth="1"/>
    <col min="30" max="30" width="9.33203125" style="2" bestFit="1" customWidth="1"/>
    <col min="31" max="31" width="9.5" style="2" bestFit="1" customWidth="1"/>
    <col min="32" max="32" width="11" style="2" bestFit="1" customWidth="1"/>
    <col min="33" max="34" width="9.6640625" style="2" bestFit="1" customWidth="1"/>
    <col min="35" max="35" width="9.5" style="2" bestFit="1" customWidth="1"/>
    <col min="36" max="36" width="9.6640625" style="2" bestFit="1" customWidth="1"/>
    <col min="37" max="37" width="11" style="2" bestFit="1" customWidth="1"/>
    <col min="38" max="38" width="11.5" style="2" bestFit="1" customWidth="1"/>
    <col min="39" max="39" width="13.5" style="2" bestFit="1" customWidth="1"/>
    <col min="40" max="40" width="12.33203125" style="2" bestFit="1" customWidth="1"/>
    <col min="41" max="41" width="9.6640625" style="2" bestFit="1" customWidth="1"/>
    <col min="42" max="42" width="11" style="2" bestFit="1" customWidth="1"/>
    <col min="43" max="256" width="9.1640625" style="2"/>
    <col min="257" max="257" width="44" style="2" bestFit="1" customWidth="1"/>
    <col min="258" max="258" width="23.33203125" style="2" customWidth="1"/>
    <col min="259" max="259" width="17.33203125" style="2" customWidth="1"/>
    <col min="260" max="261" width="7.6640625" style="2" customWidth="1"/>
    <col min="262" max="262" width="17.83203125" style="2" customWidth="1"/>
    <col min="263" max="263" width="15.5" style="2" customWidth="1"/>
    <col min="264" max="264" width="17.83203125" style="2" customWidth="1"/>
    <col min="265" max="265" width="15.83203125" style="2" customWidth="1"/>
    <col min="266" max="268" width="15.1640625" style="2" customWidth="1"/>
    <col min="269" max="269" width="12.5" style="2" bestFit="1" customWidth="1"/>
    <col min="270" max="270" width="11.6640625" style="2" bestFit="1" customWidth="1"/>
    <col min="271" max="271" width="12.5" style="2" bestFit="1" customWidth="1"/>
    <col min="272" max="272" width="11.1640625" style="2" bestFit="1" customWidth="1"/>
    <col min="273" max="273" width="12.6640625" style="2" bestFit="1" customWidth="1"/>
    <col min="274" max="274" width="11.5" style="2" bestFit="1" customWidth="1"/>
    <col min="275" max="275" width="12.6640625" style="2" bestFit="1" customWidth="1"/>
    <col min="276" max="276" width="11.6640625" style="2" bestFit="1" customWidth="1"/>
    <col min="277" max="277" width="11.5" style="2" bestFit="1" customWidth="1"/>
    <col min="278" max="279" width="12.5" style="2" bestFit="1" customWidth="1"/>
    <col min="280" max="281" width="12.33203125" style="2" bestFit="1" customWidth="1"/>
    <col min="282" max="282" width="11" style="2" bestFit="1" customWidth="1"/>
    <col min="283" max="284" width="9.6640625" style="2" bestFit="1" customWidth="1"/>
    <col min="285" max="285" width="9.5" style="2" bestFit="1" customWidth="1"/>
    <col min="286" max="286" width="9.33203125" style="2" bestFit="1" customWidth="1"/>
    <col min="287" max="287" width="9.5" style="2" bestFit="1" customWidth="1"/>
    <col min="288" max="288" width="11" style="2" bestFit="1" customWidth="1"/>
    <col min="289" max="290" width="9.6640625" style="2" bestFit="1" customWidth="1"/>
    <col min="291" max="291" width="9.5" style="2" bestFit="1" customWidth="1"/>
    <col min="292" max="292" width="9.6640625" style="2" bestFit="1" customWidth="1"/>
    <col min="293" max="293" width="11" style="2" bestFit="1" customWidth="1"/>
    <col min="294" max="294" width="11.5" style="2" bestFit="1" customWidth="1"/>
    <col min="295" max="295" width="13.5" style="2" bestFit="1" customWidth="1"/>
    <col min="296" max="296" width="12.33203125" style="2" bestFit="1" customWidth="1"/>
    <col min="297" max="297" width="9.6640625" style="2" bestFit="1" customWidth="1"/>
    <col min="298" max="298" width="11" style="2" bestFit="1" customWidth="1"/>
    <col min="299" max="512" width="9.1640625" style="2"/>
    <col min="513" max="513" width="44" style="2" bestFit="1" customWidth="1"/>
    <col min="514" max="514" width="23.33203125" style="2" customWidth="1"/>
    <col min="515" max="515" width="17.33203125" style="2" customWidth="1"/>
    <col min="516" max="517" width="7.6640625" style="2" customWidth="1"/>
    <col min="518" max="518" width="17.83203125" style="2" customWidth="1"/>
    <col min="519" max="519" width="15.5" style="2" customWidth="1"/>
    <col min="520" max="520" width="17.83203125" style="2" customWidth="1"/>
    <col min="521" max="521" width="15.83203125" style="2" customWidth="1"/>
    <col min="522" max="524" width="15.1640625" style="2" customWidth="1"/>
    <col min="525" max="525" width="12.5" style="2" bestFit="1" customWidth="1"/>
    <col min="526" max="526" width="11.6640625" style="2" bestFit="1" customWidth="1"/>
    <col min="527" max="527" width="12.5" style="2" bestFit="1" customWidth="1"/>
    <col min="528" max="528" width="11.1640625" style="2" bestFit="1" customWidth="1"/>
    <col min="529" max="529" width="12.6640625" style="2" bestFit="1" customWidth="1"/>
    <col min="530" max="530" width="11.5" style="2" bestFit="1" customWidth="1"/>
    <col min="531" max="531" width="12.6640625" style="2" bestFit="1" customWidth="1"/>
    <col min="532" max="532" width="11.6640625" style="2" bestFit="1" customWidth="1"/>
    <col min="533" max="533" width="11.5" style="2" bestFit="1" customWidth="1"/>
    <col min="534" max="535" width="12.5" style="2" bestFit="1" customWidth="1"/>
    <col min="536" max="537" width="12.33203125" style="2" bestFit="1" customWidth="1"/>
    <col min="538" max="538" width="11" style="2" bestFit="1" customWidth="1"/>
    <col min="539" max="540" width="9.6640625" style="2" bestFit="1" customWidth="1"/>
    <col min="541" max="541" width="9.5" style="2" bestFit="1" customWidth="1"/>
    <col min="542" max="542" width="9.33203125" style="2" bestFit="1" customWidth="1"/>
    <col min="543" max="543" width="9.5" style="2" bestFit="1" customWidth="1"/>
    <col min="544" max="544" width="11" style="2" bestFit="1" customWidth="1"/>
    <col min="545" max="546" width="9.6640625" style="2" bestFit="1" customWidth="1"/>
    <col min="547" max="547" width="9.5" style="2" bestFit="1" customWidth="1"/>
    <col min="548" max="548" width="9.6640625" style="2" bestFit="1" customWidth="1"/>
    <col min="549" max="549" width="11" style="2" bestFit="1" customWidth="1"/>
    <col min="550" max="550" width="11.5" style="2" bestFit="1" customWidth="1"/>
    <col min="551" max="551" width="13.5" style="2" bestFit="1" customWidth="1"/>
    <col min="552" max="552" width="12.33203125" style="2" bestFit="1" customWidth="1"/>
    <col min="553" max="553" width="9.6640625" style="2" bestFit="1" customWidth="1"/>
    <col min="554" max="554" width="11" style="2" bestFit="1" customWidth="1"/>
    <col min="555" max="768" width="9.1640625" style="2"/>
    <col min="769" max="769" width="44" style="2" bestFit="1" customWidth="1"/>
    <col min="770" max="770" width="23.33203125" style="2" customWidth="1"/>
    <col min="771" max="771" width="17.33203125" style="2" customWidth="1"/>
    <col min="772" max="773" width="7.6640625" style="2" customWidth="1"/>
    <col min="774" max="774" width="17.83203125" style="2" customWidth="1"/>
    <col min="775" max="775" width="15.5" style="2" customWidth="1"/>
    <col min="776" max="776" width="17.83203125" style="2" customWidth="1"/>
    <col min="777" max="777" width="15.83203125" style="2" customWidth="1"/>
    <col min="778" max="780" width="15.1640625" style="2" customWidth="1"/>
    <col min="781" max="781" width="12.5" style="2" bestFit="1" customWidth="1"/>
    <col min="782" max="782" width="11.6640625" style="2" bestFit="1" customWidth="1"/>
    <col min="783" max="783" width="12.5" style="2" bestFit="1" customWidth="1"/>
    <col min="784" max="784" width="11.1640625" style="2" bestFit="1" customWidth="1"/>
    <col min="785" max="785" width="12.6640625" style="2" bestFit="1" customWidth="1"/>
    <col min="786" max="786" width="11.5" style="2" bestFit="1" customWidth="1"/>
    <col min="787" max="787" width="12.6640625" style="2" bestFit="1" customWidth="1"/>
    <col min="788" max="788" width="11.6640625" style="2" bestFit="1" customWidth="1"/>
    <col min="789" max="789" width="11.5" style="2" bestFit="1" customWidth="1"/>
    <col min="790" max="791" width="12.5" style="2" bestFit="1" customWidth="1"/>
    <col min="792" max="793" width="12.33203125" style="2" bestFit="1" customWidth="1"/>
    <col min="794" max="794" width="11" style="2" bestFit="1" customWidth="1"/>
    <col min="795" max="796" width="9.6640625" style="2" bestFit="1" customWidth="1"/>
    <col min="797" max="797" width="9.5" style="2" bestFit="1" customWidth="1"/>
    <col min="798" max="798" width="9.33203125" style="2" bestFit="1" customWidth="1"/>
    <col min="799" max="799" width="9.5" style="2" bestFit="1" customWidth="1"/>
    <col min="800" max="800" width="11" style="2" bestFit="1" customWidth="1"/>
    <col min="801" max="802" width="9.6640625" style="2" bestFit="1" customWidth="1"/>
    <col min="803" max="803" width="9.5" style="2" bestFit="1" customWidth="1"/>
    <col min="804" max="804" width="9.6640625" style="2" bestFit="1" customWidth="1"/>
    <col min="805" max="805" width="11" style="2" bestFit="1" customWidth="1"/>
    <col min="806" max="806" width="11.5" style="2" bestFit="1" customWidth="1"/>
    <col min="807" max="807" width="13.5" style="2" bestFit="1" customWidth="1"/>
    <col min="808" max="808" width="12.33203125" style="2" bestFit="1" customWidth="1"/>
    <col min="809" max="809" width="9.6640625" style="2" bestFit="1" customWidth="1"/>
    <col min="810" max="810" width="11" style="2" bestFit="1" customWidth="1"/>
    <col min="811" max="1024" width="9.1640625" style="2"/>
    <col min="1025" max="1025" width="44" style="2" bestFit="1" customWidth="1"/>
    <col min="1026" max="1026" width="23.33203125" style="2" customWidth="1"/>
    <col min="1027" max="1027" width="17.33203125" style="2" customWidth="1"/>
    <col min="1028" max="1029" width="7.6640625" style="2" customWidth="1"/>
    <col min="1030" max="1030" width="17.83203125" style="2" customWidth="1"/>
    <col min="1031" max="1031" width="15.5" style="2" customWidth="1"/>
    <col min="1032" max="1032" width="17.83203125" style="2" customWidth="1"/>
    <col min="1033" max="1033" width="15.83203125" style="2" customWidth="1"/>
    <col min="1034" max="1036" width="15.1640625" style="2" customWidth="1"/>
    <col min="1037" max="1037" width="12.5" style="2" bestFit="1" customWidth="1"/>
    <col min="1038" max="1038" width="11.6640625" style="2" bestFit="1" customWidth="1"/>
    <col min="1039" max="1039" width="12.5" style="2" bestFit="1" customWidth="1"/>
    <col min="1040" max="1040" width="11.1640625" style="2" bestFit="1" customWidth="1"/>
    <col min="1041" max="1041" width="12.6640625" style="2" bestFit="1" customWidth="1"/>
    <col min="1042" max="1042" width="11.5" style="2" bestFit="1" customWidth="1"/>
    <col min="1043" max="1043" width="12.6640625" style="2" bestFit="1" customWidth="1"/>
    <col min="1044" max="1044" width="11.6640625" style="2" bestFit="1" customWidth="1"/>
    <col min="1045" max="1045" width="11.5" style="2" bestFit="1" customWidth="1"/>
    <col min="1046" max="1047" width="12.5" style="2" bestFit="1" customWidth="1"/>
    <col min="1048" max="1049" width="12.33203125" style="2" bestFit="1" customWidth="1"/>
    <col min="1050" max="1050" width="11" style="2" bestFit="1" customWidth="1"/>
    <col min="1051" max="1052" width="9.6640625" style="2" bestFit="1" customWidth="1"/>
    <col min="1053" max="1053" width="9.5" style="2" bestFit="1" customWidth="1"/>
    <col min="1054" max="1054" width="9.33203125" style="2" bestFit="1" customWidth="1"/>
    <col min="1055" max="1055" width="9.5" style="2" bestFit="1" customWidth="1"/>
    <col min="1056" max="1056" width="11" style="2" bestFit="1" customWidth="1"/>
    <col min="1057" max="1058" width="9.6640625" style="2" bestFit="1" customWidth="1"/>
    <col min="1059" max="1059" width="9.5" style="2" bestFit="1" customWidth="1"/>
    <col min="1060" max="1060" width="9.6640625" style="2" bestFit="1" customWidth="1"/>
    <col min="1061" max="1061" width="11" style="2" bestFit="1" customWidth="1"/>
    <col min="1062" max="1062" width="11.5" style="2" bestFit="1" customWidth="1"/>
    <col min="1063" max="1063" width="13.5" style="2" bestFit="1" customWidth="1"/>
    <col min="1064" max="1064" width="12.33203125" style="2" bestFit="1" customWidth="1"/>
    <col min="1065" max="1065" width="9.6640625" style="2" bestFit="1" customWidth="1"/>
    <col min="1066" max="1066" width="11" style="2" bestFit="1" customWidth="1"/>
    <col min="1067" max="1280" width="9.1640625" style="2"/>
    <col min="1281" max="1281" width="44" style="2" bestFit="1" customWidth="1"/>
    <col min="1282" max="1282" width="23.33203125" style="2" customWidth="1"/>
    <col min="1283" max="1283" width="17.33203125" style="2" customWidth="1"/>
    <col min="1284" max="1285" width="7.6640625" style="2" customWidth="1"/>
    <col min="1286" max="1286" width="17.83203125" style="2" customWidth="1"/>
    <col min="1287" max="1287" width="15.5" style="2" customWidth="1"/>
    <col min="1288" max="1288" width="17.83203125" style="2" customWidth="1"/>
    <col min="1289" max="1289" width="15.83203125" style="2" customWidth="1"/>
    <col min="1290" max="1292" width="15.1640625" style="2" customWidth="1"/>
    <col min="1293" max="1293" width="12.5" style="2" bestFit="1" customWidth="1"/>
    <col min="1294" max="1294" width="11.6640625" style="2" bestFit="1" customWidth="1"/>
    <col min="1295" max="1295" width="12.5" style="2" bestFit="1" customWidth="1"/>
    <col min="1296" max="1296" width="11.1640625" style="2" bestFit="1" customWidth="1"/>
    <col min="1297" max="1297" width="12.6640625" style="2" bestFit="1" customWidth="1"/>
    <col min="1298" max="1298" width="11.5" style="2" bestFit="1" customWidth="1"/>
    <col min="1299" max="1299" width="12.6640625" style="2" bestFit="1" customWidth="1"/>
    <col min="1300" max="1300" width="11.6640625" style="2" bestFit="1" customWidth="1"/>
    <col min="1301" max="1301" width="11.5" style="2" bestFit="1" customWidth="1"/>
    <col min="1302" max="1303" width="12.5" style="2" bestFit="1" customWidth="1"/>
    <col min="1304" max="1305" width="12.33203125" style="2" bestFit="1" customWidth="1"/>
    <col min="1306" max="1306" width="11" style="2" bestFit="1" customWidth="1"/>
    <col min="1307" max="1308" width="9.6640625" style="2" bestFit="1" customWidth="1"/>
    <col min="1309" max="1309" width="9.5" style="2" bestFit="1" customWidth="1"/>
    <col min="1310" max="1310" width="9.33203125" style="2" bestFit="1" customWidth="1"/>
    <col min="1311" max="1311" width="9.5" style="2" bestFit="1" customWidth="1"/>
    <col min="1312" max="1312" width="11" style="2" bestFit="1" customWidth="1"/>
    <col min="1313" max="1314" width="9.6640625" style="2" bestFit="1" customWidth="1"/>
    <col min="1315" max="1315" width="9.5" style="2" bestFit="1" customWidth="1"/>
    <col min="1316" max="1316" width="9.6640625" style="2" bestFit="1" customWidth="1"/>
    <col min="1317" max="1317" width="11" style="2" bestFit="1" customWidth="1"/>
    <col min="1318" max="1318" width="11.5" style="2" bestFit="1" customWidth="1"/>
    <col min="1319" max="1319" width="13.5" style="2" bestFit="1" customWidth="1"/>
    <col min="1320" max="1320" width="12.33203125" style="2" bestFit="1" customWidth="1"/>
    <col min="1321" max="1321" width="9.6640625" style="2" bestFit="1" customWidth="1"/>
    <col min="1322" max="1322" width="11" style="2" bestFit="1" customWidth="1"/>
    <col min="1323" max="1536" width="9.1640625" style="2"/>
    <col min="1537" max="1537" width="44" style="2" bestFit="1" customWidth="1"/>
    <col min="1538" max="1538" width="23.33203125" style="2" customWidth="1"/>
    <col min="1539" max="1539" width="17.33203125" style="2" customWidth="1"/>
    <col min="1540" max="1541" width="7.6640625" style="2" customWidth="1"/>
    <col min="1542" max="1542" width="17.83203125" style="2" customWidth="1"/>
    <col min="1543" max="1543" width="15.5" style="2" customWidth="1"/>
    <col min="1544" max="1544" width="17.83203125" style="2" customWidth="1"/>
    <col min="1545" max="1545" width="15.83203125" style="2" customWidth="1"/>
    <col min="1546" max="1548" width="15.1640625" style="2" customWidth="1"/>
    <col min="1549" max="1549" width="12.5" style="2" bestFit="1" customWidth="1"/>
    <col min="1550" max="1550" width="11.6640625" style="2" bestFit="1" customWidth="1"/>
    <col min="1551" max="1551" width="12.5" style="2" bestFit="1" customWidth="1"/>
    <col min="1552" max="1552" width="11.1640625" style="2" bestFit="1" customWidth="1"/>
    <col min="1553" max="1553" width="12.6640625" style="2" bestFit="1" customWidth="1"/>
    <col min="1554" max="1554" width="11.5" style="2" bestFit="1" customWidth="1"/>
    <col min="1555" max="1555" width="12.6640625" style="2" bestFit="1" customWidth="1"/>
    <col min="1556" max="1556" width="11.6640625" style="2" bestFit="1" customWidth="1"/>
    <col min="1557" max="1557" width="11.5" style="2" bestFit="1" customWidth="1"/>
    <col min="1558" max="1559" width="12.5" style="2" bestFit="1" customWidth="1"/>
    <col min="1560" max="1561" width="12.33203125" style="2" bestFit="1" customWidth="1"/>
    <col min="1562" max="1562" width="11" style="2" bestFit="1" customWidth="1"/>
    <col min="1563" max="1564" width="9.6640625" style="2" bestFit="1" customWidth="1"/>
    <col min="1565" max="1565" width="9.5" style="2" bestFit="1" customWidth="1"/>
    <col min="1566" max="1566" width="9.33203125" style="2" bestFit="1" customWidth="1"/>
    <col min="1567" max="1567" width="9.5" style="2" bestFit="1" customWidth="1"/>
    <col min="1568" max="1568" width="11" style="2" bestFit="1" customWidth="1"/>
    <col min="1569" max="1570" width="9.6640625" style="2" bestFit="1" customWidth="1"/>
    <col min="1571" max="1571" width="9.5" style="2" bestFit="1" customWidth="1"/>
    <col min="1572" max="1572" width="9.6640625" style="2" bestFit="1" customWidth="1"/>
    <col min="1573" max="1573" width="11" style="2" bestFit="1" customWidth="1"/>
    <col min="1574" max="1574" width="11.5" style="2" bestFit="1" customWidth="1"/>
    <col min="1575" max="1575" width="13.5" style="2" bestFit="1" customWidth="1"/>
    <col min="1576" max="1576" width="12.33203125" style="2" bestFit="1" customWidth="1"/>
    <col min="1577" max="1577" width="9.6640625" style="2" bestFit="1" customWidth="1"/>
    <col min="1578" max="1578" width="11" style="2" bestFit="1" customWidth="1"/>
    <col min="1579" max="1792" width="9.1640625" style="2"/>
    <col min="1793" max="1793" width="44" style="2" bestFit="1" customWidth="1"/>
    <col min="1794" max="1794" width="23.33203125" style="2" customWidth="1"/>
    <col min="1795" max="1795" width="17.33203125" style="2" customWidth="1"/>
    <col min="1796" max="1797" width="7.6640625" style="2" customWidth="1"/>
    <col min="1798" max="1798" width="17.83203125" style="2" customWidth="1"/>
    <col min="1799" max="1799" width="15.5" style="2" customWidth="1"/>
    <col min="1800" max="1800" width="17.83203125" style="2" customWidth="1"/>
    <col min="1801" max="1801" width="15.83203125" style="2" customWidth="1"/>
    <col min="1802" max="1804" width="15.1640625" style="2" customWidth="1"/>
    <col min="1805" max="1805" width="12.5" style="2" bestFit="1" customWidth="1"/>
    <col min="1806" max="1806" width="11.6640625" style="2" bestFit="1" customWidth="1"/>
    <col min="1807" max="1807" width="12.5" style="2" bestFit="1" customWidth="1"/>
    <col min="1808" max="1808" width="11.1640625" style="2" bestFit="1" customWidth="1"/>
    <col min="1809" max="1809" width="12.6640625" style="2" bestFit="1" customWidth="1"/>
    <col min="1810" max="1810" width="11.5" style="2" bestFit="1" customWidth="1"/>
    <col min="1811" max="1811" width="12.6640625" style="2" bestFit="1" customWidth="1"/>
    <col min="1812" max="1812" width="11.6640625" style="2" bestFit="1" customWidth="1"/>
    <col min="1813" max="1813" width="11.5" style="2" bestFit="1" customWidth="1"/>
    <col min="1814" max="1815" width="12.5" style="2" bestFit="1" customWidth="1"/>
    <col min="1816" max="1817" width="12.33203125" style="2" bestFit="1" customWidth="1"/>
    <col min="1818" max="1818" width="11" style="2" bestFit="1" customWidth="1"/>
    <col min="1819" max="1820" width="9.6640625" style="2" bestFit="1" customWidth="1"/>
    <col min="1821" max="1821" width="9.5" style="2" bestFit="1" customWidth="1"/>
    <col min="1822" max="1822" width="9.33203125" style="2" bestFit="1" customWidth="1"/>
    <col min="1823" max="1823" width="9.5" style="2" bestFit="1" customWidth="1"/>
    <col min="1824" max="1824" width="11" style="2" bestFit="1" customWidth="1"/>
    <col min="1825" max="1826" width="9.6640625" style="2" bestFit="1" customWidth="1"/>
    <col min="1827" max="1827" width="9.5" style="2" bestFit="1" customWidth="1"/>
    <col min="1828" max="1828" width="9.6640625" style="2" bestFit="1" customWidth="1"/>
    <col min="1829" max="1829" width="11" style="2" bestFit="1" customWidth="1"/>
    <col min="1830" max="1830" width="11.5" style="2" bestFit="1" customWidth="1"/>
    <col min="1831" max="1831" width="13.5" style="2" bestFit="1" customWidth="1"/>
    <col min="1832" max="1832" width="12.33203125" style="2" bestFit="1" customWidth="1"/>
    <col min="1833" max="1833" width="9.6640625" style="2" bestFit="1" customWidth="1"/>
    <col min="1834" max="1834" width="11" style="2" bestFit="1" customWidth="1"/>
    <col min="1835" max="2048" width="9.1640625" style="2"/>
    <col min="2049" max="2049" width="44" style="2" bestFit="1" customWidth="1"/>
    <col min="2050" max="2050" width="23.33203125" style="2" customWidth="1"/>
    <col min="2051" max="2051" width="17.33203125" style="2" customWidth="1"/>
    <col min="2052" max="2053" width="7.6640625" style="2" customWidth="1"/>
    <col min="2054" max="2054" width="17.83203125" style="2" customWidth="1"/>
    <col min="2055" max="2055" width="15.5" style="2" customWidth="1"/>
    <col min="2056" max="2056" width="17.83203125" style="2" customWidth="1"/>
    <col min="2057" max="2057" width="15.83203125" style="2" customWidth="1"/>
    <col min="2058" max="2060" width="15.1640625" style="2" customWidth="1"/>
    <col min="2061" max="2061" width="12.5" style="2" bestFit="1" customWidth="1"/>
    <col min="2062" max="2062" width="11.6640625" style="2" bestFit="1" customWidth="1"/>
    <col min="2063" max="2063" width="12.5" style="2" bestFit="1" customWidth="1"/>
    <col min="2064" max="2064" width="11.1640625" style="2" bestFit="1" customWidth="1"/>
    <col min="2065" max="2065" width="12.6640625" style="2" bestFit="1" customWidth="1"/>
    <col min="2066" max="2066" width="11.5" style="2" bestFit="1" customWidth="1"/>
    <col min="2067" max="2067" width="12.6640625" style="2" bestFit="1" customWidth="1"/>
    <col min="2068" max="2068" width="11.6640625" style="2" bestFit="1" customWidth="1"/>
    <col min="2069" max="2069" width="11.5" style="2" bestFit="1" customWidth="1"/>
    <col min="2070" max="2071" width="12.5" style="2" bestFit="1" customWidth="1"/>
    <col min="2072" max="2073" width="12.33203125" style="2" bestFit="1" customWidth="1"/>
    <col min="2074" max="2074" width="11" style="2" bestFit="1" customWidth="1"/>
    <col min="2075" max="2076" width="9.6640625" style="2" bestFit="1" customWidth="1"/>
    <col min="2077" max="2077" width="9.5" style="2" bestFit="1" customWidth="1"/>
    <col min="2078" max="2078" width="9.33203125" style="2" bestFit="1" customWidth="1"/>
    <col min="2079" max="2079" width="9.5" style="2" bestFit="1" customWidth="1"/>
    <col min="2080" max="2080" width="11" style="2" bestFit="1" customWidth="1"/>
    <col min="2081" max="2082" width="9.6640625" style="2" bestFit="1" customWidth="1"/>
    <col min="2083" max="2083" width="9.5" style="2" bestFit="1" customWidth="1"/>
    <col min="2084" max="2084" width="9.6640625" style="2" bestFit="1" customWidth="1"/>
    <col min="2085" max="2085" width="11" style="2" bestFit="1" customWidth="1"/>
    <col min="2086" max="2086" width="11.5" style="2" bestFit="1" customWidth="1"/>
    <col min="2087" max="2087" width="13.5" style="2" bestFit="1" customWidth="1"/>
    <col min="2088" max="2088" width="12.33203125" style="2" bestFit="1" customWidth="1"/>
    <col min="2089" max="2089" width="9.6640625" style="2" bestFit="1" customWidth="1"/>
    <col min="2090" max="2090" width="11" style="2" bestFit="1" customWidth="1"/>
    <col min="2091" max="2304" width="9.1640625" style="2"/>
    <col min="2305" max="2305" width="44" style="2" bestFit="1" customWidth="1"/>
    <col min="2306" max="2306" width="23.33203125" style="2" customWidth="1"/>
    <col min="2307" max="2307" width="17.33203125" style="2" customWidth="1"/>
    <col min="2308" max="2309" width="7.6640625" style="2" customWidth="1"/>
    <col min="2310" max="2310" width="17.83203125" style="2" customWidth="1"/>
    <col min="2311" max="2311" width="15.5" style="2" customWidth="1"/>
    <col min="2312" max="2312" width="17.83203125" style="2" customWidth="1"/>
    <col min="2313" max="2313" width="15.83203125" style="2" customWidth="1"/>
    <col min="2314" max="2316" width="15.1640625" style="2" customWidth="1"/>
    <col min="2317" max="2317" width="12.5" style="2" bestFit="1" customWidth="1"/>
    <col min="2318" max="2318" width="11.6640625" style="2" bestFit="1" customWidth="1"/>
    <col min="2319" max="2319" width="12.5" style="2" bestFit="1" customWidth="1"/>
    <col min="2320" max="2320" width="11.1640625" style="2" bestFit="1" customWidth="1"/>
    <col min="2321" max="2321" width="12.6640625" style="2" bestFit="1" customWidth="1"/>
    <col min="2322" max="2322" width="11.5" style="2" bestFit="1" customWidth="1"/>
    <col min="2323" max="2323" width="12.6640625" style="2" bestFit="1" customWidth="1"/>
    <col min="2324" max="2324" width="11.6640625" style="2" bestFit="1" customWidth="1"/>
    <col min="2325" max="2325" width="11.5" style="2" bestFit="1" customWidth="1"/>
    <col min="2326" max="2327" width="12.5" style="2" bestFit="1" customWidth="1"/>
    <col min="2328" max="2329" width="12.33203125" style="2" bestFit="1" customWidth="1"/>
    <col min="2330" max="2330" width="11" style="2" bestFit="1" customWidth="1"/>
    <col min="2331" max="2332" width="9.6640625" style="2" bestFit="1" customWidth="1"/>
    <col min="2333" max="2333" width="9.5" style="2" bestFit="1" customWidth="1"/>
    <col min="2334" max="2334" width="9.33203125" style="2" bestFit="1" customWidth="1"/>
    <col min="2335" max="2335" width="9.5" style="2" bestFit="1" customWidth="1"/>
    <col min="2336" max="2336" width="11" style="2" bestFit="1" customWidth="1"/>
    <col min="2337" max="2338" width="9.6640625" style="2" bestFit="1" customWidth="1"/>
    <col min="2339" max="2339" width="9.5" style="2" bestFit="1" customWidth="1"/>
    <col min="2340" max="2340" width="9.6640625" style="2" bestFit="1" customWidth="1"/>
    <col min="2341" max="2341" width="11" style="2" bestFit="1" customWidth="1"/>
    <col min="2342" max="2342" width="11.5" style="2" bestFit="1" customWidth="1"/>
    <col min="2343" max="2343" width="13.5" style="2" bestFit="1" customWidth="1"/>
    <col min="2344" max="2344" width="12.33203125" style="2" bestFit="1" customWidth="1"/>
    <col min="2345" max="2345" width="9.6640625" style="2" bestFit="1" customWidth="1"/>
    <col min="2346" max="2346" width="11" style="2" bestFit="1" customWidth="1"/>
    <col min="2347" max="2560" width="9.1640625" style="2"/>
    <col min="2561" max="2561" width="44" style="2" bestFit="1" customWidth="1"/>
    <col min="2562" max="2562" width="23.33203125" style="2" customWidth="1"/>
    <col min="2563" max="2563" width="17.33203125" style="2" customWidth="1"/>
    <col min="2564" max="2565" width="7.6640625" style="2" customWidth="1"/>
    <col min="2566" max="2566" width="17.83203125" style="2" customWidth="1"/>
    <col min="2567" max="2567" width="15.5" style="2" customWidth="1"/>
    <col min="2568" max="2568" width="17.83203125" style="2" customWidth="1"/>
    <col min="2569" max="2569" width="15.83203125" style="2" customWidth="1"/>
    <col min="2570" max="2572" width="15.1640625" style="2" customWidth="1"/>
    <col min="2573" max="2573" width="12.5" style="2" bestFit="1" customWidth="1"/>
    <col min="2574" max="2574" width="11.6640625" style="2" bestFit="1" customWidth="1"/>
    <col min="2575" max="2575" width="12.5" style="2" bestFit="1" customWidth="1"/>
    <col min="2576" max="2576" width="11.1640625" style="2" bestFit="1" customWidth="1"/>
    <col min="2577" max="2577" width="12.6640625" style="2" bestFit="1" customWidth="1"/>
    <col min="2578" max="2578" width="11.5" style="2" bestFit="1" customWidth="1"/>
    <col min="2579" max="2579" width="12.6640625" style="2" bestFit="1" customWidth="1"/>
    <col min="2580" max="2580" width="11.6640625" style="2" bestFit="1" customWidth="1"/>
    <col min="2581" max="2581" width="11.5" style="2" bestFit="1" customWidth="1"/>
    <col min="2582" max="2583" width="12.5" style="2" bestFit="1" customWidth="1"/>
    <col min="2584" max="2585" width="12.33203125" style="2" bestFit="1" customWidth="1"/>
    <col min="2586" max="2586" width="11" style="2" bestFit="1" customWidth="1"/>
    <col min="2587" max="2588" width="9.6640625" style="2" bestFit="1" customWidth="1"/>
    <col min="2589" max="2589" width="9.5" style="2" bestFit="1" customWidth="1"/>
    <col min="2590" max="2590" width="9.33203125" style="2" bestFit="1" customWidth="1"/>
    <col min="2591" max="2591" width="9.5" style="2" bestFit="1" customWidth="1"/>
    <col min="2592" max="2592" width="11" style="2" bestFit="1" customWidth="1"/>
    <col min="2593" max="2594" width="9.6640625" style="2" bestFit="1" customWidth="1"/>
    <col min="2595" max="2595" width="9.5" style="2" bestFit="1" customWidth="1"/>
    <col min="2596" max="2596" width="9.6640625" style="2" bestFit="1" customWidth="1"/>
    <col min="2597" max="2597" width="11" style="2" bestFit="1" customWidth="1"/>
    <col min="2598" max="2598" width="11.5" style="2" bestFit="1" customWidth="1"/>
    <col min="2599" max="2599" width="13.5" style="2" bestFit="1" customWidth="1"/>
    <col min="2600" max="2600" width="12.33203125" style="2" bestFit="1" customWidth="1"/>
    <col min="2601" max="2601" width="9.6640625" style="2" bestFit="1" customWidth="1"/>
    <col min="2602" max="2602" width="11" style="2" bestFit="1" customWidth="1"/>
    <col min="2603" max="2816" width="9.1640625" style="2"/>
    <col min="2817" max="2817" width="44" style="2" bestFit="1" customWidth="1"/>
    <col min="2818" max="2818" width="23.33203125" style="2" customWidth="1"/>
    <col min="2819" max="2819" width="17.33203125" style="2" customWidth="1"/>
    <col min="2820" max="2821" width="7.6640625" style="2" customWidth="1"/>
    <col min="2822" max="2822" width="17.83203125" style="2" customWidth="1"/>
    <col min="2823" max="2823" width="15.5" style="2" customWidth="1"/>
    <col min="2824" max="2824" width="17.83203125" style="2" customWidth="1"/>
    <col min="2825" max="2825" width="15.83203125" style="2" customWidth="1"/>
    <col min="2826" max="2828" width="15.1640625" style="2" customWidth="1"/>
    <col min="2829" max="2829" width="12.5" style="2" bestFit="1" customWidth="1"/>
    <col min="2830" max="2830" width="11.6640625" style="2" bestFit="1" customWidth="1"/>
    <col min="2831" max="2831" width="12.5" style="2" bestFit="1" customWidth="1"/>
    <col min="2832" max="2832" width="11.1640625" style="2" bestFit="1" customWidth="1"/>
    <col min="2833" max="2833" width="12.6640625" style="2" bestFit="1" customWidth="1"/>
    <col min="2834" max="2834" width="11.5" style="2" bestFit="1" customWidth="1"/>
    <col min="2835" max="2835" width="12.6640625" style="2" bestFit="1" customWidth="1"/>
    <col min="2836" max="2836" width="11.6640625" style="2" bestFit="1" customWidth="1"/>
    <col min="2837" max="2837" width="11.5" style="2" bestFit="1" customWidth="1"/>
    <col min="2838" max="2839" width="12.5" style="2" bestFit="1" customWidth="1"/>
    <col min="2840" max="2841" width="12.33203125" style="2" bestFit="1" customWidth="1"/>
    <col min="2842" max="2842" width="11" style="2" bestFit="1" customWidth="1"/>
    <col min="2843" max="2844" width="9.6640625" style="2" bestFit="1" customWidth="1"/>
    <col min="2845" max="2845" width="9.5" style="2" bestFit="1" customWidth="1"/>
    <col min="2846" max="2846" width="9.33203125" style="2" bestFit="1" customWidth="1"/>
    <col min="2847" max="2847" width="9.5" style="2" bestFit="1" customWidth="1"/>
    <col min="2848" max="2848" width="11" style="2" bestFit="1" customWidth="1"/>
    <col min="2849" max="2850" width="9.6640625" style="2" bestFit="1" customWidth="1"/>
    <col min="2851" max="2851" width="9.5" style="2" bestFit="1" customWidth="1"/>
    <col min="2852" max="2852" width="9.6640625" style="2" bestFit="1" customWidth="1"/>
    <col min="2853" max="2853" width="11" style="2" bestFit="1" customWidth="1"/>
    <col min="2854" max="2854" width="11.5" style="2" bestFit="1" customWidth="1"/>
    <col min="2855" max="2855" width="13.5" style="2" bestFit="1" customWidth="1"/>
    <col min="2856" max="2856" width="12.33203125" style="2" bestFit="1" customWidth="1"/>
    <col min="2857" max="2857" width="9.6640625" style="2" bestFit="1" customWidth="1"/>
    <col min="2858" max="2858" width="11" style="2" bestFit="1" customWidth="1"/>
    <col min="2859" max="3072" width="9.1640625" style="2"/>
    <col min="3073" max="3073" width="44" style="2" bestFit="1" customWidth="1"/>
    <col min="3074" max="3074" width="23.33203125" style="2" customWidth="1"/>
    <col min="3075" max="3075" width="17.33203125" style="2" customWidth="1"/>
    <col min="3076" max="3077" width="7.6640625" style="2" customWidth="1"/>
    <col min="3078" max="3078" width="17.83203125" style="2" customWidth="1"/>
    <col min="3079" max="3079" width="15.5" style="2" customWidth="1"/>
    <col min="3080" max="3080" width="17.83203125" style="2" customWidth="1"/>
    <col min="3081" max="3081" width="15.83203125" style="2" customWidth="1"/>
    <col min="3082" max="3084" width="15.1640625" style="2" customWidth="1"/>
    <col min="3085" max="3085" width="12.5" style="2" bestFit="1" customWidth="1"/>
    <col min="3086" max="3086" width="11.6640625" style="2" bestFit="1" customWidth="1"/>
    <col min="3087" max="3087" width="12.5" style="2" bestFit="1" customWidth="1"/>
    <col min="3088" max="3088" width="11.1640625" style="2" bestFit="1" customWidth="1"/>
    <col min="3089" max="3089" width="12.6640625" style="2" bestFit="1" customWidth="1"/>
    <col min="3090" max="3090" width="11.5" style="2" bestFit="1" customWidth="1"/>
    <col min="3091" max="3091" width="12.6640625" style="2" bestFit="1" customWidth="1"/>
    <col min="3092" max="3092" width="11.6640625" style="2" bestFit="1" customWidth="1"/>
    <col min="3093" max="3093" width="11.5" style="2" bestFit="1" customWidth="1"/>
    <col min="3094" max="3095" width="12.5" style="2" bestFit="1" customWidth="1"/>
    <col min="3096" max="3097" width="12.33203125" style="2" bestFit="1" customWidth="1"/>
    <col min="3098" max="3098" width="11" style="2" bestFit="1" customWidth="1"/>
    <col min="3099" max="3100" width="9.6640625" style="2" bestFit="1" customWidth="1"/>
    <col min="3101" max="3101" width="9.5" style="2" bestFit="1" customWidth="1"/>
    <col min="3102" max="3102" width="9.33203125" style="2" bestFit="1" customWidth="1"/>
    <col min="3103" max="3103" width="9.5" style="2" bestFit="1" customWidth="1"/>
    <col min="3104" max="3104" width="11" style="2" bestFit="1" customWidth="1"/>
    <col min="3105" max="3106" width="9.6640625" style="2" bestFit="1" customWidth="1"/>
    <col min="3107" max="3107" width="9.5" style="2" bestFit="1" customWidth="1"/>
    <col min="3108" max="3108" width="9.6640625" style="2" bestFit="1" customWidth="1"/>
    <col min="3109" max="3109" width="11" style="2" bestFit="1" customWidth="1"/>
    <col min="3110" max="3110" width="11.5" style="2" bestFit="1" customWidth="1"/>
    <col min="3111" max="3111" width="13.5" style="2" bestFit="1" customWidth="1"/>
    <col min="3112" max="3112" width="12.33203125" style="2" bestFit="1" customWidth="1"/>
    <col min="3113" max="3113" width="9.6640625" style="2" bestFit="1" customWidth="1"/>
    <col min="3114" max="3114" width="11" style="2" bestFit="1" customWidth="1"/>
    <col min="3115" max="3328" width="9.1640625" style="2"/>
    <col min="3329" max="3329" width="44" style="2" bestFit="1" customWidth="1"/>
    <col min="3330" max="3330" width="23.33203125" style="2" customWidth="1"/>
    <col min="3331" max="3331" width="17.33203125" style="2" customWidth="1"/>
    <col min="3332" max="3333" width="7.6640625" style="2" customWidth="1"/>
    <col min="3334" max="3334" width="17.83203125" style="2" customWidth="1"/>
    <col min="3335" max="3335" width="15.5" style="2" customWidth="1"/>
    <col min="3336" max="3336" width="17.83203125" style="2" customWidth="1"/>
    <col min="3337" max="3337" width="15.83203125" style="2" customWidth="1"/>
    <col min="3338" max="3340" width="15.1640625" style="2" customWidth="1"/>
    <col min="3341" max="3341" width="12.5" style="2" bestFit="1" customWidth="1"/>
    <col min="3342" max="3342" width="11.6640625" style="2" bestFit="1" customWidth="1"/>
    <col min="3343" max="3343" width="12.5" style="2" bestFit="1" customWidth="1"/>
    <col min="3344" max="3344" width="11.1640625" style="2" bestFit="1" customWidth="1"/>
    <col min="3345" max="3345" width="12.6640625" style="2" bestFit="1" customWidth="1"/>
    <col min="3346" max="3346" width="11.5" style="2" bestFit="1" customWidth="1"/>
    <col min="3347" max="3347" width="12.6640625" style="2" bestFit="1" customWidth="1"/>
    <col min="3348" max="3348" width="11.6640625" style="2" bestFit="1" customWidth="1"/>
    <col min="3349" max="3349" width="11.5" style="2" bestFit="1" customWidth="1"/>
    <col min="3350" max="3351" width="12.5" style="2" bestFit="1" customWidth="1"/>
    <col min="3352" max="3353" width="12.33203125" style="2" bestFit="1" customWidth="1"/>
    <col min="3354" max="3354" width="11" style="2" bestFit="1" customWidth="1"/>
    <col min="3355" max="3356" width="9.6640625" style="2" bestFit="1" customWidth="1"/>
    <col min="3357" max="3357" width="9.5" style="2" bestFit="1" customWidth="1"/>
    <col min="3358" max="3358" width="9.33203125" style="2" bestFit="1" customWidth="1"/>
    <col min="3359" max="3359" width="9.5" style="2" bestFit="1" customWidth="1"/>
    <col min="3360" max="3360" width="11" style="2" bestFit="1" customWidth="1"/>
    <col min="3361" max="3362" width="9.6640625" style="2" bestFit="1" customWidth="1"/>
    <col min="3363" max="3363" width="9.5" style="2" bestFit="1" customWidth="1"/>
    <col min="3364" max="3364" width="9.6640625" style="2" bestFit="1" customWidth="1"/>
    <col min="3365" max="3365" width="11" style="2" bestFit="1" customWidth="1"/>
    <col min="3366" max="3366" width="11.5" style="2" bestFit="1" customWidth="1"/>
    <col min="3367" max="3367" width="13.5" style="2" bestFit="1" customWidth="1"/>
    <col min="3368" max="3368" width="12.33203125" style="2" bestFit="1" customWidth="1"/>
    <col min="3369" max="3369" width="9.6640625" style="2" bestFit="1" customWidth="1"/>
    <col min="3370" max="3370" width="11" style="2" bestFit="1" customWidth="1"/>
    <col min="3371" max="3584" width="9.1640625" style="2"/>
    <col min="3585" max="3585" width="44" style="2" bestFit="1" customWidth="1"/>
    <col min="3586" max="3586" width="23.33203125" style="2" customWidth="1"/>
    <col min="3587" max="3587" width="17.33203125" style="2" customWidth="1"/>
    <col min="3588" max="3589" width="7.6640625" style="2" customWidth="1"/>
    <col min="3590" max="3590" width="17.83203125" style="2" customWidth="1"/>
    <col min="3591" max="3591" width="15.5" style="2" customWidth="1"/>
    <col min="3592" max="3592" width="17.83203125" style="2" customWidth="1"/>
    <col min="3593" max="3593" width="15.83203125" style="2" customWidth="1"/>
    <col min="3594" max="3596" width="15.1640625" style="2" customWidth="1"/>
    <col min="3597" max="3597" width="12.5" style="2" bestFit="1" customWidth="1"/>
    <col min="3598" max="3598" width="11.6640625" style="2" bestFit="1" customWidth="1"/>
    <col min="3599" max="3599" width="12.5" style="2" bestFit="1" customWidth="1"/>
    <col min="3600" max="3600" width="11.1640625" style="2" bestFit="1" customWidth="1"/>
    <col min="3601" max="3601" width="12.6640625" style="2" bestFit="1" customWidth="1"/>
    <col min="3602" max="3602" width="11.5" style="2" bestFit="1" customWidth="1"/>
    <col min="3603" max="3603" width="12.6640625" style="2" bestFit="1" customWidth="1"/>
    <col min="3604" max="3604" width="11.6640625" style="2" bestFit="1" customWidth="1"/>
    <col min="3605" max="3605" width="11.5" style="2" bestFit="1" customWidth="1"/>
    <col min="3606" max="3607" width="12.5" style="2" bestFit="1" customWidth="1"/>
    <col min="3608" max="3609" width="12.33203125" style="2" bestFit="1" customWidth="1"/>
    <col min="3610" max="3610" width="11" style="2" bestFit="1" customWidth="1"/>
    <col min="3611" max="3612" width="9.6640625" style="2" bestFit="1" customWidth="1"/>
    <col min="3613" max="3613" width="9.5" style="2" bestFit="1" customWidth="1"/>
    <col min="3614" max="3614" width="9.33203125" style="2" bestFit="1" customWidth="1"/>
    <col min="3615" max="3615" width="9.5" style="2" bestFit="1" customWidth="1"/>
    <col min="3616" max="3616" width="11" style="2" bestFit="1" customWidth="1"/>
    <col min="3617" max="3618" width="9.6640625" style="2" bestFit="1" customWidth="1"/>
    <col min="3619" max="3619" width="9.5" style="2" bestFit="1" customWidth="1"/>
    <col min="3620" max="3620" width="9.6640625" style="2" bestFit="1" customWidth="1"/>
    <col min="3621" max="3621" width="11" style="2" bestFit="1" customWidth="1"/>
    <col min="3622" max="3622" width="11.5" style="2" bestFit="1" customWidth="1"/>
    <col min="3623" max="3623" width="13.5" style="2" bestFit="1" customWidth="1"/>
    <col min="3624" max="3624" width="12.33203125" style="2" bestFit="1" customWidth="1"/>
    <col min="3625" max="3625" width="9.6640625" style="2" bestFit="1" customWidth="1"/>
    <col min="3626" max="3626" width="11" style="2" bestFit="1" customWidth="1"/>
    <col min="3627" max="3840" width="9.1640625" style="2"/>
    <col min="3841" max="3841" width="44" style="2" bestFit="1" customWidth="1"/>
    <col min="3842" max="3842" width="23.33203125" style="2" customWidth="1"/>
    <col min="3843" max="3843" width="17.33203125" style="2" customWidth="1"/>
    <col min="3844" max="3845" width="7.6640625" style="2" customWidth="1"/>
    <col min="3846" max="3846" width="17.83203125" style="2" customWidth="1"/>
    <col min="3847" max="3847" width="15.5" style="2" customWidth="1"/>
    <col min="3848" max="3848" width="17.83203125" style="2" customWidth="1"/>
    <col min="3849" max="3849" width="15.83203125" style="2" customWidth="1"/>
    <col min="3850" max="3852" width="15.1640625" style="2" customWidth="1"/>
    <col min="3853" max="3853" width="12.5" style="2" bestFit="1" customWidth="1"/>
    <col min="3854" max="3854" width="11.6640625" style="2" bestFit="1" customWidth="1"/>
    <col min="3855" max="3855" width="12.5" style="2" bestFit="1" customWidth="1"/>
    <col min="3856" max="3856" width="11.1640625" style="2" bestFit="1" customWidth="1"/>
    <col min="3857" max="3857" width="12.6640625" style="2" bestFit="1" customWidth="1"/>
    <col min="3858" max="3858" width="11.5" style="2" bestFit="1" customWidth="1"/>
    <col min="3859" max="3859" width="12.6640625" style="2" bestFit="1" customWidth="1"/>
    <col min="3860" max="3860" width="11.6640625" style="2" bestFit="1" customWidth="1"/>
    <col min="3861" max="3861" width="11.5" style="2" bestFit="1" customWidth="1"/>
    <col min="3862" max="3863" width="12.5" style="2" bestFit="1" customWidth="1"/>
    <col min="3864" max="3865" width="12.33203125" style="2" bestFit="1" customWidth="1"/>
    <col min="3866" max="3866" width="11" style="2" bestFit="1" customWidth="1"/>
    <col min="3867" max="3868" width="9.6640625" style="2" bestFit="1" customWidth="1"/>
    <col min="3869" max="3869" width="9.5" style="2" bestFit="1" customWidth="1"/>
    <col min="3870" max="3870" width="9.33203125" style="2" bestFit="1" customWidth="1"/>
    <col min="3871" max="3871" width="9.5" style="2" bestFit="1" customWidth="1"/>
    <col min="3872" max="3872" width="11" style="2" bestFit="1" customWidth="1"/>
    <col min="3873" max="3874" width="9.6640625" style="2" bestFit="1" customWidth="1"/>
    <col min="3875" max="3875" width="9.5" style="2" bestFit="1" customWidth="1"/>
    <col min="3876" max="3876" width="9.6640625" style="2" bestFit="1" customWidth="1"/>
    <col min="3877" max="3877" width="11" style="2" bestFit="1" customWidth="1"/>
    <col min="3878" max="3878" width="11.5" style="2" bestFit="1" customWidth="1"/>
    <col min="3879" max="3879" width="13.5" style="2" bestFit="1" customWidth="1"/>
    <col min="3880" max="3880" width="12.33203125" style="2" bestFit="1" customWidth="1"/>
    <col min="3881" max="3881" width="9.6640625" style="2" bestFit="1" customWidth="1"/>
    <col min="3882" max="3882" width="11" style="2" bestFit="1" customWidth="1"/>
    <col min="3883" max="4096" width="9.1640625" style="2"/>
    <col min="4097" max="4097" width="44" style="2" bestFit="1" customWidth="1"/>
    <col min="4098" max="4098" width="23.33203125" style="2" customWidth="1"/>
    <col min="4099" max="4099" width="17.33203125" style="2" customWidth="1"/>
    <col min="4100" max="4101" width="7.6640625" style="2" customWidth="1"/>
    <col min="4102" max="4102" width="17.83203125" style="2" customWidth="1"/>
    <col min="4103" max="4103" width="15.5" style="2" customWidth="1"/>
    <col min="4104" max="4104" width="17.83203125" style="2" customWidth="1"/>
    <col min="4105" max="4105" width="15.83203125" style="2" customWidth="1"/>
    <col min="4106" max="4108" width="15.1640625" style="2" customWidth="1"/>
    <col min="4109" max="4109" width="12.5" style="2" bestFit="1" customWidth="1"/>
    <col min="4110" max="4110" width="11.6640625" style="2" bestFit="1" customWidth="1"/>
    <col min="4111" max="4111" width="12.5" style="2" bestFit="1" customWidth="1"/>
    <col min="4112" max="4112" width="11.1640625" style="2" bestFit="1" customWidth="1"/>
    <col min="4113" max="4113" width="12.6640625" style="2" bestFit="1" customWidth="1"/>
    <col min="4114" max="4114" width="11.5" style="2" bestFit="1" customWidth="1"/>
    <col min="4115" max="4115" width="12.6640625" style="2" bestFit="1" customWidth="1"/>
    <col min="4116" max="4116" width="11.6640625" style="2" bestFit="1" customWidth="1"/>
    <col min="4117" max="4117" width="11.5" style="2" bestFit="1" customWidth="1"/>
    <col min="4118" max="4119" width="12.5" style="2" bestFit="1" customWidth="1"/>
    <col min="4120" max="4121" width="12.33203125" style="2" bestFit="1" customWidth="1"/>
    <col min="4122" max="4122" width="11" style="2" bestFit="1" customWidth="1"/>
    <col min="4123" max="4124" width="9.6640625" style="2" bestFit="1" customWidth="1"/>
    <col min="4125" max="4125" width="9.5" style="2" bestFit="1" customWidth="1"/>
    <col min="4126" max="4126" width="9.33203125" style="2" bestFit="1" customWidth="1"/>
    <col min="4127" max="4127" width="9.5" style="2" bestFit="1" customWidth="1"/>
    <col min="4128" max="4128" width="11" style="2" bestFit="1" customWidth="1"/>
    <col min="4129" max="4130" width="9.6640625" style="2" bestFit="1" customWidth="1"/>
    <col min="4131" max="4131" width="9.5" style="2" bestFit="1" customWidth="1"/>
    <col min="4132" max="4132" width="9.6640625" style="2" bestFit="1" customWidth="1"/>
    <col min="4133" max="4133" width="11" style="2" bestFit="1" customWidth="1"/>
    <col min="4134" max="4134" width="11.5" style="2" bestFit="1" customWidth="1"/>
    <col min="4135" max="4135" width="13.5" style="2" bestFit="1" customWidth="1"/>
    <col min="4136" max="4136" width="12.33203125" style="2" bestFit="1" customWidth="1"/>
    <col min="4137" max="4137" width="9.6640625" style="2" bestFit="1" customWidth="1"/>
    <col min="4138" max="4138" width="11" style="2" bestFit="1" customWidth="1"/>
    <col min="4139" max="4352" width="9.1640625" style="2"/>
    <col min="4353" max="4353" width="44" style="2" bestFit="1" customWidth="1"/>
    <col min="4354" max="4354" width="23.33203125" style="2" customWidth="1"/>
    <col min="4355" max="4355" width="17.33203125" style="2" customWidth="1"/>
    <col min="4356" max="4357" width="7.6640625" style="2" customWidth="1"/>
    <col min="4358" max="4358" width="17.83203125" style="2" customWidth="1"/>
    <col min="4359" max="4359" width="15.5" style="2" customWidth="1"/>
    <col min="4360" max="4360" width="17.83203125" style="2" customWidth="1"/>
    <col min="4361" max="4361" width="15.83203125" style="2" customWidth="1"/>
    <col min="4362" max="4364" width="15.1640625" style="2" customWidth="1"/>
    <col min="4365" max="4365" width="12.5" style="2" bestFit="1" customWidth="1"/>
    <col min="4366" max="4366" width="11.6640625" style="2" bestFit="1" customWidth="1"/>
    <col min="4367" max="4367" width="12.5" style="2" bestFit="1" customWidth="1"/>
    <col min="4368" max="4368" width="11.1640625" style="2" bestFit="1" customWidth="1"/>
    <col min="4369" max="4369" width="12.6640625" style="2" bestFit="1" customWidth="1"/>
    <col min="4370" max="4370" width="11.5" style="2" bestFit="1" customWidth="1"/>
    <col min="4371" max="4371" width="12.6640625" style="2" bestFit="1" customWidth="1"/>
    <col min="4372" max="4372" width="11.6640625" style="2" bestFit="1" customWidth="1"/>
    <col min="4373" max="4373" width="11.5" style="2" bestFit="1" customWidth="1"/>
    <col min="4374" max="4375" width="12.5" style="2" bestFit="1" customWidth="1"/>
    <col min="4376" max="4377" width="12.33203125" style="2" bestFit="1" customWidth="1"/>
    <col min="4378" max="4378" width="11" style="2" bestFit="1" customWidth="1"/>
    <col min="4379" max="4380" width="9.6640625" style="2" bestFit="1" customWidth="1"/>
    <col min="4381" max="4381" width="9.5" style="2" bestFit="1" customWidth="1"/>
    <col min="4382" max="4382" width="9.33203125" style="2" bestFit="1" customWidth="1"/>
    <col min="4383" max="4383" width="9.5" style="2" bestFit="1" customWidth="1"/>
    <col min="4384" max="4384" width="11" style="2" bestFit="1" customWidth="1"/>
    <col min="4385" max="4386" width="9.6640625" style="2" bestFit="1" customWidth="1"/>
    <col min="4387" max="4387" width="9.5" style="2" bestFit="1" customWidth="1"/>
    <col min="4388" max="4388" width="9.6640625" style="2" bestFit="1" customWidth="1"/>
    <col min="4389" max="4389" width="11" style="2" bestFit="1" customWidth="1"/>
    <col min="4390" max="4390" width="11.5" style="2" bestFit="1" customWidth="1"/>
    <col min="4391" max="4391" width="13.5" style="2" bestFit="1" customWidth="1"/>
    <col min="4392" max="4392" width="12.33203125" style="2" bestFit="1" customWidth="1"/>
    <col min="4393" max="4393" width="9.6640625" style="2" bestFit="1" customWidth="1"/>
    <col min="4394" max="4394" width="11" style="2" bestFit="1" customWidth="1"/>
    <col min="4395" max="4608" width="9.1640625" style="2"/>
    <col min="4609" max="4609" width="44" style="2" bestFit="1" customWidth="1"/>
    <col min="4610" max="4610" width="23.33203125" style="2" customWidth="1"/>
    <col min="4611" max="4611" width="17.33203125" style="2" customWidth="1"/>
    <col min="4612" max="4613" width="7.6640625" style="2" customWidth="1"/>
    <col min="4614" max="4614" width="17.83203125" style="2" customWidth="1"/>
    <col min="4615" max="4615" width="15.5" style="2" customWidth="1"/>
    <col min="4616" max="4616" width="17.83203125" style="2" customWidth="1"/>
    <col min="4617" max="4617" width="15.83203125" style="2" customWidth="1"/>
    <col min="4618" max="4620" width="15.1640625" style="2" customWidth="1"/>
    <col min="4621" max="4621" width="12.5" style="2" bestFit="1" customWidth="1"/>
    <col min="4622" max="4622" width="11.6640625" style="2" bestFit="1" customWidth="1"/>
    <col min="4623" max="4623" width="12.5" style="2" bestFit="1" customWidth="1"/>
    <col min="4624" max="4624" width="11.1640625" style="2" bestFit="1" customWidth="1"/>
    <col min="4625" max="4625" width="12.6640625" style="2" bestFit="1" customWidth="1"/>
    <col min="4626" max="4626" width="11.5" style="2" bestFit="1" customWidth="1"/>
    <col min="4627" max="4627" width="12.6640625" style="2" bestFit="1" customWidth="1"/>
    <col min="4628" max="4628" width="11.6640625" style="2" bestFit="1" customWidth="1"/>
    <col min="4629" max="4629" width="11.5" style="2" bestFit="1" customWidth="1"/>
    <col min="4630" max="4631" width="12.5" style="2" bestFit="1" customWidth="1"/>
    <col min="4632" max="4633" width="12.33203125" style="2" bestFit="1" customWidth="1"/>
    <col min="4634" max="4634" width="11" style="2" bestFit="1" customWidth="1"/>
    <col min="4635" max="4636" width="9.6640625" style="2" bestFit="1" customWidth="1"/>
    <col min="4637" max="4637" width="9.5" style="2" bestFit="1" customWidth="1"/>
    <col min="4638" max="4638" width="9.33203125" style="2" bestFit="1" customWidth="1"/>
    <col min="4639" max="4639" width="9.5" style="2" bestFit="1" customWidth="1"/>
    <col min="4640" max="4640" width="11" style="2" bestFit="1" customWidth="1"/>
    <col min="4641" max="4642" width="9.6640625" style="2" bestFit="1" customWidth="1"/>
    <col min="4643" max="4643" width="9.5" style="2" bestFit="1" customWidth="1"/>
    <col min="4644" max="4644" width="9.6640625" style="2" bestFit="1" customWidth="1"/>
    <col min="4645" max="4645" width="11" style="2" bestFit="1" customWidth="1"/>
    <col min="4646" max="4646" width="11.5" style="2" bestFit="1" customWidth="1"/>
    <col min="4647" max="4647" width="13.5" style="2" bestFit="1" customWidth="1"/>
    <col min="4648" max="4648" width="12.33203125" style="2" bestFit="1" customWidth="1"/>
    <col min="4649" max="4649" width="9.6640625" style="2" bestFit="1" customWidth="1"/>
    <col min="4650" max="4650" width="11" style="2" bestFit="1" customWidth="1"/>
    <col min="4651" max="4864" width="9.1640625" style="2"/>
    <col min="4865" max="4865" width="44" style="2" bestFit="1" customWidth="1"/>
    <col min="4866" max="4866" width="23.33203125" style="2" customWidth="1"/>
    <col min="4867" max="4867" width="17.33203125" style="2" customWidth="1"/>
    <col min="4868" max="4869" width="7.6640625" style="2" customWidth="1"/>
    <col min="4870" max="4870" width="17.83203125" style="2" customWidth="1"/>
    <col min="4871" max="4871" width="15.5" style="2" customWidth="1"/>
    <col min="4872" max="4872" width="17.83203125" style="2" customWidth="1"/>
    <col min="4873" max="4873" width="15.83203125" style="2" customWidth="1"/>
    <col min="4874" max="4876" width="15.1640625" style="2" customWidth="1"/>
    <col min="4877" max="4877" width="12.5" style="2" bestFit="1" customWidth="1"/>
    <col min="4878" max="4878" width="11.6640625" style="2" bestFit="1" customWidth="1"/>
    <col min="4879" max="4879" width="12.5" style="2" bestFit="1" customWidth="1"/>
    <col min="4880" max="4880" width="11.1640625" style="2" bestFit="1" customWidth="1"/>
    <col min="4881" max="4881" width="12.6640625" style="2" bestFit="1" customWidth="1"/>
    <col min="4882" max="4882" width="11.5" style="2" bestFit="1" customWidth="1"/>
    <col min="4883" max="4883" width="12.6640625" style="2" bestFit="1" customWidth="1"/>
    <col min="4884" max="4884" width="11.6640625" style="2" bestFit="1" customWidth="1"/>
    <col min="4885" max="4885" width="11.5" style="2" bestFit="1" customWidth="1"/>
    <col min="4886" max="4887" width="12.5" style="2" bestFit="1" customWidth="1"/>
    <col min="4888" max="4889" width="12.33203125" style="2" bestFit="1" customWidth="1"/>
    <col min="4890" max="4890" width="11" style="2" bestFit="1" customWidth="1"/>
    <col min="4891" max="4892" width="9.6640625" style="2" bestFit="1" customWidth="1"/>
    <col min="4893" max="4893" width="9.5" style="2" bestFit="1" customWidth="1"/>
    <col min="4894" max="4894" width="9.33203125" style="2" bestFit="1" customWidth="1"/>
    <col min="4895" max="4895" width="9.5" style="2" bestFit="1" customWidth="1"/>
    <col min="4896" max="4896" width="11" style="2" bestFit="1" customWidth="1"/>
    <col min="4897" max="4898" width="9.6640625" style="2" bestFit="1" customWidth="1"/>
    <col min="4899" max="4899" width="9.5" style="2" bestFit="1" customWidth="1"/>
    <col min="4900" max="4900" width="9.6640625" style="2" bestFit="1" customWidth="1"/>
    <col min="4901" max="4901" width="11" style="2" bestFit="1" customWidth="1"/>
    <col min="4902" max="4902" width="11.5" style="2" bestFit="1" customWidth="1"/>
    <col min="4903" max="4903" width="13.5" style="2" bestFit="1" customWidth="1"/>
    <col min="4904" max="4904" width="12.33203125" style="2" bestFit="1" customWidth="1"/>
    <col min="4905" max="4905" width="9.6640625" style="2" bestFit="1" customWidth="1"/>
    <col min="4906" max="4906" width="11" style="2" bestFit="1" customWidth="1"/>
    <col min="4907" max="5120" width="9.1640625" style="2"/>
    <col min="5121" max="5121" width="44" style="2" bestFit="1" customWidth="1"/>
    <col min="5122" max="5122" width="23.33203125" style="2" customWidth="1"/>
    <col min="5123" max="5123" width="17.33203125" style="2" customWidth="1"/>
    <col min="5124" max="5125" width="7.6640625" style="2" customWidth="1"/>
    <col min="5126" max="5126" width="17.83203125" style="2" customWidth="1"/>
    <col min="5127" max="5127" width="15.5" style="2" customWidth="1"/>
    <col min="5128" max="5128" width="17.83203125" style="2" customWidth="1"/>
    <col min="5129" max="5129" width="15.83203125" style="2" customWidth="1"/>
    <col min="5130" max="5132" width="15.1640625" style="2" customWidth="1"/>
    <col min="5133" max="5133" width="12.5" style="2" bestFit="1" customWidth="1"/>
    <col min="5134" max="5134" width="11.6640625" style="2" bestFit="1" customWidth="1"/>
    <col min="5135" max="5135" width="12.5" style="2" bestFit="1" customWidth="1"/>
    <col min="5136" max="5136" width="11.1640625" style="2" bestFit="1" customWidth="1"/>
    <col min="5137" max="5137" width="12.6640625" style="2" bestFit="1" customWidth="1"/>
    <col min="5138" max="5138" width="11.5" style="2" bestFit="1" customWidth="1"/>
    <col min="5139" max="5139" width="12.6640625" style="2" bestFit="1" customWidth="1"/>
    <col min="5140" max="5140" width="11.6640625" style="2" bestFit="1" customWidth="1"/>
    <col min="5141" max="5141" width="11.5" style="2" bestFit="1" customWidth="1"/>
    <col min="5142" max="5143" width="12.5" style="2" bestFit="1" customWidth="1"/>
    <col min="5144" max="5145" width="12.33203125" style="2" bestFit="1" customWidth="1"/>
    <col min="5146" max="5146" width="11" style="2" bestFit="1" customWidth="1"/>
    <col min="5147" max="5148" width="9.6640625" style="2" bestFit="1" customWidth="1"/>
    <col min="5149" max="5149" width="9.5" style="2" bestFit="1" customWidth="1"/>
    <col min="5150" max="5150" width="9.33203125" style="2" bestFit="1" customWidth="1"/>
    <col min="5151" max="5151" width="9.5" style="2" bestFit="1" customWidth="1"/>
    <col min="5152" max="5152" width="11" style="2" bestFit="1" customWidth="1"/>
    <col min="5153" max="5154" width="9.6640625" style="2" bestFit="1" customWidth="1"/>
    <col min="5155" max="5155" width="9.5" style="2" bestFit="1" customWidth="1"/>
    <col min="5156" max="5156" width="9.6640625" style="2" bestFit="1" customWidth="1"/>
    <col min="5157" max="5157" width="11" style="2" bestFit="1" customWidth="1"/>
    <col min="5158" max="5158" width="11.5" style="2" bestFit="1" customWidth="1"/>
    <col min="5159" max="5159" width="13.5" style="2" bestFit="1" customWidth="1"/>
    <col min="5160" max="5160" width="12.33203125" style="2" bestFit="1" customWidth="1"/>
    <col min="5161" max="5161" width="9.6640625" style="2" bestFit="1" customWidth="1"/>
    <col min="5162" max="5162" width="11" style="2" bestFit="1" customWidth="1"/>
    <col min="5163" max="5376" width="9.1640625" style="2"/>
    <col min="5377" max="5377" width="44" style="2" bestFit="1" customWidth="1"/>
    <col min="5378" max="5378" width="23.33203125" style="2" customWidth="1"/>
    <col min="5379" max="5379" width="17.33203125" style="2" customWidth="1"/>
    <col min="5380" max="5381" width="7.6640625" style="2" customWidth="1"/>
    <col min="5382" max="5382" width="17.83203125" style="2" customWidth="1"/>
    <col min="5383" max="5383" width="15.5" style="2" customWidth="1"/>
    <col min="5384" max="5384" width="17.83203125" style="2" customWidth="1"/>
    <col min="5385" max="5385" width="15.83203125" style="2" customWidth="1"/>
    <col min="5386" max="5388" width="15.1640625" style="2" customWidth="1"/>
    <col min="5389" max="5389" width="12.5" style="2" bestFit="1" customWidth="1"/>
    <col min="5390" max="5390" width="11.6640625" style="2" bestFit="1" customWidth="1"/>
    <col min="5391" max="5391" width="12.5" style="2" bestFit="1" customWidth="1"/>
    <col min="5392" max="5392" width="11.1640625" style="2" bestFit="1" customWidth="1"/>
    <col min="5393" max="5393" width="12.6640625" style="2" bestFit="1" customWidth="1"/>
    <col min="5394" max="5394" width="11.5" style="2" bestFit="1" customWidth="1"/>
    <col min="5395" max="5395" width="12.6640625" style="2" bestFit="1" customWidth="1"/>
    <col min="5396" max="5396" width="11.6640625" style="2" bestFit="1" customWidth="1"/>
    <col min="5397" max="5397" width="11.5" style="2" bestFit="1" customWidth="1"/>
    <col min="5398" max="5399" width="12.5" style="2" bestFit="1" customWidth="1"/>
    <col min="5400" max="5401" width="12.33203125" style="2" bestFit="1" customWidth="1"/>
    <col min="5402" max="5402" width="11" style="2" bestFit="1" customWidth="1"/>
    <col min="5403" max="5404" width="9.6640625" style="2" bestFit="1" customWidth="1"/>
    <col min="5405" max="5405" width="9.5" style="2" bestFit="1" customWidth="1"/>
    <col min="5406" max="5406" width="9.33203125" style="2" bestFit="1" customWidth="1"/>
    <col min="5407" max="5407" width="9.5" style="2" bestFit="1" customWidth="1"/>
    <col min="5408" max="5408" width="11" style="2" bestFit="1" customWidth="1"/>
    <col min="5409" max="5410" width="9.6640625" style="2" bestFit="1" customWidth="1"/>
    <col min="5411" max="5411" width="9.5" style="2" bestFit="1" customWidth="1"/>
    <col min="5412" max="5412" width="9.6640625" style="2" bestFit="1" customWidth="1"/>
    <col min="5413" max="5413" width="11" style="2" bestFit="1" customWidth="1"/>
    <col min="5414" max="5414" width="11.5" style="2" bestFit="1" customWidth="1"/>
    <col min="5415" max="5415" width="13.5" style="2" bestFit="1" customWidth="1"/>
    <col min="5416" max="5416" width="12.33203125" style="2" bestFit="1" customWidth="1"/>
    <col min="5417" max="5417" width="9.6640625" style="2" bestFit="1" customWidth="1"/>
    <col min="5418" max="5418" width="11" style="2" bestFit="1" customWidth="1"/>
    <col min="5419" max="5632" width="9.1640625" style="2"/>
    <col min="5633" max="5633" width="44" style="2" bestFit="1" customWidth="1"/>
    <col min="5634" max="5634" width="23.33203125" style="2" customWidth="1"/>
    <col min="5635" max="5635" width="17.33203125" style="2" customWidth="1"/>
    <col min="5636" max="5637" width="7.6640625" style="2" customWidth="1"/>
    <col min="5638" max="5638" width="17.83203125" style="2" customWidth="1"/>
    <col min="5639" max="5639" width="15.5" style="2" customWidth="1"/>
    <col min="5640" max="5640" width="17.83203125" style="2" customWidth="1"/>
    <col min="5641" max="5641" width="15.83203125" style="2" customWidth="1"/>
    <col min="5642" max="5644" width="15.1640625" style="2" customWidth="1"/>
    <col min="5645" max="5645" width="12.5" style="2" bestFit="1" customWidth="1"/>
    <col min="5646" max="5646" width="11.6640625" style="2" bestFit="1" customWidth="1"/>
    <col min="5647" max="5647" width="12.5" style="2" bestFit="1" customWidth="1"/>
    <col min="5648" max="5648" width="11.1640625" style="2" bestFit="1" customWidth="1"/>
    <col min="5649" max="5649" width="12.6640625" style="2" bestFit="1" customWidth="1"/>
    <col min="5650" max="5650" width="11.5" style="2" bestFit="1" customWidth="1"/>
    <col min="5651" max="5651" width="12.6640625" style="2" bestFit="1" customWidth="1"/>
    <col min="5652" max="5652" width="11.6640625" style="2" bestFit="1" customWidth="1"/>
    <col min="5653" max="5653" width="11.5" style="2" bestFit="1" customWidth="1"/>
    <col min="5654" max="5655" width="12.5" style="2" bestFit="1" customWidth="1"/>
    <col min="5656" max="5657" width="12.33203125" style="2" bestFit="1" customWidth="1"/>
    <col min="5658" max="5658" width="11" style="2" bestFit="1" customWidth="1"/>
    <col min="5659" max="5660" width="9.6640625" style="2" bestFit="1" customWidth="1"/>
    <col min="5661" max="5661" width="9.5" style="2" bestFit="1" customWidth="1"/>
    <col min="5662" max="5662" width="9.33203125" style="2" bestFit="1" customWidth="1"/>
    <col min="5663" max="5663" width="9.5" style="2" bestFit="1" customWidth="1"/>
    <col min="5664" max="5664" width="11" style="2" bestFit="1" customWidth="1"/>
    <col min="5665" max="5666" width="9.6640625" style="2" bestFit="1" customWidth="1"/>
    <col min="5667" max="5667" width="9.5" style="2" bestFit="1" customWidth="1"/>
    <col min="5668" max="5668" width="9.6640625" style="2" bestFit="1" customWidth="1"/>
    <col min="5669" max="5669" width="11" style="2" bestFit="1" customWidth="1"/>
    <col min="5670" max="5670" width="11.5" style="2" bestFit="1" customWidth="1"/>
    <col min="5671" max="5671" width="13.5" style="2" bestFit="1" customWidth="1"/>
    <col min="5672" max="5672" width="12.33203125" style="2" bestFit="1" customWidth="1"/>
    <col min="5673" max="5673" width="9.6640625" style="2" bestFit="1" customWidth="1"/>
    <col min="5674" max="5674" width="11" style="2" bestFit="1" customWidth="1"/>
    <col min="5675" max="5888" width="9.1640625" style="2"/>
    <col min="5889" max="5889" width="44" style="2" bestFit="1" customWidth="1"/>
    <col min="5890" max="5890" width="23.33203125" style="2" customWidth="1"/>
    <col min="5891" max="5891" width="17.33203125" style="2" customWidth="1"/>
    <col min="5892" max="5893" width="7.6640625" style="2" customWidth="1"/>
    <col min="5894" max="5894" width="17.83203125" style="2" customWidth="1"/>
    <col min="5895" max="5895" width="15.5" style="2" customWidth="1"/>
    <col min="5896" max="5896" width="17.83203125" style="2" customWidth="1"/>
    <col min="5897" max="5897" width="15.83203125" style="2" customWidth="1"/>
    <col min="5898" max="5900" width="15.1640625" style="2" customWidth="1"/>
    <col min="5901" max="5901" width="12.5" style="2" bestFit="1" customWidth="1"/>
    <col min="5902" max="5902" width="11.6640625" style="2" bestFit="1" customWidth="1"/>
    <col min="5903" max="5903" width="12.5" style="2" bestFit="1" customWidth="1"/>
    <col min="5904" max="5904" width="11.1640625" style="2" bestFit="1" customWidth="1"/>
    <col min="5905" max="5905" width="12.6640625" style="2" bestFit="1" customWidth="1"/>
    <col min="5906" max="5906" width="11.5" style="2" bestFit="1" customWidth="1"/>
    <col min="5907" max="5907" width="12.6640625" style="2" bestFit="1" customWidth="1"/>
    <col min="5908" max="5908" width="11.6640625" style="2" bestFit="1" customWidth="1"/>
    <col min="5909" max="5909" width="11.5" style="2" bestFit="1" customWidth="1"/>
    <col min="5910" max="5911" width="12.5" style="2" bestFit="1" customWidth="1"/>
    <col min="5912" max="5913" width="12.33203125" style="2" bestFit="1" customWidth="1"/>
    <col min="5914" max="5914" width="11" style="2" bestFit="1" customWidth="1"/>
    <col min="5915" max="5916" width="9.6640625" style="2" bestFit="1" customWidth="1"/>
    <col min="5917" max="5917" width="9.5" style="2" bestFit="1" customWidth="1"/>
    <col min="5918" max="5918" width="9.33203125" style="2" bestFit="1" customWidth="1"/>
    <col min="5919" max="5919" width="9.5" style="2" bestFit="1" customWidth="1"/>
    <col min="5920" max="5920" width="11" style="2" bestFit="1" customWidth="1"/>
    <col min="5921" max="5922" width="9.6640625" style="2" bestFit="1" customWidth="1"/>
    <col min="5923" max="5923" width="9.5" style="2" bestFit="1" customWidth="1"/>
    <col min="5924" max="5924" width="9.6640625" style="2" bestFit="1" customWidth="1"/>
    <col min="5925" max="5925" width="11" style="2" bestFit="1" customWidth="1"/>
    <col min="5926" max="5926" width="11.5" style="2" bestFit="1" customWidth="1"/>
    <col min="5927" max="5927" width="13.5" style="2" bestFit="1" customWidth="1"/>
    <col min="5928" max="5928" width="12.33203125" style="2" bestFit="1" customWidth="1"/>
    <col min="5929" max="5929" width="9.6640625" style="2" bestFit="1" customWidth="1"/>
    <col min="5930" max="5930" width="11" style="2" bestFit="1" customWidth="1"/>
    <col min="5931" max="6144" width="9.1640625" style="2"/>
    <col min="6145" max="6145" width="44" style="2" bestFit="1" customWidth="1"/>
    <col min="6146" max="6146" width="23.33203125" style="2" customWidth="1"/>
    <col min="6147" max="6147" width="17.33203125" style="2" customWidth="1"/>
    <col min="6148" max="6149" width="7.6640625" style="2" customWidth="1"/>
    <col min="6150" max="6150" width="17.83203125" style="2" customWidth="1"/>
    <col min="6151" max="6151" width="15.5" style="2" customWidth="1"/>
    <col min="6152" max="6152" width="17.83203125" style="2" customWidth="1"/>
    <col min="6153" max="6153" width="15.83203125" style="2" customWidth="1"/>
    <col min="6154" max="6156" width="15.1640625" style="2" customWidth="1"/>
    <col min="6157" max="6157" width="12.5" style="2" bestFit="1" customWidth="1"/>
    <col min="6158" max="6158" width="11.6640625" style="2" bestFit="1" customWidth="1"/>
    <col min="6159" max="6159" width="12.5" style="2" bestFit="1" customWidth="1"/>
    <col min="6160" max="6160" width="11.1640625" style="2" bestFit="1" customWidth="1"/>
    <col min="6161" max="6161" width="12.6640625" style="2" bestFit="1" customWidth="1"/>
    <col min="6162" max="6162" width="11.5" style="2" bestFit="1" customWidth="1"/>
    <col min="6163" max="6163" width="12.6640625" style="2" bestFit="1" customWidth="1"/>
    <col min="6164" max="6164" width="11.6640625" style="2" bestFit="1" customWidth="1"/>
    <col min="6165" max="6165" width="11.5" style="2" bestFit="1" customWidth="1"/>
    <col min="6166" max="6167" width="12.5" style="2" bestFit="1" customWidth="1"/>
    <col min="6168" max="6169" width="12.33203125" style="2" bestFit="1" customWidth="1"/>
    <col min="6170" max="6170" width="11" style="2" bestFit="1" customWidth="1"/>
    <col min="6171" max="6172" width="9.6640625" style="2" bestFit="1" customWidth="1"/>
    <col min="6173" max="6173" width="9.5" style="2" bestFit="1" customWidth="1"/>
    <col min="6174" max="6174" width="9.33203125" style="2" bestFit="1" customWidth="1"/>
    <col min="6175" max="6175" width="9.5" style="2" bestFit="1" customWidth="1"/>
    <col min="6176" max="6176" width="11" style="2" bestFit="1" customWidth="1"/>
    <col min="6177" max="6178" width="9.6640625" style="2" bestFit="1" customWidth="1"/>
    <col min="6179" max="6179" width="9.5" style="2" bestFit="1" customWidth="1"/>
    <col min="6180" max="6180" width="9.6640625" style="2" bestFit="1" customWidth="1"/>
    <col min="6181" max="6181" width="11" style="2" bestFit="1" customWidth="1"/>
    <col min="6182" max="6182" width="11.5" style="2" bestFit="1" customWidth="1"/>
    <col min="6183" max="6183" width="13.5" style="2" bestFit="1" customWidth="1"/>
    <col min="6184" max="6184" width="12.33203125" style="2" bestFit="1" customWidth="1"/>
    <col min="6185" max="6185" width="9.6640625" style="2" bestFit="1" customWidth="1"/>
    <col min="6186" max="6186" width="11" style="2" bestFit="1" customWidth="1"/>
    <col min="6187" max="6400" width="9.1640625" style="2"/>
    <col min="6401" max="6401" width="44" style="2" bestFit="1" customWidth="1"/>
    <col min="6402" max="6402" width="23.33203125" style="2" customWidth="1"/>
    <col min="6403" max="6403" width="17.33203125" style="2" customWidth="1"/>
    <col min="6404" max="6405" width="7.6640625" style="2" customWidth="1"/>
    <col min="6406" max="6406" width="17.83203125" style="2" customWidth="1"/>
    <col min="6407" max="6407" width="15.5" style="2" customWidth="1"/>
    <col min="6408" max="6408" width="17.83203125" style="2" customWidth="1"/>
    <col min="6409" max="6409" width="15.83203125" style="2" customWidth="1"/>
    <col min="6410" max="6412" width="15.1640625" style="2" customWidth="1"/>
    <col min="6413" max="6413" width="12.5" style="2" bestFit="1" customWidth="1"/>
    <col min="6414" max="6414" width="11.6640625" style="2" bestFit="1" customWidth="1"/>
    <col min="6415" max="6415" width="12.5" style="2" bestFit="1" customWidth="1"/>
    <col min="6416" max="6416" width="11.1640625" style="2" bestFit="1" customWidth="1"/>
    <col min="6417" max="6417" width="12.6640625" style="2" bestFit="1" customWidth="1"/>
    <col min="6418" max="6418" width="11.5" style="2" bestFit="1" customWidth="1"/>
    <col min="6419" max="6419" width="12.6640625" style="2" bestFit="1" customWidth="1"/>
    <col min="6420" max="6420" width="11.6640625" style="2" bestFit="1" customWidth="1"/>
    <col min="6421" max="6421" width="11.5" style="2" bestFit="1" customWidth="1"/>
    <col min="6422" max="6423" width="12.5" style="2" bestFit="1" customWidth="1"/>
    <col min="6424" max="6425" width="12.33203125" style="2" bestFit="1" customWidth="1"/>
    <col min="6426" max="6426" width="11" style="2" bestFit="1" customWidth="1"/>
    <col min="6427" max="6428" width="9.6640625" style="2" bestFit="1" customWidth="1"/>
    <col min="6429" max="6429" width="9.5" style="2" bestFit="1" customWidth="1"/>
    <col min="6430" max="6430" width="9.33203125" style="2" bestFit="1" customWidth="1"/>
    <col min="6431" max="6431" width="9.5" style="2" bestFit="1" customWidth="1"/>
    <col min="6432" max="6432" width="11" style="2" bestFit="1" customWidth="1"/>
    <col min="6433" max="6434" width="9.6640625" style="2" bestFit="1" customWidth="1"/>
    <col min="6435" max="6435" width="9.5" style="2" bestFit="1" customWidth="1"/>
    <col min="6436" max="6436" width="9.6640625" style="2" bestFit="1" customWidth="1"/>
    <col min="6437" max="6437" width="11" style="2" bestFit="1" customWidth="1"/>
    <col min="6438" max="6438" width="11.5" style="2" bestFit="1" customWidth="1"/>
    <col min="6439" max="6439" width="13.5" style="2" bestFit="1" customWidth="1"/>
    <col min="6440" max="6440" width="12.33203125" style="2" bestFit="1" customWidth="1"/>
    <col min="6441" max="6441" width="9.6640625" style="2" bestFit="1" customWidth="1"/>
    <col min="6442" max="6442" width="11" style="2" bestFit="1" customWidth="1"/>
    <col min="6443" max="6656" width="9.1640625" style="2"/>
    <col min="6657" max="6657" width="44" style="2" bestFit="1" customWidth="1"/>
    <col min="6658" max="6658" width="23.33203125" style="2" customWidth="1"/>
    <col min="6659" max="6659" width="17.33203125" style="2" customWidth="1"/>
    <col min="6660" max="6661" width="7.6640625" style="2" customWidth="1"/>
    <col min="6662" max="6662" width="17.83203125" style="2" customWidth="1"/>
    <col min="6663" max="6663" width="15.5" style="2" customWidth="1"/>
    <col min="6664" max="6664" width="17.83203125" style="2" customWidth="1"/>
    <col min="6665" max="6665" width="15.83203125" style="2" customWidth="1"/>
    <col min="6666" max="6668" width="15.1640625" style="2" customWidth="1"/>
    <col min="6669" max="6669" width="12.5" style="2" bestFit="1" customWidth="1"/>
    <col min="6670" max="6670" width="11.6640625" style="2" bestFit="1" customWidth="1"/>
    <col min="6671" max="6671" width="12.5" style="2" bestFit="1" customWidth="1"/>
    <col min="6672" max="6672" width="11.1640625" style="2" bestFit="1" customWidth="1"/>
    <col min="6673" max="6673" width="12.6640625" style="2" bestFit="1" customWidth="1"/>
    <col min="6674" max="6674" width="11.5" style="2" bestFit="1" customWidth="1"/>
    <col min="6675" max="6675" width="12.6640625" style="2" bestFit="1" customWidth="1"/>
    <col min="6676" max="6676" width="11.6640625" style="2" bestFit="1" customWidth="1"/>
    <col min="6677" max="6677" width="11.5" style="2" bestFit="1" customWidth="1"/>
    <col min="6678" max="6679" width="12.5" style="2" bestFit="1" customWidth="1"/>
    <col min="6680" max="6681" width="12.33203125" style="2" bestFit="1" customWidth="1"/>
    <col min="6682" max="6682" width="11" style="2" bestFit="1" customWidth="1"/>
    <col min="6683" max="6684" width="9.6640625" style="2" bestFit="1" customWidth="1"/>
    <col min="6685" max="6685" width="9.5" style="2" bestFit="1" customWidth="1"/>
    <col min="6686" max="6686" width="9.33203125" style="2" bestFit="1" customWidth="1"/>
    <col min="6687" max="6687" width="9.5" style="2" bestFit="1" customWidth="1"/>
    <col min="6688" max="6688" width="11" style="2" bestFit="1" customWidth="1"/>
    <col min="6689" max="6690" width="9.6640625" style="2" bestFit="1" customWidth="1"/>
    <col min="6691" max="6691" width="9.5" style="2" bestFit="1" customWidth="1"/>
    <col min="6692" max="6692" width="9.6640625" style="2" bestFit="1" customWidth="1"/>
    <col min="6693" max="6693" width="11" style="2" bestFit="1" customWidth="1"/>
    <col min="6694" max="6694" width="11.5" style="2" bestFit="1" customWidth="1"/>
    <col min="6695" max="6695" width="13.5" style="2" bestFit="1" customWidth="1"/>
    <col min="6696" max="6696" width="12.33203125" style="2" bestFit="1" customWidth="1"/>
    <col min="6697" max="6697" width="9.6640625" style="2" bestFit="1" customWidth="1"/>
    <col min="6698" max="6698" width="11" style="2" bestFit="1" customWidth="1"/>
    <col min="6699" max="6912" width="9.1640625" style="2"/>
    <col min="6913" max="6913" width="44" style="2" bestFit="1" customWidth="1"/>
    <col min="6914" max="6914" width="23.33203125" style="2" customWidth="1"/>
    <col min="6915" max="6915" width="17.33203125" style="2" customWidth="1"/>
    <col min="6916" max="6917" width="7.6640625" style="2" customWidth="1"/>
    <col min="6918" max="6918" width="17.83203125" style="2" customWidth="1"/>
    <col min="6919" max="6919" width="15.5" style="2" customWidth="1"/>
    <col min="6920" max="6920" width="17.83203125" style="2" customWidth="1"/>
    <col min="6921" max="6921" width="15.83203125" style="2" customWidth="1"/>
    <col min="6922" max="6924" width="15.1640625" style="2" customWidth="1"/>
    <col min="6925" max="6925" width="12.5" style="2" bestFit="1" customWidth="1"/>
    <col min="6926" max="6926" width="11.6640625" style="2" bestFit="1" customWidth="1"/>
    <col min="6927" max="6927" width="12.5" style="2" bestFit="1" customWidth="1"/>
    <col min="6928" max="6928" width="11.1640625" style="2" bestFit="1" customWidth="1"/>
    <col min="6929" max="6929" width="12.6640625" style="2" bestFit="1" customWidth="1"/>
    <col min="6930" max="6930" width="11.5" style="2" bestFit="1" customWidth="1"/>
    <col min="6931" max="6931" width="12.6640625" style="2" bestFit="1" customWidth="1"/>
    <col min="6932" max="6932" width="11.6640625" style="2" bestFit="1" customWidth="1"/>
    <col min="6933" max="6933" width="11.5" style="2" bestFit="1" customWidth="1"/>
    <col min="6934" max="6935" width="12.5" style="2" bestFit="1" customWidth="1"/>
    <col min="6936" max="6937" width="12.33203125" style="2" bestFit="1" customWidth="1"/>
    <col min="6938" max="6938" width="11" style="2" bestFit="1" customWidth="1"/>
    <col min="6939" max="6940" width="9.6640625" style="2" bestFit="1" customWidth="1"/>
    <col min="6941" max="6941" width="9.5" style="2" bestFit="1" customWidth="1"/>
    <col min="6942" max="6942" width="9.33203125" style="2" bestFit="1" customWidth="1"/>
    <col min="6943" max="6943" width="9.5" style="2" bestFit="1" customWidth="1"/>
    <col min="6944" max="6944" width="11" style="2" bestFit="1" customWidth="1"/>
    <col min="6945" max="6946" width="9.6640625" style="2" bestFit="1" customWidth="1"/>
    <col min="6947" max="6947" width="9.5" style="2" bestFit="1" customWidth="1"/>
    <col min="6948" max="6948" width="9.6640625" style="2" bestFit="1" customWidth="1"/>
    <col min="6949" max="6949" width="11" style="2" bestFit="1" customWidth="1"/>
    <col min="6950" max="6950" width="11.5" style="2" bestFit="1" customWidth="1"/>
    <col min="6951" max="6951" width="13.5" style="2" bestFit="1" customWidth="1"/>
    <col min="6952" max="6952" width="12.33203125" style="2" bestFit="1" customWidth="1"/>
    <col min="6953" max="6953" width="9.6640625" style="2" bestFit="1" customWidth="1"/>
    <col min="6954" max="6954" width="11" style="2" bestFit="1" customWidth="1"/>
    <col min="6955" max="7168" width="9.1640625" style="2"/>
    <col min="7169" max="7169" width="44" style="2" bestFit="1" customWidth="1"/>
    <col min="7170" max="7170" width="23.33203125" style="2" customWidth="1"/>
    <col min="7171" max="7171" width="17.33203125" style="2" customWidth="1"/>
    <col min="7172" max="7173" width="7.6640625" style="2" customWidth="1"/>
    <col min="7174" max="7174" width="17.83203125" style="2" customWidth="1"/>
    <col min="7175" max="7175" width="15.5" style="2" customWidth="1"/>
    <col min="7176" max="7176" width="17.83203125" style="2" customWidth="1"/>
    <col min="7177" max="7177" width="15.83203125" style="2" customWidth="1"/>
    <col min="7178" max="7180" width="15.1640625" style="2" customWidth="1"/>
    <col min="7181" max="7181" width="12.5" style="2" bestFit="1" customWidth="1"/>
    <col min="7182" max="7182" width="11.6640625" style="2" bestFit="1" customWidth="1"/>
    <col min="7183" max="7183" width="12.5" style="2" bestFit="1" customWidth="1"/>
    <col min="7184" max="7184" width="11.1640625" style="2" bestFit="1" customWidth="1"/>
    <col min="7185" max="7185" width="12.6640625" style="2" bestFit="1" customWidth="1"/>
    <col min="7186" max="7186" width="11.5" style="2" bestFit="1" customWidth="1"/>
    <col min="7187" max="7187" width="12.6640625" style="2" bestFit="1" customWidth="1"/>
    <col min="7188" max="7188" width="11.6640625" style="2" bestFit="1" customWidth="1"/>
    <col min="7189" max="7189" width="11.5" style="2" bestFit="1" customWidth="1"/>
    <col min="7190" max="7191" width="12.5" style="2" bestFit="1" customWidth="1"/>
    <col min="7192" max="7193" width="12.33203125" style="2" bestFit="1" customWidth="1"/>
    <col min="7194" max="7194" width="11" style="2" bestFit="1" customWidth="1"/>
    <col min="7195" max="7196" width="9.6640625" style="2" bestFit="1" customWidth="1"/>
    <col min="7197" max="7197" width="9.5" style="2" bestFit="1" customWidth="1"/>
    <col min="7198" max="7198" width="9.33203125" style="2" bestFit="1" customWidth="1"/>
    <col min="7199" max="7199" width="9.5" style="2" bestFit="1" customWidth="1"/>
    <col min="7200" max="7200" width="11" style="2" bestFit="1" customWidth="1"/>
    <col min="7201" max="7202" width="9.6640625" style="2" bestFit="1" customWidth="1"/>
    <col min="7203" max="7203" width="9.5" style="2" bestFit="1" customWidth="1"/>
    <col min="7204" max="7204" width="9.6640625" style="2" bestFit="1" customWidth="1"/>
    <col min="7205" max="7205" width="11" style="2" bestFit="1" customWidth="1"/>
    <col min="7206" max="7206" width="11.5" style="2" bestFit="1" customWidth="1"/>
    <col min="7207" max="7207" width="13.5" style="2" bestFit="1" customWidth="1"/>
    <col min="7208" max="7208" width="12.33203125" style="2" bestFit="1" customWidth="1"/>
    <col min="7209" max="7209" width="9.6640625" style="2" bestFit="1" customWidth="1"/>
    <col min="7210" max="7210" width="11" style="2" bestFit="1" customWidth="1"/>
    <col min="7211" max="7424" width="9.1640625" style="2"/>
    <col min="7425" max="7425" width="44" style="2" bestFit="1" customWidth="1"/>
    <col min="7426" max="7426" width="23.33203125" style="2" customWidth="1"/>
    <col min="7427" max="7427" width="17.33203125" style="2" customWidth="1"/>
    <col min="7428" max="7429" width="7.6640625" style="2" customWidth="1"/>
    <col min="7430" max="7430" width="17.83203125" style="2" customWidth="1"/>
    <col min="7431" max="7431" width="15.5" style="2" customWidth="1"/>
    <col min="7432" max="7432" width="17.83203125" style="2" customWidth="1"/>
    <col min="7433" max="7433" width="15.83203125" style="2" customWidth="1"/>
    <col min="7434" max="7436" width="15.1640625" style="2" customWidth="1"/>
    <col min="7437" max="7437" width="12.5" style="2" bestFit="1" customWidth="1"/>
    <col min="7438" max="7438" width="11.6640625" style="2" bestFit="1" customWidth="1"/>
    <col min="7439" max="7439" width="12.5" style="2" bestFit="1" customWidth="1"/>
    <col min="7440" max="7440" width="11.1640625" style="2" bestFit="1" customWidth="1"/>
    <col min="7441" max="7441" width="12.6640625" style="2" bestFit="1" customWidth="1"/>
    <col min="7442" max="7442" width="11.5" style="2" bestFit="1" customWidth="1"/>
    <col min="7443" max="7443" width="12.6640625" style="2" bestFit="1" customWidth="1"/>
    <col min="7444" max="7444" width="11.6640625" style="2" bestFit="1" customWidth="1"/>
    <col min="7445" max="7445" width="11.5" style="2" bestFit="1" customWidth="1"/>
    <col min="7446" max="7447" width="12.5" style="2" bestFit="1" customWidth="1"/>
    <col min="7448" max="7449" width="12.33203125" style="2" bestFit="1" customWidth="1"/>
    <col min="7450" max="7450" width="11" style="2" bestFit="1" customWidth="1"/>
    <col min="7451" max="7452" width="9.6640625" style="2" bestFit="1" customWidth="1"/>
    <col min="7453" max="7453" width="9.5" style="2" bestFit="1" customWidth="1"/>
    <col min="7454" max="7454" width="9.33203125" style="2" bestFit="1" customWidth="1"/>
    <col min="7455" max="7455" width="9.5" style="2" bestFit="1" customWidth="1"/>
    <col min="7456" max="7456" width="11" style="2" bestFit="1" customWidth="1"/>
    <col min="7457" max="7458" width="9.6640625" style="2" bestFit="1" customWidth="1"/>
    <col min="7459" max="7459" width="9.5" style="2" bestFit="1" customWidth="1"/>
    <col min="7460" max="7460" width="9.6640625" style="2" bestFit="1" customWidth="1"/>
    <col min="7461" max="7461" width="11" style="2" bestFit="1" customWidth="1"/>
    <col min="7462" max="7462" width="11.5" style="2" bestFit="1" customWidth="1"/>
    <col min="7463" max="7463" width="13.5" style="2" bestFit="1" customWidth="1"/>
    <col min="7464" max="7464" width="12.33203125" style="2" bestFit="1" customWidth="1"/>
    <col min="7465" max="7465" width="9.6640625" style="2" bestFit="1" customWidth="1"/>
    <col min="7466" max="7466" width="11" style="2" bestFit="1" customWidth="1"/>
    <col min="7467" max="7680" width="9.1640625" style="2"/>
    <col min="7681" max="7681" width="44" style="2" bestFit="1" customWidth="1"/>
    <col min="7682" max="7682" width="23.33203125" style="2" customWidth="1"/>
    <col min="7683" max="7683" width="17.33203125" style="2" customWidth="1"/>
    <col min="7684" max="7685" width="7.6640625" style="2" customWidth="1"/>
    <col min="7686" max="7686" width="17.83203125" style="2" customWidth="1"/>
    <col min="7687" max="7687" width="15.5" style="2" customWidth="1"/>
    <col min="7688" max="7688" width="17.83203125" style="2" customWidth="1"/>
    <col min="7689" max="7689" width="15.83203125" style="2" customWidth="1"/>
    <col min="7690" max="7692" width="15.1640625" style="2" customWidth="1"/>
    <col min="7693" max="7693" width="12.5" style="2" bestFit="1" customWidth="1"/>
    <col min="7694" max="7694" width="11.6640625" style="2" bestFit="1" customWidth="1"/>
    <col min="7695" max="7695" width="12.5" style="2" bestFit="1" customWidth="1"/>
    <col min="7696" max="7696" width="11.1640625" style="2" bestFit="1" customWidth="1"/>
    <col min="7697" max="7697" width="12.6640625" style="2" bestFit="1" customWidth="1"/>
    <col min="7698" max="7698" width="11.5" style="2" bestFit="1" customWidth="1"/>
    <col min="7699" max="7699" width="12.6640625" style="2" bestFit="1" customWidth="1"/>
    <col min="7700" max="7700" width="11.6640625" style="2" bestFit="1" customWidth="1"/>
    <col min="7701" max="7701" width="11.5" style="2" bestFit="1" customWidth="1"/>
    <col min="7702" max="7703" width="12.5" style="2" bestFit="1" customWidth="1"/>
    <col min="7704" max="7705" width="12.33203125" style="2" bestFit="1" customWidth="1"/>
    <col min="7706" max="7706" width="11" style="2" bestFit="1" customWidth="1"/>
    <col min="7707" max="7708" width="9.6640625" style="2" bestFit="1" customWidth="1"/>
    <col min="7709" max="7709" width="9.5" style="2" bestFit="1" customWidth="1"/>
    <col min="7710" max="7710" width="9.33203125" style="2" bestFit="1" customWidth="1"/>
    <col min="7711" max="7711" width="9.5" style="2" bestFit="1" customWidth="1"/>
    <col min="7712" max="7712" width="11" style="2" bestFit="1" customWidth="1"/>
    <col min="7713" max="7714" width="9.6640625" style="2" bestFit="1" customWidth="1"/>
    <col min="7715" max="7715" width="9.5" style="2" bestFit="1" customWidth="1"/>
    <col min="7716" max="7716" width="9.6640625" style="2" bestFit="1" customWidth="1"/>
    <col min="7717" max="7717" width="11" style="2" bestFit="1" customWidth="1"/>
    <col min="7718" max="7718" width="11.5" style="2" bestFit="1" customWidth="1"/>
    <col min="7719" max="7719" width="13.5" style="2" bestFit="1" customWidth="1"/>
    <col min="7720" max="7720" width="12.33203125" style="2" bestFit="1" customWidth="1"/>
    <col min="7721" max="7721" width="9.6640625" style="2" bestFit="1" customWidth="1"/>
    <col min="7722" max="7722" width="11" style="2" bestFit="1" customWidth="1"/>
    <col min="7723" max="7936" width="9.1640625" style="2"/>
    <col min="7937" max="7937" width="44" style="2" bestFit="1" customWidth="1"/>
    <col min="7938" max="7938" width="23.33203125" style="2" customWidth="1"/>
    <col min="7939" max="7939" width="17.33203125" style="2" customWidth="1"/>
    <col min="7940" max="7941" width="7.6640625" style="2" customWidth="1"/>
    <col min="7942" max="7942" width="17.83203125" style="2" customWidth="1"/>
    <col min="7943" max="7943" width="15.5" style="2" customWidth="1"/>
    <col min="7944" max="7944" width="17.83203125" style="2" customWidth="1"/>
    <col min="7945" max="7945" width="15.83203125" style="2" customWidth="1"/>
    <col min="7946" max="7948" width="15.1640625" style="2" customWidth="1"/>
    <col min="7949" max="7949" width="12.5" style="2" bestFit="1" customWidth="1"/>
    <col min="7950" max="7950" width="11.6640625" style="2" bestFit="1" customWidth="1"/>
    <col min="7951" max="7951" width="12.5" style="2" bestFit="1" customWidth="1"/>
    <col min="7952" max="7952" width="11.1640625" style="2" bestFit="1" customWidth="1"/>
    <col min="7953" max="7953" width="12.6640625" style="2" bestFit="1" customWidth="1"/>
    <col min="7954" max="7954" width="11.5" style="2" bestFit="1" customWidth="1"/>
    <col min="7955" max="7955" width="12.6640625" style="2" bestFit="1" customWidth="1"/>
    <col min="7956" max="7956" width="11.6640625" style="2" bestFit="1" customWidth="1"/>
    <col min="7957" max="7957" width="11.5" style="2" bestFit="1" customWidth="1"/>
    <col min="7958" max="7959" width="12.5" style="2" bestFit="1" customWidth="1"/>
    <col min="7960" max="7961" width="12.33203125" style="2" bestFit="1" customWidth="1"/>
    <col min="7962" max="7962" width="11" style="2" bestFit="1" customWidth="1"/>
    <col min="7963" max="7964" width="9.6640625" style="2" bestFit="1" customWidth="1"/>
    <col min="7965" max="7965" width="9.5" style="2" bestFit="1" customWidth="1"/>
    <col min="7966" max="7966" width="9.33203125" style="2" bestFit="1" customWidth="1"/>
    <col min="7967" max="7967" width="9.5" style="2" bestFit="1" customWidth="1"/>
    <col min="7968" max="7968" width="11" style="2" bestFit="1" customWidth="1"/>
    <col min="7969" max="7970" width="9.6640625" style="2" bestFit="1" customWidth="1"/>
    <col min="7971" max="7971" width="9.5" style="2" bestFit="1" customWidth="1"/>
    <col min="7972" max="7972" width="9.6640625" style="2" bestFit="1" customWidth="1"/>
    <col min="7973" max="7973" width="11" style="2" bestFit="1" customWidth="1"/>
    <col min="7974" max="7974" width="11.5" style="2" bestFit="1" customWidth="1"/>
    <col min="7975" max="7975" width="13.5" style="2" bestFit="1" customWidth="1"/>
    <col min="7976" max="7976" width="12.33203125" style="2" bestFit="1" customWidth="1"/>
    <col min="7977" max="7977" width="9.6640625" style="2" bestFit="1" customWidth="1"/>
    <col min="7978" max="7978" width="11" style="2" bestFit="1" customWidth="1"/>
    <col min="7979" max="8192" width="9.1640625" style="2"/>
    <col min="8193" max="8193" width="44" style="2" bestFit="1" customWidth="1"/>
    <col min="8194" max="8194" width="23.33203125" style="2" customWidth="1"/>
    <col min="8195" max="8195" width="17.33203125" style="2" customWidth="1"/>
    <col min="8196" max="8197" width="7.6640625" style="2" customWidth="1"/>
    <col min="8198" max="8198" width="17.83203125" style="2" customWidth="1"/>
    <col min="8199" max="8199" width="15.5" style="2" customWidth="1"/>
    <col min="8200" max="8200" width="17.83203125" style="2" customWidth="1"/>
    <col min="8201" max="8201" width="15.83203125" style="2" customWidth="1"/>
    <col min="8202" max="8204" width="15.1640625" style="2" customWidth="1"/>
    <col min="8205" max="8205" width="12.5" style="2" bestFit="1" customWidth="1"/>
    <col min="8206" max="8206" width="11.6640625" style="2" bestFit="1" customWidth="1"/>
    <col min="8207" max="8207" width="12.5" style="2" bestFit="1" customWidth="1"/>
    <col min="8208" max="8208" width="11.1640625" style="2" bestFit="1" customWidth="1"/>
    <col min="8209" max="8209" width="12.6640625" style="2" bestFit="1" customWidth="1"/>
    <col min="8210" max="8210" width="11.5" style="2" bestFit="1" customWidth="1"/>
    <col min="8211" max="8211" width="12.6640625" style="2" bestFit="1" customWidth="1"/>
    <col min="8212" max="8212" width="11.6640625" style="2" bestFit="1" customWidth="1"/>
    <col min="8213" max="8213" width="11.5" style="2" bestFit="1" customWidth="1"/>
    <col min="8214" max="8215" width="12.5" style="2" bestFit="1" customWidth="1"/>
    <col min="8216" max="8217" width="12.33203125" style="2" bestFit="1" customWidth="1"/>
    <col min="8218" max="8218" width="11" style="2" bestFit="1" customWidth="1"/>
    <col min="8219" max="8220" width="9.6640625" style="2" bestFit="1" customWidth="1"/>
    <col min="8221" max="8221" width="9.5" style="2" bestFit="1" customWidth="1"/>
    <col min="8222" max="8222" width="9.33203125" style="2" bestFit="1" customWidth="1"/>
    <col min="8223" max="8223" width="9.5" style="2" bestFit="1" customWidth="1"/>
    <col min="8224" max="8224" width="11" style="2" bestFit="1" customWidth="1"/>
    <col min="8225" max="8226" width="9.6640625" style="2" bestFit="1" customWidth="1"/>
    <col min="8227" max="8227" width="9.5" style="2" bestFit="1" customWidth="1"/>
    <col min="8228" max="8228" width="9.6640625" style="2" bestFit="1" customWidth="1"/>
    <col min="8229" max="8229" width="11" style="2" bestFit="1" customWidth="1"/>
    <col min="8230" max="8230" width="11.5" style="2" bestFit="1" customWidth="1"/>
    <col min="8231" max="8231" width="13.5" style="2" bestFit="1" customWidth="1"/>
    <col min="8232" max="8232" width="12.33203125" style="2" bestFit="1" customWidth="1"/>
    <col min="8233" max="8233" width="9.6640625" style="2" bestFit="1" customWidth="1"/>
    <col min="8234" max="8234" width="11" style="2" bestFit="1" customWidth="1"/>
    <col min="8235" max="8448" width="9.1640625" style="2"/>
    <col min="8449" max="8449" width="44" style="2" bestFit="1" customWidth="1"/>
    <col min="8450" max="8450" width="23.33203125" style="2" customWidth="1"/>
    <col min="8451" max="8451" width="17.33203125" style="2" customWidth="1"/>
    <col min="8452" max="8453" width="7.6640625" style="2" customWidth="1"/>
    <col min="8454" max="8454" width="17.83203125" style="2" customWidth="1"/>
    <col min="8455" max="8455" width="15.5" style="2" customWidth="1"/>
    <col min="8456" max="8456" width="17.83203125" style="2" customWidth="1"/>
    <col min="8457" max="8457" width="15.83203125" style="2" customWidth="1"/>
    <col min="8458" max="8460" width="15.1640625" style="2" customWidth="1"/>
    <col min="8461" max="8461" width="12.5" style="2" bestFit="1" customWidth="1"/>
    <col min="8462" max="8462" width="11.6640625" style="2" bestFit="1" customWidth="1"/>
    <col min="8463" max="8463" width="12.5" style="2" bestFit="1" customWidth="1"/>
    <col min="8464" max="8464" width="11.1640625" style="2" bestFit="1" customWidth="1"/>
    <col min="8465" max="8465" width="12.6640625" style="2" bestFit="1" customWidth="1"/>
    <col min="8466" max="8466" width="11.5" style="2" bestFit="1" customWidth="1"/>
    <col min="8467" max="8467" width="12.6640625" style="2" bestFit="1" customWidth="1"/>
    <col min="8468" max="8468" width="11.6640625" style="2" bestFit="1" customWidth="1"/>
    <col min="8469" max="8469" width="11.5" style="2" bestFit="1" customWidth="1"/>
    <col min="8470" max="8471" width="12.5" style="2" bestFit="1" customWidth="1"/>
    <col min="8472" max="8473" width="12.33203125" style="2" bestFit="1" customWidth="1"/>
    <col min="8474" max="8474" width="11" style="2" bestFit="1" customWidth="1"/>
    <col min="8475" max="8476" width="9.6640625" style="2" bestFit="1" customWidth="1"/>
    <col min="8477" max="8477" width="9.5" style="2" bestFit="1" customWidth="1"/>
    <col min="8478" max="8478" width="9.33203125" style="2" bestFit="1" customWidth="1"/>
    <col min="8479" max="8479" width="9.5" style="2" bestFit="1" customWidth="1"/>
    <col min="8480" max="8480" width="11" style="2" bestFit="1" customWidth="1"/>
    <col min="8481" max="8482" width="9.6640625" style="2" bestFit="1" customWidth="1"/>
    <col min="8483" max="8483" width="9.5" style="2" bestFit="1" customWidth="1"/>
    <col min="8484" max="8484" width="9.6640625" style="2" bestFit="1" customWidth="1"/>
    <col min="8485" max="8485" width="11" style="2" bestFit="1" customWidth="1"/>
    <col min="8486" max="8486" width="11.5" style="2" bestFit="1" customWidth="1"/>
    <col min="8487" max="8487" width="13.5" style="2" bestFit="1" customWidth="1"/>
    <col min="8488" max="8488" width="12.33203125" style="2" bestFit="1" customWidth="1"/>
    <col min="8489" max="8489" width="9.6640625" style="2" bestFit="1" customWidth="1"/>
    <col min="8490" max="8490" width="11" style="2" bestFit="1" customWidth="1"/>
    <col min="8491" max="8704" width="9.1640625" style="2"/>
    <col min="8705" max="8705" width="44" style="2" bestFit="1" customWidth="1"/>
    <col min="8706" max="8706" width="23.33203125" style="2" customWidth="1"/>
    <col min="8707" max="8707" width="17.33203125" style="2" customWidth="1"/>
    <col min="8708" max="8709" width="7.6640625" style="2" customWidth="1"/>
    <col min="8710" max="8710" width="17.83203125" style="2" customWidth="1"/>
    <col min="8711" max="8711" width="15.5" style="2" customWidth="1"/>
    <col min="8712" max="8712" width="17.83203125" style="2" customWidth="1"/>
    <col min="8713" max="8713" width="15.83203125" style="2" customWidth="1"/>
    <col min="8714" max="8716" width="15.1640625" style="2" customWidth="1"/>
    <col min="8717" max="8717" width="12.5" style="2" bestFit="1" customWidth="1"/>
    <col min="8718" max="8718" width="11.6640625" style="2" bestFit="1" customWidth="1"/>
    <col min="8719" max="8719" width="12.5" style="2" bestFit="1" customWidth="1"/>
    <col min="8720" max="8720" width="11.1640625" style="2" bestFit="1" customWidth="1"/>
    <col min="8721" max="8721" width="12.6640625" style="2" bestFit="1" customWidth="1"/>
    <col min="8722" max="8722" width="11.5" style="2" bestFit="1" customWidth="1"/>
    <col min="8723" max="8723" width="12.6640625" style="2" bestFit="1" customWidth="1"/>
    <col min="8724" max="8724" width="11.6640625" style="2" bestFit="1" customWidth="1"/>
    <col min="8725" max="8725" width="11.5" style="2" bestFit="1" customWidth="1"/>
    <col min="8726" max="8727" width="12.5" style="2" bestFit="1" customWidth="1"/>
    <col min="8728" max="8729" width="12.33203125" style="2" bestFit="1" customWidth="1"/>
    <col min="8730" max="8730" width="11" style="2" bestFit="1" customWidth="1"/>
    <col min="8731" max="8732" width="9.6640625" style="2" bestFit="1" customWidth="1"/>
    <col min="8733" max="8733" width="9.5" style="2" bestFit="1" customWidth="1"/>
    <col min="8734" max="8734" width="9.33203125" style="2" bestFit="1" customWidth="1"/>
    <col min="8735" max="8735" width="9.5" style="2" bestFit="1" customWidth="1"/>
    <col min="8736" max="8736" width="11" style="2" bestFit="1" customWidth="1"/>
    <col min="8737" max="8738" width="9.6640625" style="2" bestFit="1" customWidth="1"/>
    <col min="8739" max="8739" width="9.5" style="2" bestFit="1" customWidth="1"/>
    <col min="8740" max="8740" width="9.6640625" style="2" bestFit="1" customWidth="1"/>
    <col min="8741" max="8741" width="11" style="2" bestFit="1" customWidth="1"/>
    <col min="8742" max="8742" width="11.5" style="2" bestFit="1" customWidth="1"/>
    <col min="8743" max="8743" width="13.5" style="2" bestFit="1" customWidth="1"/>
    <col min="8744" max="8744" width="12.33203125" style="2" bestFit="1" customWidth="1"/>
    <col min="8745" max="8745" width="9.6640625" style="2" bestFit="1" customWidth="1"/>
    <col min="8746" max="8746" width="11" style="2" bestFit="1" customWidth="1"/>
    <col min="8747" max="8960" width="9.1640625" style="2"/>
    <col min="8961" max="8961" width="44" style="2" bestFit="1" customWidth="1"/>
    <col min="8962" max="8962" width="23.33203125" style="2" customWidth="1"/>
    <col min="8963" max="8963" width="17.33203125" style="2" customWidth="1"/>
    <col min="8964" max="8965" width="7.6640625" style="2" customWidth="1"/>
    <col min="8966" max="8966" width="17.83203125" style="2" customWidth="1"/>
    <col min="8967" max="8967" width="15.5" style="2" customWidth="1"/>
    <col min="8968" max="8968" width="17.83203125" style="2" customWidth="1"/>
    <col min="8969" max="8969" width="15.83203125" style="2" customWidth="1"/>
    <col min="8970" max="8972" width="15.1640625" style="2" customWidth="1"/>
    <col min="8973" max="8973" width="12.5" style="2" bestFit="1" customWidth="1"/>
    <col min="8974" max="8974" width="11.6640625" style="2" bestFit="1" customWidth="1"/>
    <col min="8975" max="8975" width="12.5" style="2" bestFit="1" customWidth="1"/>
    <col min="8976" max="8976" width="11.1640625" style="2" bestFit="1" customWidth="1"/>
    <col min="8977" max="8977" width="12.6640625" style="2" bestFit="1" customWidth="1"/>
    <col min="8978" max="8978" width="11.5" style="2" bestFit="1" customWidth="1"/>
    <col min="8979" max="8979" width="12.6640625" style="2" bestFit="1" customWidth="1"/>
    <col min="8980" max="8980" width="11.6640625" style="2" bestFit="1" customWidth="1"/>
    <col min="8981" max="8981" width="11.5" style="2" bestFit="1" customWidth="1"/>
    <col min="8982" max="8983" width="12.5" style="2" bestFit="1" customWidth="1"/>
    <col min="8984" max="8985" width="12.33203125" style="2" bestFit="1" customWidth="1"/>
    <col min="8986" max="8986" width="11" style="2" bestFit="1" customWidth="1"/>
    <col min="8987" max="8988" width="9.6640625" style="2" bestFit="1" customWidth="1"/>
    <col min="8989" max="8989" width="9.5" style="2" bestFit="1" customWidth="1"/>
    <col min="8990" max="8990" width="9.33203125" style="2" bestFit="1" customWidth="1"/>
    <col min="8991" max="8991" width="9.5" style="2" bestFit="1" customWidth="1"/>
    <col min="8992" max="8992" width="11" style="2" bestFit="1" customWidth="1"/>
    <col min="8993" max="8994" width="9.6640625" style="2" bestFit="1" customWidth="1"/>
    <col min="8995" max="8995" width="9.5" style="2" bestFit="1" customWidth="1"/>
    <col min="8996" max="8996" width="9.6640625" style="2" bestFit="1" customWidth="1"/>
    <col min="8997" max="8997" width="11" style="2" bestFit="1" customWidth="1"/>
    <col min="8998" max="8998" width="11.5" style="2" bestFit="1" customWidth="1"/>
    <col min="8999" max="8999" width="13.5" style="2" bestFit="1" customWidth="1"/>
    <col min="9000" max="9000" width="12.33203125" style="2" bestFit="1" customWidth="1"/>
    <col min="9001" max="9001" width="9.6640625" style="2" bestFit="1" customWidth="1"/>
    <col min="9002" max="9002" width="11" style="2" bestFit="1" customWidth="1"/>
    <col min="9003" max="9216" width="9.1640625" style="2"/>
    <col min="9217" max="9217" width="44" style="2" bestFit="1" customWidth="1"/>
    <col min="9218" max="9218" width="23.33203125" style="2" customWidth="1"/>
    <col min="9219" max="9219" width="17.33203125" style="2" customWidth="1"/>
    <col min="9220" max="9221" width="7.6640625" style="2" customWidth="1"/>
    <col min="9222" max="9222" width="17.83203125" style="2" customWidth="1"/>
    <col min="9223" max="9223" width="15.5" style="2" customWidth="1"/>
    <col min="9224" max="9224" width="17.83203125" style="2" customWidth="1"/>
    <col min="9225" max="9225" width="15.83203125" style="2" customWidth="1"/>
    <col min="9226" max="9228" width="15.1640625" style="2" customWidth="1"/>
    <col min="9229" max="9229" width="12.5" style="2" bestFit="1" customWidth="1"/>
    <col min="9230" max="9230" width="11.6640625" style="2" bestFit="1" customWidth="1"/>
    <col min="9231" max="9231" width="12.5" style="2" bestFit="1" customWidth="1"/>
    <col min="9232" max="9232" width="11.1640625" style="2" bestFit="1" customWidth="1"/>
    <col min="9233" max="9233" width="12.6640625" style="2" bestFit="1" customWidth="1"/>
    <col min="9234" max="9234" width="11.5" style="2" bestFit="1" customWidth="1"/>
    <col min="9235" max="9235" width="12.6640625" style="2" bestFit="1" customWidth="1"/>
    <col min="9236" max="9236" width="11.6640625" style="2" bestFit="1" customWidth="1"/>
    <col min="9237" max="9237" width="11.5" style="2" bestFit="1" customWidth="1"/>
    <col min="9238" max="9239" width="12.5" style="2" bestFit="1" customWidth="1"/>
    <col min="9240" max="9241" width="12.33203125" style="2" bestFit="1" customWidth="1"/>
    <col min="9242" max="9242" width="11" style="2" bestFit="1" customWidth="1"/>
    <col min="9243" max="9244" width="9.6640625" style="2" bestFit="1" customWidth="1"/>
    <col min="9245" max="9245" width="9.5" style="2" bestFit="1" customWidth="1"/>
    <col min="9246" max="9246" width="9.33203125" style="2" bestFit="1" customWidth="1"/>
    <col min="9247" max="9247" width="9.5" style="2" bestFit="1" customWidth="1"/>
    <col min="9248" max="9248" width="11" style="2" bestFit="1" customWidth="1"/>
    <col min="9249" max="9250" width="9.6640625" style="2" bestFit="1" customWidth="1"/>
    <col min="9251" max="9251" width="9.5" style="2" bestFit="1" customWidth="1"/>
    <col min="9252" max="9252" width="9.6640625" style="2" bestFit="1" customWidth="1"/>
    <col min="9253" max="9253" width="11" style="2" bestFit="1" customWidth="1"/>
    <col min="9254" max="9254" width="11.5" style="2" bestFit="1" customWidth="1"/>
    <col min="9255" max="9255" width="13.5" style="2" bestFit="1" customWidth="1"/>
    <col min="9256" max="9256" width="12.33203125" style="2" bestFit="1" customWidth="1"/>
    <col min="9257" max="9257" width="9.6640625" style="2" bestFit="1" customWidth="1"/>
    <col min="9258" max="9258" width="11" style="2" bestFit="1" customWidth="1"/>
    <col min="9259" max="9472" width="9.1640625" style="2"/>
    <col min="9473" max="9473" width="44" style="2" bestFit="1" customWidth="1"/>
    <col min="9474" max="9474" width="23.33203125" style="2" customWidth="1"/>
    <col min="9475" max="9475" width="17.33203125" style="2" customWidth="1"/>
    <col min="9476" max="9477" width="7.6640625" style="2" customWidth="1"/>
    <col min="9478" max="9478" width="17.83203125" style="2" customWidth="1"/>
    <col min="9479" max="9479" width="15.5" style="2" customWidth="1"/>
    <col min="9480" max="9480" width="17.83203125" style="2" customWidth="1"/>
    <col min="9481" max="9481" width="15.83203125" style="2" customWidth="1"/>
    <col min="9482" max="9484" width="15.1640625" style="2" customWidth="1"/>
    <col min="9485" max="9485" width="12.5" style="2" bestFit="1" customWidth="1"/>
    <col min="9486" max="9486" width="11.6640625" style="2" bestFit="1" customWidth="1"/>
    <col min="9487" max="9487" width="12.5" style="2" bestFit="1" customWidth="1"/>
    <col min="9488" max="9488" width="11.1640625" style="2" bestFit="1" customWidth="1"/>
    <col min="9489" max="9489" width="12.6640625" style="2" bestFit="1" customWidth="1"/>
    <col min="9490" max="9490" width="11.5" style="2" bestFit="1" customWidth="1"/>
    <col min="9491" max="9491" width="12.6640625" style="2" bestFit="1" customWidth="1"/>
    <col min="9492" max="9492" width="11.6640625" style="2" bestFit="1" customWidth="1"/>
    <col min="9493" max="9493" width="11.5" style="2" bestFit="1" customWidth="1"/>
    <col min="9494" max="9495" width="12.5" style="2" bestFit="1" customWidth="1"/>
    <col min="9496" max="9497" width="12.33203125" style="2" bestFit="1" customWidth="1"/>
    <col min="9498" max="9498" width="11" style="2" bestFit="1" customWidth="1"/>
    <col min="9499" max="9500" width="9.6640625" style="2" bestFit="1" customWidth="1"/>
    <col min="9501" max="9501" width="9.5" style="2" bestFit="1" customWidth="1"/>
    <col min="9502" max="9502" width="9.33203125" style="2" bestFit="1" customWidth="1"/>
    <col min="9503" max="9503" width="9.5" style="2" bestFit="1" customWidth="1"/>
    <col min="9504" max="9504" width="11" style="2" bestFit="1" customWidth="1"/>
    <col min="9505" max="9506" width="9.6640625" style="2" bestFit="1" customWidth="1"/>
    <col min="9507" max="9507" width="9.5" style="2" bestFit="1" customWidth="1"/>
    <col min="9508" max="9508" width="9.6640625" style="2" bestFit="1" customWidth="1"/>
    <col min="9509" max="9509" width="11" style="2" bestFit="1" customWidth="1"/>
    <col min="9510" max="9510" width="11.5" style="2" bestFit="1" customWidth="1"/>
    <col min="9511" max="9511" width="13.5" style="2" bestFit="1" customWidth="1"/>
    <col min="9512" max="9512" width="12.33203125" style="2" bestFit="1" customWidth="1"/>
    <col min="9513" max="9513" width="9.6640625" style="2" bestFit="1" customWidth="1"/>
    <col min="9514" max="9514" width="11" style="2" bestFit="1" customWidth="1"/>
    <col min="9515" max="9728" width="9.1640625" style="2"/>
    <col min="9729" max="9729" width="44" style="2" bestFit="1" customWidth="1"/>
    <col min="9730" max="9730" width="23.33203125" style="2" customWidth="1"/>
    <col min="9731" max="9731" width="17.33203125" style="2" customWidth="1"/>
    <col min="9732" max="9733" width="7.6640625" style="2" customWidth="1"/>
    <col min="9734" max="9734" width="17.83203125" style="2" customWidth="1"/>
    <col min="9735" max="9735" width="15.5" style="2" customWidth="1"/>
    <col min="9736" max="9736" width="17.83203125" style="2" customWidth="1"/>
    <col min="9737" max="9737" width="15.83203125" style="2" customWidth="1"/>
    <col min="9738" max="9740" width="15.1640625" style="2" customWidth="1"/>
    <col min="9741" max="9741" width="12.5" style="2" bestFit="1" customWidth="1"/>
    <col min="9742" max="9742" width="11.6640625" style="2" bestFit="1" customWidth="1"/>
    <col min="9743" max="9743" width="12.5" style="2" bestFit="1" customWidth="1"/>
    <col min="9744" max="9744" width="11.1640625" style="2" bestFit="1" customWidth="1"/>
    <col min="9745" max="9745" width="12.6640625" style="2" bestFit="1" customWidth="1"/>
    <col min="9746" max="9746" width="11.5" style="2" bestFit="1" customWidth="1"/>
    <col min="9747" max="9747" width="12.6640625" style="2" bestFit="1" customWidth="1"/>
    <col min="9748" max="9748" width="11.6640625" style="2" bestFit="1" customWidth="1"/>
    <col min="9749" max="9749" width="11.5" style="2" bestFit="1" customWidth="1"/>
    <col min="9750" max="9751" width="12.5" style="2" bestFit="1" customWidth="1"/>
    <col min="9752" max="9753" width="12.33203125" style="2" bestFit="1" customWidth="1"/>
    <col min="9754" max="9754" width="11" style="2" bestFit="1" customWidth="1"/>
    <col min="9755" max="9756" width="9.6640625" style="2" bestFit="1" customWidth="1"/>
    <col min="9757" max="9757" width="9.5" style="2" bestFit="1" customWidth="1"/>
    <col min="9758" max="9758" width="9.33203125" style="2" bestFit="1" customWidth="1"/>
    <col min="9759" max="9759" width="9.5" style="2" bestFit="1" customWidth="1"/>
    <col min="9760" max="9760" width="11" style="2" bestFit="1" customWidth="1"/>
    <col min="9761" max="9762" width="9.6640625" style="2" bestFit="1" customWidth="1"/>
    <col min="9763" max="9763" width="9.5" style="2" bestFit="1" customWidth="1"/>
    <col min="9764" max="9764" width="9.6640625" style="2" bestFit="1" customWidth="1"/>
    <col min="9765" max="9765" width="11" style="2" bestFit="1" customWidth="1"/>
    <col min="9766" max="9766" width="11.5" style="2" bestFit="1" customWidth="1"/>
    <col min="9767" max="9767" width="13.5" style="2" bestFit="1" customWidth="1"/>
    <col min="9768" max="9768" width="12.33203125" style="2" bestFit="1" customWidth="1"/>
    <col min="9769" max="9769" width="9.6640625" style="2" bestFit="1" customWidth="1"/>
    <col min="9770" max="9770" width="11" style="2" bestFit="1" customWidth="1"/>
    <col min="9771" max="9984" width="9.1640625" style="2"/>
    <col min="9985" max="9985" width="44" style="2" bestFit="1" customWidth="1"/>
    <col min="9986" max="9986" width="23.33203125" style="2" customWidth="1"/>
    <col min="9987" max="9987" width="17.33203125" style="2" customWidth="1"/>
    <col min="9988" max="9989" width="7.6640625" style="2" customWidth="1"/>
    <col min="9990" max="9990" width="17.83203125" style="2" customWidth="1"/>
    <col min="9991" max="9991" width="15.5" style="2" customWidth="1"/>
    <col min="9992" max="9992" width="17.83203125" style="2" customWidth="1"/>
    <col min="9993" max="9993" width="15.83203125" style="2" customWidth="1"/>
    <col min="9994" max="9996" width="15.1640625" style="2" customWidth="1"/>
    <col min="9997" max="9997" width="12.5" style="2" bestFit="1" customWidth="1"/>
    <col min="9998" max="9998" width="11.6640625" style="2" bestFit="1" customWidth="1"/>
    <col min="9999" max="9999" width="12.5" style="2" bestFit="1" customWidth="1"/>
    <col min="10000" max="10000" width="11.1640625" style="2" bestFit="1" customWidth="1"/>
    <col min="10001" max="10001" width="12.6640625" style="2" bestFit="1" customWidth="1"/>
    <col min="10002" max="10002" width="11.5" style="2" bestFit="1" customWidth="1"/>
    <col min="10003" max="10003" width="12.6640625" style="2" bestFit="1" customWidth="1"/>
    <col min="10004" max="10004" width="11.6640625" style="2" bestFit="1" customWidth="1"/>
    <col min="10005" max="10005" width="11.5" style="2" bestFit="1" customWidth="1"/>
    <col min="10006" max="10007" width="12.5" style="2" bestFit="1" customWidth="1"/>
    <col min="10008" max="10009" width="12.33203125" style="2" bestFit="1" customWidth="1"/>
    <col min="10010" max="10010" width="11" style="2" bestFit="1" customWidth="1"/>
    <col min="10011" max="10012" width="9.6640625" style="2" bestFit="1" customWidth="1"/>
    <col min="10013" max="10013" width="9.5" style="2" bestFit="1" customWidth="1"/>
    <col min="10014" max="10014" width="9.33203125" style="2" bestFit="1" customWidth="1"/>
    <col min="10015" max="10015" width="9.5" style="2" bestFit="1" customWidth="1"/>
    <col min="10016" max="10016" width="11" style="2" bestFit="1" customWidth="1"/>
    <col min="10017" max="10018" width="9.6640625" style="2" bestFit="1" customWidth="1"/>
    <col min="10019" max="10019" width="9.5" style="2" bestFit="1" customWidth="1"/>
    <col min="10020" max="10020" width="9.6640625" style="2" bestFit="1" customWidth="1"/>
    <col min="10021" max="10021" width="11" style="2" bestFit="1" customWidth="1"/>
    <col min="10022" max="10022" width="11.5" style="2" bestFit="1" customWidth="1"/>
    <col min="10023" max="10023" width="13.5" style="2" bestFit="1" customWidth="1"/>
    <col min="10024" max="10024" width="12.33203125" style="2" bestFit="1" customWidth="1"/>
    <col min="10025" max="10025" width="9.6640625" style="2" bestFit="1" customWidth="1"/>
    <col min="10026" max="10026" width="11" style="2" bestFit="1" customWidth="1"/>
    <col min="10027" max="10240" width="9.1640625" style="2"/>
    <col min="10241" max="10241" width="44" style="2" bestFit="1" customWidth="1"/>
    <col min="10242" max="10242" width="23.33203125" style="2" customWidth="1"/>
    <col min="10243" max="10243" width="17.33203125" style="2" customWidth="1"/>
    <col min="10244" max="10245" width="7.6640625" style="2" customWidth="1"/>
    <col min="10246" max="10246" width="17.83203125" style="2" customWidth="1"/>
    <col min="10247" max="10247" width="15.5" style="2" customWidth="1"/>
    <col min="10248" max="10248" width="17.83203125" style="2" customWidth="1"/>
    <col min="10249" max="10249" width="15.83203125" style="2" customWidth="1"/>
    <col min="10250" max="10252" width="15.1640625" style="2" customWidth="1"/>
    <col min="10253" max="10253" width="12.5" style="2" bestFit="1" customWidth="1"/>
    <col min="10254" max="10254" width="11.6640625" style="2" bestFit="1" customWidth="1"/>
    <col min="10255" max="10255" width="12.5" style="2" bestFit="1" customWidth="1"/>
    <col min="10256" max="10256" width="11.1640625" style="2" bestFit="1" customWidth="1"/>
    <col min="10257" max="10257" width="12.6640625" style="2" bestFit="1" customWidth="1"/>
    <col min="10258" max="10258" width="11.5" style="2" bestFit="1" customWidth="1"/>
    <col min="10259" max="10259" width="12.6640625" style="2" bestFit="1" customWidth="1"/>
    <col min="10260" max="10260" width="11.6640625" style="2" bestFit="1" customWidth="1"/>
    <col min="10261" max="10261" width="11.5" style="2" bestFit="1" customWidth="1"/>
    <col min="10262" max="10263" width="12.5" style="2" bestFit="1" customWidth="1"/>
    <col min="10264" max="10265" width="12.33203125" style="2" bestFit="1" customWidth="1"/>
    <col min="10266" max="10266" width="11" style="2" bestFit="1" customWidth="1"/>
    <col min="10267" max="10268" width="9.6640625" style="2" bestFit="1" customWidth="1"/>
    <col min="10269" max="10269" width="9.5" style="2" bestFit="1" customWidth="1"/>
    <col min="10270" max="10270" width="9.33203125" style="2" bestFit="1" customWidth="1"/>
    <col min="10271" max="10271" width="9.5" style="2" bestFit="1" customWidth="1"/>
    <col min="10272" max="10272" width="11" style="2" bestFit="1" customWidth="1"/>
    <col min="10273" max="10274" width="9.6640625" style="2" bestFit="1" customWidth="1"/>
    <col min="10275" max="10275" width="9.5" style="2" bestFit="1" customWidth="1"/>
    <col min="10276" max="10276" width="9.6640625" style="2" bestFit="1" customWidth="1"/>
    <col min="10277" max="10277" width="11" style="2" bestFit="1" customWidth="1"/>
    <col min="10278" max="10278" width="11.5" style="2" bestFit="1" customWidth="1"/>
    <col min="10279" max="10279" width="13.5" style="2" bestFit="1" customWidth="1"/>
    <col min="10280" max="10280" width="12.33203125" style="2" bestFit="1" customWidth="1"/>
    <col min="10281" max="10281" width="9.6640625" style="2" bestFit="1" customWidth="1"/>
    <col min="10282" max="10282" width="11" style="2" bestFit="1" customWidth="1"/>
    <col min="10283" max="10496" width="9.1640625" style="2"/>
    <col min="10497" max="10497" width="44" style="2" bestFit="1" customWidth="1"/>
    <col min="10498" max="10498" width="23.33203125" style="2" customWidth="1"/>
    <col min="10499" max="10499" width="17.33203125" style="2" customWidth="1"/>
    <col min="10500" max="10501" width="7.6640625" style="2" customWidth="1"/>
    <col min="10502" max="10502" width="17.83203125" style="2" customWidth="1"/>
    <col min="10503" max="10503" width="15.5" style="2" customWidth="1"/>
    <col min="10504" max="10504" width="17.83203125" style="2" customWidth="1"/>
    <col min="10505" max="10505" width="15.83203125" style="2" customWidth="1"/>
    <col min="10506" max="10508" width="15.1640625" style="2" customWidth="1"/>
    <col min="10509" max="10509" width="12.5" style="2" bestFit="1" customWidth="1"/>
    <col min="10510" max="10510" width="11.6640625" style="2" bestFit="1" customWidth="1"/>
    <col min="10511" max="10511" width="12.5" style="2" bestFit="1" customWidth="1"/>
    <col min="10512" max="10512" width="11.1640625" style="2" bestFit="1" customWidth="1"/>
    <col min="10513" max="10513" width="12.6640625" style="2" bestFit="1" customWidth="1"/>
    <col min="10514" max="10514" width="11.5" style="2" bestFit="1" customWidth="1"/>
    <col min="10515" max="10515" width="12.6640625" style="2" bestFit="1" customWidth="1"/>
    <col min="10516" max="10516" width="11.6640625" style="2" bestFit="1" customWidth="1"/>
    <col min="10517" max="10517" width="11.5" style="2" bestFit="1" customWidth="1"/>
    <col min="10518" max="10519" width="12.5" style="2" bestFit="1" customWidth="1"/>
    <col min="10520" max="10521" width="12.33203125" style="2" bestFit="1" customWidth="1"/>
    <col min="10522" max="10522" width="11" style="2" bestFit="1" customWidth="1"/>
    <col min="10523" max="10524" width="9.6640625" style="2" bestFit="1" customWidth="1"/>
    <col min="10525" max="10525" width="9.5" style="2" bestFit="1" customWidth="1"/>
    <col min="10526" max="10526" width="9.33203125" style="2" bestFit="1" customWidth="1"/>
    <col min="10527" max="10527" width="9.5" style="2" bestFit="1" customWidth="1"/>
    <col min="10528" max="10528" width="11" style="2" bestFit="1" customWidth="1"/>
    <col min="10529" max="10530" width="9.6640625" style="2" bestFit="1" customWidth="1"/>
    <col min="10531" max="10531" width="9.5" style="2" bestFit="1" customWidth="1"/>
    <col min="10532" max="10532" width="9.6640625" style="2" bestFit="1" customWidth="1"/>
    <col min="10533" max="10533" width="11" style="2" bestFit="1" customWidth="1"/>
    <col min="10534" max="10534" width="11.5" style="2" bestFit="1" customWidth="1"/>
    <col min="10535" max="10535" width="13.5" style="2" bestFit="1" customWidth="1"/>
    <col min="10536" max="10536" width="12.33203125" style="2" bestFit="1" customWidth="1"/>
    <col min="10537" max="10537" width="9.6640625" style="2" bestFit="1" customWidth="1"/>
    <col min="10538" max="10538" width="11" style="2" bestFit="1" customWidth="1"/>
    <col min="10539" max="10752" width="9.1640625" style="2"/>
    <col min="10753" max="10753" width="44" style="2" bestFit="1" customWidth="1"/>
    <col min="10754" max="10754" width="23.33203125" style="2" customWidth="1"/>
    <col min="10755" max="10755" width="17.33203125" style="2" customWidth="1"/>
    <col min="10756" max="10757" width="7.6640625" style="2" customWidth="1"/>
    <col min="10758" max="10758" width="17.83203125" style="2" customWidth="1"/>
    <col min="10759" max="10759" width="15.5" style="2" customWidth="1"/>
    <col min="10760" max="10760" width="17.83203125" style="2" customWidth="1"/>
    <col min="10761" max="10761" width="15.83203125" style="2" customWidth="1"/>
    <col min="10762" max="10764" width="15.1640625" style="2" customWidth="1"/>
    <col min="10765" max="10765" width="12.5" style="2" bestFit="1" customWidth="1"/>
    <col min="10766" max="10766" width="11.6640625" style="2" bestFit="1" customWidth="1"/>
    <col min="10767" max="10767" width="12.5" style="2" bestFit="1" customWidth="1"/>
    <col min="10768" max="10768" width="11.1640625" style="2" bestFit="1" customWidth="1"/>
    <col min="10769" max="10769" width="12.6640625" style="2" bestFit="1" customWidth="1"/>
    <col min="10770" max="10770" width="11.5" style="2" bestFit="1" customWidth="1"/>
    <col min="10771" max="10771" width="12.6640625" style="2" bestFit="1" customWidth="1"/>
    <col min="10772" max="10772" width="11.6640625" style="2" bestFit="1" customWidth="1"/>
    <col min="10773" max="10773" width="11.5" style="2" bestFit="1" customWidth="1"/>
    <col min="10774" max="10775" width="12.5" style="2" bestFit="1" customWidth="1"/>
    <col min="10776" max="10777" width="12.33203125" style="2" bestFit="1" customWidth="1"/>
    <col min="10778" max="10778" width="11" style="2" bestFit="1" customWidth="1"/>
    <col min="10779" max="10780" width="9.6640625" style="2" bestFit="1" customWidth="1"/>
    <col min="10781" max="10781" width="9.5" style="2" bestFit="1" customWidth="1"/>
    <col min="10782" max="10782" width="9.33203125" style="2" bestFit="1" customWidth="1"/>
    <col min="10783" max="10783" width="9.5" style="2" bestFit="1" customWidth="1"/>
    <col min="10784" max="10784" width="11" style="2" bestFit="1" customWidth="1"/>
    <col min="10785" max="10786" width="9.6640625" style="2" bestFit="1" customWidth="1"/>
    <col min="10787" max="10787" width="9.5" style="2" bestFit="1" customWidth="1"/>
    <col min="10788" max="10788" width="9.6640625" style="2" bestFit="1" customWidth="1"/>
    <col min="10789" max="10789" width="11" style="2" bestFit="1" customWidth="1"/>
    <col min="10790" max="10790" width="11.5" style="2" bestFit="1" customWidth="1"/>
    <col min="10791" max="10791" width="13.5" style="2" bestFit="1" customWidth="1"/>
    <col min="10792" max="10792" width="12.33203125" style="2" bestFit="1" customWidth="1"/>
    <col min="10793" max="10793" width="9.6640625" style="2" bestFit="1" customWidth="1"/>
    <col min="10794" max="10794" width="11" style="2" bestFit="1" customWidth="1"/>
    <col min="10795" max="11008" width="9.1640625" style="2"/>
    <col min="11009" max="11009" width="44" style="2" bestFit="1" customWidth="1"/>
    <col min="11010" max="11010" width="23.33203125" style="2" customWidth="1"/>
    <col min="11011" max="11011" width="17.33203125" style="2" customWidth="1"/>
    <col min="11012" max="11013" width="7.6640625" style="2" customWidth="1"/>
    <col min="11014" max="11014" width="17.83203125" style="2" customWidth="1"/>
    <col min="11015" max="11015" width="15.5" style="2" customWidth="1"/>
    <col min="11016" max="11016" width="17.83203125" style="2" customWidth="1"/>
    <col min="11017" max="11017" width="15.83203125" style="2" customWidth="1"/>
    <col min="11018" max="11020" width="15.1640625" style="2" customWidth="1"/>
    <col min="11021" max="11021" width="12.5" style="2" bestFit="1" customWidth="1"/>
    <col min="11022" max="11022" width="11.6640625" style="2" bestFit="1" customWidth="1"/>
    <col min="11023" max="11023" width="12.5" style="2" bestFit="1" customWidth="1"/>
    <col min="11024" max="11024" width="11.1640625" style="2" bestFit="1" customWidth="1"/>
    <col min="11025" max="11025" width="12.6640625" style="2" bestFit="1" customWidth="1"/>
    <col min="11026" max="11026" width="11.5" style="2" bestFit="1" customWidth="1"/>
    <col min="11027" max="11027" width="12.6640625" style="2" bestFit="1" customWidth="1"/>
    <col min="11028" max="11028" width="11.6640625" style="2" bestFit="1" customWidth="1"/>
    <col min="11029" max="11029" width="11.5" style="2" bestFit="1" customWidth="1"/>
    <col min="11030" max="11031" width="12.5" style="2" bestFit="1" customWidth="1"/>
    <col min="11032" max="11033" width="12.33203125" style="2" bestFit="1" customWidth="1"/>
    <col min="11034" max="11034" width="11" style="2" bestFit="1" customWidth="1"/>
    <col min="11035" max="11036" width="9.6640625" style="2" bestFit="1" customWidth="1"/>
    <col min="11037" max="11037" width="9.5" style="2" bestFit="1" customWidth="1"/>
    <col min="11038" max="11038" width="9.33203125" style="2" bestFit="1" customWidth="1"/>
    <col min="11039" max="11039" width="9.5" style="2" bestFit="1" customWidth="1"/>
    <col min="11040" max="11040" width="11" style="2" bestFit="1" customWidth="1"/>
    <col min="11041" max="11042" width="9.6640625" style="2" bestFit="1" customWidth="1"/>
    <col min="11043" max="11043" width="9.5" style="2" bestFit="1" customWidth="1"/>
    <col min="11044" max="11044" width="9.6640625" style="2" bestFit="1" customWidth="1"/>
    <col min="11045" max="11045" width="11" style="2" bestFit="1" customWidth="1"/>
    <col min="11046" max="11046" width="11.5" style="2" bestFit="1" customWidth="1"/>
    <col min="11047" max="11047" width="13.5" style="2" bestFit="1" customWidth="1"/>
    <col min="11048" max="11048" width="12.33203125" style="2" bestFit="1" customWidth="1"/>
    <col min="11049" max="11049" width="9.6640625" style="2" bestFit="1" customWidth="1"/>
    <col min="11050" max="11050" width="11" style="2" bestFit="1" customWidth="1"/>
    <col min="11051" max="11264" width="9.1640625" style="2"/>
    <col min="11265" max="11265" width="44" style="2" bestFit="1" customWidth="1"/>
    <col min="11266" max="11266" width="23.33203125" style="2" customWidth="1"/>
    <col min="11267" max="11267" width="17.33203125" style="2" customWidth="1"/>
    <col min="11268" max="11269" width="7.6640625" style="2" customWidth="1"/>
    <col min="11270" max="11270" width="17.83203125" style="2" customWidth="1"/>
    <col min="11271" max="11271" width="15.5" style="2" customWidth="1"/>
    <col min="11272" max="11272" width="17.83203125" style="2" customWidth="1"/>
    <col min="11273" max="11273" width="15.83203125" style="2" customWidth="1"/>
    <col min="11274" max="11276" width="15.1640625" style="2" customWidth="1"/>
    <col min="11277" max="11277" width="12.5" style="2" bestFit="1" customWidth="1"/>
    <col min="11278" max="11278" width="11.6640625" style="2" bestFit="1" customWidth="1"/>
    <col min="11279" max="11279" width="12.5" style="2" bestFit="1" customWidth="1"/>
    <col min="11280" max="11280" width="11.1640625" style="2" bestFit="1" customWidth="1"/>
    <col min="11281" max="11281" width="12.6640625" style="2" bestFit="1" customWidth="1"/>
    <col min="11282" max="11282" width="11.5" style="2" bestFit="1" customWidth="1"/>
    <col min="11283" max="11283" width="12.6640625" style="2" bestFit="1" customWidth="1"/>
    <col min="11284" max="11284" width="11.6640625" style="2" bestFit="1" customWidth="1"/>
    <col min="11285" max="11285" width="11.5" style="2" bestFit="1" customWidth="1"/>
    <col min="11286" max="11287" width="12.5" style="2" bestFit="1" customWidth="1"/>
    <col min="11288" max="11289" width="12.33203125" style="2" bestFit="1" customWidth="1"/>
    <col min="11290" max="11290" width="11" style="2" bestFit="1" customWidth="1"/>
    <col min="11291" max="11292" width="9.6640625" style="2" bestFit="1" customWidth="1"/>
    <col min="11293" max="11293" width="9.5" style="2" bestFit="1" customWidth="1"/>
    <col min="11294" max="11294" width="9.33203125" style="2" bestFit="1" customWidth="1"/>
    <col min="11295" max="11295" width="9.5" style="2" bestFit="1" customWidth="1"/>
    <col min="11296" max="11296" width="11" style="2" bestFit="1" customWidth="1"/>
    <col min="11297" max="11298" width="9.6640625" style="2" bestFit="1" customWidth="1"/>
    <col min="11299" max="11299" width="9.5" style="2" bestFit="1" customWidth="1"/>
    <col min="11300" max="11300" width="9.6640625" style="2" bestFit="1" customWidth="1"/>
    <col min="11301" max="11301" width="11" style="2" bestFit="1" customWidth="1"/>
    <col min="11302" max="11302" width="11.5" style="2" bestFit="1" customWidth="1"/>
    <col min="11303" max="11303" width="13.5" style="2" bestFit="1" customWidth="1"/>
    <col min="11304" max="11304" width="12.33203125" style="2" bestFit="1" customWidth="1"/>
    <col min="11305" max="11305" width="9.6640625" style="2" bestFit="1" customWidth="1"/>
    <col min="11306" max="11306" width="11" style="2" bestFit="1" customWidth="1"/>
    <col min="11307" max="11520" width="9.1640625" style="2"/>
    <col min="11521" max="11521" width="44" style="2" bestFit="1" customWidth="1"/>
    <col min="11522" max="11522" width="23.33203125" style="2" customWidth="1"/>
    <col min="11523" max="11523" width="17.33203125" style="2" customWidth="1"/>
    <col min="11524" max="11525" width="7.6640625" style="2" customWidth="1"/>
    <col min="11526" max="11526" width="17.83203125" style="2" customWidth="1"/>
    <col min="11527" max="11527" width="15.5" style="2" customWidth="1"/>
    <col min="11528" max="11528" width="17.83203125" style="2" customWidth="1"/>
    <col min="11529" max="11529" width="15.83203125" style="2" customWidth="1"/>
    <col min="11530" max="11532" width="15.1640625" style="2" customWidth="1"/>
    <col min="11533" max="11533" width="12.5" style="2" bestFit="1" customWidth="1"/>
    <col min="11534" max="11534" width="11.6640625" style="2" bestFit="1" customWidth="1"/>
    <col min="11535" max="11535" width="12.5" style="2" bestFit="1" customWidth="1"/>
    <col min="11536" max="11536" width="11.1640625" style="2" bestFit="1" customWidth="1"/>
    <col min="11537" max="11537" width="12.6640625" style="2" bestFit="1" customWidth="1"/>
    <col min="11538" max="11538" width="11.5" style="2" bestFit="1" customWidth="1"/>
    <col min="11539" max="11539" width="12.6640625" style="2" bestFit="1" customWidth="1"/>
    <col min="11540" max="11540" width="11.6640625" style="2" bestFit="1" customWidth="1"/>
    <col min="11541" max="11541" width="11.5" style="2" bestFit="1" customWidth="1"/>
    <col min="11542" max="11543" width="12.5" style="2" bestFit="1" customWidth="1"/>
    <col min="11544" max="11545" width="12.33203125" style="2" bestFit="1" customWidth="1"/>
    <col min="11546" max="11546" width="11" style="2" bestFit="1" customWidth="1"/>
    <col min="11547" max="11548" width="9.6640625" style="2" bestFit="1" customWidth="1"/>
    <col min="11549" max="11549" width="9.5" style="2" bestFit="1" customWidth="1"/>
    <col min="11550" max="11550" width="9.33203125" style="2" bestFit="1" customWidth="1"/>
    <col min="11551" max="11551" width="9.5" style="2" bestFit="1" customWidth="1"/>
    <col min="11552" max="11552" width="11" style="2" bestFit="1" customWidth="1"/>
    <col min="11553" max="11554" width="9.6640625" style="2" bestFit="1" customWidth="1"/>
    <col min="11555" max="11555" width="9.5" style="2" bestFit="1" customWidth="1"/>
    <col min="11556" max="11556" width="9.6640625" style="2" bestFit="1" customWidth="1"/>
    <col min="11557" max="11557" width="11" style="2" bestFit="1" customWidth="1"/>
    <col min="11558" max="11558" width="11.5" style="2" bestFit="1" customWidth="1"/>
    <col min="11559" max="11559" width="13.5" style="2" bestFit="1" customWidth="1"/>
    <col min="11560" max="11560" width="12.33203125" style="2" bestFit="1" customWidth="1"/>
    <col min="11561" max="11561" width="9.6640625" style="2" bestFit="1" customWidth="1"/>
    <col min="11562" max="11562" width="11" style="2" bestFit="1" customWidth="1"/>
    <col min="11563" max="11776" width="9.1640625" style="2"/>
    <col min="11777" max="11777" width="44" style="2" bestFit="1" customWidth="1"/>
    <col min="11778" max="11778" width="23.33203125" style="2" customWidth="1"/>
    <col min="11779" max="11779" width="17.33203125" style="2" customWidth="1"/>
    <col min="11780" max="11781" width="7.6640625" style="2" customWidth="1"/>
    <col min="11782" max="11782" width="17.83203125" style="2" customWidth="1"/>
    <col min="11783" max="11783" width="15.5" style="2" customWidth="1"/>
    <col min="11784" max="11784" width="17.83203125" style="2" customWidth="1"/>
    <col min="11785" max="11785" width="15.83203125" style="2" customWidth="1"/>
    <col min="11786" max="11788" width="15.1640625" style="2" customWidth="1"/>
    <col min="11789" max="11789" width="12.5" style="2" bestFit="1" customWidth="1"/>
    <col min="11790" max="11790" width="11.6640625" style="2" bestFit="1" customWidth="1"/>
    <col min="11791" max="11791" width="12.5" style="2" bestFit="1" customWidth="1"/>
    <col min="11792" max="11792" width="11.1640625" style="2" bestFit="1" customWidth="1"/>
    <col min="11793" max="11793" width="12.6640625" style="2" bestFit="1" customWidth="1"/>
    <col min="11794" max="11794" width="11.5" style="2" bestFit="1" customWidth="1"/>
    <col min="11795" max="11795" width="12.6640625" style="2" bestFit="1" customWidth="1"/>
    <col min="11796" max="11796" width="11.6640625" style="2" bestFit="1" customWidth="1"/>
    <col min="11797" max="11797" width="11.5" style="2" bestFit="1" customWidth="1"/>
    <col min="11798" max="11799" width="12.5" style="2" bestFit="1" customWidth="1"/>
    <col min="11800" max="11801" width="12.33203125" style="2" bestFit="1" customWidth="1"/>
    <col min="11802" max="11802" width="11" style="2" bestFit="1" customWidth="1"/>
    <col min="11803" max="11804" width="9.6640625" style="2" bestFit="1" customWidth="1"/>
    <col min="11805" max="11805" width="9.5" style="2" bestFit="1" customWidth="1"/>
    <col min="11806" max="11806" width="9.33203125" style="2" bestFit="1" customWidth="1"/>
    <col min="11807" max="11807" width="9.5" style="2" bestFit="1" customWidth="1"/>
    <col min="11808" max="11808" width="11" style="2" bestFit="1" customWidth="1"/>
    <col min="11809" max="11810" width="9.6640625" style="2" bestFit="1" customWidth="1"/>
    <col min="11811" max="11811" width="9.5" style="2" bestFit="1" customWidth="1"/>
    <col min="11812" max="11812" width="9.6640625" style="2" bestFit="1" customWidth="1"/>
    <col min="11813" max="11813" width="11" style="2" bestFit="1" customWidth="1"/>
    <col min="11814" max="11814" width="11.5" style="2" bestFit="1" customWidth="1"/>
    <col min="11815" max="11815" width="13.5" style="2" bestFit="1" customWidth="1"/>
    <col min="11816" max="11816" width="12.33203125" style="2" bestFit="1" customWidth="1"/>
    <col min="11817" max="11817" width="9.6640625" style="2" bestFit="1" customWidth="1"/>
    <col min="11818" max="11818" width="11" style="2" bestFit="1" customWidth="1"/>
    <col min="11819" max="12032" width="9.1640625" style="2"/>
    <col min="12033" max="12033" width="44" style="2" bestFit="1" customWidth="1"/>
    <col min="12034" max="12034" width="23.33203125" style="2" customWidth="1"/>
    <col min="12035" max="12035" width="17.33203125" style="2" customWidth="1"/>
    <col min="12036" max="12037" width="7.6640625" style="2" customWidth="1"/>
    <col min="12038" max="12038" width="17.83203125" style="2" customWidth="1"/>
    <col min="12039" max="12039" width="15.5" style="2" customWidth="1"/>
    <col min="12040" max="12040" width="17.83203125" style="2" customWidth="1"/>
    <col min="12041" max="12041" width="15.83203125" style="2" customWidth="1"/>
    <col min="12042" max="12044" width="15.1640625" style="2" customWidth="1"/>
    <col min="12045" max="12045" width="12.5" style="2" bestFit="1" customWidth="1"/>
    <col min="12046" max="12046" width="11.6640625" style="2" bestFit="1" customWidth="1"/>
    <col min="12047" max="12047" width="12.5" style="2" bestFit="1" customWidth="1"/>
    <col min="12048" max="12048" width="11.1640625" style="2" bestFit="1" customWidth="1"/>
    <col min="12049" max="12049" width="12.6640625" style="2" bestFit="1" customWidth="1"/>
    <col min="12050" max="12050" width="11.5" style="2" bestFit="1" customWidth="1"/>
    <col min="12051" max="12051" width="12.6640625" style="2" bestFit="1" customWidth="1"/>
    <col min="12052" max="12052" width="11.6640625" style="2" bestFit="1" customWidth="1"/>
    <col min="12053" max="12053" width="11.5" style="2" bestFit="1" customWidth="1"/>
    <col min="12054" max="12055" width="12.5" style="2" bestFit="1" customWidth="1"/>
    <col min="12056" max="12057" width="12.33203125" style="2" bestFit="1" customWidth="1"/>
    <col min="12058" max="12058" width="11" style="2" bestFit="1" customWidth="1"/>
    <col min="12059" max="12060" width="9.6640625" style="2" bestFit="1" customWidth="1"/>
    <col min="12061" max="12061" width="9.5" style="2" bestFit="1" customWidth="1"/>
    <col min="12062" max="12062" width="9.33203125" style="2" bestFit="1" customWidth="1"/>
    <col min="12063" max="12063" width="9.5" style="2" bestFit="1" customWidth="1"/>
    <col min="12064" max="12064" width="11" style="2" bestFit="1" customWidth="1"/>
    <col min="12065" max="12066" width="9.6640625" style="2" bestFit="1" customWidth="1"/>
    <col min="12067" max="12067" width="9.5" style="2" bestFit="1" customWidth="1"/>
    <col min="12068" max="12068" width="9.6640625" style="2" bestFit="1" customWidth="1"/>
    <col min="12069" max="12069" width="11" style="2" bestFit="1" customWidth="1"/>
    <col min="12070" max="12070" width="11.5" style="2" bestFit="1" customWidth="1"/>
    <col min="12071" max="12071" width="13.5" style="2" bestFit="1" customWidth="1"/>
    <col min="12072" max="12072" width="12.33203125" style="2" bestFit="1" customWidth="1"/>
    <col min="12073" max="12073" width="9.6640625" style="2" bestFit="1" customWidth="1"/>
    <col min="12074" max="12074" width="11" style="2" bestFit="1" customWidth="1"/>
    <col min="12075" max="12288" width="9.1640625" style="2"/>
    <col min="12289" max="12289" width="44" style="2" bestFit="1" customWidth="1"/>
    <col min="12290" max="12290" width="23.33203125" style="2" customWidth="1"/>
    <col min="12291" max="12291" width="17.33203125" style="2" customWidth="1"/>
    <col min="12292" max="12293" width="7.6640625" style="2" customWidth="1"/>
    <col min="12294" max="12294" width="17.83203125" style="2" customWidth="1"/>
    <col min="12295" max="12295" width="15.5" style="2" customWidth="1"/>
    <col min="12296" max="12296" width="17.83203125" style="2" customWidth="1"/>
    <col min="12297" max="12297" width="15.83203125" style="2" customWidth="1"/>
    <col min="12298" max="12300" width="15.1640625" style="2" customWidth="1"/>
    <col min="12301" max="12301" width="12.5" style="2" bestFit="1" customWidth="1"/>
    <col min="12302" max="12302" width="11.6640625" style="2" bestFit="1" customWidth="1"/>
    <col min="12303" max="12303" width="12.5" style="2" bestFit="1" customWidth="1"/>
    <col min="12304" max="12304" width="11.1640625" style="2" bestFit="1" customWidth="1"/>
    <col min="12305" max="12305" width="12.6640625" style="2" bestFit="1" customWidth="1"/>
    <col min="12306" max="12306" width="11.5" style="2" bestFit="1" customWidth="1"/>
    <col min="12307" max="12307" width="12.6640625" style="2" bestFit="1" customWidth="1"/>
    <col min="12308" max="12308" width="11.6640625" style="2" bestFit="1" customWidth="1"/>
    <col min="12309" max="12309" width="11.5" style="2" bestFit="1" customWidth="1"/>
    <col min="12310" max="12311" width="12.5" style="2" bestFit="1" customWidth="1"/>
    <col min="12312" max="12313" width="12.33203125" style="2" bestFit="1" customWidth="1"/>
    <col min="12314" max="12314" width="11" style="2" bestFit="1" customWidth="1"/>
    <col min="12315" max="12316" width="9.6640625" style="2" bestFit="1" customWidth="1"/>
    <col min="12317" max="12317" width="9.5" style="2" bestFit="1" customWidth="1"/>
    <col min="12318" max="12318" width="9.33203125" style="2" bestFit="1" customWidth="1"/>
    <col min="12319" max="12319" width="9.5" style="2" bestFit="1" customWidth="1"/>
    <col min="12320" max="12320" width="11" style="2" bestFit="1" customWidth="1"/>
    <col min="12321" max="12322" width="9.6640625" style="2" bestFit="1" customWidth="1"/>
    <col min="12323" max="12323" width="9.5" style="2" bestFit="1" customWidth="1"/>
    <col min="12324" max="12324" width="9.6640625" style="2" bestFit="1" customWidth="1"/>
    <col min="12325" max="12325" width="11" style="2" bestFit="1" customWidth="1"/>
    <col min="12326" max="12326" width="11.5" style="2" bestFit="1" customWidth="1"/>
    <col min="12327" max="12327" width="13.5" style="2" bestFit="1" customWidth="1"/>
    <col min="12328" max="12328" width="12.33203125" style="2" bestFit="1" customWidth="1"/>
    <col min="12329" max="12329" width="9.6640625" style="2" bestFit="1" customWidth="1"/>
    <col min="12330" max="12330" width="11" style="2" bestFit="1" customWidth="1"/>
    <col min="12331" max="12544" width="9.1640625" style="2"/>
    <col min="12545" max="12545" width="44" style="2" bestFit="1" customWidth="1"/>
    <col min="12546" max="12546" width="23.33203125" style="2" customWidth="1"/>
    <col min="12547" max="12547" width="17.33203125" style="2" customWidth="1"/>
    <col min="12548" max="12549" width="7.6640625" style="2" customWidth="1"/>
    <col min="12550" max="12550" width="17.83203125" style="2" customWidth="1"/>
    <col min="12551" max="12551" width="15.5" style="2" customWidth="1"/>
    <col min="12552" max="12552" width="17.83203125" style="2" customWidth="1"/>
    <col min="12553" max="12553" width="15.83203125" style="2" customWidth="1"/>
    <col min="12554" max="12556" width="15.1640625" style="2" customWidth="1"/>
    <col min="12557" max="12557" width="12.5" style="2" bestFit="1" customWidth="1"/>
    <col min="12558" max="12558" width="11.6640625" style="2" bestFit="1" customWidth="1"/>
    <col min="12559" max="12559" width="12.5" style="2" bestFit="1" customWidth="1"/>
    <col min="12560" max="12560" width="11.1640625" style="2" bestFit="1" customWidth="1"/>
    <col min="12561" max="12561" width="12.6640625" style="2" bestFit="1" customWidth="1"/>
    <col min="12562" max="12562" width="11.5" style="2" bestFit="1" customWidth="1"/>
    <col min="12563" max="12563" width="12.6640625" style="2" bestFit="1" customWidth="1"/>
    <col min="12564" max="12564" width="11.6640625" style="2" bestFit="1" customWidth="1"/>
    <col min="12565" max="12565" width="11.5" style="2" bestFit="1" customWidth="1"/>
    <col min="12566" max="12567" width="12.5" style="2" bestFit="1" customWidth="1"/>
    <col min="12568" max="12569" width="12.33203125" style="2" bestFit="1" customWidth="1"/>
    <col min="12570" max="12570" width="11" style="2" bestFit="1" customWidth="1"/>
    <col min="12571" max="12572" width="9.6640625" style="2" bestFit="1" customWidth="1"/>
    <col min="12573" max="12573" width="9.5" style="2" bestFit="1" customWidth="1"/>
    <col min="12574" max="12574" width="9.33203125" style="2" bestFit="1" customWidth="1"/>
    <col min="12575" max="12575" width="9.5" style="2" bestFit="1" customWidth="1"/>
    <col min="12576" max="12576" width="11" style="2" bestFit="1" customWidth="1"/>
    <col min="12577" max="12578" width="9.6640625" style="2" bestFit="1" customWidth="1"/>
    <col min="12579" max="12579" width="9.5" style="2" bestFit="1" customWidth="1"/>
    <col min="12580" max="12580" width="9.6640625" style="2" bestFit="1" customWidth="1"/>
    <col min="12581" max="12581" width="11" style="2" bestFit="1" customWidth="1"/>
    <col min="12582" max="12582" width="11.5" style="2" bestFit="1" customWidth="1"/>
    <col min="12583" max="12583" width="13.5" style="2" bestFit="1" customWidth="1"/>
    <col min="12584" max="12584" width="12.33203125" style="2" bestFit="1" customWidth="1"/>
    <col min="12585" max="12585" width="9.6640625" style="2" bestFit="1" customWidth="1"/>
    <col min="12586" max="12586" width="11" style="2" bestFit="1" customWidth="1"/>
    <col min="12587" max="12800" width="9.1640625" style="2"/>
    <col min="12801" max="12801" width="44" style="2" bestFit="1" customWidth="1"/>
    <col min="12802" max="12802" width="23.33203125" style="2" customWidth="1"/>
    <col min="12803" max="12803" width="17.33203125" style="2" customWidth="1"/>
    <col min="12804" max="12805" width="7.6640625" style="2" customWidth="1"/>
    <col min="12806" max="12806" width="17.83203125" style="2" customWidth="1"/>
    <col min="12807" max="12807" width="15.5" style="2" customWidth="1"/>
    <col min="12808" max="12808" width="17.83203125" style="2" customWidth="1"/>
    <col min="12809" max="12809" width="15.83203125" style="2" customWidth="1"/>
    <col min="12810" max="12812" width="15.1640625" style="2" customWidth="1"/>
    <col min="12813" max="12813" width="12.5" style="2" bestFit="1" customWidth="1"/>
    <col min="12814" max="12814" width="11.6640625" style="2" bestFit="1" customWidth="1"/>
    <col min="12815" max="12815" width="12.5" style="2" bestFit="1" customWidth="1"/>
    <col min="12816" max="12816" width="11.1640625" style="2" bestFit="1" customWidth="1"/>
    <col min="12817" max="12817" width="12.6640625" style="2" bestFit="1" customWidth="1"/>
    <col min="12818" max="12818" width="11.5" style="2" bestFit="1" customWidth="1"/>
    <col min="12819" max="12819" width="12.6640625" style="2" bestFit="1" customWidth="1"/>
    <col min="12820" max="12820" width="11.6640625" style="2" bestFit="1" customWidth="1"/>
    <col min="12821" max="12821" width="11.5" style="2" bestFit="1" customWidth="1"/>
    <col min="12822" max="12823" width="12.5" style="2" bestFit="1" customWidth="1"/>
    <col min="12824" max="12825" width="12.33203125" style="2" bestFit="1" customWidth="1"/>
    <col min="12826" max="12826" width="11" style="2" bestFit="1" customWidth="1"/>
    <col min="12827" max="12828" width="9.6640625" style="2" bestFit="1" customWidth="1"/>
    <col min="12829" max="12829" width="9.5" style="2" bestFit="1" customWidth="1"/>
    <col min="12830" max="12830" width="9.33203125" style="2" bestFit="1" customWidth="1"/>
    <col min="12831" max="12831" width="9.5" style="2" bestFit="1" customWidth="1"/>
    <col min="12832" max="12832" width="11" style="2" bestFit="1" customWidth="1"/>
    <col min="12833" max="12834" width="9.6640625" style="2" bestFit="1" customWidth="1"/>
    <col min="12835" max="12835" width="9.5" style="2" bestFit="1" customWidth="1"/>
    <col min="12836" max="12836" width="9.6640625" style="2" bestFit="1" customWidth="1"/>
    <col min="12837" max="12837" width="11" style="2" bestFit="1" customWidth="1"/>
    <col min="12838" max="12838" width="11.5" style="2" bestFit="1" customWidth="1"/>
    <col min="12839" max="12839" width="13.5" style="2" bestFit="1" customWidth="1"/>
    <col min="12840" max="12840" width="12.33203125" style="2" bestFit="1" customWidth="1"/>
    <col min="12841" max="12841" width="9.6640625" style="2" bestFit="1" customWidth="1"/>
    <col min="12842" max="12842" width="11" style="2" bestFit="1" customWidth="1"/>
    <col min="12843" max="13056" width="9.1640625" style="2"/>
    <col min="13057" max="13057" width="44" style="2" bestFit="1" customWidth="1"/>
    <col min="13058" max="13058" width="23.33203125" style="2" customWidth="1"/>
    <col min="13059" max="13059" width="17.33203125" style="2" customWidth="1"/>
    <col min="13060" max="13061" width="7.6640625" style="2" customWidth="1"/>
    <col min="13062" max="13062" width="17.83203125" style="2" customWidth="1"/>
    <col min="13063" max="13063" width="15.5" style="2" customWidth="1"/>
    <col min="13064" max="13064" width="17.83203125" style="2" customWidth="1"/>
    <col min="13065" max="13065" width="15.83203125" style="2" customWidth="1"/>
    <col min="13066" max="13068" width="15.1640625" style="2" customWidth="1"/>
    <col min="13069" max="13069" width="12.5" style="2" bestFit="1" customWidth="1"/>
    <col min="13070" max="13070" width="11.6640625" style="2" bestFit="1" customWidth="1"/>
    <col min="13071" max="13071" width="12.5" style="2" bestFit="1" customWidth="1"/>
    <col min="13072" max="13072" width="11.1640625" style="2" bestFit="1" customWidth="1"/>
    <col min="13073" max="13073" width="12.6640625" style="2" bestFit="1" customWidth="1"/>
    <col min="13074" max="13074" width="11.5" style="2" bestFit="1" customWidth="1"/>
    <col min="13075" max="13075" width="12.6640625" style="2" bestFit="1" customWidth="1"/>
    <col min="13076" max="13076" width="11.6640625" style="2" bestFit="1" customWidth="1"/>
    <col min="13077" max="13077" width="11.5" style="2" bestFit="1" customWidth="1"/>
    <col min="13078" max="13079" width="12.5" style="2" bestFit="1" customWidth="1"/>
    <col min="13080" max="13081" width="12.33203125" style="2" bestFit="1" customWidth="1"/>
    <col min="13082" max="13082" width="11" style="2" bestFit="1" customWidth="1"/>
    <col min="13083" max="13084" width="9.6640625" style="2" bestFit="1" customWidth="1"/>
    <col min="13085" max="13085" width="9.5" style="2" bestFit="1" customWidth="1"/>
    <col min="13086" max="13086" width="9.33203125" style="2" bestFit="1" customWidth="1"/>
    <col min="13087" max="13087" width="9.5" style="2" bestFit="1" customWidth="1"/>
    <col min="13088" max="13088" width="11" style="2" bestFit="1" customWidth="1"/>
    <col min="13089" max="13090" width="9.6640625" style="2" bestFit="1" customWidth="1"/>
    <col min="13091" max="13091" width="9.5" style="2" bestFit="1" customWidth="1"/>
    <col min="13092" max="13092" width="9.6640625" style="2" bestFit="1" customWidth="1"/>
    <col min="13093" max="13093" width="11" style="2" bestFit="1" customWidth="1"/>
    <col min="13094" max="13094" width="11.5" style="2" bestFit="1" customWidth="1"/>
    <col min="13095" max="13095" width="13.5" style="2" bestFit="1" customWidth="1"/>
    <col min="13096" max="13096" width="12.33203125" style="2" bestFit="1" customWidth="1"/>
    <col min="13097" max="13097" width="9.6640625" style="2" bestFit="1" customWidth="1"/>
    <col min="13098" max="13098" width="11" style="2" bestFit="1" customWidth="1"/>
    <col min="13099" max="13312" width="9.1640625" style="2"/>
    <col min="13313" max="13313" width="44" style="2" bestFit="1" customWidth="1"/>
    <col min="13314" max="13314" width="23.33203125" style="2" customWidth="1"/>
    <col min="13315" max="13315" width="17.33203125" style="2" customWidth="1"/>
    <col min="13316" max="13317" width="7.6640625" style="2" customWidth="1"/>
    <col min="13318" max="13318" width="17.83203125" style="2" customWidth="1"/>
    <col min="13319" max="13319" width="15.5" style="2" customWidth="1"/>
    <col min="13320" max="13320" width="17.83203125" style="2" customWidth="1"/>
    <col min="13321" max="13321" width="15.83203125" style="2" customWidth="1"/>
    <col min="13322" max="13324" width="15.1640625" style="2" customWidth="1"/>
    <col min="13325" max="13325" width="12.5" style="2" bestFit="1" customWidth="1"/>
    <col min="13326" max="13326" width="11.6640625" style="2" bestFit="1" customWidth="1"/>
    <col min="13327" max="13327" width="12.5" style="2" bestFit="1" customWidth="1"/>
    <col min="13328" max="13328" width="11.1640625" style="2" bestFit="1" customWidth="1"/>
    <col min="13329" max="13329" width="12.6640625" style="2" bestFit="1" customWidth="1"/>
    <col min="13330" max="13330" width="11.5" style="2" bestFit="1" customWidth="1"/>
    <col min="13331" max="13331" width="12.6640625" style="2" bestFit="1" customWidth="1"/>
    <col min="13332" max="13332" width="11.6640625" style="2" bestFit="1" customWidth="1"/>
    <col min="13333" max="13333" width="11.5" style="2" bestFit="1" customWidth="1"/>
    <col min="13334" max="13335" width="12.5" style="2" bestFit="1" customWidth="1"/>
    <col min="13336" max="13337" width="12.33203125" style="2" bestFit="1" customWidth="1"/>
    <col min="13338" max="13338" width="11" style="2" bestFit="1" customWidth="1"/>
    <col min="13339" max="13340" width="9.6640625" style="2" bestFit="1" customWidth="1"/>
    <col min="13341" max="13341" width="9.5" style="2" bestFit="1" customWidth="1"/>
    <col min="13342" max="13342" width="9.33203125" style="2" bestFit="1" customWidth="1"/>
    <col min="13343" max="13343" width="9.5" style="2" bestFit="1" customWidth="1"/>
    <col min="13344" max="13344" width="11" style="2" bestFit="1" customWidth="1"/>
    <col min="13345" max="13346" width="9.6640625" style="2" bestFit="1" customWidth="1"/>
    <col min="13347" max="13347" width="9.5" style="2" bestFit="1" customWidth="1"/>
    <col min="13348" max="13348" width="9.6640625" style="2" bestFit="1" customWidth="1"/>
    <col min="13349" max="13349" width="11" style="2" bestFit="1" customWidth="1"/>
    <col min="13350" max="13350" width="11.5" style="2" bestFit="1" customWidth="1"/>
    <col min="13351" max="13351" width="13.5" style="2" bestFit="1" customWidth="1"/>
    <col min="13352" max="13352" width="12.33203125" style="2" bestFit="1" customWidth="1"/>
    <col min="13353" max="13353" width="9.6640625" style="2" bestFit="1" customWidth="1"/>
    <col min="13354" max="13354" width="11" style="2" bestFit="1" customWidth="1"/>
    <col min="13355" max="13568" width="9.1640625" style="2"/>
    <col min="13569" max="13569" width="44" style="2" bestFit="1" customWidth="1"/>
    <col min="13570" max="13570" width="23.33203125" style="2" customWidth="1"/>
    <col min="13571" max="13571" width="17.33203125" style="2" customWidth="1"/>
    <col min="13572" max="13573" width="7.6640625" style="2" customWidth="1"/>
    <col min="13574" max="13574" width="17.83203125" style="2" customWidth="1"/>
    <col min="13575" max="13575" width="15.5" style="2" customWidth="1"/>
    <col min="13576" max="13576" width="17.83203125" style="2" customWidth="1"/>
    <col min="13577" max="13577" width="15.83203125" style="2" customWidth="1"/>
    <col min="13578" max="13580" width="15.1640625" style="2" customWidth="1"/>
    <col min="13581" max="13581" width="12.5" style="2" bestFit="1" customWidth="1"/>
    <col min="13582" max="13582" width="11.6640625" style="2" bestFit="1" customWidth="1"/>
    <col min="13583" max="13583" width="12.5" style="2" bestFit="1" customWidth="1"/>
    <col min="13584" max="13584" width="11.1640625" style="2" bestFit="1" customWidth="1"/>
    <col min="13585" max="13585" width="12.6640625" style="2" bestFit="1" customWidth="1"/>
    <col min="13586" max="13586" width="11.5" style="2" bestFit="1" customWidth="1"/>
    <col min="13587" max="13587" width="12.6640625" style="2" bestFit="1" customWidth="1"/>
    <col min="13588" max="13588" width="11.6640625" style="2" bestFit="1" customWidth="1"/>
    <col min="13589" max="13589" width="11.5" style="2" bestFit="1" customWidth="1"/>
    <col min="13590" max="13591" width="12.5" style="2" bestFit="1" customWidth="1"/>
    <col min="13592" max="13593" width="12.33203125" style="2" bestFit="1" customWidth="1"/>
    <col min="13594" max="13594" width="11" style="2" bestFit="1" customWidth="1"/>
    <col min="13595" max="13596" width="9.6640625" style="2" bestFit="1" customWidth="1"/>
    <col min="13597" max="13597" width="9.5" style="2" bestFit="1" customWidth="1"/>
    <col min="13598" max="13598" width="9.33203125" style="2" bestFit="1" customWidth="1"/>
    <col min="13599" max="13599" width="9.5" style="2" bestFit="1" customWidth="1"/>
    <col min="13600" max="13600" width="11" style="2" bestFit="1" customWidth="1"/>
    <col min="13601" max="13602" width="9.6640625" style="2" bestFit="1" customWidth="1"/>
    <col min="13603" max="13603" width="9.5" style="2" bestFit="1" customWidth="1"/>
    <col min="13604" max="13604" width="9.6640625" style="2" bestFit="1" customWidth="1"/>
    <col min="13605" max="13605" width="11" style="2" bestFit="1" customWidth="1"/>
    <col min="13606" max="13606" width="11.5" style="2" bestFit="1" customWidth="1"/>
    <col min="13607" max="13607" width="13.5" style="2" bestFit="1" customWidth="1"/>
    <col min="13608" max="13608" width="12.33203125" style="2" bestFit="1" customWidth="1"/>
    <col min="13609" max="13609" width="9.6640625" style="2" bestFit="1" customWidth="1"/>
    <col min="13610" max="13610" width="11" style="2" bestFit="1" customWidth="1"/>
    <col min="13611" max="13824" width="9.1640625" style="2"/>
    <col min="13825" max="13825" width="44" style="2" bestFit="1" customWidth="1"/>
    <col min="13826" max="13826" width="23.33203125" style="2" customWidth="1"/>
    <col min="13827" max="13827" width="17.33203125" style="2" customWidth="1"/>
    <col min="13828" max="13829" width="7.6640625" style="2" customWidth="1"/>
    <col min="13830" max="13830" width="17.83203125" style="2" customWidth="1"/>
    <col min="13831" max="13831" width="15.5" style="2" customWidth="1"/>
    <col min="13832" max="13832" width="17.83203125" style="2" customWidth="1"/>
    <col min="13833" max="13833" width="15.83203125" style="2" customWidth="1"/>
    <col min="13834" max="13836" width="15.1640625" style="2" customWidth="1"/>
    <col min="13837" max="13837" width="12.5" style="2" bestFit="1" customWidth="1"/>
    <col min="13838" max="13838" width="11.6640625" style="2" bestFit="1" customWidth="1"/>
    <col min="13839" max="13839" width="12.5" style="2" bestFit="1" customWidth="1"/>
    <col min="13840" max="13840" width="11.1640625" style="2" bestFit="1" customWidth="1"/>
    <col min="13841" max="13841" width="12.6640625" style="2" bestFit="1" customWidth="1"/>
    <col min="13842" max="13842" width="11.5" style="2" bestFit="1" customWidth="1"/>
    <col min="13843" max="13843" width="12.6640625" style="2" bestFit="1" customWidth="1"/>
    <col min="13844" max="13844" width="11.6640625" style="2" bestFit="1" customWidth="1"/>
    <col min="13845" max="13845" width="11.5" style="2" bestFit="1" customWidth="1"/>
    <col min="13846" max="13847" width="12.5" style="2" bestFit="1" customWidth="1"/>
    <col min="13848" max="13849" width="12.33203125" style="2" bestFit="1" customWidth="1"/>
    <col min="13850" max="13850" width="11" style="2" bestFit="1" customWidth="1"/>
    <col min="13851" max="13852" width="9.6640625" style="2" bestFit="1" customWidth="1"/>
    <col min="13853" max="13853" width="9.5" style="2" bestFit="1" customWidth="1"/>
    <col min="13854" max="13854" width="9.33203125" style="2" bestFit="1" customWidth="1"/>
    <col min="13855" max="13855" width="9.5" style="2" bestFit="1" customWidth="1"/>
    <col min="13856" max="13856" width="11" style="2" bestFit="1" customWidth="1"/>
    <col min="13857" max="13858" width="9.6640625" style="2" bestFit="1" customWidth="1"/>
    <col min="13859" max="13859" width="9.5" style="2" bestFit="1" customWidth="1"/>
    <col min="13860" max="13860" width="9.6640625" style="2" bestFit="1" customWidth="1"/>
    <col min="13861" max="13861" width="11" style="2" bestFit="1" customWidth="1"/>
    <col min="13862" max="13862" width="11.5" style="2" bestFit="1" customWidth="1"/>
    <col min="13863" max="13863" width="13.5" style="2" bestFit="1" customWidth="1"/>
    <col min="13864" max="13864" width="12.33203125" style="2" bestFit="1" customWidth="1"/>
    <col min="13865" max="13865" width="9.6640625" style="2" bestFit="1" customWidth="1"/>
    <col min="13866" max="13866" width="11" style="2" bestFit="1" customWidth="1"/>
    <col min="13867" max="14080" width="9.1640625" style="2"/>
    <col min="14081" max="14081" width="44" style="2" bestFit="1" customWidth="1"/>
    <col min="14082" max="14082" width="23.33203125" style="2" customWidth="1"/>
    <col min="14083" max="14083" width="17.33203125" style="2" customWidth="1"/>
    <col min="14084" max="14085" width="7.6640625" style="2" customWidth="1"/>
    <col min="14086" max="14086" width="17.83203125" style="2" customWidth="1"/>
    <col min="14087" max="14087" width="15.5" style="2" customWidth="1"/>
    <col min="14088" max="14088" width="17.83203125" style="2" customWidth="1"/>
    <col min="14089" max="14089" width="15.83203125" style="2" customWidth="1"/>
    <col min="14090" max="14092" width="15.1640625" style="2" customWidth="1"/>
    <col min="14093" max="14093" width="12.5" style="2" bestFit="1" customWidth="1"/>
    <col min="14094" max="14094" width="11.6640625" style="2" bestFit="1" customWidth="1"/>
    <col min="14095" max="14095" width="12.5" style="2" bestFit="1" customWidth="1"/>
    <col min="14096" max="14096" width="11.1640625" style="2" bestFit="1" customWidth="1"/>
    <col min="14097" max="14097" width="12.6640625" style="2" bestFit="1" customWidth="1"/>
    <col min="14098" max="14098" width="11.5" style="2" bestFit="1" customWidth="1"/>
    <col min="14099" max="14099" width="12.6640625" style="2" bestFit="1" customWidth="1"/>
    <col min="14100" max="14100" width="11.6640625" style="2" bestFit="1" customWidth="1"/>
    <col min="14101" max="14101" width="11.5" style="2" bestFit="1" customWidth="1"/>
    <col min="14102" max="14103" width="12.5" style="2" bestFit="1" customWidth="1"/>
    <col min="14104" max="14105" width="12.33203125" style="2" bestFit="1" customWidth="1"/>
    <col min="14106" max="14106" width="11" style="2" bestFit="1" customWidth="1"/>
    <col min="14107" max="14108" width="9.6640625" style="2" bestFit="1" customWidth="1"/>
    <col min="14109" max="14109" width="9.5" style="2" bestFit="1" customWidth="1"/>
    <col min="14110" max="14110" width="9.33203125" style="2" bestFit="1" customWidth="1"/>
    <col min="14111" max="14111" width="9.5" style="2" bestFit="1" customWidth="1"/>
    <col min="14112" max="14112" width="11" style="2" bestFit="1" customWidth="1"/>
    <col min="14113" max="14114" width="9.6640625" style="2" bestFit="1" customWidth="1"/>
    <col min="14115" max="14115" width="9.5" style="2" bestFit="1" customWidth="1"/>
    <col min="14116" max="14116" width="9.6640625" style="2" bestFit="1" customWidth="1"/>
    <col min="14117" max="14117" width="11" style="2" bestFit="1" customWidth="1"/>
    <col min="14118" max="14118" width="11.5" style="2" bestFit="1" customWidth="1"/>
    <col min="14119" max="14119" width="13.5" style="2" bestFit="1" customWidth="1"/>
    <col min="14120" max="14120" width="12.33203125" style="2" bestFit="1" customWidth="1"/>
    <col min="14121" max="14121" width="9.6640625" style="2" bestFit="1" customWidth="1"/>
    <col min="14122" max="14122" width="11" style="2" bestFit="1" customWidth="1"/>
    <col min="14123" max="14336" width="9.1640625" style="2"/>
    <col min="14337" max="14337" width="44" style="2" bestFit="1" customWidth="1"/>
    <col min="14338" max="14338" width="23.33203125" style="2" customWidth="1"/>
    <col min="14339" max="14339" width="17.33203125" style="2" customWidth="1"/>
    <col min="14340" max="14341" width="7.6640625" style="2" customWidth="1"/>
    <col min="14342" max="14342" width="17.83203125" style="2" customWidth="1"/>
    <col min="14343" max="14343" width="15.5" style="2" customWidth="1"/>
    <col min="14344" max="14344" width="17.83203125" style="2" customWidth="1"/>
    <col min="14345" max="14345" width="15.83203125" style="2" customWidth="1"/>
    <col min="14346" max="14348" width="15.1640625" style="2" customWidth="1"/>
    <col min="14349" max="14349" width="12.5" style="2" bestFit="1" customWidth="1"/>
    <col min="14350" max="14350" width="11.6640625" style="2" bestFit="1" customWidth="1"/>
    <col min="14351" max="14351" width="12.5" style="2" bestFit="1" customWidth="1"/>
    <col min="14352" max="14352" width="11.1640625" style="2" bestFit="1" customWidth="1"/>
    <col min="14353" max="14353" width="12.6640625" style="2" bestFit="1" customWidth="1"/>
    <col min="14354" max="14354" width="11.5" style="2" bestFit="1" customWidth="1"/>
    <col min="14355" max="14355" width="12.6640625" style="2" bestFit="1" customWidth="1"/>
    <col min="14356" max="14356" width="11.6640625" style="2" bestFit="1" customWidth="1"/>
    <col min="14357" max="14357" width="11.5" style="2" bestFit="1" customWidth="1"/>
    <col min="14358" max="14359" width="12.5" style="2" bestFit="1" customWidth="1"/>
    <col min="14360" max="14361" width="12.33203125" style="2" bestFit="1" customWidth="1"/>
    <col min="14362" max="14362" width="11" style="2" bestFit="1" customWidth="1"/>
    <col min="14363" max="14364" width="9.6640625" style="2" bestFit="1" customWidth="1"/>
    <col min="14365" max="14365" width="9.5" style="2" bestFit="1" customWidth="1"/>
    <col min="14366" max="14366" width="9.33203125" style="2" bestFit="1" customWidth="1"/>
    <col min="14367" max="14367" width="9.5" style="2" bestFit="1" customWidth="1"/>
    <col min="14368" max="14368" width="11" style="2" bestFit="1" customWidth="1"/>
    <col min="14369" max="14370" width="9.6640625" style="2" bestFit="1" customWidth="1"/>
    <col min="14371" max="14371" width="9.5" style="2" bestFit="1" customWidth="1"/>
    <col min="14372" max="14372" width="9.6640625" style="2" bestFit="1" customWidth="1"/>
    <col min="14373" max="14373" width="11" style="2" bestFit="1" customWidth="1"/>
    <col min="14374" max="14374" width="11.5" style="2" bestFit="1" customWidth="1"/>
    <col min="14375" max="14375" width="13.5" style="2" bestFit="1" customWidth="1"/>
    <col min="14376" max="14376" width="12.33203125" style="2" bestFit="1" customWidth="1"/>
    <col min="14377" max="14377" width="9.6640625" style="2" bestFit="1" customWidth="1"/>
    <col min="14378" max="14378" width="11" style="2" bestFit="1" customWidth="1"/>
    <col min="14379" max="14592" width="9.1640625" style="2"/>
    <col min="14593" max="14593" width="44" style="2" bestFit="1" customWidth="1"/>
    <col min="14594" max="14594" width="23.33203125" style="2" customWidth="1"/>
    <col min="14595" max="14595" width="17.33203125" style="2" customWidth="1"/>
    <col min="14596" max="14597" width="7.6640625" style="2" customWidth="1"/>
    <col min="14598" max="14598" width="17.83203125" style="2" customWidth="1"/>
    <col min="14599" max="14599" width="15.5" style="2" customWidth="1"/>
    <col min="14600" max="14600" width="17.83203125" style="2" customWidth="1"/>
    <col min="14601" max="14601" width="15.83203125" style="2" customWidth="1"/>
    <col min="14602" max="14604" width="15.1640625" style="2" customWidth="1"/>
    <col min="14605" max="14605" width="12.5" style="2" bestFit="1" customWidth="1"/>
    <col min="14606" max="14606" width="11.6640625" style="2" bestFit="1" customWidth="1"/>
    <col min="14607" max="14607" width="12.5" style="2" bestFit="1" customWidth="1"/>
    <col min="14608" max="14608" width="11.1640625" style="2" bestFit="1" customWidth="1"/>
    <col min="14609" max="14609" width="12.6640625" style="2" bestFit="1" customWidth="1"/>
    <col min="14610" max="14610" width="11.5" style="2" bestFit="1" customWidth="1"/>
    <col min="14611" max="14611" width="12.6640625" style="2" bestFit="1" customWidth="1"/>
    <col min="14612" max="14612" width="11.6640625" style="2" bestFit="1" customWidth="1"/>
    <col min="14613" max="14613" width="11.5" style="2" bestFit="1" customWidth="1"/>
    <col min="14614" max="14615" width="12.5" style="2" bestFit="1" customWidth="1"/>
    <col min="14616" max="14617" width="12.33203125" style="2" bestFit="1" customWidth="1"/>
    <col min="14618" max="14618" width="11" style="2" bestFit="1" customWidth="1"/>
    <col min="14619" max="14620" width="9.6640625" style="2" bestFit="1" customWidth="1"/>
    <col min="14621" max="14621" width="9.5" style="2" bestFit="1" customWidth="1"/>
    <col min="14622" max="14622" width="9.33203125" style="2" bestFit="1" customWidth="1"/>
    <col min="14623" max="14623" width="9.5" style="2" bestFit="1" customWidth="1"/>
    <col min="14624" max="14624" width="11" style="2" bestFit="1" customWidth="1"/>
    <col min="14625" max="14626" width="9.6640625" style="2" bestFit="1" customWidth="1"/>
    <col min="14627" max="14627" width="9.5" style="2" bestFit="1" customWidth="1"/>
    <col min="14628" max="14628" width="9.6640625" style="2" bestFit="1" customWidth="1"/>
    <col min="14629" max="14629" width="11" style="2" bestFit="1" customWidth="1"/>
    <col min="14630" max="14630" width="11.5" style="2" bestFit="1" customWidth="1"/>
    <col min="14631" max="14631" width="13.5" style="2" bestFit="1" customWidth="1"/>
    <col min="14632" max="14632" width="12.33203125" style="2" bestFit="1" customWidth="1"/>
    <col min="14633" max="14633" width="9.6640625" style="2" bestFit="1" customWidth="1"/>
    <col min="14634" max="14634" width="11" style="2" bestFit="1" customWidth="1"/>
    <col min="14635" max="14848" width="9.1640625" style="2"/>
    <col min="14849" max="14849" width="44" style="2" bestFit="1" customWidth="1"/>
    <col min="14850" max="14850" width="23.33203125" style="2" customWidth="1"/>
    <col min="14851" max="14851" width="17.33203125" style="2" customWidth="1"/>
    <col min="14852" max="14853" width="7.6640625" style="2" customWidth="1"/>
    <col min="14854" max="14854" width="17.83203125" style="2" customWidth="1"/>
    <col min="14855" max="14855" width="15.5" style="2" customWidth="1"/>
    <col min="14856" max="14856" width="17.83203125" style="2" customWidth="1"/>
    <col min="14857" max="14857" width="15.83203125" style="2" customWidth="1"/>
    <col min="14858" max="14860" width="15.1640625" style="2" customWidth="1"/>
    <col min="14861" max="14861" width="12.5" style="2" bestFit="1" customWidth="1"/>
    <col min="14862" max="14862" width="11.6640625" style="2" bestFit="1" customWidth="1"/>
    <col min="14863" max="14863" width="12.5" style="2" bestFit="1" customWidth="1"/>
    <col min="14864" max="14864" width="11.1640625" style="2" bestFit="1" customWidth="1"/>
    <col min="14865" max="14865" width="12.6640625" style="2" bestFit="1" customWidth="1"/>
    <col min="14866" max="14866" width="11.5" style="2" bestFit="1" customWidth="1"/>
    <col min="14867" max="14867" width="12.6640625" style="2" bestFit="1" customWidth="1"/>
    <col min="14868" max="14868" width="11.6640625" style="2" bestFit="1" customWidth="1"/>
    <col min="14869" max="14869" width="11.5" style="2" bestFit="1" customWidth="1"/>
    <col min="14870" max="14871" width="12.5" style="2" bestFit="1" customWidth="1"/>
    <col min="14872" max="14873" width="12.33203125" style="2" bestFit="1" customWidth="1"/>
    <col min="14874" max="14874" width="11" style="2" bestFit="1" customWidth="1"/>
    <col min="14875" max="14876" width="9.6640625" style="2" bestFit="1" customWidth="1"/>
    <col min="14877" max="14877" width="9.5" style="2" bestFit="1" customWidth="1"/>
    <col min="14878" max="14878" width="9.33203125" style="2" bestFit="1" customWidth="1"/>
    <col min="14879" max="14879" width="9.5" style="2" bestFit="1" customWidth="1"/>
    <col min="14880" max="14880" width="11" style="2" bestFit="1" customWidth="1"/>
    <col min="14881" max="14882" width="9.6640625" style="2" bestFit="1" customWidth="1"/>
    <col min="14883" max="14883" width="9.5" style="2" bestFit="1" customWidth="1"/>
    <col min="14884" max="14884" width="9.6640625" style="2" bestFit="1" customWidth="1"/>
    <col min="14885" max="14885" width="11" style="2" bestFit="1" customWidth="1"/>
    <col min="14886" max="14886" width="11.5" style="2" bestFit="1" customWidth="1"/>
    <col min="14887" max="14887" width="13.5" style="2" bestFit="1" customWidth="1"/>
    <col min="14888" max="14888" width="12.33203125" style="2" bestFit="1" customWidth="1"/>
    <col min="14889" max="14889" width="9.6640625" style="2" bestFit="1" customWidth="1"/>
    <col min="14890" max="14890" width="11" style="2" bestFit="1" customWidth="1"/>
    <col min="14891" max="15104" width="9.1640625" style="2"/>
    <col min="15105" max="15105" width="44" style="2" bestFit="1" customWidth="1"/>
    <col min="15106" max="15106" width="23.33203125" style="2" customWidth="1"/>
    <col min="15107" max="15107" width="17.33203125" style="2" customWidth="1"/>
    <col min="15108" max="15109" width="7.6640625" style="2" customWidth="1"/>
    <col min="15110" max="15110" width="17.83203125" style="2" customWidth="1"/>
    <col min="15111" max="15111" width="15.5" style="2" customWidth="1"/>
    <col min="15112" max="15112" width="17.83203125" style="2" customWidth="1"/>
    <col min="15113" max="15113" width="15.83203125" style="2" customWidth="1"/>
    <col min="15114" max="15116" width="15.1640625" style="2" customWidth="1"/>
    <col min="15117" max="15117" width="12.5" style="2" bestFit="1" customWidth="1"/>
    <col min="15118" max="15118" width="11.6640625" style="2" bestFit="1" customWidth="1"/>
    <col min="15119" max="15119" width="12.5" style="2" bestFit="1" customWidth="1"/>
    <col min="15120" max="15120" width="11.1640625" style="2" bestFit="1" customWidth="1"/>
    <col min="15121" max="15121" width="12.6640625" style="2" bestFit="1" customWidth="1"/>
    <col min="15122" max="15122" width="11.5" style="2" bestFit="1" customWidth="1"/>
    <col min="15123" max="15123" width="12.6640625" style="2" bestFit="1" customWidth="1"/>
    <col min="15124" max="15124" width="11.6640625" style="2" bestFit="1" customWidth="1"/>
    <col min="15125" max="15125" width="11.5" style="2" bestFit="1" customWidth="1"/>
    <col min="15126" max="15127" width="12.5" style="2" bestFit="1" customWidth="1"/>
    <col min="15128" max="15129" width="12.33203125" style="2" bestFit="1" customWidth="1"/>
    <col min="15130" max="15130" width="11" style="2" bestFit="1" customWidth="1"/>
    <col min="15131" max="15132" width="9.6640625" style="2" bestFit="1" customWidth="1"/>
    <col min="15133" max="15133" width="9.5" style="2" bestFit="1" customWidth="1"/>
    <col min="15134" max="15134" width="9.33203125" style="2" bestFit="1" customWidth="1"/>
    <col min="15135" max="15135" width="9.5" style="2" bestFit="1" customWidth="1"/>
    <col min="15136" max="15136" width="11" style="2" bestFit="1" customWidth="1"/>
    <col min="15137" max="15138" width="9.6640625" style="2" bestFit="1" customWidth="1"/>
    <col min="15139" max="15139" width="9.5" style="2" bestFit="1" customWidth="1"/>
    <col min="15140" max="15140" width="9.6640625" style="2" bestFit="1" customWidth="1"/>
    <col min="15141" max="15141" width="11" style="2" bestFit="1" customWidth="1"/>
    <col min="15142" max="15142" width="11.5" style="2" bestFit="1" customWidth="1"/>
    <col min="15143" max="15143" width="13.5" style="2" bestFit="1" customWidth="1"/>
    <col min="15144" max="15144" width="12.33203125" style="2" bestFit="1" customWidth="1"/>
    <col min="15145" max="15145" width="9.6640625" style="2" bestFit="1" customWidth="1"/>
    <col min="15146" max="15146" width="11" style="2" bestFit="1" customWidth="1"/>
    <col min="15147" max="15360" width="9.1640625" style="2"/>
    <col min="15361" max="15361" width="44" style="2" bestFit="1" customWidth="1"/>
    <col min="15362" max="15362" width="23.33203125" style="2" customWidth="1"/>
    <col min="15363" max="15363" width="17.33203125" style="2" customWidth="1"/>
    <col min="15364" max="15365" width="7.6640625" style="2" customWidth="1"/>
    <col min="15366" max="15366" width="17.83203125" style="2" customWidth="1"/>
    <col min="15367" max="15367" width="15.5" style="2" customWidth="1"/>
    <col min="15368" max="15368" width="17.83203125" style="2" customWidth="1"/>
    <col min="15369" max="15369" width="15.83203125" style="2" customWidth="1"/>
    <col min="15370" max="15372" width="15.1640625" style="2" customWidth="1"/>
    <col min="15373" max="15373" width="12.5" style="2" bestFit="1" customWidth="1"/>
    <col min="15374" max="15374" width="11.6640625" style="2" bestFit="1" customWidth="1"/>
    <col min="15375" max="15375" width="12.5" style="2" bestFit="1" customWidth="1"/>
    <col min="15376" max="15376" width="11.1640625" style="2" bestFit="1" customWidth="1"/>
    <col min="15377" max="15377" width="12.6640625" style="2" bestFit="1" customWidth="1"/>
    <col min="15378" max="15378" width="11.5" style="2" bestFit="1" customWidth="1"/>
    <col min="15379" max="15379" width="12.6640625" style="2" bestFit="1" customWidth="1"/>
    <col min="15380" max="15380" width="11.6640625" style="2" bestFit="1" customWidth="1"/>
    <col min="15381" max="15381" width="11.5" style="2" bestFit="1" customWidth="1"/>
    <col min="15382" max="15383" width="12.5" style="2" bestFit="1" customWidth="1"/>
    <col min="15384" max="15385" width="12.33203125" style="2" bestFit="1" customWidth="1"/>
    <col min="15386" max="15386" width="11" style="2" bestFit="1" customWidth="1"/>
    <col min="15387" max="15388" width="9.6640625" style="2" bestFit="1" customWidth="1"/>
    <col min="15389" max="15389" width="9.5" style="2" bestFit="1" customWidth="1"/>
    <col min="15390" max="15390" width="9.33203125" style="2" bestFit="1" customWidth="1"/>
    <col min="15391" max="15391" width="9.5" style="2" bestFit="1" customWidth="1"/>
    <col min="15392" max="15392" width="11" style="2" bestFit="1" customWidth="1"/>
    <col min="15393" max="15394" width="9.6640625" style="2" bestFit="1" customWidth="1"/>
    <col min="15395" max="15395" width="9.5" style="2" bestFit="1" customWidth="1"/>
    <col min="15396" max="15396" width="9.6640625" style="2" bestFit="1" customWidth="1"/>
    <col min="15397" max="15397" width="11" style="2" bestFit="1" customWidth="1"/>
    <col min="15398" max="15398" width="11.5" style="2" bestFit="1" customWidth="1"/>
    <col min="15399" max="15399" width="13.5" style="2" bestFit="1" customWidth="1"/>
    <col min="15400" max="15400" width="12.33203125" style="2" bestFit="1" customWidth="1"/>
    <col min="15401" max="15401" width="9.6640625" style="2" bestFit="1" customWidth="1"/>
    <col min="15402" max="15402" width="11" style="2" bestFit="1" customWidth="1"/>
    <col min="15403" max="15616" width="9.1640625" style="2"/>
    <col min="15617" max="15617" width="44" style="2" bestFit="1" customWidth="1"/>
    <col min="15618" max="15618" width="23.33203125" style="2" customWidth="1"/>
    <col min="15619" max="15619" width="17.33203125" style="2" customWidth="1"/>
    <col min="15620" max="15621" width="7.6640625" style="2" customWidth="1"/>
    <col min="15622" max="15622" width="17.83203125" style="2" customWidth="1"/>
    <col min="15623" max="15623" width="15.5" style="2" customWidth="1"/>
    <col min="15624" max="15624" width="17.83203125" style="2" customWidth="1"/>
    <col min="15625" max="15625" width="15.83203125" style="2" customWidth="1"/>
    <col min="15626" max="15628" width="15.1640625" style="2" customWidth="1"/>
    <col min="15629" max="15629" width="12.5" style="2" bestFit="1" customWidth="1"/>
    <col min="15630" max="15630" width="11.6640625" style="2" bestFit="1" customWidth="1"/>
    <col min="15631" max="15631" width="12.5" style="2" bestFit="1" customWidth="1"/>
    <col min="15632" max="15632" width="11.1640625" style="2" bestFit="1" customWidth="1"/>
    <col min="15633" max="15633" width="12.6640625" style="2" bestFit="1" customWidth="1"/>
    <col min="15634" max="15634" width="11.5" style="2" bestFit="1" customWidth="1"/>
    <col min="15635" max="15635" width="12.6640625" style="2" bestFit="1" customWidth="1"/>
    <col min="15636" max="15636" width="11.6640625" style="2" bestFit="1" customWidth="1"/>
    <col min="15637" max="15637" width="11.5" style="2" bestFit="1" customWidth="1"/>
    <col min="15638" max="15639" width="12.5" style="2" bestFit="1" customWidth="1"/>
    <col min="15640" max="15641" width="12.33203125" style="2" bestFit="1" customWidth="1"/>
    <col min="15642" max="15642" width="11" style="2" bestFit="1" customWidth="1"/>
    <col min="15643" max="15644" width="9.6640625" style="2" bestFit="1" customWidth="1"/>
    <col min="15645" max="15645" width="9.5" style="2" bestFit="1" customWidth="1"/>
    <col min="15646" max="15646" width="9.33203125" style="2" bestFit="1" customWidth="1"/>
    <col min="15647" max="15647" width="9.5" style="2" bestFit="1" customWidth="1"/>
    <col min="15648" max="15648" width="11" style="2" bestFit="1" customWidth="1"/>
    <col min="15649" max="15650" width="9.6640625" style="2" bestFit="1" customWidth="1"/>
    <col min="15651" max="15651" width="9.5" style="2" bestFit="1" customWidth="1"/>
    <col min="15652" max="15652" width="9.6640625" style="2" bestFit="1" customWidth="1"/>
    <col min="15653" max="15653" width="11" style="2" bestFit="1" customWidth="1"/>
    <col min="15654" max="15654" width="11.5" style="2" bestFit="1" customWidth="1"/>
    <col min="15655" max="15655" width="13.5" style="2" bestFit="1" customWidth="1"/>
    <col min="15656" max="15656" width="12.33203125" style="2" bestFit="1" customWidth="1"/>
    <col min="15657" max="15657" width="9.6640625" style="2" bestFit="1" customWidth="1"/>
    <col min="15658" max="15658" width="11" style="2" bestFit="1" customWidth="1"/>
    <col min="15659" max="15872" width="9.1640625" style="2"/>
    <col min="15873" max="15873" width="44" style="2" bestFit="1" customWidth="1"/>
    <col min="15874" max="15874" width="23.33203125" style="2" customWidth="1"/>
    <col min="15875" max="15875" width="17.33203125" style="2" customWidth="1"/>
    <col min="15876" max="15877" width="7.6640625" style="2" customWidth="1"/>
    <col min="15878" max="15878" width="17.83203125" style="2" customWidth="1"/>
    <col min="15879" max="15879" width="15.5" style="2" customWidth="1"/>
    <col min="15880" max="15880" width="17.83203125" style="2" customWidth="1"/>
    <col min="15881" max="15881" width="15.83203125" style="2" customWidth="1"/>
    <col min="15882" max="15884" width="15.1640625" style="2" customWidth="1"/>
    <col min="15885" max="15885" width="12.5" style="2" bestFit="1" customWidth="1"/>
    <col min="15886" max="15886" width="11.6640625" style="2" bestFit="1" customWidth="1"/>
    <col min="15887" max="15887" width="12.5" style="2" bestFit="1" customWidth="1"/>
    <col min="15888" max="15888" width="11.1640625" style="2" bestFit="1" customWidth="1"/>
    <col min="15889" max="15889" width="12.6640625" style="2" bestFit="1" customWidth="1"/>
    <col min="15890" max="15890" width="11.5" style="2" bestFit="1" customWidth="1"/>
    <col min="15891" max="15891" width="12.6640625" style="2" bestFit="1" customWidth="1"/>
    <col min="15892" max="15892" width="11.6640625" style="2" bestFit="1" customWidth="1"/>
    <col min="15893" max="15893" width="11.5" style="2" bestFit="1" customWidth="1"/>
    <col min="15894" max="15895" width="12.5" style="2" bestFit="1" customWidth="1"/>
    <col min="15896" max="15897" width="12.33203125" style="2" bestFit="1" customWidth="1"/>
    <col min="15898" max="15898" width="11" style="2" bestFit="1" customWidth="1"/>
    <col min="15899" max="15900" width="9.6640625" style="2" bestFit="1" customWidth="1"/>
    <col min="15901" max="15901" width="9.5" style="2" bestFit="1" customWidth="1"/>
    <col min="15902" max="15902" width="9.33203125" style="2" bestFit="1" customWidth="1"/>
    <col min="15903" max="15903" width="9.5" style="2" bestFit="1" customWidth="1"/>
    <col min="15904" max="15904" width="11" style="2" bestFit="1" customWidth="1"/>
    <col min="15905" max="15906" width="9.6640625" style="2" bestFit="1" customWidth="1"/>
    <col min="15907" max="15907" width="9.5" style="2" bestFit="1" customWidth="1"/>
    <col min="15908" max="15908" width="9.6640625" style="2" bestFit="1" customWidth="1"/>
    <col min="15909" max="15909" width="11" style="2" bestFit="1" customWidth="1"/>
    <col min="15910" max="15910" width="11.5" style="2" bestFit="1" customWidth="1"/>
    <col min="15911" max="15911" width="13.5" style="2" bestFit="1" customWidth="1"/>
    <col min="15912" max="15912" width="12.33203125" style="2" bestFit="1" customWidth="1"/>
    <col min="15913" max="15913" width="9.6640625" style="2" bestFit="1" customWidth="1"/>
    <col min="15914" max="15914" width="11" style="2" bestFit="1" customWidth="1"/>
    <col min="15915" max="16128" width="9.1640625" style="2"/>
    <col min="16129" max="16129" width="44" style="2" bestFit="1" customWidth="1"/>
    <col min="16130" max="16130" width="23.33203125" style="2" customWidth="1"/>
    <col min="16131" max="16131" width="17.33203125" style="2" customWidth="1"/>
    <col min="16132" max="16133" width="7.6640625" style="2" customWidth="1"/>
    <col min="16134" max="16134" width="17.83203125" style="2" customWidth="1"/>
    <col min="16135" max="16135" width="15.5" style="2" customWidth="1"/>
    <col min="16136" max="16136" width="17.83203125" style="2" customWidth="1"/>
    <col min="16137" max="16137" width="15.83203125" style="2" customWidth="1"/>
    <col min="16138" max="16140" width="15.1640625" style="2" customWidth="1"/>
    <col min="16141" max="16141" width="12.5" style="2" bestFit="1" customWidth="1"/>
    <col min="16142" max="16142" width="11.6640625" style="2" bestFit="1" customWidth="1"/>
    <col min="16143" max="16143" width="12.5" style="2" bestFit="1" customWidth="1"/>
    <col min="16144" max="16144" width="11.1640625" style="2" bestFit="1" customWidth="1"/>
    <col min="16145" max="16145" width="12.6640625" style="2" bestFit="1" customWidth="1"/>
    <col min="16146" max="16146" width="11.5" style="2" bestFit="1" customWidth="1"/>
    <col min="16147" max="16147" width="12.6640625" style="2" bestFit="1" customWidth="1"/>
    <col min="16148" max="16148" width="11.6640625" style="2" bestFit="1" customWidth="1"/>
    <col min="16149" max="16149" width="11.5" style="2" bestFit="1" customWidth="1"/>
    <col min="16150" max="16151" width="12.5" style="2" bestFit="1" customWidth="1"/>
    <col min="16152" max="16153" width="12.33203125" style="2" bestFit="1" customWidth="1"/>
    <col min="16154" max="16154" width="11" style="2" bestFit="1" customWidth="1"/>
    <col min="16155" max="16156" width="9.6640625" style="2" bestFit="1" customWidth="1"/>
    <col min="16157" max="16157" width="9.5" style="2" bestFit="1" customWidth="1"/>
    <col min="16158" max="16158" width="9.33203125" style="2" bestFit="1" customWidth="1"/>
    <col min="16159" max="16159" width="9.5" style="2" bestFit="1" customWidth="1"/>
    <col min="16160" max="16160" width="11" style="2" bestFit="1" customWidth="1"/>
    <col min="16161" max="16162" width="9.6640625" style="2" bestFit="1" customWidth="1"/>
    <col min="16163" max="16163" width="9.5" style="2" bestFit="1" customWidth="1"/>
    <col min="16164" max="16164" width="9.6640625" style="2" bestFit="1" customWidth="1"/>
    <col min="16165" max="16165" width="11" style="2" bestFit="1" customWidth="1"/>
    <col min="16166" max="16166" width="11.5" style="2" bestFit="1" customWidth="1"/>
    <col min="16167" max="16167" width="13.5" style="2" bestFit="1" customWidth="1"/>
    <col min="16168" max="16168" width="12.33203125" style="2" bestFit="1" customWidth="1"/>
    <col min="16169" max="16169" width="9.6640625" style="2" bestFit="1" customWidth="1"/>
    <col min="16170" max="16170" width="11" style="2" bestFit="1" customWidth="1"/>
    <col min="16171" max="16384" width="9.1640625" style="2"/>
  </cols>
  <sheetData>
    <row r="2" spans="1:40" x14ac:dyDescent="0.2">
      <c r="C2" s="9"/>
      <c r="D2" s="9"/>
      <c r="E2" s="9"/>
    </row>
    <row r="4" spans="1:40" x14ac:dyDescent="0.2">
      <c r="J4" s="1" t="s">
        <v>252</v>
      </c>
      <c r="O4" s="1"/>
      <c r="Z4" s="1" t="s">
        <v>253</v>
      </c>
      <c r="AE4" s="1"/>
    </row>
    <row r="5" spans="1:40" ht="17" x14ac:dyDescent="0.25">
      <c r="A5" s="1" t="s">
        <v>111</v>
      </c>
      <c r="B5" s="1" t="s">
        <v>112</v>
      </c>
      <c r="C5" s="1" t="s">
        <v>113</v>
      </c>
      <c r="D5" s="1"/>
      <c r="E5" s="1"/>
      <c r="F5" s="1" t="s">
        <v>254</v>
      </c>
      <c r="G5" s="1" t="s">
        <v>255</v>
      </c>
      <c r="H5" s="1" t="s">
        <v>256</v>
      </c>
      <c r="I5" s="1" t="s">
        <v>257</v>
      </c>
      <c r="J5" s="1" t="s">
        <v>258</v>
      </c>
      <c r="K5" s="1" t="s">
        <v>259</v>
      </c>
      <c r="L5" s="1" t="s">
        <v>260</v>
      </c>
      <c r="M5" s="1" t="s">
        <v>261</v>
      </c>
      <c r="N5" s="1" t="s">
        <v>262</v>
      </c>
      <c r="O5" s="1" t="s">
        <v>263</v>
      </c>
      <c r="P5" s="1" t="s">
        <v>264</v>
      </c>
      <c r="Q5" s="1" t="s">
        <v>265</v>
      </c>
      <c r="S5" s="1" t="s">
        <v>266</v>
      </c>
      <c r="T5" s="1" t="s">
        <v>267</v>
      </c>
      <c r="U5" s="1" t="s">
        <v>268</v>
      </c>
      <c r="V5" s="1" t="s">
        <v>269</v>
      </c>
      <c r="W5" s="1" t="s">
        <v>270</v>
      </c>
      <c r="X5" s="1" t="s">
        <v>271</v>
      </c>
      <c r="Z5" s="1" t="s">
        <v>258</v>
      </c>
      <c r="AA5" s="1" t="s">
        <v>259</v>
      </c>
      <c r="AB5" s="1" t="s">
        <v>260</v>
      </c>
      <c r="AC5" s="1" t="s">
        <v>261</v>
      </c>
      <c r="AD5" s="1" t="s">
        <v>262</v>
      </c>
      <c r="AE5" s="1" t="s">
        <v>263</v>
      </c>
      <c r="AF5" s="1" t="s">
        <v>264</v>
      </c>
      <c r="AG5" s="1" t="s">
        <v>265</v>
      </c>
      <c r="AH5" s="1" t="s">
        <v>272</v>
      </c>
      <c r="AI5" s="1" t="s">
        <v>266</v>
      </c>
      <c r="AJ5" s="1" t="s">
        <v>267</v>
      </c>
      <c r="AK5" s="1" t="s">
        <v>268</v>
      </c>
      <c r="AL5" s="1" t="s">
        <v>269</v>
      </c>
      <c r="AM5" s="1" t="s">
        <v>270</v>
      </c>
      <c r="AN5" s="1" t="s">
        <v>271</v>
      </c>
    </row>
    <row r="6" spans="1:40" x14ac:dyDescent="0.2">
      <c r="A6" s="10" t="s">
        <v>6</v>
      </c>
      <c r="B6" s="2">
        <f>((H6+I6)/(F6+G6))*C6</f>
        <v>369396665.87570482</v>
      </c>
      <c r="C6" s="3">
        <v>2129440524.9576907</v>
      </c>
      <c r="D6" s="11">
        <f>H6/F6*100</f>
        <v>46.999392255465708</v>
      </c>
      <c r="E6" s="11">
        <f>I6/G6*100</f>
        <v>8.6217629173157118</v>
      </c>
      <c r="F6" s="17">
        <v>205701562</v>
      </c>
      <c r="G6" s="17">
        <v>699056325</v>
      </c>
      <c r="H6" s="2">
        <f t="shared" ref="H6:H20" si="0">SUM(J6:X6)</f>
        <v>96678484</v>
      </c>
      <c r="I6" s="2">
        <f t="shared" ref="I6:I20" si="1">SUM(Z6:AN6)</f>
        <v>60270979</v>
      </c>
      <c r="J6" s="2" t="s">
        <v>273</v>
      </c>
      <c r="K6" s="19">
        <v>65257</v>
      </c>
      <c r="L6" s="19">
        <v>5617660</v>
      </c>
      <c r="M6" s="19">
        <v>4627</v>
      </c>
      <c r="N6" s="17">
        <v>5449196</v>
      </c>
      <c r="O6" s="17">
        <v>51763</v>
      </c>
      <c r="P6" s="19">
        <v>111301</v>
      </c>
      <c r="Q6" s="19">
        <v>61003</v>
      </c>
      <c r="S6" s="19">
        <v>23694</v>
      </c>
      <c r="T6" s="17">
        <v>4332320</v>
      </c>
      <c r="U6" s="17">
        <v>4585181</v>
      </c>
      <c r="V6" s="17">
        <v>60861509</v>
      </c>
      <c r="W6" s="17">
        <v>15309378</v>
      </c>
      <c r="X6" s="17">
        <v>205595</v>
      </c>
      <c r="Z6" s="2" t="s">
        <v>273</v>
      </c>
      <c r="AA6" s="19">
        <v>2434</v>
      </c>
      <c r="AB6" s="19">
        <v>7260961</v>
      </c>
      <c r="AC6" s="19">
        <v>39294</v>
      </c>
      <c r="AD6" s="17">
        <v>5354797</v>
      </c>
      <c r="AE6" s="17">
        <v>8002010</v>
      </c>
      <c r="AF6" s="19">
        <v>1534252</v>
      </c>
      <c r="AG6" s="19">
        <v>3802288</v>
      </c>
      <c r="AI6" s="19">
        <v>5892973</v>
      </c>
      <c r="AJ6" s="17">
        <v>1050476</v>
      </c>
      <c r="AK6" s="17">
        <v>3351000</v>
      </c>
      <c r="AL6" s="17">
        <v>1196791</v>
      </c>
      <c r="AM6" s="17">
        <v>541272</v>
      </c>
      <c r="AN6" s="17">
        <v>22242431</v>
      </c>
    </row>
    <row r="7" spans="1:40" x14ac:dyDescent="0.2">
      <c r="A7" s="10" t="s">
        <v>7</v>
      </c>
      <c r="B7" s="2">
        <f>((H7+I7)/(F7+G7))*C7</f>
        <v>112387509.17912519</v>
      </c>
      <c r="C7" s="3">
        <v>8156328768.676713</v>
      </c>
      <c r="D7" s="11">
        <f>H7/F7*100</f>
        <v>0.52161546682694981</v>
      </c>
      <c r="E7" s="11">
        <f>I7/G7*100</f>
        <v>1.5639012718186236</v>
      </c>
      <c r="F7" s="2">
        <v>701528661</v>
      </c>
      <c r="G7" s="2">
        <v>3229968663</v>
      </c>
      <c r="H7" s="2">
        <f t="shared" si="0"/>
        <v>3659282</v>
      </c>
      <c r="I7" s="2">
        <f t="shared" si="1"/>
        <v>50513521</v>
      </c>
      <c r="J7" s="2">
        <v>56760</v>
      </c>
      <c r="K7" s="2" t="s">
        <v>273</v>
      </c>
      <c r="L7" s="2">
        <v>122649</v>
      </c>
      <c r="M7" s="2">
        <v>453980</v>
      </c>
      <c r="N7" s="17">
        <v>400000</v>
      </c>
      <c r="O7" s="2">
        <v>103782</v>
      </c>
      <c r="P7" s="2">
        <v>17852</v>
      </c>
      <c r="Q7" s="2">
        <v>44594</v>
      </c>
      <c r="S7" s="2">
        <v>951990</v>
      </c>
      <c r="T7" s="2">
        <v>2057</v>
      </c>
      <c r="U7" s="2">
        <v>2650</v>
      </c>
      <c r="V7" s="2">
        <v>26229</v>
      </c>
      <c r="W7" s="17">
        <v>400000</v>
      </c>
      <c r="X7" s="2">
        <v>1076739</v>
      </c>
      <c r="Z7" s="2">
        <v>125274</v>
      </c>
      <c r="AA7" s="2" t="s">
        <v>273</v>
      </c>
      <c r="AB7" s="2">
        <v>2384815</v>
      </c>
      <c r="AC7" s="17">
        <v>400000</v>
      </c>
      <c r="AD7" s="2">
        <v>4347940</v>
      </c>
      <c r="AE7" s="2">
        <v>4347940</v>
      </c>
      <c r="AF7" s="2">
        <v>37433</v>
      </c>
      <c r="AG7" s="2">
        <v>181544</v>
      </c>
      <c r="AI7" s="2">
        <v>1492132</v>
      </c>
      <c r="AJ7" s="2">
        <v>5497</v>
      </c>
      <c r="AK7" s="17">
        <v>400000</v>
      </c>
      <c r="AL7" s="2">
        <v>23</v>
      </c>
      <c r="AM7" s="17">
        <v>400000</v>
      </c>
      <c r="AN7" s="2">
        <v>36390923</v>
      </c>
    </row>
    <row r="8" spans="1:40" x14ac:dyDescent="0.2">
      <c r="A8" s="10" t="s">
        <v>8</v>
      </c>
      <c r="B8" s="2">
        <f t="shared" ref="B8:B20" si="2">((H8+I8)/(F8+G8))*C8</f>
        <v>1191829978.0309932</v>
      </c>
      <c r="C8" s="3">
        <v>4283565545.4807315</v>
      </c>
      <c r="D8" s="11">
        <f t="shared" ref="D8:E20" si="3">H8/F8*100</f>
        <v>35.493216866579417</v>
      </c>
      <c r="E8" s="11">
        <f t="shared" si="3"/>
        <v>25.826123370512288</v>
      </c>
      <c r="F8" s="2">
        <v>454194737</v>
      </c>
      <c r="G8" s="2">
        <v>1744262693</v>
      </c>
      <c r="H8" s="2">
        <f t="shared" si="0"/>
        <v>161208323</v>
      </c>
      <c r="I8" s="2">
        <f t="shared" si="1"/>
        <v>450475435</v>
      </c>
      <c r="J8" s="2">
        <v>10987527</v>
      </c>
      <c r="K8" s="2">
        <v>2739123</v>
      </c>
      <c r="L8" s="2" t="s">
        <v>273</v>
      </c>
      <c r="M8" s="2">
        <v>2230765</v>
      </c>
      <c r="N8" s="2">
        <v>5435540</v>
      </c>
      <c r="O8" s="2">
        <v>1777046</v>
      </c>
      <c r="P8" s="2">
        <v>11269942</v>
      </c>
      <c r="Q8" s="2">
        <v>13728880</v>
      </c>
      <c r="S8" s="2">
        <v>17765320</v>
      </c>
      <c r="T8" s="2">
        <v>24702123</v>
      </c>
      <c r="U8" s="2">
        <v>15056945</v>
      </c>
      <c r="V8" s="2">
        <v>8043495</v>
      </c>
      <c r="W8" s="2">
        <v>4442862</v>
      </c>
      <c r="X8" s="2">
        <v>43028755</v>
      </c>
      <c r="Z8" s="2">
        <v>800512</v>
      </c>
      <c r="AA8" s="2">
        <v>215247</v>
      </c>
      <c r="AB8" s="2" t="s">
        <v>273</v>
      </c>
      <c r="AC8" s="2">
        <v>2058089</v>
      </c>
      <c r="AD8" s="2">
        <v>1740542</v>
      </c>
      <c r="AE8" s="2">
        <v>7590712</v>
      </c>
      <c r="AF8" s="2">
        <v>1851491</v>
      </c>
      <c r="AG8" s="2">
        <v>18933089</v>
      </c>
      <c r="AI8" s="2">
        <v>10459204</v>
      </c>
      <c r="AJ8" s="2">
        <v>7198369</v>
      </c>
      <c r="AK8" s="2">
        <v>4199746</v>
      </c>
      <c r="AL8" s="2">
        <v>476643</v>
      </c>
      <c r="AM8" s="2">
        <v>49468471</v>
      </c>
      <c r="AN8" s="2">
        <v>345483320</v>
      </c>
    </row>
    <row r="9" spans="1:40" x14ac:dyDescent="0.2">
      <c r="A9" s="10" t="s">
        <v>9</v>
      </c>
      <c r="B9" s="2">
        <f t="shared" si="2"/>
        <v>72434796.278250232</v>
      </c>
      <c r="C9" s="3">
        <v>2338133534.168601</v>
      </c>
      <c r="D9" s="11">
        <f t="shared" si="3"/>
        <v>6.7980262078868936</v>
      </c>
      <c r="E9" s="11">
        <f t="shared" si="3"/>
        <v>1.7929281318569295</v>
      </c>
      <c r="F9" s="2">
        <v>295057821</v>
      </c>
      <c r="G9" s="2">
        <v>836543793</v>
      </c>
      <c r="H9" s="2">
        <f t="shared" si="0"/>
        <v>20058108</v>
      </c>
      <c r="I9" s="2">
        <f t="shared" si="1"/>
        <v>14998629</v>
      </c>
      <c r="J9" s="2">
        <v>14880</v>
      </c>
      <c r="K9" s="17">
        <v>400000</v>
      </c>
      <c r="L9" s="2">
        <v>1786344</v>
      </c>
      <c r="M9" s="2" t="s">
        <v>273</v>
      </c>
      <c r="N9" s="2">
        <v>114920</v>
      </c>
      <c r="O9" s="2">
        <v>2657095</v>
      </c>
      <c r="P9" s="17">
        <v>400000</v>
      </c>
      <c r="Q9" s="2">
        <v>1443121</v>
      </c>
      <c r="S9" s="2">
        <v>4202181</v>
      </c>
      <c r="T9" s="17">
        <v>400000</v>
      </c>
      <c r="U9" s="17">
        <v>400000</v>
      </c>
      <c r="V9" s="17">
        <v>400000</v>
      </c>
      <c r="W9" s="2">
        <v>21184</v>
      </c>
      <c r="X9" s="2">
        <v>7818383</v>
      </c>
      <c r="Z9" s="2">
        <v>440722</v>
      </c>
      <c r="AA9" s="2">
        <v>34238</v>
      </c>
      <c r="AB9" s="2">
        <v>1068217</v>
      </c>
      <c r="AC9" s="2" t="s">
        <v>273</v>
      </c>
      <c r="AD9" s="2">
        <v>85564</v>
      </c>
      <c r="AE9" s="2">
        <v>133654</v>
      </c>
      <c r="AF9" s="17">
        <v>400000</v>
      </c>
      <c r="AG9" s="2">
        <v>653213</v>
      </c>
      <c r="AI9" s="2">
        <v>4785714</v>
      </c>
      <c r="AJ9" s="2">
        <v>206997</v>
      </c>
      <c r="AK9" s="17">
        <v>400000</v>
      </c>
      <c r="AL9" s="17">
        <v>400000</v>
      </c>
      <c r="AM9" s="2">
        <v>438</v>
      </c>
      <c r="AN9" s="2">
        <v>6389872</v>
      </c>
    </row>
    <row r="10" spans="1:40" x14ac:dyDescent="0.2">
      <c r="A10" s="10" t="s">
        <v>10</v>
      </c>
      <c r="B10" s="2">
        <f t="shared" si="2"/>
        <v>260776839.4442648</v>
      </c>
      <c r="C10" s="3">
        <v>703399601.42159665</v>
      </c>
      <c r="D10" s="11">
        <f t="shared" si="3"/>
        <v>61.952167939618043</v>
      </c>
      <c r="E10" s="11">
        <f t="shared" si="3"/>
        <v>32.791985150188061</v>
      </c>
      <c r="F10" s="2">
        <v>39993803</v>
      </c>
      <c r="G10" s="2">
        <v>232374660</v>
      </c>
      <c r="H10" s="2">
        <f t="shared" si="0"/>
        <v>24777028</v>
      </c>
      <c r="I10" s="2">
        <f t="shared" si="1"/>
        <v>76200264</v>
      </c>
      <c r="J10" s="2">
        <v>6072400</v>
      </c>
      <c r="K10" s="2">
        <v>136151</v>
      </c>
      <c r="L10" s="2">
        <v>1084760</v>
      </c>
      <c r="M10" s="2">
        <v>68853</v>
      </c>
      <c r="N10" s="2" t="s">
        <v>273</v>
      </c>
      <c r="O10" s="17">
        <v>400000</v>
      </c>
      <c r="P10" s="2">
        <v>800537</v>
      </c>
      <c r="Q10" s="2">
        <v>2062166</v>
      </c>
      <c r="S10" s="2">
        <v>6515197</v>
      </c>
      <c r="T10" s="2">
        <v>920093</v>
      </c>
      <c r="U10" s="2">
        <v>962509</v>
      </c>
      <c r="V10" s="2">
        <v>1767956</v>
      </c>
      <c r="W10" s="2">
        <v>471143</v>
      </c>
      <c r="X10" s="2">
        <v>3515263</v>
      </c>
      <c r="Z10" s="2">
        <v>410516</v>
      </c>
      <c r="AA10" s="2">
        <v>9733</v>
      </c>
      <c r="AB10" s="2">
        <v>4245483</v>
      </c>
      <c r="AC10" s="2">
        <v>409612</v>
      </c>
      <c r="AD10" s="2" t="s">
        <v>273</v>
      </c>
      <c r="AE10" s="2">
        <v>5022987</v>
      </c>
      <c r="AF10" s="2">
        <v>3516221</v>
      </c>
      <c r="AG10" s="2">
        <v>3493215</v>
      </c>
      <c r="AI10" s="2">
        <v>2290118</v>
      </c>
      <c r="AJ10" s="2">
        <v>4059844</v>
      </c>
      <c r="AK10" s="2">
        <v>2617362</v>
      </c>
      <c r="AL10" s="2">
        <v>299289</v>
      </c>
      <c r="AM10" s="2">
        <v>265873</v>
      </c>
      <c r="AN10" s="2">
        <v>49560011</v>
      </c>
    </row>
    <row r="11" spans="1:40" x14ac:dyDescent="0.2">
      <c r="A11" s="10" t="s">
        <v>19</v>
      </c>
      <c r="B11" s="2">
        <f t="shared" si="2"/>
        <v>983922428.36024344</v>
      </c>
      <c r="C11" s="3">
        <v>96731892070.788498</v>
      </c>
      <c r="D11" s="11">
        <f t="shared" si="3"/>
        <v>2.0598417626338499</v>
      </c>
      <c r="E11" s="11">
        <f t="shared" si="3"/>
        <v>0.46685366731977235</v>
      </c>
      <c r="F11" s="2">
        <v>6421633807</v>
      </c>
      <c r="G11" s="2">
        <v>12167109734</v>
      </c>
      <c r="H11" s="2">
        <f t="shared" si="0"/>
        <v>132275495</v>
      </c>
      <c r="I11" s="2">
        <f t="shared" si="1"/>
        <v>56802598</v>
      </c>
      <c r="J11" s="2">
        <v>13338236</v>
      </c>
      <c r="K11" s="2">
        <v>3182328</v>
      </c>
      <c r="L11" s="2">
        <v>6277021</v>
      </c>
      <c r="M11" s="2">
        <v>156245</v>
      </c>
      <c r="N11" s="2">
        <v>4905683</v>
      </c>
      <c r="O11" s="2" t="s">
        <v>273</v>
      </c>
      <c r="P11" s="2">
        <v>1604246</v>
      </c>
      <c r="Q11" s="2">
        <v>8126399</v>
      </c>
      <c r="S11" s="2">
        <v>60255444</v>
      </c>
      <c r="T11" s="2">
        <v>7352729</v>
      </c>
      <c r="U11" s="2">
        <v>1274136</v>
      </c>
      <c r="V11" s="2">
        <v>5441581</v>
      </c>
      <c r="W11" s="2">
        <v>5036241</v>
      </c>
      <c r="X11" s="2">
        <v>15325206</v>
      </c>
      <c r="Z11" s="2">
        <v>8592</v>
      </c>
      <c r="AA11" s="2">
        <v>1895597</v>
      </c>
      <c r="AB11" s="2">
        <v>2082650</v>
      </c>
      <c r="AC11" s="2">
        <v>3378352</v>
      </c>
      <c r="AD11" s="2">
        <v>14610</v>
      </c>
      <c r="AE11" s="2" t="s">
        <v>273</v>
      </c>
      <c r="AF11" s="2">
        <v>1133078</v>
      </c>
      <c r="AG11" s="2">
        <v>85953</v>
      </c>
      <c r="AI11" s="2">
        <v>4768772</v>
      </c>
      <c r="AJ11" s="2">
        <v>656</v>
      </c>
      <c r="AK11" s="2">
        <v>8595</v>
      </c>
      <c r="AL11" s="2">
        <v>126389</v>
      </c>
      <c r="AM11" s="2">
        <v>190027</v>
      </c>
      <c r="AN11" s="2">
        <v>43109327</v>
      </c>
    </row>
    <row r="12" spans="1:40" x14ac:dyDescent="0.2">
      <c r="A12" s="10" t="s">
        <v>11</v>
      </c>
      <c r="B12" s="2">
        <f t="shared" si="2"/>
        <v>396573384.87939858</v>
      </c>
      <c r="C12" s="3">
        <v>1209835049.7122512</v>
      </c>
      <c r="D12" s="11">
        <f t="shared" si="3"/>
        <v>62.349232223651761</v>
      </c>
      <c r="E12" s="11">
        <f t="shared" si="3"/>
        <v>30.293560688896665</v>
      </c>
      <c r="F12" s="2">
        <v>30538190</v>
      </c>
      <c r="G12" s="2">
        <v>363304298</v>
      </c>
      <c r="H12" s="2">
        <f t="shared" si="0"/>
        <v>19040327</v>
      </c>
      <c r="I12" s="2">
        <f t="shared" si="1"/>
        <v>110057808</v>
      </c>
      <c r="J12" s="2">
        <v>1020203</v>
      </c>
      <c r="K12" s="2">
        <v>185</v>
      </c>
      <c r="L12" s="2">
        <v>2862568</v>
      </c>
      <c r="M12" s="17">
        <v>400000</v>
      </c>
      <c r="N12" s="2">
        <v>5009413</v>
      </c>
      <c r="O12" s="2">
        <v>452</v>
      </c>
      <c r="P12" s="2" t="s">
        <v>273</v>
      </c>
      <c r="Q12" s="2">
        <v>628529</v>
      </c>
      <c r="S12" s="2">
        <v>524117</v>
      </c>
      <c r="T12" s="2">
        <v>3417863</v>
      </c>
      <c r="U12" s="2">
        <v>1911782</v>
      </c>
      <c r="V12" s="2">
        <v>2608837</v>
      </c>
      <c r="W12" s="2">
        <v>72876</v>
      </c>
      <c r="X12" s="2">
        <v>583502</v>
      </c>
      <c r="Z12" s="2">
        <v>378730</v>
      </c>
      <c r="AA12" s="2">
        <v>20068</v>
      </c>
      <c r="AB12" s="2">
        <v>6529683</v>
      </c>
      <c r="AC12" s="2">
        <v>193572</v>
      </c>
      <c r="AD12" s="2">
        <v>696608</v>
      </c>
      <c r="AE12" s="2">
        <v>1911782</v>
      </c>
      <c r="AF12" s="2" t="s">
        <v>273</v>
      </c>
      <c r="AG12" s="2">
        <v>3852059</v>
      </c>
      <c r="AI12" s="2">
        <v>2255917</v>
      </c>
      <c r="AJ12" s="2">
        <v>1853001</v>
      </c>
      <c r="AK12" s="2">
        <v>1187115</v>
      </c>
      <c r="AL12" s="2">
        <v>699737</v>
      </c>
      <c r="AM12" s="2">
        <v>137519</v>
      </c>
      <c r="AN12" s="2">
        <v>90342017</v>
      </c>
    </row>
    <row r="13" spans="1:40" x14ac:dyDescent="0.2">
      <c r="A13" s="10" t="s">
        <v>12</v>
      </c>
      <c r="B13" s="2">
        <f>((H13+I13)/(F13+G13))*C13</f>
        <v>966500379.01098824</v>
      </c>
      <c r="C13" s="3">
        <v>3881258193.5048141</v>
      </c>
      <c r="D13" s="11">
        <f t="shared" si="3"/>
        <v>14.724885416539276</v>
      </c>
      <c r="E13" s="11">
        <f t="shared" si="3"/>
        <v>31.179143734298748</v>
      </c>
      <c r="F13" s="2">
        <v>830214277</v>
      </c>
      <c r="G13" s="2">
        <v>1345929842</v>
      </c>
      <c r="H13" s="2">
        <f t="shared" si="0"/>
        <v>122248101</v>
      </c>
      <c r="I13" s="2">
        <f t="shared" si="1"/>
        <v>419649400</v>
      </c>
      <c r="J13" s="2">
        <v>4371771</v>
      </c>
      <c r="K13" s="2">
        <v>796866</v>
      </c>
      <c r="L13" s="2">
        <v>16643780</v>
      </c>
      <c r="M13" s="2">
        <v>384810</v>
      </c>
      <c r="N13" s="2">
        <v>3317039</v>
      </c>
      <c r="O13" s="2">
        <v>1115310</v>
      </c>
      <c r="P13" s="2">
        <v>3542919</v>
      </c>
      <c r="Q13" s="2" t="s">
        <v>273</v>
      </c>
      <c r="S13" s="2">
        <v>44368753</v>
      </c>
      <c r="T13" s="2">
        <v>4020702</v>
      </c>
      <c r="U13" s="2">
        <v>3371639</v>
      </c>
      <c r="V13" s="2">
        <v>3104703</v>
      </c>
      <c r="W13" s="2">
        <v>4769761</v>
      </c>
      <c r="X13" s="2">
        <v>32440048</v>
      </c>
      <c r="Z13" s="2">
        <v>110182</v>
      </c>
      <c r="AA13" s="2">
        <v>89678</v>
      </c>
      <c r="AB13" s="2">
        <v>12415747</v>
      </c>
      <c r="AC13" s="2">
        <v>1636069</v>
      </c>
      <c r="AD13" s="2">
        <v>2691845</v>
      </c>
      <c r="AE13" s="2">
        <v>17165800</v>
      </c>
      <c r="AF13" s="2">
        <v>545874</v>
      </c>
      <c r="AG13" s="2" t="s">
        <v>273</v>
      </c>
      <c r="AI13" s="2">
        <v>5249838</v>
      </c>
      <c r="AJ13" s="2">
        <v>1117731</v>
      </c>
      <c r="AK13" s="2">
        <v>389901</v>
      </c>
      <c r="AL13" s="2">
        <v>161512</v>
      </c>
      <c r="AM13" s="2">
        <v>80977500</v>
      </c>
      <c r="AN13" s="2">
        <v>297097723</v>
      </c>
    </row>
    <row r="14" spans="1:40" x14ac:dyDescent="0.2">
      <c r="A14" s="10" t="s">
        <v>5</v>
      </c>
      <c r="B14" s="2" t="e">
        <f>((H14+I14)/(F14+G14))*C14</f>
        <v>#DIV/0!</v>
      </c>
      <c r="C14" s="3">
        <v>14811519347.881405</v>
      </c>
      <c r="D14" s="11" t="e">
        <f t="shared" si="3"/>
        <v>#DIV/0!</v>
      </c>
      <c r="E14" s="11" t="e">
        <f t="shared" si="3"/>
        <v>#DIV/0!</v>
      </c>
      <c r="H14" s="2">
        <f t="shared" si="0"/>
        <v>0</v>
      </c>
      <c r="I14" s="2">
        <f t="shared" si="1"/>
        <v>0</v>
      </c>
      <c r="R14" s="2" t="s">
        <v>273</v>
      </c>
      <c r="AH14" s="2" t="s">
        <v>273</v>
      </c>
    </row>
    <row r="15" spans="1:40" x14ac:dyDescent="0.2">
      <c r="A15" s="10" t="s">
        <v>13</v>
      </c>
      <c r="B15" s="2">
        <f t="shared" si="2"/>
        <v>3765397705.0644464</v>
      </c>
      <c r="C15" s="3">
        <v>22958888391.101994</v>
      </c>
      <c r="D15" s="11">
        <f t="shared" si="3"/>
        <v>2.9916222832635024</v>
      </c>
      <c r="E15" s="11">
        <f t="shared" si="3"/>
        <v>20.263622747489325</v>
      </c>
      <c r="F15" s="20">
        <v>2438809719</v>
      </c>
      <c r="G15" s="20">
        <v>8465405058</v>
      </c>
      <c r="H15" s="2">
        <f t="shared" si="0"/>
        <v>72959975</v>
      </c>
      <c r="I15" s="2">
        <f t="shared" si="1"/>
        <v>1715397745</v>
      </c>
      <c r="J15" s="2">
        <v>5376736</v>
      </c>
      <c r="K15" s="2">
        <v>2644979</v>
      </c>
      <c r="L15" s="2">
        <v>10552862</v>
      </c>
      <c r="M15" s="2">
        <v>3291078</v>
      </c>
      <c r="N15" s="2">
        <v>1525438</v>
      </c>
      <c r="O15" s="2">
        <v>4574440</v>
      </c>
      <c r="P15" s="2">
        <v>2010132</v>
      </c>
      <c r="Q15" s="2">
        <v>7040813</v>
      </c>
      <c r="S15" s="2" t="s">
        <v>273</v>
      </c>
      <c r="T15" s="2">
        <v>4720800</v>
      </c>
      <c r="U15" s="2">
        <v>2348723</v>
      </c>
      <c r="V15" s="2">
        <v>2169146</v>
      </c>
      <c r="W15" s="2">
        <v>3811579</v>
      </c>
      <c r="X15" s="2">
        <v>22893249</v>
      </c>
      <c r="Z15" s="2">
        <v>548002</v>
      </c>
      <c r="AA15" s="2">
        <v>1200857</v>
      </c>
      <c r="AB15" s="2">
        <v>67872728</v>
      </c>
      <c r="AC15" s="2">
        <v>5298382</v>
      </c>
      <c r="AD15" s="2">
        <v>10112720</v>
      </c>
      <c r="AE15" s="2">
        <v>78957202</v>
      </c>
      <c r="AF15" s="2">
        <v>590194</v>
      </c>
      <c r="AG15" s="2">
        <v>49780530</v>
      </c>
      <c r="AI15" s="2" t="s">
        <v>273</v>
      </c>
      <c r="AJ15" s="2">
        <v>2807530</v>
      </c>
      <c r="AK15" s="2">
        <v>739904</v>
      </c>
      <c r="AL15" s="2">
        <v>29289</v>
      </c>
      <c r="AM15" s="2">
        <v>19862804</v>
      </c>
      <c r="AN15" s="2">
        <v>1477597603</v>
      </c>
    </row>
    <row r="16" spans="1:40" x14ac:dyDescent="0.2">
      <c r="A16" s="10" t="s">
        <v>14</v>
      </c>
      <c r="B16" s="2">
        <f t="shared" si="2"/>
        <v>215554392.93378001</v>
      </c>
      <c r="C16" s="3">
        <v>1835057562.8462932</v>
      </c>
      <c r="D16" s="11">
        <f t="shared" si="3"/>
        <v>19.534898080846954</v>
      </c>
      <c r="E16" s="11">
        <f t="shared" si="3"/>
        <v>9.7983100621595955</v>
      </c>
      <c r="F16" s="2">
        <v>164022458</v>
      </c>
      <c r="G16" s="20">
        <v>655737373</v>
      </c>
      <c r="H16" s="2">
        <f t="shared" si="0"/>
        <v>32041620</v>
      </c>
      <c r="I16" s="2">
        <f t="shared" si="1"/>
        <v>64251181</v>
      </c>
      <c r="J16" s="2">
        <v>771448</v>
      </c>
      <c r="K16" s="2">
        <v>211374</v>
      </c>
      <c r="L16" s="2">
        <v>13894297</v>
      </c>
      <c r="M16" s="2">
        <v>553729</v>
      </c>
      <c r="N16" s="2">
        <v>4565017</v>
      </c>
      <c r="O16" s="2">
        <v>438131</v>
      </c>
      <c r="P16" s="2">
        <v>2972391</v>
      </c>
      <c r="Q16" s="2">
        <v>1672625</v>
      </c>
      <c r="S16" s="2">
        <v>667478</v>
      </c>
      <c r="T16" s="2" t="s">
        <v>273</v>
      </c>
      <c r="U16" s="2">
        <v>4873757</v>
      </c>
      <c r="V16" s="2">
        <v>1188543</v>
      </c>
      <c r="W16" s="2">
        <v>38409</v>
      </c>
      <c r="X16" s="2">
        <v>194421</v>
      </c>
      <c r="Z16" s="2">
        <v>826613</v>
      </c>
      <c r="AA16" s="2">
        <v>130983</v>
      </c>
      <c r="AB16" s="2">
        <v>5441029</v>
      </c>
      <c r="AC16" s="2">
        <v>26207</v>
      </c>
      <c r="AD16" s="2">
        <v>1237192</v>
      </c>
      <c r="AE16" s="2">
        <v>5664274</v>
      </c>
      <c r="AF16" s="2">
        <v>2034339</v>
      </c>
      <c r="AG16" s="2">
        <v>1747670</v>
      </c>
      <c r="AI16" s="2">
        <v>3412338</v>
      </c>
      <c r="AJ16" s="2" t="s">
        <v>273</v>
      </c>
      <c r="AK16" s="2">
        <v>5350467</v>
      </c>
      <c r="AL16" s="2">
        <v>776422</v>
      </c>
      <c r="AM16" s="2">
        <v>130970</v>
      </c>
      <c r="AN16" s="2">
        <v>37472677</v>
      </c>
    </row>
    <row r="17" spans="1:40" x14ac:dyDescent="0.2">
      <c r="A17" s="10" t="s">
        <v>15</v>
      </c>
      <c r="B17" s="2">
        <f>((H17+I17)/(F17+G17))*C17</f>
        <v>641610012.98312938</v>
      </c>
      <c r="C17" s="3">
        <v>1100504460.089366</v>
      </c>
      <c r="D17" s="11">
        <f t="shared" si="3"/>
        <v>89.534541179837362</v>
      </c>
      <c r="E17" s="11">
        <f t="shared" si="3"/>
        <v>53.932137494020459</v>
      </c>
      <c r="F17" s="2">
        <v>52205585</v>
      </c>
      <c r="G17" s="2">
        <v>373180796</v>
      </c>
      <c r="H17" s="2">
        <f t="shared" si="0"/>
        <v>46742031</v>
      </c>
      <c r="I17" s="2">
        <f t="shared" si="1"/>
        <v>201264380</v>
      </c>
      <c r="J17" s="2">
        <v>3735729</v>
      </c>
      <c r="K17" s="2">
        <v>370</v>
      </c>
      <c r="L17" s="2">
        <v>374935</v>
      </c>
      <c r="M17" s="2">
        <v>50</v>
      </c>
      <c r="N17" s="2">
        <v>226257</v>
      </c>
      <c r="O17" s="2">
        <v>11156</v>
      </c>
      <c r="P17" s="2">
        <v>599733</v>
      </c>
      <c r="Q17" s="2">
        <v>73913</v>
      </c>
      <c r="S17" s="2">
        <v>15543</v>
      </c>
      <c r="T17" s="2">
        <v>488687</v>
      </c>
      <c r="U17" s="2" t="s">
        <v>273</v>
      </c>
      <c r="V17" s="2">
        <v>2742496</v>
      </c>
      <c r="W17" s="2">
        <v>360699</v>
      </c>
      <c r="X17" s="2">
        <v>38112463</v>
      </c>
      <c r="Z17" s="2">
        <v>575764</v>
      </c>
      <c r="AA17" s="2">
        <v>105851</v>
      </c>
      <c r="AB17" s="2">
        <v>23139844</v>
      </c>
      <c r="AC17" s="2">
        <v>14547</v>
      </c>
      <c r="AD17" s="2">
        <v>1543288</v>
      </c>
      <c r="AE17" s="2">
        <v>5659174</v>
      </c>
      <c r="AF17" s="2">
        <v>2575582</v>
      </c>
      <c r="AG17" s="2">
        <v>4323614</v>
      </c>
      <c r="AI17" s="2">
        <v>5870242</v>
      </c>
      <c r="AJ17" s="2">
        <v>1031763</v>
      </c>
      <c r="AK17" s="2" t="s">
        <v>274</v>
      </c>
      <c r="AL17" s="2">
        <v>312235</v>
      </c>
      <c r="AM17" s="2">
        <v>93337</v>
      </c>
      <c r="AN17" s="2">
        <v>156019139</v>
      </c>
    </row>
    <row r="18" spans="1:40" x14ac:dyDescent="0.2">
      <c r="A18" s="10" t="s">
        <v>16</v>
      </c>
      <c r="B18" s="2">
        <f t="shared" si="2"/>
        <v>441231885.47272629</v>
      </c>
      <c r="C18" s="3">
        <v>1116268443.8160377</v>
      </c>
      <c r="D18" s="11">
        <f t="shared" si="3"/>
        <v>82.312485175020313</v>
      </c>
      <c r="E18" s="11">
        <f t="shared" si="3"/>
        <v>32.786885543702198</v>
      </c>
      <c r="F18" s="2">
        <v>51167861</v>
      </c>
      <c r="G18" s="2">
        <v>324785527</v>
      </c>
      <c r="H18" s="2">
        <f t="shared" si="0"/>
        <v>42117538</v>
      </c>
      <c r="I18" s="2">
        <f t="shared" si="1"/>
        <v>106487059</v>
      </c>
      <c r="J18" s="2">
        <v>4395128</v>
      </c>
      <c r="K18" s="17">
        <v>400000</v>
      </c>
      <c r="L18" s="2">
        <v>5583677</v>
      </c>
      <c r="M18" s="17">
        <v>400000</v>
      </c>
      <c r="N18" s="2">
        <v>2596708</v>
      </c>
      <c r="O18" s="2">
        <v>50784</v>
      </c>
      <c r="P18" s="2">
        <v>9521378</v>
      </c>
      <c r="Q18" s="2">
        <v>394876</v>
      </c>
      <c r="S18" s="2">
        <v>1343463</v>
      </c>
      <c r="T18" s="2">
        <v>7692769</v>
      </c>
      <c r="U18" s="2">
        <v>231700</v>
      </c>
      <c r="V18" s="2" t="s">
        <v>273</v>
      </c>
      <c r="W18" s="17">
        <v>400000</v>
      </c>
      <c r="X18" s="2">
        <v>9107055</v>
      </c>
      <c r="Z18" s="2">
        <v>147850</v>
      </c>
      <c r="AA18" s="17">
        <v>400000</v>
      </c>
      <c r="AB18" s="2">
        <v>10138462</v>
      </c>
      <c r="AC18" s="2">
        <v>58018</v>
      </c>
      <c r="AD18" s="2">
        <v>515413</v>
      </c>
      <c r="AE18" s="2">
        <v>2646272</v>
      </c>
      <c r="AF18" s="2">
        <v>827383</v>
      </c>
      <c r="AG18" s="2">
        <v>3983704</v>
      </c>
      <c r="AI18" s="2">
        <v>2375445</v>
      </c>
      <c r="AJ18" s="2">
        <v>2508375</v>
      </c>
      <c r="AK18" s="2">
        <v>1833399</v>
      </c>
      <c r="AL18" s="2" t="s">
        <v>273</v>
      </c>
      <c r="AM18" s="2">
        <v>74181</v>
      </c>
      <c r="AN18" s="2">
        <v>80978557</v>
      </c>
    </row>
    <row r="19" spans="1:40" x14ac:dyDescent="0.2">
      <c r="A19" s="10" t="s">
        <v>17</v>
      </c>
      <c r="B19" s="2">
        <f t="shared" si="2"/>
        <v>1110983545.2817428</v>
      </c>
      <c r="C19" s="3">
        <v>6629902341.8977947</v>
      </c>
      <c r="D19" s="11">
        <f t="shared" si="3"/>
        <v>16.069021185584127</v>
      </c>
      <c r="E19" s="11">
        <f t="shared" si="3"/>
        <v>17.271995866605131</v>
      </c>
      <c r="F19" s="20">
        <v>1304331985</v>
      </c>
      <c r="G19" s="2">
        <v>1743411464</v>
      </c>
      <c r="H19" s="2">
        <f t="shared" si="0"/>
        <v>209593383</v>
      </c>
      <c r="I19" s="2">
        <f t="shared" si="1"/>
        <v>301121956</v>
      </c>
      <c r="J19" s="2">
        <v>605655</v>
      </c>
      <c r="K19" s="17">
        <v>400000</v>
      </c>
      <c r="L19" s="2">
        <v>52143742</v>
      </c>
      <c r="M19" s="2">
        <v>596</v>
      </c>
      <c r="N19" s="2">
        <v>48758</v>
      </c>
      <c r="O19" s="2">
        <v>220517</v>
      </c>
      <c r="P19" s="2">
        <v>113078</v>
      </c>
      <c r="Q19" s="2">
        <v>105984180</v>
      </c>
      <c r="S19" s="2">
        <v>4483041</v>
      </c>
      <c r="T19" s="2">
        <v>3170610</v>
      </c>
      <c r="U19" s="2">
        <v>112255</v>
      </c>
      <c r="W19" s="2" t="s">
        <v>273</v>
      </c>
      <c r="X19" s="2">
        <v>42310951</v>
      </c>
      <c r="Z19" s="2">
        <v>12406204</v>
      </c>
      <c r="AA19" s="2">
        <v>230482</v>
      </c>
      <c r="AB19" s="2">
        <v>4754584</v>
      </c>
      <c r="AC19" s="2">
        <v>306393</v>
      </c>
      <c r="AD19" s="2">
        <v>987078</v>
      </c>
      <c r="AE19" s="2">
        <v>4088777</v>
      </c>
      <c r="AF19" s="2">
        <v>73353</v>
      </c>
      <c r="AG19" s="2">
        <v>4827793</v>
      </c>
      <c r="AI19" s="2">
        <v>4434932</v>
      </c>
      <c r="AJ19" s="2">
        <v>46004</v>
      </c>
      <c r="AK19" s="2">
        <v>518750</v>
      </c>
      <c r="AM19" s="2" t="s">
        <v>273</v>
      </c>
      <c r="AN19" s="2">
        <v>268447606</v>
      </c>
    </row>
    <row r="20" spans="1:40" x14ac:dyDescent="0.2">
      <c r="A20" s="10" t="s">
        <v>18</v>
      </c>
      <c r="B20" s="2">
        <f t="shared" si="2"/>
        <v>5749374761.4733334</v>
      </c>
      <c r="C20" s="3">
        <v>40373855857.88063</v>
      </c>
      <c r="D20" s="11">
        <f t="shared" si="3"/>
        <v>20.813366792153655</v>
      </c>
      <c r="E20" s="11">
        <f t="shared" si="3"/>
        <v>1.4591246252061369</v>
      </c>
      <c r="F20" s="2">
        <v>18650425228</v>
      </c>
      <c r="G20" s="2">
        <v>9591397375</v>
      </c>
      <c r="H20" s="2">
        <f t="shared" si="0"/>
        <v>3881781411</v>
      </c>
      <c r="I20" s="2">
        <f t="shared" si="1"/>
        <v>139950441</v>
      </c>
      <c r="J20" s="2">
        <v>244350786</v>
      </c>
      <c r="K20" s="2">
        <v>104330676</v>
      </c>
      <c r="L20" s="2">
        <v>545988833</v>
      </c>
      <c r="M20" s="2">
        <v>8975370</v>
      </c>
      <c r="N20" s="2">
        <v>45798889</v>
      </c>
      <c r="O20" s="2">
        <v>519011566</v>
      </c>
      <c r="P20" s="2">
        <v>112671759</v>
      </c>
      <c r="Q20" s="2">
        <v>319100652</v>
      </c>
      <c r="S20" s="2">
        <v>1249721473</v>
      </c>
      <c r="T20" s="2">
        <v>149182172</v>
      </c>
      <c r="U20" s="2">
        <v>84549370</v>
      </c>
      <c r="V20" s="2">
        <v>41203734</v>
      </c>
      <c r="W20" s="2">
        <v>456896131</v>
      </c>
      <c r="X20" s="2" t="s">
        <v>273</v>
      </c>
      <c r="Z20" s="2">
        <v>122458</v>
      </c>
      <c r="AA20" s="2">
        <v>1585394</v>
      </c>
      <c r="AB20" s="2">
        <v>36350810</v>
      </c>
      <c r="AC20" s="2">
        <v>9109018</v>
      </c>
      <c r="AD20" s="2">
        <v>7736886</v>
      </c>
      <c r="AE20" s="2">
        <v>17161082</v>
      </c>
      <c r="AF20" s="2">
        <v>478066</v>
      </c>
      <c r="AG20" s="2">
        <v>31534745</v>
      </c>
      <c r="AI20" s="2">
        <v>15985084</v>
      </c>
      <c r="AJ20" s="2">
        <v>9681309</v>
      </c>
      <c r="AK20" s="2">
        <v>5040649</v>
      </c>
      <c r="AL20" s="2">
        <v>222997</v>
      </c>
      <c r="AM20" s="2">
        <v>4941943</v>
      </c>
      <c r="AN20" s="2" t="s">
        <v>273</v>
      </c>
    </row>
    <row r="21" spans="1:40" s="12" customFormat="1" x14ac:dyDescent="0.2">
      <c r="B21" s="2" t="e">
        <f>SUM(B6:B20)/C21*100</f>
        <v>#DIV/0!</v>
      </c>
      <c r="C21" s="7">
        <f>SUM(C6:C20)</f>
        <v>208259849694.22443</v>
      </c>
      <c r="D21" s="7"/>
      <c r="E21" s="7"/>
      <c r="L21" s="2"/>
      <c r="AE21" s="2"/>
    </row>
    <row r="23" spans="1:40" x14ac:dyDescent="0.2">
      <c r="J23" s="1" t="s">
        <v>252</v>
      </c>
      <c r="O23" s="1" t="s">
        <v>275</v>
      </c>
    </row>
    <row r="24" spans="1:40" ht="17" x14ac:dyDescent="0.25">
      <c r="A24" s="1" t="s">
        <v>118</v>
      </c>
      <c r="B24" s="1" t="s">
        <v>112</v>
      </c>
      <c r="C24" s="1" t="s">
        <v>113</v>
      </c>
      <c r="D24" s="1" t="s">
        <v>121</v>
      </c>
      <c r="E24" s="1" t="s">
        <v>122</v>
      </c>
      <c r="F24" s="1" t="s">
        <v>254</v>
      </c>
      <c r="G24" s="1" t="s">
        <v>255</v>
      </c>
      <c r="H24" s="1" t="s">
        <v>256</v>
      </c>
      <c r="I24" s="1" t="s">
        <v>257</v>
      </c>
      <c r="J24" s="1" t="s">
        <v>276</v>
      </c>
      <c r="K24" s="1" t="s">
        <v>277</v>
      </c>
      <c r="L24" s="1" t="s">
        <v>278</v>
      </c>
      <c r="M24" s="1" t="s">
        <v>279</v>
      </c>
      <c r="O24" s="1" t="s">
        <v>276</v>
      </c>
      <c r="P24" s="1" t="s">
        <v>277</v>
      </c>
      <c r="Q24" s="1" t="s">
        <v>278</v>
      </c>
      <c r="R24" s="1" t="s">
        <v>279</v>
      </c>
    </row>
    <row r="25" spans="1:40" x14ac:dyDescent="0.2">
      <c r="A25" s="2" t="s">
        <v>3</v>
      </c>
      <c r="B25" s="2">
        <f>((H25+I25)/(F25+G25))*C25</f>
        <v>213565718211.41867</v>
      </c>
      <c r="C25" s="2">
        <v>824212325824.2124</v>
      </c>
      <c r="D25" s="11">
        <f t="shared" ref="D25:E28" si="4">H25/F25*100</f>
        <v>24.621705628062994</v>
      </c>
      <c r="E25" s="11">
        <f t="shared" si="4"/>
        <v>27.429136358765639</v>
      </c>
      <c r="F25" s="21">
        <v>79982379582</v>
      </c>
      <c r="G25" s="21">
        <v>67973971893</v>
      </c>
      <c r="H25" s="2">
        <f>SUM(J25:M25)</f>
        <v>19693026055</v>
      </c>
      <c r="I25" s="2">
        <f>SUM(O25:R25)</f>
        <v>18644673439</v>
      </c>
      <c r="J25" s="2" t="s">
        <v>273</v>
      </c>
      <c r="K25" s="21">
        <v>16456671673</v>
      </c>
      <c r="L25" s="21">
        <v>1368077809</v>
      </c>
      <c r="M25" s="21">
        <v>1868276573</v>
      </c>
      <c r="O25" s="2" t="s">
        <v>273</v>
      </c>
      <c r="P25" s="21">
        <v>17676646842</v>
      </c>
      <c r="Q25" s="21">
        <v>450631721</v>
      </c>
      <c r="R25" s="21">
        <v>517394876</v>
      </c>
    </row>
    <row r="26" spans="1:40" x14ac:dyDescent="0.2">
      <c r="A26" s="2" t="s">
        <v>0</v>
      </c>
      <c r="B26" s="2">
        <f>((H26+I26)/(F26+G26))*C26</f>
        <v>278789277366.29321</v>
      </c>
      <c r="C26" s="2">
        <v>3087961712327.2568</v>
      </c>
      <c r="D26" s="11">
        <f t="shared" si="4"/>
        <v>9.3989422679794874</v>
      </c>
      <c r="E26" s="11">
        <f t="shared" si="4"/>
        <v>8.6253700289823048</v>
      </c>
      <c r="F26" s="21">
        <v>242578013546</v>
      </c>
      <c r="G26" s="21">
        <v>223183474672</v>
      </c>
      <c r="H26" s="2">
        <f>SUM(J26:M26)</f>
        <v>22799767448</v>
      </c>
      <c r="I26" s="2">
        <f>SUM(O26:R26)</f>
        <v>19250400534</v>
      </c>
      <c r="J26" s="21">
        <v>17997706375</v>
      </c>
      <c r="K26" s="2" t="s">
        <v>273</v>
      </c>
      <c r="L26" s="21">
        <v>2617509020</v>
      </c>
      <c r="M26" s="21">
        <v>2184552053</v>
      </c>
      <c r="O26" s="21">
        <v>16443910391</v>
      </c>
      <c r="P26" s="2" t="s">
        <v>273</v>
      </c>
      <c r="Q26" s="21">
        <v>987564540</v>
      </c>
      <c r="R26" s="21">
        <v>1818925603</v>
      </c>
    </row>
    <row r="27" spans="1:40" x14ac:dyDescent="0.2">
      <c r="A27" s="2" t="s">
        <v>1</v>
      </c>
      <c r="B27" s="2">
        <f>((H27+I27)/(F27+G27))*C27</f>
        <v>20824152161.637314</v>
      </c>
      <c r="C27" s="2">
        <v>47506734022.247887</v>
      </c>
      <c r="D27" s="11">
        <f t="shared" si="4"/>
        <v>48.488493891186565</v>
      </c>
      <c r="E27" s="11">
        <f t="shared" si="4"/>
        <v>40.900610676424314</v>
      </c>
      <c r="F27" s="21">
        <v>7282792068</v>
      </c>
      <c r="G27" s="21">
        <v>11555136434</v>
      </c>
      <c r="H27" s="2">
        <f>SUM(J27:M27)</f>
        <v>3531316187</v>
      </c>
      <c r="I27" s="2">
        <f>SUM(O27:R27)</f>
        <v>4726121366</v>
      </c>
      <c r="J27" s="21">
        <v>545980185</v>
      </c>
      <c r="K27" s="21">
        <v>2877204521</v>
      </c>
      <c r="L27" s="2" t="s">
        <v>273</v>
      </c>
      <c r="M27" s="21">
        <v>108131481</v>
      </c>
      <c r="O27" s="21">
        <v>1854962567</v>
      </c>
      <c r="P27" s="21">
        <v>2714512050</v>
      </c>
      <c r="Q27" s="2" t="s">
        <v>273</v>
      </c>
      <c r="R27" s="21">
        <v>156646749</v>
      </c>
    </row>
    <row r="28" spans="1:40" x14ac:dyDescent="0.2">
      <c r="A28" s="2" t="s">
        <v>2</v>
      </c>
      <c r="B28" s="2">
        <f>((H28+I28)/(F28+G28))*C28</f>
        <v>19639455201.997658</v>
      </c>
      <c r="C28" s="2">
        <v>63919673072.011452</v>
      </c>
      <c r="D28" s="11">
        <f t="shared" si="4"/>
        <v>26.854470699561794</v>
      </c>
      <c r="E28" s="11">
        <f t="shared" si="4"/>
        <v>33.618347926275597</v>
      </c>
      <c r="F28" s="21">
        <v>8709217341</v>
      </c>
      <c r="G28" s="21">
        <v>11652107818</v>
      </c>
      <c r="H28" s="2">
        <f>SUM(J28:M28)</f>
        <v>2338814219</v>
      </c>
      <c r="I28" s="2">
        <f>SUM(O28:R28)</f>
        <v>3917246147</v>
      </c>
      <c r="J28" s="21">
        <v>504313168</v>
      </c>
      <c r="K28" s="21">
        <v>1688294254</v>
      </c>
      <c r="L28" s="21">
        <v>146206797</v>
      </c>
      <c r="M28" s="2" t="s">
        <v>273</v>
      </c>
      <c r="O28" s="21">
        <v>1741407069</v>
      </c>
      <c r="P28" s="21">
        <v>2096831517</v>
      </c>
      <c r="Q28" s="21">
        <v>79007561</v>
      </c>
      <c r="R28" s="2" t="s">
        <v>273</v>
      </c>
    </row>
    <row r="29" spans="1:40" x14ac:dyDescent="0.2">
      <c r="A29" s="2" t="s">
        <v>117</v>
      </c>
      <c r="B29" s="2">
        <f>SUM(B25:B28)/C29*100</f>
        <v>13.242333829914038</v>
      </c>
      <c r="C29" s="7">
        <f>SUM(C25:C28)</f>
        <v>4023600445245.7285</v>
      </c>
      <c r="D29" s="11"/>
      <c r="E29" s="11"/>
    </row>
    <row r="30" spans="1:40" x14ac:dyDescent="0.2">
      <c r="D30" s="11"/>
      <c r="E30" s="11"/>
    </row>
    <row r="31" spans="1:40" x14ac:dyDescent="0.2">
      <c r="J31" s="1" t="s">
        <v>252</v>
      </c>
      <c r="R31" s="1" t="s">
        <v>275</v>
      </c>
    </row>
    <row r="32" spans="1:40" ht="17" x14ac:dyDescent="0.25">
      <c r="A32" s="1" t="s">
        <v>119</v>
      </c>
      <c r="B32" s="1" t="s">
        <v>112</v>
      </c>
      <c r="C32" s="1" t="s">
        <v>113</v>
      </c>
      <c r="D32" s="1" t="s">
        <v>121</v>
      </c>
      <c r="E32" s="1" t="s">
        <v>122</v>
      </c>
      <c r="F32" s="1" t="s">
        <v>254</v>
      </c>
      <c r="G32" s="1" t="s">
        <v>255</v>
      </c>
      <c r="H32" s="1" t="s">
        <v>256</v>
      </c>
      <c r="I32" s="1" t="s">
        <v>257</v>
      </c>
      <c r="J32" s="1" t="s">
        <v>280</v>
      </c>
      <c r="K32" s="1" t="s">
        <v>281</v>
      </c>
      <c r="L32" s="1" t="s">
        <v>282</v>
      </c>
      <c r="M32" s="1" t="s">
        <v>283</v>
      </c>
      <c r="N32" s="1" t="s">
        <v>284</v>
      </c>
      <c r="O32" s="1" t="s">
        <v>285</v>
      </c>
      <c r="R32" s="1" t="s">
        <v>280</v>
      </c>
      <c r="S32" s="1" t="s">
        <v>281</v>
      </c>
      <c r="T32" s="1" t="s">
        <v>282</v>
      </c>
      <c r="U32" s="1" t="s">
        <v>283</v>
      </c>
      <c r="V32" s="1" t="s">
        <v>284</v>
      </c>
      <c r="W32" s="1" t="s">
        <v>285</v>
      </c>
    </row>
    <row r="33" spans="1:23" x14ac:dyDescent="0.2">
      <c r="A33" s="2" t="s">
        <v>25</v>
      </c>
      <c r="B33" s="2">
        <f t="shared" ref="B33:B38" si="5">((H33+I33)/(F33+G33))*C33</f>
        <v>7583846280.2432508</v>
      </c>
      <c r="C33" s="3">
        <v>65779909102.708412</v>
      </c>
      <c r="D33" s="11">
        <f t="shared" ref="D33:E38" si="6">H33/F33*100</f>
        <v>18.862983093432877</v>
      </c>
      <c r="E33" s="11">
        <f t="shared" si="6"/>
        <v>6.8870822631123385</v>
      </c>
      <c r="F33" s="22">
        <v>11472063524</v>
      </c>
      <c r="G33" s="22">
        <v>18124469250</v>
      </c>
      <c r="H33" s="2">
        <f t="shared" ref="H33:H38" si="7">SUM(J33:O33)</f>
        <v>2163973403</v>
      </c>
      <c r="I33" s="2">
        <f t="shared" ref="I33:I38" si="8">SUM(R33:W33)</f>
        <v>1248247107</v>
      </c>
      <c r="J33" s="2" t="s">
        <v>273</v>
      </c>
      <c r="K33" s="22">
        <v>311687812</v>
      </c>
      <c r="L33" s="22">
        <v>450997756</v>
      </c>
      <c r="M33" s="22">
        <v>322830287</v>
      </c>
      <c r="N33" s="2">
        <v>498343715</v>
      </c>
      <c r="O33" s="2">
        <v>580113833</v>
      </c>
      <c r="R33" s="2" t="s">
        <v>273</v>
      </c>
      <c r="S33" s="22">
        <v>248736026</v>
      </c>
      <c r="T33" s="22">
        <v>387393484</v>
      </c>
      <c r="U33" s="22">
        <v>127684376</v>
      </c>
      <c r="V33" s="2">
        <v>141876330</v>
      </c>
      <c r="W33" s="2">
        <v>342556891</v>
      </c>
    </row>
    <row r="34" spans="1:23" x14ac:dyDescent="0.2">
      <c r="A34" s="2" t="s">
        <v>26</v>
      </c>
      <c r="B34" s="2">
        <f t="shared" si="5"/>
        <v>12709279173.724705</v>
      </c>
      <c r="C34" s="3">
        <v>47727037752.145149</v>
      </c>
      <c r="D34" s="11">
        <f t="shared" si="6"/>
        <v>39.88016987277846</v>
      </c>
      <c r="E34" s="11">
        <f t="shared" si="6"/>
        <v>19.874251031243297</v>
      </c>
      <c r="F34" s="22">
        <v>5491093561</v>
      </c>
      <c r="G34" s="22">
        <v>10771952672</v>
      </c>
      <c r="H34" s="2">
        <f t="shared" si="7"/>
        <v>2189857440</v>
      </c>
      <c r="I34" s="2">
        <f t="shared" si="8"/>
        <v>2140844915</v>
      </c>
      <c r="J34" s="22">
        <v>229244804</v>
      </c>
      <c r="K34" s="2" t="s">
        <v>273</v>
      </c>
      <c r="L34" s="22">
        <v>721808174</v>
      </c>
      <c r="M34" s="22">
        <v>793300710</v>
      </c>
      <c r="N34" s="2">
        <v>323762115</v>
      </c>
      <c r="O34" s="2">
        <v>121741637</v>
      </c>
      <c r="R34" s="22">
        <v>282888949</v>
      </c>
      <c r="S34" s="2" t="s">
        <v>273</v>
      </c>
      <c r="T34" s="22">
        <v>935413394</v>
      </c>
      <c r="U34" s="22">
        <v>560501256</v>
      </c>
      <c r="V34" s="2">
        <v>202784604</v>
      </c>
      <c r="W34" s="2">
        <v>159256712</v>
      </c>
    </row>
    <row r="35" spans="1:23" x14ac:dyDescent="0.2">
      <c r="A35" s="2" t="s">
        <v>24</v>
      </c>
      <c r="B35" s="2">
        <f t="shared" si="5"/>
        <v>21209513910.694424</v>
      </c>
      <c r="C35" s="3">
        <v>107297400116.9846</v>
      </c>
      <c r="D35" s="11">
        <f t="shared" si="6"/>
        <v>30.006589484818864</v>
      </c>
      <c r="E35" s="11">
        <f t="shared" si="6"/>
        <v>13.87897332971766</v>
      </c>
      <c r="F35" s="22">
        <v>10065328599</v>
      </c>
      <c r="G35" s="22">
        <v>17503977537</v>
      </c>
      <c r="H35" s="2">
        <f t="shared" si="7"/>
        <v>3020261833</v>
      </c>
      <c r="I35" s="2">
        <f t="shared" si="8"/>
        <v>2429372374</v>
      </c>
      <c r="J35" s="22">
        <v>396184489</v>
      </c>
      <c r="K35" s="22">
        <v>1108769719</v>
      </c>
      <c r="L35" s="2" t="s">
        <v>273</v>
      </c>
      <c r="M35" s="22">
        <v>790978857</v>
      </c>
      <c r="N35" s="2">
        <v>486919068</v>
      </c>
      <c r="O35" s="2">
        <v>237409700</v>
      </c>
      <c r="R35" s="22">
        <v>519812602</v>
      </c>
      <c r="S35" s="22">
        <v>819984473</v>
      </c>
      <c r="T35" s="2" t="s">
        <v>273</v>
      </c>
      <c r="U35" s="22">
        <v>394757328</v>
      </c>
      <c r="V35" s="2">
        <v>109943450</v>
      </c>
      <c r="W35" s="2">
        <v>584874521</v>
      </c>
    </row>
    <row r="36" spans="1:23" x14ac:dyDescent="0.2">
      <c r="A36" s="2" t="s">
        <v>27</v>
      </c>
      <c r="B36" s="2">
        <f t="shared" si="5"/>
        <v>7489409362.9505997</v>
      </c>
      <c r="C36" s="3">
        <v>35834494559.57225</v>
      </c>
      <c r="D36" s="11">
        <f t="shared" si="6"/>
        <v>17.299999999999997</v>
      </c>
      <c r="E36" s="11">
        <f t="shared" si="6"/>
        <v>24.5</v>
      </c>
      <c r="F36" s="23">
        <v>100</v>
      </c>
      <c r="G36" s="23">
        <v>100</v>
      </c>
      <c r="H36" s="17">
        <f t="shared" si="7"/>
        <v>17.299999999999997</v>
      </c>
      <c r="I36" s="17">
        <f t="shared" si="8"/>
        <v>24.5</v>
      </c>
      <c r="J36" s="17">
        <v>3</v>
      </c>
      <c r="K36" s="17">
        <v>4.5</v>
      </c>
      <c r="L36" s="17">
        <v>3.7</v>
      </c>
      <c r="M36" s="17" t="s">
        <v>273</v>
      </c>
      <c r="N36" s="23">
        <v>3.1</v>
      </c>
      <c r="O36" s="23">
        <v>3</v>
      </c>
      <c r="R36" s="17">
        <v>4</v>
      </c>
      <c r="S36" s="17">
        <v>5.5</v>
      </c>
      <c r="T36" s="17">
        <v>7</v>
      </c>
      <c r="U36" s="17" t="s">
        <v>273</v>
      </c>
      <c r="V36" s="23">
        <v>4</v>
      </c>
      <c r="W36" s="23">
        <v>4</v>
      </c>
    </row>
    <row r="37" spans="1:23" x14ac:dyDescent="0.2">
      <c r="A37" s="2" t="s">
        <v>28</v>
      </c>
      <c r="B37" s="2">
        <f t="shared" si="5"/>
        <v>4932473277.8587408</v>
      </c>
      <c r="C37" s="3">
        <v>26654358209.234581</v>
      </c>
      <c r="D37" s="11">
        <f t="shared" si="6"/>
        <v>12.960073398341837</v>
      </c>
      <c r="E37" s="11">
        <f t="shared" si="6"/>
        <v>23.138229917968818</v>
      </c>
      <c r="F37" s="22">
        <v>4594148472</v>
      </c>
      <c r="G37" s="22">
        <v>5498843855</v>
      </c>
      <c r="H37" s="2">
        <f t="shared" si="7"/>
        <v>595405014</v>
      </c>
      <c r="I37" s="2">
        <f t="shared" si="8"/>
        <v>1272335134</v>
      </c>
      <c r="J37" s="22">
        <v>126360081</v>
      </c>
      <c r="K37" s="22">
        <v>218855570</v>
      </c>
      <c r="L37" s="22">
        <v>87920801</v>
      </c>
      <c r="M37" s="22">
        <v>132263344</v>
      </c>
      <c r="N37" s="2" t="s">
        <v>273</v>
      </c>
      <c r="O37" s="2">
        <v>30005218</v>
      </c>
      <c r="R37" s="22">
        <v>477487328</v>
      </c>
      <c r="S37" s="22">
        <v>278725045</v>
      </c>
      <c r="T37" s="22">
        <v>352523508</v>
      </c>
      <c r="U37" s="22">
        <v>153843587</v>
      </c>
      <c r="V37" s="2" t="s">
        <v>273</v>
      </c>
      <c r="W37" s="2">
        <v>9755666</v>
      </c>
    </row>
    <row r="38" spans="1:23" x14ac:dyDescent="0.2">
      <c r="A38" s="2" t="s">
        <v>23</v>
      </c>
      <c r="B38" s="2">
        <f t="shared" si="5"/>
        <v>5538938835.2802734</v>
      </c>
      <c r="C38" s="3">
        <v>69870441179.220673</v>
      </c>
      <c r="D38" s="11">
        <f t="shared" si="6"/>
        <v>14.192934552570543</v>
      </c>
      <c r="E38" s="11">
        <f t="shared" si="6"/>
        <v>0.65071410966152043</v>
      </c>
      <c r="F38" s="2">
        <v>14732126258</v>
      </c>
      <c r="G38" s="2">
        <v>12684825298</v>
      </c>
      <c r="H38" s="2">
        <f t="shared" si="7"/>
        <v>2090921038</v>
      </c>
      <c r="I38" s="2">
        <f t="shared" si="8"/>
        <v>82541948</v>
      </c>
      <c r="J38" s="2">
        <v>646249290</v>
      </c>
      <c r="K38" s="2">
        <v>288706990</v>
      </c>
      <c r="L38" s="2">
        <v>502074074</v>
      </c>
      <c r="M38" s="2">
        <v>429099432</v>
      </c>
      <c r="N38" s="2">
        <v>224791252</v>
      </c>
      <c r="O38" s="2" t="s">
        <v>273</v>
      </c>
      <c r="R38" s="2">
        <v>38715441</v>
      </c>
      <c r="S38" s="2">
        <v>6005146</v>
      </c>
      <c r="T38" s="2">
        <v>25264216</v>
      </c>
      <c r="U38" s="2">
        <v>8505561</v>
      </c>
      <c r="V38" s="2">
        <v>4051584</v>
      </c>
      <c r="W38" s="2" t="s">
        <v>273</v>
      </c>
    </row>
    <row r="39" spans="1:23" x14ac:dyDescent="0.2">
      <c r="B39" s="2">
        <f>SUM(B33:B38)/C39*100</f>
        <v>16.837367710297368</v>
      </c>
      <c r="C39" s="7">
        <f>SUM(C33:C38)</f>
        <v>353163640919.8656</v>
      </c>
      <c r="D39" s="7"/>
      <c r="E39" s="7"/>
    </row>
    <row r="40" spans="1:23" x14ac:dyDescent="0.2">
      <c r="J40" s="1" t="s">
        <v>252</v>
      </c>
      <c r="O40" s="1" t="s">
        <v>275</v>
      </c>
    </row>
    <row r="41" spans="1:23" ht="17" x14ac:dyDescent="0.25">
      <c r="A41" s="1" t="s">
        <v>120</v>
      </c>
      <c r="B41" s="1" t="s">
        <v>112</v>
      </c>
      <c r="C41" s="1" t="s">
        <v>113</v>
      </c>
      <c r="D41" s="1" t="s">
        <v>121</v>
      </c>
      <c r="E41" s="1" t="s">
        <v>122</v>
      </c>
      <c r="F41" s="1" t="s">
        <v>254</v>
      </c>
      <c r="G41" s="1" t="s">
        <v>255</v>
      </c>
      <c r="H41" s="1" t="s">
        <v>256</v>
      </c>
      <c r="I41" s="1" t="s">
        <v>257</v>
      </c>
      <c r="J41" s="1" t="s">
        <v>286</v>
      </c>
      <c r="K41" s="1" t="s">
        <v>287</v>
      </c>
      <c r="L41" s="1" t="s">
        <v>288</v>
      </c>
      <c r="M41" s="1" t="s">
        <v>289</v>
      </c>
      <c r="O41" s="1" t="s">
        <v>286</v>
      </c>
      <c r="P41" s="1" t="s">
        <v>287</v>
      </c>
      <c r="Q41" s="1" t="s">
        <v>288</v>
      </c>
      <c r="R41" s="1" t="s">
        <v>289</v>
      </c>
    </row>
    <row r="42" spans="1:23" x14ac:dyDescent="0.2">
      <c r="A42" s="2" t="s">
        <v>48</v>
      </c>
      <c r="B42" s="2">
        <f>((H42+I42)/(F42+G42))*C42</f>
        <v>20402262166.127434</v>
      </c>
      <c r="C42" s="2">
        <v>256532331727.85284</v>
      </c>
      <c r="D42" s="11">
        <f t="shared" ref="D42:E45" si="9">H42/F42*100</f>
        <v>4.9979740682906879</v>
      </c>
      <c r="E42" s="11">
        <f t="shared" si="9"/>
        <v>11.039968043783874</v>
      </c>
      <c r="F42" s="2">
        <v>31288211596</v>
      </c>
      <c r="G42" s="2">
        <v>29952802806</v>
      </c>
      <c r="H42" s="2">
        <f>SUM(J42:M42)</f>
        <v>1563776702</v>
      </c>
      <c r="I42" s="2">
        <f>SUM(O42:R42)</f>
        <v>3306779858</v>
      </c>
      <c r="J42" s="2" t="s">
        <v>273</v>
      </c>
      <c r="K42" s="2">
        <v>504123084</v>
      </c>
      <c r="L42" s="2">
        <v>708731457</v>
      </c>
      <c r="M42" s="2">
        <v>350922161</v>
      </c>
      <c r="O42" s="2" t="s">
        <v>273</v>
      </c>
      <c r="P42" s="2">
        <v>1775991594</v>
      </c>
      <c r="Q42" s="2">
        <v>1282953022</v>
      </c>
      <c r="R42" s="2">
        <v>247835242</v>
      </c>
    </row>
    <row r="43" spans="1:23" x14ac:dyDescent="0.2">
      <c r="A43" s="2" t="s">
        <v>49</v>
      </c>
      <c r="B43" s="2">
        <f>((H43+I43)/(F43+G43))*C43</f>
        <v>16902646583.605782</v>
      </c>
      <c r="C43" s="2">
        <v>128879488764.20409</v>
      </c>
      <c r="D43" s="11">
        <f t="shared" si="9"/>
        <v>13.592083824101984</v>
      </c>
      <c r="E43" s="11">
        <f t="shared" si="9"/>
        <v>12.638924186202718</v>
      </c>
      <c r="F43" s="2">
        <v>18818325454</v>
      </c>
      <c r="G43" s="20">
        <v>18851930298</v>
      </c>
      <c r="H43" s="2">
        <f>SUM(J43:M43)</f>
        <v>2557802570</v>
      </c>
      <c r="I43" s="2">
        <f>SUM(O43:R43)</f>
        <v>2382681178</v>
      </c>
      <c r="J43" s="2">
        <v>1731042338</v>
      </c>
      <c r="K43" s="2" t="s">
        <v>273</v>
      </c>
      <c r="L43" s="2">
        <v>803778500</v>
      </c>
      <c r="M43" s="2">
        <v>22981732</v>
      </c>
      <c r="O43" s="2">
        <v>572933652</v>
      </c>
      <c r="P43" s="2" t="s">
        <v>273</v>
      </c>
      <c r="Q43" s="2">
        <v>1791372714</v>
      </c>
      <c r="R43" s="2">
        <v>18374812</v>
      </c>
    </row>
    <row r="44" spans="1:23" x14ac:dyDescent="0.2">
      <c r="A44" s="2" t="s">
        <v>47</v>
      </c>
      <c r="B44" s="2">
        <f>((H44+I44)/(F44+G44))*C44</f>
        <v>24875406680.889896</v>
      </c>
      <c r="C44" s="2">
        <v>454954372409.91077</v>
      </c>
      <c r="D44" s="11">
        <f t="shared" si="9"/>
        <v>6.5275056801515543</v>
      </c>
      <c r="E44" s="11">
        <f t="shared" si="9"/>
        <v>4.4624174643550889</v>
      </c>
      <c r="F44" s="2">
        <v>37625882065</v>
      </c>
      <c r="G44" s="2">
        <v>39668840245</v>
      </c>
      <c r="H44" s="2">
        <f>SUM(J44:M44)</f>
        <v>2456031589</v>
      </c>
      <c r="I44" s="2">
        <f>SUM(O44:R44)</f>
        <v>1770189255</v>
      </c>
      <c r="J44" s="2">
        <v>854617979</v>
      </c>
      <c r="K44" s="2">
        <v>1499562151</v>
      </c>
      <c r="L44" s="2" t="s">
        <v>273</v>
      </c>
      <c r="M44" s="2">
        <v>101851459</v>
      </c>
      <c r="O44" s="2">
        <v>731529287</v>
      </c>
      <c r="P44" s="2">
        <v>809616003</v>
      </c>
      <c r="Q44" s="2" t="s">
        <v>273</v>
      </c>
      <c r="R44" s="2">
        <v>229043965</v>
      </c>
    </row>
    <row r="45" spans="1:23" x14ac:dyDescent="0.2">
      <c r="A45" s="2" t="s">
        <v>50</v>
      </c>
      <c r="B45" s="2">
        <f>((H45+I45)/(F45+G45))*C45</f>
        <v>3945719656.4648399</v>
      </c>
      <c r="C45" s="2">
        <v>47873330022.233315</v>
      </c>
      <c r="D45" s="11">
        <f t="shared" si="9"/>
        <v>7.1763634676625543</v>
      </c>
      <c r="E45" s="11">
        <f t="shared" si="9"/>
        <v>9.7106849373672599</v>
      </c>
      <c r="F45" s="2">
        <v>6899335997</v>
      </c>
      <c r="G45" s="2">
        <v>5005960930</v>
      </c>
      <c r="H45" s="2">
        <f>SUM(J45:M45)</f>
        <v>495121428</v>
      </c>
      <c r="I45" s="2">
        <f>SUM(O45:R45)</f>
        <v>486113094</v>
      </c>
      <c r="J45" s="2">
        <v>273521099</v>
      </c>
      <c r="K45" s="2">
        <v>12750735</v>
      </c>
      <c r="L45" s="2">
        <v>208849594</v>
      </c>
      <c r="M45" s="2" t="s">
        <v>273</v>
      </c>
      <c r="O45" s="2">
        <v>353602424</v>
      </c>
      <c r="P45" s="2">
        <v>20825247</v>
      </c>
      <c r="Q45" s="2">
        <v>111685423</v>
      </c>
      <c r="R45" s="2" t="s">
        <v>273</v>
      </c>
    </row>
    <row r="46" spans="1:23" x14ac:dyDescent="0.2">
      <c r="B46" s="2">
        <f>SUM(B42:B45)/C46*100</f>
        <v>7.4446175136850892</v>
      </c>
      <c r="C46" s="7">
        <f>SUM(C42:C45)</f>
        <v>888239522924.20105</v>
      </c>
      <c r="D46" s="7"/>
      <c r="E46" s="7"/>
    </row>
    <row r="47" spans="1:23" x14ac:dyDescent="0.2">
      <c r="J47" s="1" t="s">
        <v>252</v>
      </c>
      <c r="R47" s="1" t="s">
        <v>275</v>
      </c>
    </row>
    <row r="48" spans="1:23" ht="17" x14ac:dyDescent="0.25">
      <c r="A48" s="1" t="s">
        <v>123</v>
      </c>
      <c r="B48" s="1" t="s">
        <v>112</v>
      </c>
      <c r="C48" s="1" t="s">
        <v>113</v>
      </c>
      <c r="D48" s="1" t="s">
        <v>121</v>
      </c>
      <c r="E48" s="1" t="s">
        <v>122</v>
      </c>
      <c r="F48" s="1" t="s">
        <v>254</v>
      </c>
      <c r="G48" s="1" t="s">
        <v>255</v>
      </c>
      <c r="H48" s="1" t="s">
        <v>256</v>
      </c>
      <c r="I48" s="1" t="s">
        <v>257</v>
      </c>
      <c r="J48" s="1" t="s">
        <v>290</v>
      </c>
      <c r="K48" s="1" t="s">
        <v>291</v>
      </c>
      <c r="L48" s="1" t="s">
        <v>292</v>
      </c>
      <c r="M48" s="1" t="s">
        <v>293</v>
      </c>
      <c r="N48" s="1" t="s">
        <v>294</v>
      </c>
      <c r="O48" s="1" t="s">
        <v>295</v>
      </c>
      <c r="R48" s="1" t="s">
        <v>290</v>
      </c>
      <c r="S48" s="1" t="s">
        <v>291</v>
      </c>
      <c r="T48" s="1" t="s">
        <v>292</v>
      </c>
      <c r="U48" s="1" t="s">
        <v>293</v>
      </c>
      <c r="V48" s="1" t="s">
        <v>294</v>
      </c>
      <c r="W48" s="1" t="s">
        <v>295</v>
      </c>
    </row>
    <row r="49" spans="1:24" x14ac:dyDescent="0.2">
      <c r="A49" s="2" t="s">
        <v>31</v>
      </c>
      <c r="B49" s="2">
        <f t="shared" ref="B49:B54" si="10">((H49+I49)/(F49+G49))*C49</f>
        <v>18393790048.265224</v>
      </c>
      <c r="C49" s="2">
        <v>37657768013.80101</v>
      </c>
      <c r="D49" s="11">
        <f t="shared" ref="D49:E54" si="11">H49/F49*100</f>
        <v>25.210837778034765</v>
      </c>
      <c r="E49" s="11">
        <f t="shared" si="11"/>
        <v>77.195223149271726</v>
      </c>
      <c r="F49" s="21">
        <v>7320705826</v>
      </c>
      <c r="G49" s="24">
        <v>6102721575</v>
      </c>
      <c r="H49" s="2">
        <f t="shared" ref="H49:H54" si="12">SUM(J49:O49)</f>
        <v>1845611270</v>
      </c>
      <c r="I49" s="2">
        <f t="shared" ref="I49:I54" si="13">SUM(R49:W49)</f>
        <v>4711009538</v>
      </c>
      <c r="J49" s="2" t="s">
        <v>273</v>
      </c>
      <c r="K49" s="24">
        <v>270136</v>
      </c>
      <c r="L49" s="24">
        <v>847717087</v>
      </c>
      <c r="M49" s="21">
        <v>3189390</v>
      </c>
      <c r="N49" s="2">
        <v>993385012</v>
      </c>
      <c r="O49" s="2">
        <v>1049645</v>
      </c>
      <c r="R49" s="2" t="s">
        <v>273</v>
      </c>
      <c r="S49" s="24">
        <v>1111489</v>
      </c>
      <c r="T49" s="24">
        <v>641448221</v>
      </c>
      <c r="U49" s="21">
        <v>117909040</v>
      </c>
      <c r="V49" s="2">
        <v>3940143050</v>
      </c>
      <c r="W49" s="2">
        <v>10397738</v>
      </c>
    </row>
    <row r="50" spans="1:24" x14ac:dyDescent="0.2">
      <c r="A50" s="2" t="s">
        <v>32</v>
      </c>
      <c r="B50" s="2">
        <f t="shared" si="10"/>
        <v>4746716370.1287165</v>
      </c>
      <c r="C50" s="2">
        <v>6676113038.1557198</v>
      </c>
      <c r="D50" s="11">
        <f t="shared" si="11"/>
        <v>51.300000000000004</v>
      </c>
      <c r="E50" s="11">
        <f t="shared" si="11"/>
        <v>90.9</v>
      </c>
      <c r="F50" s="25">
        <v>100</v>
      </c>
      <c r="G50" s="25">
        <v>100</v>
      </c>
      <c r="H50" s="17">
        <f t="shared" si="12"/>
        <v>51.3</v>
      </c>
      <c r="I50" s="17">
        <f t="shared" si="13"/>
        <v>90.9</v>
      </c>
      <c r="J50" s="25">
        <v>1</v>
      </c>
      <c r="K50" s="17" t="s">
        <v>273</v>
      </c>
      <c r="L50" s="25">
        <v>1</v>
      </c>
      <c r="M50" s="25">
        <v>1</v>
      </c>
      <c r="N50" s="17">
        <v>47.3</v>
      </c>
      <c r="O50" s="17">
        <v>1</v>
      </c>
      <c r="P50" s="17"/>
      <c r="Q50" s="17"/>
      <c r="R50" s="25">
        <v>0.5</v>
      </c>
      <c r="S50" s="17" t="s">
        <v>273</v>
      </c>
      <c r="T50" s="25">
        <v>0.5</v>
      </c>
      <c r="U50" s="25">
        <v>0.5</v>
      </c>
      <c r="V50" s="17">
        <v>88.9</v>
      </c>
      <c r="W50" s="17">
        <v>0.5</v>
      </c>
    </row>
    <row r="51" spans="1:24" x14ac:dyDescent="0.2">
      <c r="A51" s="2" t="s">
        <v>34</v>
      </c>
      <c r="B51" s="2">
        <f t="shared" si="10"/>
        <v>13246937954.518036</v>
      </c>
      <c r="C51" s="2">
        <v>26247669891.064445</v>
      </c>
      <c r="D51" s="11">
        <f t="shared" si="11"/>
        <v>30.931726064687119</v>
      </c>
      <c r="E51" s="11">
        <f t="shared" si="11"/>
        <v>64.468101959230736</v>
      </c>
      <c r="F51" s="21">
        <v>4815846406</v>
      </c>
      <c r="G51" s="24">
        <v>6721043529</v>
      </c>
      <c r="H51" s="2">
        <f t="shared" si="12"/>
        <v>1489624418</v>
      </c>
      <c r="I51" s="2">
        <f t="shared" si="13"/>
        <v>4332929195</v>
      </c>
      <c r="J51" s="21">
        <v>676767802</v>
      </c>
      <c r="K51" s="24">
        <v>323001</v>
      </c>
      <c r="L51" s="2" t="s">
        <v>273</v>
      </c>
      <c r="M51" s="21">
        <v>39484287</v>
      </c>
      <c r="N51" s="2">
        <v>772390341</v>
      </c>
      <c r="O51" s="2">
        <v>658987</v>
      </c>
      <c r="R51" s="21">
        <v>456189647</v>
      </c>
      <c r="S51" s="24">
        <v>253815</v>
      </c>
      <c r="T51" s="2" t="s">
        <v>273</v>
      </c>
      <c r="U51" s="21">
        <v>14041704</v>
      </c>
      <c r="V51" s="2">
        <v>3843073521</v>
      </c>
      <c r="W51" s="2">
        <v>19370508</v>
      </c>
    </row>
    <row r="52" spans="1:24" x14ac:dyDescent="0.2">
      <c r="A52" s="2" t="s">
        <v>33</v>
      </c>
      <c r="B52" s="2">
        <f t="shared" si="10"/>
        <v>10596782508.228807</v>
      </c>
      <c r="C52" s="2">
        <v>35088683802.082138</v>
      </c>
      <c r="D52" s="11">
        <f t="shared" si="11"/>
        <v>22.3</v>
      </c>
      <c r="E52" s="11">
        <f t="shared" si="11"/>
        <v>38.1</v>
      </c>
      <c r="F52" s="23">
        <v>100</v>
      </c>
      <c r="G52" s="23">
        <v>100</v>
      </c>
      <c r="H52" s="17">
        <f t="shared" si="12"/>
        <v>22.3</v>
      </c>
      <c r="I52" s="17">
        <f t="shared" si="13"/>
        <v>38.1</v>
      </c>
      <c r="J52" s="17">
        <v>1</v>
      </c>
      <c r="K52" s="17">
        <v>1</v>
      </c>
      <c r="L52" s="17">
        <v>1</v>
      </c>
      <c r="M52" s="17" t="s">
        <v>273</v>
      </c>
      <c r="N52" s="23">
        <v>18.3</v>
      </c>
      <c r="O52" s="23">
        <v>1</v>
      </c>
      <c r="P52" s="17"/>
      <c r="Q52" s="17"/>
      <c r="R52" s="17">
        <v>2</v>
      </c>
      <c r="S52" s="17">
        <v>2</v>
      </c>
      <c r="T52" s="17">
        <v>2</v>
      </c>
      <c r="U52" s="17" t="s">
        <v>273</v>
      </c>
      <c r="V52" s="23">
        <v>30.1</v>
      </c>
      <c r="W52" s="23">
        <v>2</v>
      </c>
    </row>
    <row r="53" spans="1:24" x14ac:dyDescent="0.2">
      <c r="A53" s="2" t="s">
        <v>35</v>
      </c>
      <c r="B53" s="2">
        <f t="shared" si="10"/>
        <v>72800066508.958481</v>
      </c>
      <c r="C53" s="2">
        <v>739419184416.48059</v>
      </c>
      <c r="D53" s="11">
        <f t="shared" si="11"/>
        <v>15.92142313646063</v>
      </c>
      <c r="E53" s="11">
        <f t="shared" si="11"/>
        <v>3.8211973264531727</v>
      </c>
      <c r="F53" s="21">
        <v>74110816972</v>
      </c>
      <c r="G53" s="24">
        <v>74744010293</v>
      </c>
      <c r="H53" s="2">
        <f t="shared" si="12"/>
        <v>11799496760</v>
      </c>
      <c r="I53" s="2">
        <f t="shared" si="13"/>
        <v>2856116123</v>
      </c>
      <c r="J53" s="24">
        <v>3712233382</v>
      </c>
      <c r="K53" s="21">
        <v>1139464128</v>
      </c>
      <c r="L53" s="21">
        <v>3530667226</v>
      </c>
      <c r="M53" s="24">
        <v>2263065231</v>
      </c>
      <c r="N53" s="2" t="s">
        <v>273</v>
      </c>
      <c r="O53" s="2">
        <v>1154066793</v>
      </c>
      <c r="R53" s="24">
        <v>411272919</v>
      </c>
      <c r="S53" s="21">
        <v>291863612</v>
      </c>
      <c r="T53" s="21">
        <v>415545735</v>
      </c>
      <c r="U53" s="24">
        <v>690541456</v>
      </c>
      <c r="V53" s="2" t="s">
        <v>273</v>
      </c>
      <c r="W53" s="2">
        <v>1046892401</v>
      </c>
    </row>
    <row r="54" spans="1:24" x14ac:dyDescent="0.2">
      <c r="A54" s="2" t="s">
        <v>36</v>
      </c>
      <c r="B54" s="2">
        <f t="shared" si="10"/>
        <v>9569135442.1450405</v>
      </c>
      <c r="C54" s="2">
        <v>11205076630.146416</v>
      </c>
      <c r="D54" s="11">
        <f t="shared" si="11"/>
        <v>85.399999999999991</v>
      </c>
      <c r="E54" s="11">
        <f t="shared" si="11"/>
        <v>85.4</v>
      </c>
      <c r="F54" s="17">
        <v>100</v>
      </c>
      <c r="G54" s="17">
        <v>100</v>
      </c>
      <c r="H54" s="17">
        <f t="shared" si="12"/>
        <v>85.399999999999991</v>
      </c>
      <c r="I54" s="17">
        <f t="shared" si="13"/>
        <v>85.4</v>
      </c>
      <c r="J54" s="17">
        <v>0.5</v>
      </c>
      <c r="K54" s="17">
        <v>0.5</v>
      </c>
      <c r="L54" s="17">
        <v>2.8</v>
      </c>
      <c r="M54" s="17">
        <v>1.8</v>
      </c>
      <c r="N54" s="17">
        <v>79.8</v>
      </c>
      <c r="O54" s="17" t="s">
        <v>273</v>
      </c>
      <c r="P54" s="17"/>
      <c r="Q54" s="17"/>
      <c r="R54" s="17">
        <v>1</v>
      </c>
      <c r="S54" s="17">
        <v>1</v>
      </c>
      <c r="T54" s="17">
        <v>1</v>
      </c>
      <c r="U54" s="17">
        <v>1</v>
      </c>
      <c r="V54" s="17">
        <v>81.400000000000006</v>
      </c>
      <c r="W54" s="17" t="s">
        <v>273</v>
      </c>
    </row>
    <row r="55" spans="1:24" x14ac:dyDescent="0.2">
      <c r="A55" s="16"/>
      <c r="B55" s="2">
        <f>SUM(B49:B54)/C55*100</f>
        <v>15.106184784318163</v>
      </c>
      <c r="C55" s="7">
        <f>SUM(C49:C54)</f>
        <v>856294495791.73022</v>
      </c>
      <c r="D55" s="7"/>
      <c r="E55" s="7"/>
    </row>
    <row r="56" spans="1:24" x14ac:dyDescent="0.2">
      <c r="A56" s="16"/>
      <c r="B56" s="16"/>
    </row>
    <row r="57" spans="1:24" x14ac:dyDescent="0.2">
      <c r="J57" s="1" t="s">
        <v>252</v>
      </c>
      <c r="R57" s="1" t="s">
        <v>275</v>
      </c>
    </row>
    <row r="58" spans="1:24" ht="17" x14ac:dyDescent="0.25">
      <c r="A58" s="1" t="s">
        <v>124</v>
      </c>
      <c r="B58" s="1" t="s">
        <v>112</v>
      </c>
      <c r="C58" s="1" t="s">
        <v>113</v>
      </c>
      <c r="D58" s="1" t="s">
        <v>121</v>
      </c>
      <c r="E58" s="1" t="s">
        <v>122</v>
      </c>
      <c r="F58" s="1" t="s">
        <v>254</v>
      </c>
      <c r="G58" s="1" t="s">
        <v>255</v>
      </c>
      <c r="H58" s="1" t="s">
        <v>256</v>
      </c>
      <c r="I58" s="1" t="s">
        <v>257</v>
      </c>
      <c r="J58" s="1" t="s">
        <v>296</v>
      </c>
      <c r="K58" s="1" t="s">
        <v>297</v>
      </c>
      <c r="L58" s="1" t="s">
        <v>298</v>
      </c>
      <c r="M58" s="1" t="s">
        <v>299</v>
      </c>
      <c r="N58" s="1" t="s">
        <v>300</v>
      </c>
      <c r="O58" s="1" t="s">
        <v>301</v>
      </c>
      <c r="P58" s="1" t="s">
        <v>302</v>
      </c>
      <c r="R58" s="1" t="s">
        <v>296</v>
      </c>
      <c r="S58" s="1" t="s">
        <v>297</v>
      </c>
      <c r="T58" s="1" t="s">
        <v>298</v>
      </c>
      <c r="U58" s="1" t="s">
        <v>299</v>
      </c>
      <c r="V58" s="1" t="s">
        <v>300</v>
      </c>
      <c r="W58" s="1" t="s">
        <v>301</v>
      </c>
      <c r="X58" s="1" t="s">
        <v>302</v>
      </c>
    </row>
    <row r="59" spans="1:24" x14ac:dyDescent="0.2">
      <c r="A59" s="2" t="s">
        <v>39</v>
      </c>
      <c r="B59" s="2">
        <f t="shared" ref="B59:B65" si="14">((H59+I59)/(F59+G59))*C59</f>
        <v>10751377058.293402</v>
      </c>
      <c r="C59" s="2">
        <v>29536750160.146709</v>
      </c>
      <c r="D59" s="11">
        <f>H59/F59*100</f>
        <v>27.800000000000004</v>
      </c>
      <c r="E59" s="11">
        <f>I59/G59*100</f>
        <v>45</v>
      </c>
      <c r="F59" s="2">
        <v>100</v>
      </c>
      <c r="G59" s="2">
        <v>100</v>
      </c>
      <c r="H59" s="2">
        <f t="shared" ref="H59:H64" si="15">SUM(J59:O59)</f>
        <v>27.8</v>
      </c>
      <c r="I59" s="2">
        <f t="shared" ref="I59:I64" si="16">SUM(R59:W59)</f>
        <v>45</v>
      </c>
      <c r="J59" s="2" t="s">
        <v>273</v>
      </c>
      <c r="K59" s="2">
        <v>19.8</v>
      </c>
      <c r="L59" s="2">
        <v>2</v>
      </c>
      <c r="M59" s="2">
        <v>2</v>
      </c>
      <c r="N59" s="2">
        <v>2</v>
      </c>
      <c r="O59" s="2">
        <v>2</v>
      </c>
      <c r="P59" s="2">
        <v>2</v>
      </c>
      <c r="R59" s="2" t="s">
        <v>273</v>
      </c>
      <c r="S59" s="2">
        <v>2</v>
      </c>
      <c r="T59" s="2">
        <v>21.6</v>
      </c>
      <c r="U59" s="2">
        <v>2</v>
      </c>
      <c r="V59" s="2">
        <v>17.399999999999999</v>
      </c>
      <c r="W59" s="2">
        <v>2</v>
      </c>
      <c r="X59" s="2">
        <v>1</v>
      </c>
    </row>
    <row r="60" spans="1:24" x14ac:dyDescent="0.2">
      <c r="A60" s="2" t="s">
        <v>40</v>
      </c>
      <c r="B60" s="2">
        <f t="shared" si="14"/>
        <v>435276065374.07562</v>
      </c>
      <c r="C60" s="2">
        <v>1863773890433.3591</v>
      </c>
      <c r="D60" s="11">
        <f t="shared" ref="D60:E65" si="17">H60/F60*100</f>
        <v>25.281840982674886</v>
      </c>
      <c r="E60" s="11">
        <f t="shared" si="17"/>
        <v>21.03553823778347</v>
      </c>
      <c r="F60" s="24">
        <v>116509991781</v>
      </c>
      <c r="G60" s="21">
        <v>96829162576</v>
      </c>
      <c r="H60" s="2">
        <f>SUM(J60:O60)</f>
        <v>29455870851</v>
      </c>
      <c r="I60" s="2">
        <f t="shared" si="16"/>
        <v>20368535519</v>
      </c>
      <c r="J60" s="24">
        <v>74861886</v>
      </c>
      <c r="K60" s="2" t="s">
        <v>273</v>
      </c>
      <c r="L60" s="21">
        <v>6811823548</v>
      </c>
      <c r="M60" s="24">
        <v>2405864139</v>
      </c>
      <c r="N60" s="21">
        <v>15550398249</v>
      </c>
      <c r="O60" s="21">
        <v>4612923029</v>
      </c>
      <c r="P60" s="24">
        <v>653741932</v>
      </c>
      <c r="R60" s="21">
        <v>639590677</v>
      </c>
      <c r="S60" s="2" t="s">
        <v>273</v>
      </c>
      <c r="T60" s="21">
        <v>5688431477</v>
      </c>
      <c r="U60" s="24">
        <v>544035195</v>
      </c>
      <c r="V60" s="21">
        <v>10262665108</v>
      </c>
      <c r="W60" s="21">
        <v>3233813062</v>
      </c>
      <c r="X60" s="24">
        <v>1454233868</v>
      </c>
    </row>
    <row r="61" spans="1:24" x14ac:dyDescent="0.2">
      <c r="A61" s="2" t="s">
        <v>41</v>
      </c>
      <c r="B61" s="2">
        <f t="shared" si="14"/>
        <v>127361301803.79453</v>
      </c>
      <c r="C61" s="2">
        <v>536877098893.63885</v>
      </c>
      <c r="D61" s="11">
        <f t="shared" si="17"/>
        <v>18.090672862243597</v>
      </c>
      <c r="E61" s="11">
        <f t="shared" si="17"/>
        <v>30.886774082330561</v>
      </c>
      <c r="F61" s="24">
        <v>157194831522</v>
      </c>
      <c r="G61" s="21">
        <v>123575279300</v>
      </c>
      <c r="H61" s="2">
        <f t="shared" si="15"/>
        <v>28437602727</v>
      </c>
      <c r="I61" s="2">
        <f t="shared" si="16"/>
        <v>38168417339</v>
      </c>
      <c r="J61" s="21">
        <v>443429821</v>
      </c>
      <c r="K61" s="24">
        <v>4913274325</v>
      </c>
      <c r="L61" s="2" t="s">
        <v>273</v>
      </c>
      <c r="M61" s="21">
        <v>1977787447</v>
      </c>
      <c r="N61" s="21">
        <v>13622422566</v>
      </c>
      <c r="O61" s="21">
        <v>7480688568</v>
      </c>
      <c r="P61" s="24">
        <v>2064523845</v>
      </c>
      <c r="R61" s="21">
        <v>67269607</v>
      </c>
      <c r="S61" s="24">
        <v>6548656141</v>
      </c>
      <c r="T61" s="2" t="s">
        <v>273</v>
      </c>
      <c r="U61" s="21">
        <v>1139521471</v>
      </c>
      <c r="V61" s="21">
        <v>21931898495</v>
      </c>
      <c r="W61" s="21">
        <v>8481071625</v>
      </c>
      <c r="X61" s="24">
        <v>2319780238</v>
      </c>
    </row>
    <row r="62" spans="1:24" x14ac:dyDescent="0.2">
      <c r="A62" s="2" t="s">
        <v>42</v>
      </c>
      <c r="B62" s="2">
        <f t="shared" si="14"/>
        <v>87914672648.472519</v>
      </c>
      <c r="C62" s="2">
        <v>471754213663.37671</v>
      </c>
      <c r="D62" s="11">
        <f t="shared" si="17"/>
        <v>21.527579610306084</v>
      </c>
      <c r="E62" s="11">
        <f t="shared" si="17"/>
        <v>16.212908311970466</v>
      </c>
      <c r="F62" s="24">
        <v>38435801947</v>
      </c>
      <c r="G62" s="21">
        <v>45877737349</v>
      </c>
      <c r="H62" s="2">
        <f t="shared" si="15"/>
        <v>8274297863</v>
      </c>
      <c r="I62" s="2">
        <f t="shared" si="16"/>
        <v>7438115492</v>
      </c>
      <c r="J62" s="24">
        <v>4927863</v>
      </c>
      <c r="K62" s="21">
        <v>382690364</v>
      </c>
      <c r="L62" s="24">
        <v>1359905029</v>
      </c>
      <c r="M62" s="2" t="s">
        <v>273</v>
      </c>
      <c r="N62" s="21">
        <v>3931099762</v>
      </c>
      <c r="O62" s="21">
        <v>2595674845</v>
      </c>
      <c r="P62" s="24">
        <v>1401718464</v>
      </c>
      <c r="R62" s="24">
        <v>22589388</v>
      </c>
      <c r="S62" s="21">
        <v>1915054524</v>
      </c>
      <c r="T62" s="24">
        <v>1787109441</v>
      </c>
      <c r="U62" s="2" t="s">
        <v>273</v>
      </c>
      <c r="V62" s="21">
        <v>2477272411</v>
      </c>
      <c r="W62" s="21">
        <v>1236089728</v>
      </c>
      <c r="X62" s="24">
        <v>365409231</v>
      </c>
    </row>
    <row r="63" spans="1:24" x14ac:dyDescent="0.2">
      <c r="A63" s="2" t="s">
        <v>43</v>
      </c>
      <c r="B63" s="2">
        <f t="shared" si="14"/>
        <v>77076181847.812546</v>
      </c>
      <c r="C63" s="2">
        <v>307468099909.54913</v>
      </c>
      <c r="D63" s="11">
        <f t="shared" si="17"/>
        <v>27.063316978245101</v>
      </c>
      <c r="E63" s="11">
        <f t="shared" si="17"/>
        <v>22.877513017711031</v>
      </c>
      <c r="F63" s="24">
        <v>269832461127</v>
      </c>
      <c r="G63" s="21">
        <v>245784668235</v>
      </c>
      <c r="H63" s="2">
        <f t="shared" si="15"/>
        <v>73025614265</v>
      </c>
      <c r="I63" s="2">
        <f t="shared" si="16"/>
        <v>56229419471</v>
      </c>
      <c r="J63" s="21">
        <v>867754756</v>
      </c>
      <c r="K63" s="24">
        <v>26118109696</v>
      </c>
      <c r="L63" s="21">
        <v>30913375293</v>
      </c>
      <c r="M63" s="24">
        <v>5044874671</v>
      </c>
      <c r="N63" s="2" t="s">
        <v>273</v>
      </c>
      <c r="O63" s="21">
        <v>10081499849</v>
      </c>
      <c r="P63" s="24">
        <v>6977413916</v>
      </c>
      <c r="R63" s="21">
        <v>93114013</v>
      </c>
      <c r="S63" s="24">
        <v>14251273250</v>
      </c>
      <c r="T63" s="21">
        <v>28514864970</v>
      </c>
      <c r="U63" s="24">
        <v>5156471833</v>
      </c>
      <c r="V63" s="2" t="s">
        <v>273</v>
      </c>
      <c r="W63" s="21">
        <v>8213695405</v>
      </c>
      <c r="X63" s="24">
        <v>2275970860</v>
      </c>
    </row>
    <row r="64" spans="1:24" x14ac:dyDescent="0.2">
      <c r="A64" s="2" t="s">
        <v>44</v>
      </c>
      <c r="B64" s="2">
        <f t="shared" si="14"/>
        <v>122680269248.2912</v>
      </c>
      <c r="C64" s="2">
        <v>816049899794.01929</v>
      </c>
      <c r="D64" s="11">
        <f t="shared" si="17"/>
        <v>15.1113932816234</v>
      </c>
      <c r="E64" s="11">
        <f t="shared" si="17"/>
        <v>14.944546407085918</v>
      </c>
      <c r="F64" s="21">
        <v>152497202591</v>
      </c>
      <c r="G64" s="24">
        <v>133769638813</v>
      </c>
      <c r="H64" s="2">
        <f t="shared" si="15"/>
        <v>23044452027</v>
      </c>
      <c r="I64" s="2">
        <f t="shared" si="16"/>
        <v>19991265751</v>
      </c>
      <c r="J64" s="24">
        <v>117382402</v>
      </c>
      <c r="K64" s="21">
        <v>4667256620</v>
      </c>
      <c r="L64" s="24">
        <v>7663654160</v>
      </c>
      <c r="M64" s="21">
        <v>3022018160</v>
      </c>
      <c r="N64" s="21">
        <v>7574140685</v>
      </c>
      <c r="O64" s="2" t="s">
        <v>273</v>
      </c>
      <c r="P64" s="24">
        <v>4678330690</v>
      </c>
      <c r="R64" s="24">
        <v>109189127</v>
      </c>
      <c r="S64" s="21">
        <v>3800128304</v>
      </c>
      <c r="T64" s="24">
        <v>8575320368</v>
      </c>
      <c r="U64" s="21">
        <v>1783135245</v>
      </c>
      <c r="V64" s="21">
        <v>5723492707</v>
      </c>
      <c r="W64" s="2" t="s">
        <v>273</v>
      </c>
      <c r="X64" s="21">
        <v>1385390294</v>
      </c>
    </row>
    <row r="65" spans="1:40" x14ac:dyDescent="0.2">
      <c r="A65" s="2" t="s">
        <v>45</v>
      </c>
      <c r="B65" s="2">
        <f t="shared" si="14"/>
        <v>57818032613.567451</v>
      </c>
      <c r="C65" s="2">
        <v>354717704806.19641</v>
      </c>
      <c r="D65" s="11">
        <f t="shared" si="17"/>
        <v>12.94060753572365</v>
      </c>
      <c r="E65" s="11">
        <f t="shared" si="17"/>
        <v>19.041642809934864</v>
      </c>
      <c r="F65" s="21">
        <v>57096274457</v>
      </c>
      <c r="G65" s="24">
        <v>69948810000</v>
      </c>
      <c r="H65" s="2">
        <f>SUM(J65:O65)</f>
        <v>7388604795</v>
      </c>
      <c r="I65" s="2">
        <f>SUM(R65:W65)</f>
        <v>13319402550</v>
      </c>
      <c r="J65" s="21">
        <v>7689675</v>
      </c>
      <c r="K65" s="21">
        <v>754054282</v>
      </c>
      <c r="L65" s="24">
        <v>1775157304</v>
      </c>
      <c r="M65" s="21">
        <v>1461857757</v>
      </c>
      <c r="N65" s="24">
        <v>2075621161</v>
      </c>
      <c r="O65" s="21">
        <v>1314224616</v>
      </c>
      <c r="P65" s="2" t="s">
        <v>273</v>
      </c>
      <c r="R65" s="2">
        <v>7689675</v>
      </c>
      <c r="S65" s="21">
        <v>1546115586</v>
      </c>
      <c r="T65" s="24">
        <v>2504734791</v>
      </c>
      <c r="U65" s="21">
        <v>498432994</v>
      </c>
      <c r="V65" s="24">
        <v>4248355912</v>
      </c>
      <c r="W65" s="21">
        <v>4514073592</v>
      </c>
      <c r="X65" s="2" t="s">
        <v>273</v>
      </c>
    </row>
    <row r="66" spans="1:40" x14ac:dyDescent="0.2">
      <c r="A66" s="16"/>
      <c r="B66" s="2">
        <f>SUM(B59:B65)/C66*100</f>
        <v>20.978096607276306</v>
      </c>
      <c r="C66" s="7">
        <f>SUM(C59:C65)</f>
        <v>4380177657660.2861</v>
      </c>
      <c r="D66" s="7"/>
      <c r="E66" s="7"/>
    </row>
    <row r="67" spans="1:40" x14ac:dyDescent="0.2">
      <c r="A67" s="16"/>
      <c r="B67" s="16"/>
    </row>
    <row r="68" spans="1:40" x14ac:dyDescent="0.2">
      <c r="J68" s="1" t="s">
        <v>252</v>
      </c>
      <c r="R68" s="1" t="s">
        <v>275</v>
      </c>
    </row>
    <row r="69" spans="1:40" x14ac:dyDescent="0.2">
      <c r="A69" s="1" t="s">
        <v>125</v>
      </c>
      <c r="B69" s="1"/>
      <c r="D69" s="1" t="s">
        <v>121</v>
      </c>
      <c r="E69" s="1" t="s">
        <v>122</v>
      </c>
      <c r="F69" s="1" t="s">
        <v>254</v>
      </c>
      <c r="G69" s="1" t="s">
        <v>255</v>
      </c>
      <c r="H69" s="1" t="s">
        <v>256</v>
      </c>
      <c r="I69" s="1" t="s">
        <v>257</v>
      </c>
      <c r="J69" s="1" t="s">
        <v>259</v>
      </c>
      <c r="K69" s="1" t="s">
        <v>303</v>
      </c>
      <c r="L69" s="1" t="s">
        <v>304</v>
      </c>
      <c r="M69" s="1" t="s">
        <v>305</v>
      </c>
      <c r="N69" s="1" t="s">
        <v>306</v>
      </c>
      <c r="O69" s="1" t="s">
        <v>52</v>
      </c>
      <c r="R69" s="1" t="s">
        <v>259</v>
      </c>
      <c r="S69" s="1" t="s">
        <v>303</v>
      </c>
      <c r="T69" s="1" t="s">
        <v>304</v>
      </c>
      <c r="U69" s="1" t="s">
        <v>305</v>
      </c>
      <c r="V69" s="1" t="s">
        <v>306</v>
      </c>
      <c r="W69" s="1" t="s">
        <v>52</v>
      </c>
    </row>
    <row r="70" spans="1:40" x14ac:dyDescent="0.2">
      <c r="A70" s="2" t="s">
        <v>53</v>
      </c>
      <c r="B70" s="2">
        <f t="shared" ref="B70:B75" si="18">((H70+I70)/(F70+G70))*C70</f>
        <v>5820666262.3257284</v>
      </c>
      <c r="C70" s="2">
        <v>45750754989.617645</v>
      </c>
      <c r="D70" s="11">
        <f t="shared" ref="D70:E75" si="19">H70/F70*100</f>
        <v>18.301713842080446</v>
      </c>
      <c r="E70" s="11">
        <f t="shared" si="19"/>
        <v>8.758737250506087</v>
      </c>
      <c r="F70" s="22">
        <v>13082979789</v>
      </c>
      <c r="G70" s="26">
        <v>18414553284</v>
      </c>
      <c r="H70" s="2">
        <f t="shared" ref="H70:H75" si="20">SUM(J70:O70)</f>
        <v>2394409523</v>
      </c>
      <c r="I70" s="2">
        <f t="shared" ref="I70:I75" si="21">SUM(R70:W70)</f>
        <v>1612882338</v>
      </c>
      <c r="J70" s="2" t="s">
        <v>273</v>
      </c>
      <c r="K70" s="26">
        <v>158427723</v>
      </c>
      <c r="L70" s="22">
        <v>91447277</v>
      </c>
      <c r="M70" s="26">
        <v>289818737</v>
      </c>
      <c r="N70" s="24">
        <v>1438877333</v>
      </c>
      <c r="O70" s="24">
        <v>415838453</v>
      </c>
      <c r="R70" s="2" t="s">
        <v>273</v>
      </c>
      <c r="S70" s="26">
        <v>191153304</v>
      </c>
      <c r="T70" s="22">
        <v>52888664</v>
      </c>
      <c r="U70" s="26">
        <v>88988957</v>
      </c>
      <c r="V70" s="24">
        <v>780366218</v>
      </c>
      <c r="W70" s="21">
        <v>499485195</v>
      </c>
    </row>
    <row r="71" spans="1:40" x14ac:dyDescent="0.2">
      <c r="A71" s="2" t="s">
        <v>57</v>
      </c>
      <c r="B71" s="2">
        <f t="shared" si="18"/>
        <v>8965899119.2393322</v>
      </c>
      <c r="C71" s="2">
        <v>238741850314.15726</v>
      </c>
      <c r="D71" s="11">
        <f t="shared" si="19"/>
        <v>1.776442287906298</v>
      </c>
      <c r="E71" s="11">
        <f t="shared" si="19"/>
        <v>10.723412320289013</v>
      </c>
      <c r="F71" s="22">
        <v>87457022363</v>
      </c>
      <c r="G71" s="26">
        <v>24839591041</v>
      </c>
      <c r="H71" s="2">
        <f t="shared" si="20"/>
        <v>1553623529</v>
      </c>
      <c r="I71" s="2">
        <f t="shared" si="21"/>
        <v>2663651766</v>
      </c>
      <c r="J71" s="22">
        <v>168603361</v>
      </c>
      <c r="K71" s="2" t="s">
        <v>273</v>
      </c>
      <c r="L71" s="26">
        <v>59783239</v>
      </c>
      <c r="M71" s="22">
        <v>208405218</v>
      </c>
      <c r="N71" s="21">
        <v>425638439</v>
      </c>
      <c r="O71" s="21">
        <v>691193272</v>
      </c>
      <c r="R71" s="22">
        <v>136843220</v>
      </c>
      <c r="S71" s="2" t="s">
        <v>273</v>
      </c>
      <c r="T71" s="26">
        <v>101028266</v>
      </c>
      <c r="U71" s="22">
        <v>50218858</v>
      </c>
      <c r="V71" s="21">
        <v>1393285216</v>
      </c>
      <c r="W71" s="24">
        <v>982276206</v>
      </c>
    </row>
    <row r="72" spans="1:40" x14ac:dyDescent="0.2">
      <c r="A72" s="2" t="s">
        <v>55</v>
      </c>
      <c r="B72" s="2">
        <f t="shared" si="18"/>
        <v>23994030599.506874</v>
      </c>
      <c r="C72" s="2">
        <v>119107618382.58754</v>
      </c>
      <c r="D72" s="11">
        <f t="shared" si="19"/>
        <v>13.365111399317225</v>
      </c>
      <c r="E72" s="11">
        <f t="shared" si="19"/>
        <v>31.29985276395043</v>
      </c>
      <c r="F72" s="22">
        <v>37719141056</v>
      </c>
      <c r="G72" s="26">
        <v>22924680538</v>
      </c>
      <c r="H72" s="2">
        <f t="shared" si="20"/>
        <v>5041205221</v>
      </c>
      <c r="I72" s="2">
        <f t="shared" si="21"/>
        <v>7175391255</v>
      </c>
      <c r="J72" s="26">
        <v>49197778</v>
      </c>
      <c r="K72" s="22">
        <v>108976305</v>
      </c>
      <c r="L72" s="2" t="s">
        <v>273</v>
      </c>
      <c r="M72" s="26">
        <v>264061967</v>
      </c>
      <c r="N72" s="24">
        <v>490003208</v>
      </c>
      <c r="O72" s="24">
        <v>4128965963</v>
      </c>
      <c r="R72" s="26">
        <v>215064657</v>
      </c>
      <c r="S72" s="22">
        <v>99914204</v>
      </c>
      <c r="T72" s="2" t="s">
        <v>273</v>
      </c>
      <c r="U72" s="26">
        <v>39161671</v>
      </c>
      <c r="V72" s="24">
        <v>585989714</v>
      </c>
      <c r="W72" s="21">
        <v>6235261009</v>
      </c>
    </row>
    <row r="73" spans="1:40" x14ac:dyDescent="0.2">
      <c r="A73" s="2" t="s">
        <v>56</v>
      </c>
      <c r="B73" s="2">
        <f t="shared" si="18"/>
        <v>13322296018.332542</v>
      </c>
      <c r="C73" s="2">
        <v>159791627772.23462</v>
      </c>
      <c r="D73" s="11">
        <f t="shared" si="19"/>
        <v>5.856796530483118</v>
      </c>
      <c r="E73" s="11">
        <f t="shared" si="19"/>
        <v>14.321338784409718</v>
      </c>
      <c r="F73" s="22">
        <v>67307142966</v>
      </c>
      <c r="G73" s="26">
        <v>27900040521</v>
      </c>
      <c r="H73" s="2">
        <f t="shared" si="20"/>
        <v>3942042414</v>
      </c>
      <c r="I73" s="2">
        <f t="shared" si="21"/>
        <v>3995659324</v>
      </c>
      <c r="J73" s="22">
        <v>104764306</v>
      </c>
      <c r="K73" s="26">
        <v>123041996</v>
      </c>
      <c r="L73" s="22">
        <v>47206655</v>
      </c>
      <c r="M73" s="2" t="s">
        <v>273</v>
      </c>
      <c r="N73" s="21">
        <v>301021335</v>
      </c>
      <c r="O73" s="21">
        <v>3366008122</v>
      </c>
      <c r="R73" s="22">
        <v>355744593</v>
      </c>
      <c r="S73" s="26">
        <v>149390843</v>
      </c>
      <c r="T73" s="22">
        <v>281195003</v>
      </c>
      <c r="U73" s="2" t="s">
        <v>273</v>
      </c>
      <c r="V73" s="21">
        <v>1361085617</v>
      </c>
      <c r="W73" s="24">
        <v>1848243268</v>
      </c>
    </row>
    <row r="74" spans="1:40" x14ac:dyDescent="0.2">
      <c r="A74" s="2" t="s">
        <v>54</v>
      </c>
      <c r="B74" s="2">
        <f t="shared" si="18"/>
        <v>39797438685.67337</v>
      </c>
      <c r="C74" s="2">
        <v>1163234174766.5491</v>
      </c>
      <c r="D74" s="11">
        <f t="shared" si="19"/>
        <v>3.0901545501178158</v>
      </c>
      <c r="E74" s="11">
        <f t="shared" si="19"/>
        <v>4.3443847862373213</v>
      </c>
      <c r="F74" s="22">
        <v>312999364049</v>
      </c>
      <c r="G74" s="26">
        <v>112273148075</v>
      </c>
      <c r="H74" s="2">
        <f t="shared" si="20"/>
        <v>9672164090</v>
      </c>
      <c r="I74" s="2">
        <f t="shared" si="21"/>
        <v>4877577564</v>
      </c>
      <c r="J74" s="26">
        <v>1428017785</v>
      </c>
      <c r="K74" s="22">
        <v>1453583950</v>
      </c>
      <c r="L74" s="26">
        <v>655016819</v>
      </c>
      <c r="M74" s="22">
        <v>1549853404</v>
      </c>
      <c r="N74" s="2" t="s">
        <v>273</v>
      </c>
      <c r="O74" s="24">
        <v>4585692132</v>
      </c>
      <c r="R74" s="26">
        <v>1171752665</v>
      </c>
      <c r="S74" s="22">
        <v>297224638</v>
      </c>
      <c r="T74" s="26">
        <v>463809380</v>
      </c>
      <c r="U74" s="22">
        <v>124531622</v>
      </c>
      <c r="V74" s="2" t="s">
        <v>273</v>
      </c>
      <c r="W74" s="21">
        <v>2820259259</v>
      </c>
    </row>
    <row r="75" spans="1:40" x14ac:dyDescent="0.2">
      <c r="A75" s="2" t="s">
        <v>126</v>
      </c>
      <c r="B75" s="2">
        <f t="shared" si="18"/>
        <v>19380482759.992958</v>
      </c>
      <c r="C75" s="2">
        <v>475030915085.22394</v>
      </c>
      <c r="D75" s="11">
        <f t="shared" si="19"/>
        <v>4.1575522266666667</v>
      </c>
      <c r="E75" s="11">
        <f t="shared" si="19"/>
        <v>3.9868348659632562</v>
      </c>
      <c r="F75" s="2">
        <v>210000000000</v>
      </c>
      <c r="G75" s="2">
        <v>175485699238</v>
      </c>
      <c r="H75" s="2">
        <f t="shared" si="20"/>
        <v>8730859676</v>
      </c>
      <c r="I75" s="2">
        <f t="shared" si="21"/>
        <v>6996325042</v>
      </c>
      <c r="J75" s="2">
        <v>1723603877</v>
      </c>
      <c r="K75" s="2">
        <v>1065627328</v>
      </c>
      <c r="L75" s="2">
        <v>1409963979</v>
      </c>
      <c r="M75" s="2">
        <v>3049780351</v>
      </c>
      <c r="N75" s="2">
        <v>1481884141</v>
      </c>
      <c r="O75" s="2" t="s">
        <v>273</v>
      </c>
      <c r="R75" s="2">
        <v>668324792</v>
      </c>
      <c r="S75" s="2">
        <v>513067424</v>
      </c>
      <c r="T75" s="2">
        <v>955808946</v>
      </c>
      <c r="U75" s="2">
        <v>463057305</v>
      </c>
      <c r="V75" s="2">
        <v>4396066575</v>
      </c>
      <c r="W75" s="2" t="s">
        <v>273</v>
      </c>
    </row>
    <row r="76" spans="1:40" x14ac:dyDescent="0.2">
      <c r="B76" s="2">
        <f>SUM(B70:B75)/C76*100</f>
        <v>5.0544120365473146</v>
      </c>
      <c r="C76" s="7">
        <f>SUM(C70:C75)</f>
        <v>2201656941310.3701</v>
      </c>
      <c r="D76" s="7"/>
      <c r="E76" s="7"/>
    </row>
    <row r="77" spans="1:40" x14ac:dyDescent="0.2">
      <c r="J77" s="1" t="s">
        <v>252</v>
      </c>
      <c r="Z77" s="1" t="s">
        <v>275</v>
      </c>
    </row>
    <row r="78" spans="1:40" ht="17" x14ac:dyDescent="0.25">
      <c r="A78" s="1" t="s">
        <v>127</v>
      </c>
      <c r="B78" s="1" t="s">
        <v>112</v>
      </c>
      <c r="C78" s="1" t="s">
        <v>113</v>
      </c>
      <c r="D78" s="1" t="s">
        <v>121</v>
      </c>
      <c r="E78" s="1" t="s">
        <v>122</v>
      </c>
      <c r="F78" s="1" t="s">
        <v>254</v>
      </c>
      <c r="G78" s="1" t="s">
        <v>255</v>
      </c>
      <c r="H78" s="1" t="s">
        <v>256</v>
      </c>
      <c r="I78" s="1" t="s">
        <v>257</v>
      </c>
      <c r="J78" s="1" t="s">
        <v>307</v>
      </c>
      <c r="K78" s="1" t="s">
        <v>308</v>
      </c>
      <c r="L78" s="1" t="s">
        <v>309</v>
      </c>
      <c r="M78" s="1" t="s">
        <v>310</v>
      </c>
      <c r="N78" s="1" t="s">
        <v>311</v>
      </c>
      <c r="O78" s="1" t="s">
        <v>312</v>
      </c>
      <c r="P78" s="1" t="s">
        <v>313</v>
      </c>
      <c r="Q78" s="1" t="s">
        <v>314</v>
      </c>
      <c r="R78" s="1" t="s">
        <v>315</v>
      </c>
      <c r="S78" s="1" t="s">
        <v>316</v>
      </c>
      <c r="T78" s="1" t="s">
        <v>317</v>
      </c>
      <c r="U78" s="1" t="s">
        <v>318</v>
      </c>
      <c r="V78" s="1" t="s">
        <v>319</v>
      </c>
      <c r="W78" s="1" t="s">
        <v>320</v>
      </c>
      <c r="X78" s="1" t="s">
        <v>321</v>
      </c>
      <c r="Z78" s="1" t="s">
        <v>307</v>
      </c>
      <c r="AA78" s="1" t="s">
        <v>308</v>
      </c>
      <c r="AB78" s="1" t="s">
        <v>309</v>
      </c>
      <c r="AC78" s="1" t="s">
        <v>310</v>
      </c>
      <c r="AD78" s="1" t="s">
        <v>311</v>
      </c>
      <c r="AE78" s="1" t="s">
        <v>312</v>
      </c>
      <c r="AF78" s="1" t="s">
        <v>313</v>
      </c>
      <c r="AG78" s="1" t="s">
        <v>314</v>
      </c>
      <c r="AH78" s="1" t="s">
        <v>315</v>
      </c>
      <c r="AI78" s="1" t="s">
        <v>316</v>
      </c>
      <c r="AJ78" s="1" t="s">
        <v>317</v>
      </c>
      <c r="AK78" s="1" t="s">
        <v>318</v>
      </c>
      <c r="AL78" s="1" t="s">
        <v>319</v>
      </c>
      <c r="AM78" s="1" t="s">
        <v>320</v>
      </c>
      <c r="AN78" s="1" t="s">
        <v>321</v>
      </c>
    </row>
    <row r="79" spans="1:40" x14ac:dyDescent="0.2">
      <c r="A79" s="2" t="s">
        <v>78</v>
      </c>
      <c r="B79" s="2">
        <f>((H79+I79)/(F79+G79))*C79</f>
        <v>23963376.497043937</v>
      </c>
      <c r="C79" s="17">
        <v>255000000</v>
      </c>
      <c r="D79" s="11">
        <f>H79/F79*100</f>
        <v>13.947220887393883</v>
      </c>
      <c r="E79" s="11">
        <f>I79/G79*100</f>
        <v>9.2441609151131932</v>
      </c>
      <c r="F79" s="21">
        <v>2746920</v>
      </c>
      <c r="G79" s="21">
        <v>81557386</v>
      </c>
      <c r="H79" s="2">
        <f>SUM(J79:X79)</f>
        <v>383119</v>
      </c>
      <c r="I79" s="2">
        <f>SUM(Z79:AN79)</f>
        <v>7539296</v>
      </c>
      <c r="J79" s="2" t="s">
        <v>273</v>
      </c>
      <c r="K79" s="24">
        <v>156234</v>
      </c>
      <c r="O79" s="21">
        <v>156</v>
      </c>
      <c r="S79" s="24">
        <v>187946</v>
      </c>
      <c r="T79" s="24">
        <v>37496</v>
      </c>
      <c r="X79" s="21">
        <v>1287</v>
      </c>
      <c r="Z79" s="2" t="s">
        <v>273</v>
      </c>
      <c r="AA79" s="24">
        <v>7416022</v>
      </c>
      <c r="AB79" s="21">
        <v>53193</v>
      </c>
      <c r="AI79" s="24">
        <v>56419</v>
      </c>
      <c r="AM79" s="24">
        <v>879</v>
      </c>
      <c r="AN79" s="21">
        <v>12783</v>
      </c>
    </row>
    <row r="80" spans="1:40" x14ac:dyDescent="0.2">
      <c r="A80" s="2" t="s">
        <v>79</v>
      </c>
      <c r="B80" s="2">
        <f t="shared" ref="B80:B93" si="22">((H80+I80)/(F80+G80))*C80</f>
        <v>230347685.7553899</v>
      </c>
      <c r="C80" s="2">
        <v>5944159874.1880598</v>
      </c>
      <c r="D80" s="11">
        <f t="shared" ref="D80:E93" si="23">H80/F80*100</f>
        <v>11.541134565740673</v>
      </c>
      <c r="E80" s="11">
        <f t="shared" si="23"/>
        <v>0.52145583316091104</v>
      </c>
      <c r="F80" s="21">
        <v>628674985</v>
      </c>
      <c r="G80" s="21">
        <v>1437019307</v>
      </c>
      <c r="H80" s="2">
        <f t="shared" ref="H80:H93" si="24">SUM(J80:X80)</f>
        <v>72556226</v>
      </c>
      <c r="I80" s="2">
        <f t="shared" ref="I80:I93" si="25">SUM(Z80:AN80)</f>
        <v>7493421</v>
      </c>
      <c r="J80" s="24">
        <v>1270824</v>
      </c>
      <c r="K80" s="2" t="s">
        <v>273</v>
      </c>
      <c r="L80" s="21">
        <v>115732</v>
      </c>
      <c r="N80" s="21">
        <v>8197576</v>
      </c>
      <c r="O80" s="24">
        <v>402467</v>
      </c>
      <c r="R80" s="24">
        <v>24666</v>
      </c>
      <c r="S80" s="21">
        <v>6414819</v>
      </c>
      <c r="T80" s="21">
        <v>5214342</v>
      </c>
      <c r="U80" s="24">
        <v>13436398</v>
      </c>
      <c r="V80" s="21">
        <v>5835296</v>
      </c>
      <c r="W80" s="24">
        <v>15439695</v>
      </c>
      <c r="X80" s="24">
        <v>16204411</v>
      </c>
      <c r="Z80" s="24">
        <v>257845</v>
      </c>
      <c r="AA80" s="2" t="s">
        <v>273</v>
      </c>
      <c r="AD80" s="24">
        <v>48581</v>
      </c>
      <c r="AE80" s="21">
        <v>3563</v>
      </c>
      <c r="AH80" s="24">
        <v>959</v>
      </c>
      <c r="AI80" s="21">
        <v>2495822</v>
      </c>
      <c r="AJ80" s="21">
        <v>2137834</v>
      </c>
      <c r="AK80" s="24">
        <v>198670</v>
      </c>
      <c r="AL80" s="21">
        <v>12919</v>
      </c>
      <c r="AM80" s="24">
        <v>2230765</v>
      </c>
      <c r="AN80" s="24">
        <v>106463</v>
      </c>
    </row>
    <row r="81" spans="1:40" x14ac:dyDescent="0.2">
      <c r="A81" s="2" t="s">
        <v>128</v>
      </c>
      <c r="B81" s="2">
        <f t="shared" si="22"/>
        <v>1075169.8042359955</v>
      </c>
      <c r="C81" s="2">
        <v>326447976.59896654</v>
      </c>
      <c r="D81" s="11">
        <f t="shared" si="23"/>
        <v>0.94170878982065576</v>
      </c>
      <c r="E81" s="11">
        <f t="shared" si="23"/>
        <v>0.26375696234213342</v>
      </c>
      <c r="F81" s="24">
        <v>18318508</v>
      </c>
      <c r="G81" s="21">
        <v>171004775</v>
      </c>
      <c r="H81" s="2">
        <f t="shared" si="24"/>
        <v>172507</v>
      </c>
      <c r="I81" s="2">
        <f t="shared" si="25"/>
        <v>451037</v>
      </c>
      <c r="L81" s="2" t="s">
        <v>273</v>
      </c>
      <c r="O81" s="21">
        <v>172507</v>
      </c>
      <c r="AA81" s="21">
        <v>142061</v>
      </c>
      <c r="AB81" s="2" t="s">
        <v>273</v>
      </c>
      <c r="AE81" s="24">
        <v>129655</v>
      </c>
      <c r="AH81" s="24">
        <v>179321</v>
      </c>
    </row>
    <row r="82" spans="1:40" x14ac:dyDescent="0.2">
      <c r="A82" s="2" t="s">
        <v>86</v>
      </c>
      <c r="B82" s="2">
        <f t="shared" si="22"/>
        <v>74518000</v>
      </c>
      <c r="C82" s="17">
        <v>703000000</v>
      </c>
      <c r="D82" s="11">
        <f t="shared" si="23"/>
        <v>3</v>
      </c>
      <c r="E82" s="11">
        <f t="shared" si="23"/>
        <v>18.2</v>
      </c>
      <c r="F82" s="27">
        <v>100</v>
      </c>
      <c r="G82" s="27">
        <v>100</v>
      </c>
      <c r="H82" s="27">
        <v>3</v>
      </c>
      <c r="I82" s="27">
        <v>18.2</v>
      </c>
      <c r="J82" s="27"/>
      <c r="K82" s="27"/>
      <c r="L82" s="27"/>
      <c r="M82" s="27" t="s">
        <v>273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 t="s">
        <v>273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</row>
    <row r="83" spans="1:40" x14ac:dyDescent="0.2">
      <c r="A83" s="2" t="s">
        <v>80</v>
      </c>
      <c r="B83" s="2">
        <f t="shared" si="22"/>
        <v>43340385.201851487</v>
      </c>
      <c r="C83" s="2">
        <v>174860147.73671493</v>
      </c>
      <c r="D83" s="11">
        <f t="shared" si="23"/>
        <v>9.8605741951119938</v>
      </c>
      <c r="E83" s="11">
        <f t="shared" si="23"/>
        <v>26.183667425947032</v>
      </c>
      <c r="F83" s="21">
        <v>6275811</v>
      </c>
      <c r="G83" s="24">
        <v>67004674</v>
      </c>
      <c r="H83" s="2">
        <f t="shared" si="24"/>
        <v>618831</v>
      </c>
      <c r="I83" s="2">
        <f t="shared" si="25"/>
        <v>17544281</v>
      </c>
      <c r="K83" s="24">
        <v>618048</v>
      </c>
      <c r="N83" s="2" t="s">
        <v>273</v>
      </c>
      <c r="O83" s="21">
        <v>2</v>
      </c>
      <c r="V83" s="24">
        <v>781</v>
      </c>
      <c r="AA83" s="24">
        <v>17312648</v>
      </c>
      <c r="AD83" s="2" t="s">
        <v>273</v>
      </c>
      <c r="AE83" s="21">
        <v>637</v>
      </c>
      <c r="AI83" s="24">
        <v>2905</v>
      </c>
      <c r="AJ83" s="24">
        <v>25525</v>
      </c>
      <c r="AK83" s="21">
        <v>4933</v>
      </c>
      <c r="AL83" s="24">
        <v>542</v>
      </c>
      <c r="AM83" s="21">
        <v>24761</v>
      </c>
      <c r="AN83" s="21">
        <v>172330</v>
      </c>
    </row>
    <row r="84" spans="1:40" x14ac:dyDescent="0.2">
      <c r="A84" s="2" t="s">
        <v>81</v>
      </c>
      <c r="B84" s="2">
        <f t="shared" si="22"/>
        <v>1645450.8403036369</v>
      </c>
      <c r="C84" s="2">
        <v>164545084.03036368</v>
      </c>
      <c r="D84" s="11">
        <f t="shared" si="23"/>
        <v>1</v>
      </c>
      <c r="E84" s="11">
        <f t="shared" si="23"/>
        <v>1</v>
      </c>
      <c r="F84" s="27">
        <v>100</v>
      </c>
      <c r="G84" s="27">
        <v>100</v>
      </c>
      <c r="H84" s="27">
        <v>1</v>
      </c>
      <c r="I84" s="27">
        <v>1</v>
      </c>
      <c r="J84" s="27"/>
      <c r="K84" s="27"/>
      <c r="L84" s="27"/>
      <c r="M84" s="27"/>
      <c r="N84" s="27"/>
      <c r="O84" s="27" t="s">
        <v>273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 t="s">
        <v>273</v>
      </c>
      <c r="AF84" s="27"/>
      <c r="AG84" s="27"/>
      <c r="AH84" s="27"/>
      <c r="AI84" s="27"/>
      <c r="AJ84" s="27"/>
      <c r="AK84" s="27"/>
      <c r="AL84" s="27"/>
      <c r="AM84" s="27"/>
      <c r="AN84" s="27"/>
    </row>
    <row r="85" spans="1:40" x14ac:dyDescent="0.2">
      <c r="A85" s="2" t="s">
        <v>82</v>
      </c>
      <c r="B85" s="2">
        <f t="shared" si="22"/>
        <v>8732214.1671288423</v>
      </c>
      <c r="C85" s="2">
        <v>56336865.594379626</v>
      </c>
      <c r="D85" s="11">
        <f t="shared" si="23"/>
        <v>1</v>
      </c>
      <c r="E85" s="11">
        <f t="shared" si="23"/>
        <v>30</v>
      </c>
      <c r="F85" s="27">
        <v>100</v>
      </c>
      <c r="G85" s="27">
        <v>100</v>
      </c>
      <c r="H85" s="27">
        <v>1</v>
      </c>
      <c r="I85" s="27">
        <v>30</v>
      </c>
      <c r="J85" s="27"/>
      <c r="K85" s="27"/>
      <c r="L85" s="27"/>
      <c r="M85" s="27"/>
      <c r="N85" s="27"/>
      <c r="O85" s="27"/>
      <c r="P85" s="27" t="s">
        <v>273</v>
      </c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 t="s">
        <v>273</v>
      </c>
      <c r="AG85" s="27"/>
      <c r="AH85" s="27"/>
      <c r="AI85" s="27"/>
      <c r="AJ85" s="27"/>
      <c r="AK85" s="27"/>
      <c r="AL85" s="27"/>
      <c r="AM85" s="27"/>
      <c r="AN85" s="27"/>
    </row>
    <row r="86" spans="1:40" x14ac:dyDescent="0.2">
      <c r="A86" s="2" t="s">
        <v>83</v>
      </c>
      <c r="B86" s="2">
        <f t="shared" si="22"/>
        <v>408000</v>
      </c>
      <c r="C86" s="17">
        <v>20400000</v>
      </c>
      <c r="D86" s="11">
        <f t="shared" si="23"/>
        <v>3</v>
      </c>
      <c r="E86" s="11">
        <f t="shared" si="23"/>
        <v>1</v>
      </c>
      <c r="F86" s="27">
        <v>100</v>
      </c>
      <c r="G86" s="27">
        <v>100</v>
      </c>
      <c r="H86" s="27">
        <v>3</v>
      </c>
      <c r="I86" s="27">
        <v>1</v>
      </c>
      <c r="J86" s="27"/>
      <c r="K86" s="27"/>
      <c r="L86" s="27"/>
      <c r="M86" s="27"/>
      <c r="N86" s="27"/>
      <c r="O86" s="27"/>
      <c r="P86" s="27"/>
      <c r="Q86" s="27" t="s">
        <v>273</v>
      </c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 t="s">
        <v>273</v>
      </c>
      <c r="AH86" s="27"/>
      <c r="AI86" s="27"/>
      <c r="AJ86" s="27"/>
      <c r="AK86" s="27"/>
      <c r="AL86" s="27"/>
      <c r="AM86" s="27"/>
      <c r="AN86" s="27"/>
    </row>
    <row r="87" spans="1:40" x14ac:dyDescent="0.2">
      <c r="A87" s="2" t="s">
        <v>84</v>
      </c>
      <c r="B87" s="2">
        <f t="shared" si="22"/>
        <v>7141073.155882908</v>
      </c>
      <c r="C87" s="2">
        <v>238035771.86276361</v>
      </c>
      <c r="D87" s="11">
        <f t="shared" si="23"/>
        <v>5</v>
      </c>
      <c r="E87" s="11">
        <f t="shared" si="23"/>
        <v>1</v>
      </c>
      <c r="F87" s="27">
        <v>100</v>
      </c>
      <c r="G87" s="28">
        <v>100</v>
      </c>
      <c r="H87" s="27">
        <v>5</v>
      </c>
      <c r="I87" s="27">
        <v>1</v>
      </c>
      <c r="J87" s="27"/>
      <c r="K87" s="27"/>
      <c r="L87" s="27"/>
      <c r="M87" s="27"/>
      <c r="N87" s="27"/>
      <c r="O87" s="27"/>
      <c r="P87" s="27"/>
      <c r="Q87" s="27"/>
      <c r="R87" s="27" t="s">
        <v>273</v>
      </c>
      <c r="S87" s="27"/>
      <c r="T87" s="27"/>
      <c r="U87" s="27"/>
      <c r="V87" s="27"/>
      <c r="W87" s="27"/>
      <c r="X87" s="27"/>
      <c r="Y87" s="27"/>
      <c r="Z87" s="27"/>
      <c r="AA87" s="28">
        <v>15298</v>
      </c>
      <c r="AB87" s="28">
        <v>116628</v>
      </c>
      <c r="AC87" s="27"/>
      <c r="AD87" s="27"/>
      <c r="AE87" s="29">
        <v>20</v>
      </c>
      <c r="AF87" s="27"/>
      <c r="AG87" s="27"/>
      <c r="AH87" s="27" t="s">
        <v>273</v>
      </c>
      <c r="AI87" s="27"/>
      <c r="AJ87" s="27"/>
      <c r="AK87" s="27"/>
      <c r="AL87" s="27"/>
      <c r="AM87" s="27"/>
      <c r="AN87" s="27"/>
    </row>
    <row r="88" spans="1:40" x14ac:dyDescent="0.2">
      <c r="A88" s="2" t="s">
        <v>85</v>
      </c>
      <c r="B88" s="2">
        <f t="shared" si="22"/>
        <v>46642574.144787334</v>
      </c>
      <c r="C88" s="2">
        <v>13336410533.670525</v>
      </c>
      <c r="D88" s="11">
        <f t="shared" si="23"/>
        <v>0.39865566851102779</v>
      </c>
      <c r="E88" s="11">
        <f t="shared" si="23"/>
        <v>0.30567823720315035</v>
      </c>
      <c r="F88" s="24">
        <v>5499319521</v>
      </c>
      <c r="G88" s="21">
        <v>6105503673</v>
      </c>
      <c r="H88" s="2">
        <f t="shared" si="24"/>
        <v>21923349</v>
      </c>
      <c r="I88" s="2">
        <f t="shared" si="25"/>
        <v>18663196</v>
      </c>
      <c r="K88" s="24">
        <v>1502434</v>
      </c>
      <c r="L88" s="21">
        <v>23064</v>
      </c>
      <c r="N88" s="21">
        <v>33826</v>
      </c>
      <c r="O88" s="24">
        <v>37897</v>
      </c>
      <c r="S88" s="2" t="s">
        <v>273</v>
      </c>
      <c r="T88" s="21">
        <v>16961608</v>
      </c>
      <c r="U88" s="24">
        <v>166770</v>
      </c>
      <c r="V88" s="21"/>
      <c r="W88" s="21">
        <v>3003290</v>
      </c>
      <c r="X88" s="24">
        <v>194460</v>
      </c>
      <c r="Z88" s="21">
        <v>21141</v>
      </c>
      <c r="AA88" s="24">
        <v>15956510</v>
      </c>
      <c r="AB88" s="21">
        <v>76688</v>
      </c>
      <c r="AD88" s="21">
        <v>14145</v>
      </c>
      <c r="AE88" s="24">
        <v>46780</v>
      </c>
      <c r="AI88" s="2" t="s">
        <v>273</v>
      </c>
      <c r="AJ88" s="24">
        <v>1079902</v>
      </c>
      <c r="AL88" s="21">
        <v>1192</v>
      </c>
      <c r="AM88" s="24">
        <v>1430370</v>
      </c>
      <c r="AN88" s="21">
        <v>36468</v>
      </c>
    </row>
    <row r="89" spans="1:40" x14ac:dyDescent="0.2">
      <c r="A89" s="2" t="s">
        <v>87</v>
      </c>
      <c r="B89" s="2">
        <f t="shared" si="22"/>
        <v>41433242.062189206</v>
      </c>
      <c r="C89" s="2">
        <v>852047685.69611788</v>
      </c>
      <c r="D89" s="11">
        <f t="shared" si="23"/>
        <v>1.8509296847160313</v>
      </c>
      <c r="E89" s="11">
        <f t="shared" si="23"/>
        <v>7.8904704196964879</v>
      </c>
      <c r="F89" s="24">
        <v>214627278</v>
      </c>
      <c r="G89" s="24">
        <v>213505027</v>
      </c>
      <c r="H89" s="2">
        <f t="shared" si="24"/>
        <v>3972600</v>
      </c>
      <c r="I89" s="2">
        <f t="shared" si="25"/>
        <v>16846551</v>
      </c>
      <c r="K89" s="24">
        <v>1935204</v>
      </c>
      <c r="N89" s="21">
        <v>61207</v>
      </c>
      <c r="S89" s="24">
        <v>1503896</v>
      </c>
      <c r="T89" s="2" t="s">
        <v>273</v>
      </c>
      <c r="W89" s="21">
        <v>472293</v>
      </c>
      <c r="AA89" s="21">
        <v>3738415</v>
      </c>
      <c r="AB89" s="24">
        <v>155</v>
      </c>
      <c r="AI89" s="21">
        <v>12425902</v>
      </c>
      <c r="AJ89" s="2" t="s">
        <v>273</v>
      </c>
      <c r="AM89" s="21">
        <v>681650</v>
      </c>
      <c r="AN89" s="24">
        <v>429</v>
      </c>
    </row>
    <row r="90" spans="1:40" x14ac:dyDescent="0.2">
      <c r="A90" s="2" t="s">
        <v>88</v>
      </c>
      <c r="B90" s="2">
        <f t="shared" si="22"/>
        <v>44235457.243618146</v>
      </c>
      <c r="C90" s="2">
        <v>485033054.86194044</v>
      </c>
      <c r="D90" s="11">
        <f t="shared" si="23"/>
        <v>3.3932990342449751</v>
      </c>
      <c r="E90" s="11">
        <f t="shared" si="23"/>
        <v>9.4288996719934524</v>
      </c>
      <c r="F90" s="24">
        <v>7798458</v>
      </c>
      <c r="G90" s="24">
        <v>144620894</v>
      </c>
      <c r="H90" s="2">
        <f t="shared" si="24"/>
        <v>264625</v>
      </c>
      <c r="I90" s="2">
        <f t="shared" si="25"/>
        <v>13636159</v>
      </c>
      <c r="J90" s="21">
        <v>1801</v>
      </c>
      <c r="K90" s="24">
        <v>29503</v>
      </c>
      <c r="N90" s="21">
        <v>4074</v>
      </c>
      <c r="S90" s="24">
        <v>853</v>
      </c>
      <c r="U90" s="2" t="s">
        <v>273</v>
      </c>
      <c r="X90" s="21">
        <v>228394</v>
      </c>
      <c r="AA90" s="21">
        <v>13166819</v>
      </c>
      <c r="AI90" s="24">
        <v>411863</v>
      </c>
      <c r="AK90" s="2" t="s">
        <v>273</v>
      </c>
      <c r="AM90" s="21">
        <v>109</v>
      </c>
      <c r="AN90" s="21">
        <v>57368</v>
      </c>
    </row>
    <row r="91" spans="1:40" x14ac:dyDescent="0.2">
      <c r="A91" s="2" t="s">
        <v>89</v>
      </c>
      <c r="B91" s="2">
        <f t="shared" si="22"/>
        <v>2993166.6273735813</v>
      </c>
      <c r="C91" s="2">
        <v>31507017.130248223</v>
      </c>
      <c r="D91" s="11">
        <f t="shared" si="23"/>
        <v>1</v>
      </c>
      <c r="E91" s="11">
        <f t="shared" si="23"/>
        <v>18</v>
      </c>
      <c r="F91" s="27">
        <v>100</v>
      </c>
      <c r="G91" s="27">
        <v>100</v>
      </c>
      <c r="H91" s="27">
        <v>1</v>
      </c>
      <c r="I91" s="27">
        <v>18</v>
      </c>
      <c r="J91" s="2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 t="s">
        <v>273</v>
      </c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 t="s">
        <v>273</v>
      </c>
      <c r="AM91" s="27"/>
      <c r="AN91" s="27"/>
    </row>
    <row r="92" spans="1:40" x14ac:dyDescent="0.2">
      <c r="A92" s="2" t="s">
        <v>90</v>
      </c>
      <c r="B92" s="2">
        <f t="shared" si="22"/>
        <v>73719560.34858416</v>
      </c>
      <c r="C92" s="2">
        <v>663470297.74968922</v>
      </c>
      <c r="D92" s="11">
        <f t="shared" si="23"/>
        <v>14.416576804121675</v>
      </c>
      <c r="E92" s="11">
        <f t="shared" si="23"/>
        <v>10.661628772162127</v>
      </c>
      <c r="F92" s="24">
        <v>37745611</v>
      </c>
      <c r="G92" s="21">
        <v>277511435</v>
      </c>
      <c r="H92" s="2">
        <f t="shared" si="24"/>
        <v>5441625</v>
      </c>
      <c r="I92" s="2">
        <f t="shared" si="25"/>
        <v>29587239</v>
      </c>
      <c r="J92" s="21">
        <v>32589</v>
      </c>
      <c r="K92" s="24">
        <v>1853899</v>
      </c>
      <c r="N92" s="21">
        <v>55759</v>
      </c>
      <c r="S92" s="24">
        <v>2424328</v>
      </c>
      <c r="T92" s="24">
        <v>993190</v>
      </c>
      <c r="U92" s="21">
        <v>77501</v>
      </c>
      <c r="W92" s="2" t="s">
        <v>273</v>
      </c>
      <c r="X92" s="21">
        <v>4359</v>
      </c>
      <c r="Z92" s="21">
        <v>24526</v>
      </c>
      <c r="AA92" s="24">
        <v>25234698</v>
      </c>
      <c r="AD92" s="21">
        <v>42</v>
      </c>
      <c r="AI92" s="24">
        <v>3624689</v>
      </c>
      <c r="AJ92" s="24">
        <v>553888</v>
      </c>
      <c r="AK92" s="21">
        <v>103665</v>
      </c>
      <c r="AM92" s="2" t="s">
        <v>273</v>
      </c>
      <c r="AN92" s="21">
        <v>45731</v>
      </c>
    </row>
    <row r="93" spans="1:40" x14ac:dyDescent="0.2">
      <c r="A93" s="2" t="s">
        <v>129</v>
      </c>
      <c r="B93" s="2">
        <f t="shared" si="22"/>
        <v>57426180.443581857</v>
      </c>
      <c r="C93" s="2">
        <v>968619332.89888191</v>
      </c>
      <c r="D93" s="11">
        <f t="shared" si="23"/>
        <v>0.64590234783712297</v>
      </c>
      <c r="E93" s="11">
        <f t="shared" si="23"/>
        <v>6.9821994737989055</v>
      </c>
      <c r="F93" s="24">
        <v>45976145</v>
      </c>
      <c r="G93" s="21">
        <v>230538859</v>
      </c>
      <c r="H93" s="2">
        <f t="shared" si="24"/>
        <v>296961</v>
      </c>
      <c r="I93" s="2">
        <f t="shared" si="25"/>
        <v>16096683</v>
      </c>
      <c r="J93" s="21">
        <v>3636</v>
      </c>
      <c r="K93" s="24">
        <v>129790</v>
      </c>
      <c r="L93" s="24">
        <v>82116</v>
      </c>
      <c r="N93" s="21">
        <v>2861</v>
      </c>
      <c r="S93" s="21">
        <v>25614</v>
      </c>
      <c r="T93" s="24">
        <v>9</v>
      </c>
      <c r="U93" s="21">
        <v>41275</v>
      </c>
      <c r="V93" s="24">
        <v>74</v>
      </c>
      <c r="W93" s="21">
        <v>11586</v>
      </c>
      <c r="X93" s="2" t="s">
        <v>274</v>
      </c>
      <c r="AA93" s="21">
        <v>15622081</v>
      </c>
      <c r="AB93" s="24">
        <v>1185</v>
      </c>
      <c r="AI93" s="21">
        <v>131562</v>
      </c>
      <c r="AK93" s="24">
        <v>341855</v>
      </c>
      <c r="AN93" s="2" t="s">
        <v>273</v>
      </c>
    </row>
    <row r="94" spans="1:40" x14ac:dyDescent="0.2">
      <c r="A94" s="12" t="s">
        <v>130</v>
      </c>
      <c r="B94" s="2">
        <f>SUM(B79:B93)/C94*100</f>
        <v>2.7152145630977795</v>
      </c>
      <c r="C94" s="7">
        <f>SUM(C79:C93)</f>
        <v>24219873642.018654</v>
      </c>
    </row>
    <row r="95" spans="1:40" x14ac:dyDescent="0.2">
      <c r="A95" s="12" t="s">
        <v>131</v>
      </c>
      <c r="B95" s="12"/>
    </row>
    <row r="96" spans="1:40" x14ac:dyDescent="0.2">
      <c r="A96" s="12" t="s">
        <v>132</v>
      </c>
      <c r="B96" s="12"/>
    </row>
    <row r="97" spans="1:32" x14ac:dyDescent="0.2">
      <c r="A97" s="12" t="s">
        <v>133</v>
      </c>
      <c r="B97" s="12"/>
    </row>
    <row r="98" spans="1:32" x14ac:dyDescent="0.2">
      <c r="A98" s="12"/>
      <c r="B98" s="12"/>
    </row>
    <row r="99" spans="1:32" x14ac:dyDescent="0.2">
      <c r="J99" s="1" t="s">
        <v>252</v>
      </c>
      <c r="O99" s="1" t="s">
        <v>275</v>
      </c>
    </row>
    <row r="100" spans="1:32" ht="17" x14ac:dyDescent="0.25">
      <c r="A100" s="1" t="s">
        <v>134</v>
      </c>
      <c r="B100" s="1" t="s">
        <v>112</v>
      </c>
      <c r="C100" s="1" t="s">
        <v>113</v>
      </c>
      <c r="D100" s="1" t="s">
        <v>121</v>
      </c>
      <c r="E100" s="1" t="s">
        <v>122</v>
      </c>
      <c r="F100" s="1" t="s">
        <v>254</v>
      </c>
      <c r="G100" s="1" t="s">
        <v>255</v>
      </c>
      <c r="H100" s="1" t="s">
        <v>256</v>
      </c>
      <c r="I100" s="1" t="s">
        <v>257</v>
      </c>
      <c r="J100" s="1" t="s">
        <v>322</v>
      </c>
      <c r="K100" s="1" t="s">
        <v>323</v>
      </c>
      <c r="L100" s="1" t="s">
        <v>324</v>
      </c>
      <c r="M100" s="1" t="s">
        <v>325</v>
      </c>
      <c r="O100" s="1" t="s">
        <v>322</v>
      </c>
      <c r="P100" s="1" t="s">
        <v>323</v>
      </c>
      <c r="Q100" s="1" t="s">
        <v>324</v>
      </c>
      <c r="R100" s="1" t="s">
        <v>325</v>
      </c>
    </row>
    <row r="101" spans="1:32" x14ac:dyDescent="0.2">
      <c r="A101" s="2" t="s">
        <v>60</v>
      </c>
      <c r="B101" s="2">
        <f>((H101+I101)/(F101+G101))*C101</f>
        <v>1432768205.9764287</v>
      </c>
      <c r="C101" s="2">
        <v>28295673249.105373</v>
      </c>
      <c r="D101" s="11">
        <f t="shared" ref="D101:E104" si="26">H101/F101*100</f>
        <v>2.7500656203722489</v>
      </c>
      <c r="E101" s="11">
        <f t="shared" si="26"/>
        <v>6.046825886535597</v>
      </c>
      <c r="F101" s="26">
        <v>1082167741</v>
      </c>
      <c r="G101" s="26">
        <v>2546194911</v>
      </c>
      <c r="H101" s="2">
        <f>SUM(J101:M101)</f>
        <v>29760323</v>
      </c>
      <c r="I101" s="2">
        <f>SUM(O101:R101)</f>
        <v>153963973</v>
      </c>
      <c r="J101" s="2" t="s">
        <v>273</v>
      </c>
      <c r="K101" s="22">
        <v>7158300</v>
      </c>
      <c r="L101" s="26">
        <v>22551445</v>
      </c>
      <c r="M101" s="22">
        <v>50578</v>
      </c>
      <c r="O101" s="2" t="s">
        <v>273</v>
      </c>
      <c r="P101" s="22">
        <v>20907818</v>
      </c>
      <c r="Q101" s="26">
        <v>133029412</v>
      </c>
      <c r="R101" s="22">
        <v>26743</v>
      </c>
    </row>
    <row r="102" spans="1:32" x14ac:dyDescent="0.2">
      <c r="A102" s="2" t="s">
        <v>58</v>
      </c>
      <c r="B102" s="2">
        <f>((H102+I102)/(F102+G102))*C102</f>
        <v>43528664.833948597</v>
      </c>
      <c r="C102" s="2">
        <v>1670126997.8780344</v>
      </c>
      <c r="D102" s="11">
        <f>H102/F102*100</f>
        <v>0.25164938250669761</v>
      </c>
      <c r="E102" s="11">
        <f>I102/G102*100</f>
        <v>3.4397958662951194</v>
      </c>
      <c r="F102" s="26">
        <v>417797568</v>
      </c>
      <c r="G102" s="22">
        <v>1180307192</v>
      </c>
      <c r="H102" s="2">
        <f>SUM(J102:M102)</f>
        <v>1051385</v>
      </c>
      <c r="I102" s="2">
        <f>SUM(O102:R102)</f>
        <v>40600158</v>
      </c>
      <c r="J102" s="26">
        <v>16197</v>
      </c>
      <c r="K102" s="17" t="s">
        <v>273</v>
      </c>
      <c r="L102" s="22">
        <v>1032746</v>
      </c>
      <c r="M102" s="22">
        <v>2442</v>
      </c>
      <c r="O102" s="26">
        <v>1306609</v>
      </c>
      <c r="P102" s="17" t="s">
        <v>273</v>
      </c>
      <c r="Q102" s="22">
        <v>39251002</v>
      </c>
      <c r="R102" s="26">
        <v>42547</v>
      </c>
    </row>
    <row r="103" spans="1:32" x14ac:dyDescent="0.2">
      <c r="A103" s="2" t="s">
        <v>61</v>
      </c>
      <c r="B103" s="2">
        <f>((H103+I103)/(F103+G103))*C103</f>
        <v>480136010.49209982</v>
      </c>
      <c r="C103" s="2">
        <v>18481668539.784889</v>
      </c>
      <c r="D103" s="11">
        <f t="shared" si="26"/>
        <v>6.6667847367923958</v>
      </c>
      <c r="E103" s="11">
        <f t="shared" si="26"/>
        <v>0.88847225493193982</v>
      </c>
      <c r="F103" s="26">
        <v>1849522324</v>
      </c>
      <c r="G103" s="26">
        <v>4402331731</v>
      </c>
      <c r="H103" s="2">
        <f>SUM(J103:M103)</f>
        <v>123303672</v>
      </c>
      <c r="I103" s="2">
        <f>SUM(O103:R103)</f>
        <v>39113496</v>
      </c>
      <c r="J103" s="26">
        <v>101050645</v>
      </c>
      <c r="K103" s="22">
        <v>20283923</v>
      </c>
      <c r="L103" s="2" t="s">
        <v>273</v>
      </c>
      <c r="M103" s="22">
        <v>1969104</v>
      </c>
      <c r="O103" s="26">
        <v>18466534</v>
      </c>
      <c r="P103" s="22">
        <v>13909602</v>
      </c>
      <c r="Q103" s="2" t="s">
        <v>273</v>
      </c>
      <c r="R103" s="22">
        <v>6737360</v>
      </c>
    </row>
    <row r="104" spans="1:32" x14ac:dyDescent="0.2">
      <c r="A104" s="2" t="s">
        <v>62</v>
      </c>
      <c r="B104" s="2">
        <f>((H104+I104)/(F104+G104))*C104</f>
        <v>156125577.87268126</v>
      </c>
      <c r="C104" s="2">
        <v>17248072759.077568</v>
      </c>
      <c r="D104" s="11">
        <f t="shared" si="26"/>
        <v>0.18826535834099012</v>
      </c>
      <c r="E104" s="11">
        <f t="shared" si="26"/>
        <v>1.2970876313630337</v>
      </c>
      <c r="F104" s="22">
        <v>3199231156</v>
      </c>
      <c r="G104" s="22">
        <v>5852266737</v>
      </c>
      <c r="H104" s="2">
        <f>SUM(J104:M104)</f>
        <v>6023044</v>
      </c>
      <c r="I104" s="2">
        <f>SUM(O104:R104)</f>
        <v>75909028</v>
      </c>
      <c r="J104" s="26">
        <v>12383</v>
      </c>
      <c r="K104" s="26">
        <v>173496</v>
      </c>
      <c r="L104" s="22">
        <v>5837165</v>
      </c>
      <c r="M104" s="2" t="s">
        <v>273</v>
      </c>
      <c r="O104" s="26">
        <v>1152</v>
      </c>
      <c r="P104" s="26">
        <v>1140739</v>
      </c>
      <c r="Q104" s="22">
        <v>74767137</v>
      </c>
      <c r="R104" s="2" t="s">
        <v>273</v>
      </c>
    </row>
    <row r="105" spans="1:32" x14ac:dyDescent="0.2">
      <c r="B105" s="2">
        <f>SUM(B101:B104)/C105*100</f>
        <v>3.2156801047159371</v>
      </c>
      <c r="C105" s="7">
        <f>SUM(C101:C104)</f>
        <v>65695541545.845863</v>
      </c>
    </row>
    <row r="107" spans="1:32" x14ac:dyDescent="0.2">
      <c r="J107" s="1" t="s">
        <v>252</v>
      </c>
      <c r="V107" s="1" t="s">
        <v>252</v>
      </c>
    </row>
    <row r="108" spans="1:32" ht="17" x14ac:dyDescent="0.25">
      <c r="A108" s="1" t="s">
        <v>135</v>
      </c>
      <c r="B108" s="1" t="s">
        <v>112</v>
      </c>
      <c r="C108" s="1" t="s">
        <v>113</v>
      </c>
      <c r="D108" s="1" t="s">
        <v>121</v>
      </c>
      <c r="E108" s="1" t="s">
        <v>122</v>
      </c>
      <c r="F108" s="1" t="s">
        <v>254</v>
      </c>
      <c r="G108" s="1" t="s">
        <v>255</v>
      </c>
      <c r="H108" s="1" t="s">
        <v>256</v>
      </c>
      <c r="I108" s="1" t="s">
        <v>257</v>
      </c>
      <c r="J108" s="1" t="s">
        <v>326</v>
      </c>
      <c r="K108" s="1" t="s">
        <v>327</v>
      </c>
      <c r="L108" s="1" t="s">
        <v>328</v>
      </c>
      <c r="M108" s="1" t="s">
        <v>329</v>
      </c>
      <c r="N108" s="1" t="s">
        <v>322</v>
      </c>
      <c r="O108" s="1" t="s">
        <v>298</v>
      </c>
      <c r="P108" s="1" t="s">
        <v>324</v>
      </c>
      <c r="Q108" s="1" t="s">
        <v>323</v>
      </c>
      <c r="R108" s="1" t="s">
        <v>330</v>
      </c>
      <c r="S108" s="1" t="s">
        <v>331</v>
      </c>
      <c r="T108" s="1" t="s">
        <v>325</v>
      </c>
      <c r="V108" s="1" t="s">
        <v>326</v>
      </c>
      <c r="W108" s="1" t="s">
        <v>327</v>
      </c>
      <c r="X108" s="1" t="s">
        <v>328</v>
      </c>
      <c r="Y108" s="1" t="s">
        <v>329</v>
      </c>
      <c r="Z108" s="1" t="s">
        <v>322</v>
      </c>
      <c r="AA108" s="1" t="s">
        <v>298</v>
      </c>
      <c r="AB108" s="1" t="s">
        <v>324</v>
      </c>
      <c r="AC108" s="1" t="s">
        <v>323</v>
      </c>
      <c r="AD108" s="1" t="s">
        <v>330</v>
      </c>
      <c r="AE108" s="1" t="s">
        <v>331</v>
      </c>
      <c r="AF108" s="1" t="s">
        <v>325</v>
      </c>
    </row>
    <row r="109" spans="1:32" x14ac:dyDescent="0.2">
      <c r="A109" s="2" t="s">
        <v>64</v>
      </c>
      <c r="B109" s="2">
        <f>((H109+I109)/(F109+G109))*C109</f>
        <v>34023331.116873376</v>
      </c>
      <c r="C109" s="2">
        <v>922669570.51044226</v>
      </c>
      <c r="D109" s="11">
        <f>H109/F109*100</f>
        <v>6.0723736768287262</v>
      </c>
      <c r="E109" s="11">
        <f>I109/G109*100</f>
        <v>3.5134426593289145</v>
      </c>
      <c r="F109" s="2">
        <v>10542286</v>
      </c>
      <c r="G109" s="2">
        <v>144457317</v>
      </c>
      <c r="H109" s="2">
        <f>SUM(J109:T109)</f>
        <v>640167</v>
      </c>
      <c r="I109" s="2">
        <f>SUM(V109:AF109)</f>
        <v>5075425</v>
      </c>
      <c r="J109" s="2" t="s">
        <v>273</v>
      </c>
      <c r="K109" s="17">
        <v>217572</v>
      </c>
      <c r="L109" s="17">
        <v>11111</v>
      </c>
      <c r="M109" s="17">
        <v>11111</v>
      </c>
      <c r="N109" s="21">
        <v>305063</v>
      </c>
      <c r="O109" s="17">
        <v>11111</v>
      </c>
      <c r="P109" s="24">
        <v>39755</v>
      </c>
      <c r="Q109" s="17">
        <v>11111</v>
      </c>
      <c r="R109" s="17">
        <v>11111</v>
      </c>
      <c r="S109" s="17">
        <v>11111</v>
      </c>
      <c r="T109" s="17">
        <v>11111</v>
      </c>
      <c r="V109" s="2" t="s">
        <v>273</v>
      </c>
      <c r="W109" s="17">
        <v>46786</v>
      </c>
      <c r="X109" s="24">
        <v>71</v>
      </c>
      <c r="Y109" s="17">
        <v>218613</v>
      </c>
      <c r="Z109" s="21">
        <v>1577810</v>
      </c>
      <c r="AA109" s="17">
        <v>11111</v>
      </c>
      <c r="AB109" s="24">
        <v>3115901</v>
      </c>
      <c r="AC109" s="24">
        <v>71800</v>
      </c>
      <c r="AD109" s="17">
        <v>11111</v>
      </c>
      <c r="AE109" s="17">
        <v>11111</v>
      </c>
      <c r="AF109" s="17">
        <v>11111</v>
      </c>
    </row>
    <row r="110" spans="1:32" x14ac:dyDescent="0.2">
      <c r="A110" s="2" t="s">
        <v>65</v>
      </c>
      <c r="B110" s="2">
        <f t="shared" ref="B110:B119" si="27">((H110+I110)/(F110+G110))*C110</f>
        <v>334480372.75291479</v>
      </c>
      <c r="C110" s="2">
        <v>2097512651.1216919</v>
      </c>
      <c r="D110" s="11">
        <f t="shared" ref="D110:E119" si="28">H110/F110*100</f>
        <v>35.368716847365008</v>
      </c>
      <c r="E110" s="11">
        <f t="shared" si="28"/>
        <v>5.0387800334893544</v>
      </c>
      <c r="F110" s="2">
        <v>363708835</v>
      </c>
      <c r="G110" s="2">
        <v>647615351</v>
      </c>
      <c r="H110" s="2">
        <f t="shared" ref="H110:H119" si="29">SUM(J110:T110)</f>
        <v>128639148</v>
      </c>
      <c r="I110" s="2">
        <f t="shared" ref="I110:I119" si="30">SUM(V110:AF110)</f>
        <v>32631913</v>
      </c>
      <c r="J110" s="17">
        <v>11111</v>
      </c>
      <c r="K110" s="2" t="s">
        <v>273</v>
      </c>
      <c r="L110" s="17">
        <v>11111</v>
      </c>
      <c r="M110" s="21">
        <v>128555010</v>
      </c>
      <c r="N110" s="24">
        <v>60</v>
      </c>
      <c r="O110" s="24">
        <v>2766</v>
      </c>
      <c r="P110" s="17">
        <v>11111</v>
      </c>
      <c r="Q110" s="17">
        <v>11111</v>
      </c>
      <c r="R110" s="17">
        <v>11111</v>
      </c>
      <c r="S110" s="21">
        <v>14646</v>
      </c>
      <c r="T110" s="17">
        <v>11111</v>
      </c>
      <c r="V110" s="17">
        <v>11111</v>
      </c>
      <c r="W110" s="2" t="s">
        <v>273</v>
      </c>
      <c r="X110" s="17">
        <v>11111</v>
      </c>
      <c r="Y110" s="24">
        <v>32474367</v>
      </c>
      <c r="Z110" s="24">
        <v>68658</v>
      </c>
      <c r="AA110" s="17">
        <v>11111</v>
      </c>
      <c r="AB110" s="17">
        <v>11111</v>
      </c>
      <c r="AC110" s="17">
        <v>11111</v>
      </c>
      <c r="AD110" s="17">
        <v>11111</v>
      </c>
      <c r="AE110" s="17">
        <v>11111</v>
      </c>
      <c r="AF110" s="17">
        <v>11111</v>
      </c>
    </row>
    <row r="111" spans="1:32" x14ac:dyDescent="0.2">
      <c r="A111" s="2" t="s">
        <v>66</v>
      </c>
      <c r="B111" s="2">
        <f t="shared" si="27"/>
        <v>176713900.63865814</v>
      </c>
      <c r="C111" s="2">
        <v>5890463354.6219378</v>
      </c>
      <c r="D111" s="11">
        <f>H111/F111*100</f>
        <v>2</v>
      </c>
      <c r="E111" s="11">
        <f t="shared" si="28"/>
        <v>4</v>
      </c>
      <c r="F111" s="17">
        <v>100</v>
      </c>
      <c r="G111" s="17">
        <v>100</v>
      </c>
      <c r="H111" s="17">
        <v>2</v>
      </c>
      <c r="I111" s="17">
        <v>4</v>
      </c>
      <c r="J111" s="17"/>
      <c r="K111" s="17"/>
      <c r="L111" s="17" t="s">
        <v>273</v>
      </c>
      <c r="M111" s="17"/>
      <c r="N111" s="19"/>
      <c r="O111" s="17"/>
      <c r="P111" s="17"/>
      <c r="Q111" s="17"/>
      <c r="R111" s="17"/>
      <c r="S111" s="19"/>
      <c r="T111" s="17"/>
      <c r="V111" s="17"/>
      <c r="W111" s="17"/>
      <c r="X111" s="17" t="s">
        <v>273</v>
      </c>
      <c r="Y111" s="17"/>
      <c r="Z111" s="19"/>
      <c r="AA111" s="17"/>
      <c r="AB111" s="17"/>
      <c r="AC111" s="17"/>
      <c r="AD111" s="17"/>
      <c r="AE111" s="19"/>
      <c r="AF111" s="17"/>
    </row>
    <row r="112" spans="1:32" x14ac:dyDescent="0.2">
      <c r="A112" s="2" t="s">
        <v>67</v>
      </c>
      <c r="B112" s="2">
        <f t="shared" si="27"/>
        <v>450454206.02449125</v>
      </c>
      <c r="C112" s="2">
        <v>80993822423.190765</v>
      </c>
      <c r="D112" s="11">
        <f t="shared" si="28"/>
        <v>3.2596311368741819</v>
      </c>
      <c r="E112" s="11">
        <f t="shared" si="28"/>
        <v>7.5340737706380773E-3</v>
      </c>
      <c r="F112" s="2">
        <v>1618165976</v>
      </c>
      <c r="G112" s="2">
        <v>7973879979</v>
      </c>
      <c r="H112" s="2">
        <f t="shared" si="29"/>
        <v>52746242</v>
      </c>
      <c r="I112" s="2">
        <f t="shared" si="30"/>
        <v>600758</v>
      </c>
      <c r="J112" s="17">
        <v>822122</v>
      </c>
      <c r="K112" s="21">
        <v>51575945</v>
      </c>
      <c r="L112" s="17">
        <v>11111</v>
      </c>
      <c r="M112" s="2" t="s">
        <v>273</v>
      </c>
      <c r="N112" s="21">
        <v>42894</v>
      </c>
      <c r="O112" s="21">
        <v>6782</v>
      </c>
      <c r="P112" s="21">
        <v>90045</v>
      </c>
      <c r="Q112" s="17">
        <v>4279</v>
      </c>
      <c r="R112" s="17">
        <v>11111</v>
      </c>
      <c r="S112" s="24">
        <v>107898</v>
      </c>
      <c r="T112" s="21">
        <v>74055</v>
      </c>
      <c r="V112" s="17">
        <v>3124</v>
      </c>
      <c r="W112" s="24">
        <v>77656</v>
      </c>
      <c r="X112" s="17">
        <v>11111</v>
      </c>
      <c r="Y112" s="2" t="s">
        <v>273</v>
      </c>
      <c r="Z112" s="21">
        <v>12632</v>
      </c>
      <c r="AA112" s="24">
        <v>1089</v>
      </c>
      <c r="AB112" s="21">
        <v>211180</v>
      </c>
      <c r="AC112" s="21">
        <v>1053</v>
      </c>
      <c r="AD112" s="17">
        <v>11111</v>
      </c>
      <c r="AE112" s="24">
        <v>125982</v>
      </c>
      <c r="AF112" s="21">
        <v>145820</v>
      </c>
    </row>
    <row r="113" spans="1:32" x14ac:dyDescent="0.2">
      <c r="A113" s="2" t="s">
        <v>60</v>
      </c>
      <c r="B113" s="2">
        <f t="shared" si="27"/>
        <v>1294057354.1416938</v>
      </c>
      <c r="C113" s="2">
        <v>28295673249.105373</v>
      </c>
      <c r="D113" s="11">
        <f t="shared" si="28"/>
        <v>2.5504224836006215</v>
      </c>
      <c r="E113" s="11">
        <f t="shared" si="28"/>
        <v>5.2750428051095044</v>
      </c>
      <c r="F113" s="21">
        <v>1095897922</v>
      </c>
      <c r="G113" s="24">
        <v>3159330780</v>
      </c>
      <c r="H113" s="2">
        <f t="shared" si="29"/>
        <v>27950027</v>
      </c>
      <c r="I113" s="2">
        <f t="shared" si="30"/>
        <v>166656051</v>
      </c>
      <c r="J113" s="24">
        <v>3805472</v>
      </c>
      <c r="K113" s="24">
        <v>13202</v>
      </c>
      <c r="L113" s="17">
        <v>105434</v>
      </c>
      <c r="M113" s="24">
        <v>22690</v>
      </c>
      <c r="N113" s="2" t="s">
        <v>273</v>
      </c>
      <c r="O113" s="24">
        <v>35050</v>
      </c>
      <c r="P113" s="24">
        <v>19232495</v>
      </c>
      <c r="Q113" s="24">
        <v>4130510</v>
      </c>
      <c r="R113" s="17">
        <v>11111</v>
      </c>
      <c r="S113" s="21">
        <v>498045</v>
      </c>
      <c r="T113" s="24">
        <v>96018</v>
      </c>
      <c r="V113" s="24">
        <v>534034</v>
      </c>
      <c r="W113" s="21">
        <v>450040</v>
      </c>
      <c r="X113" s="21">
        <v>47298</v>
      </c>
      <c r="Y113" s="24">
        <v>342198</v>
      </c>
      <c r="Z113" s="2" t="s">
        <v>273</v>
      </c>
      <c r="AA113" s="17">
        <v>282844</v>
      </c>
      <c r="AB113" s="21">
        <v>146526302</v>
      </c>
      <c r="AC113" s="24">
        <v>17725758</v>
      </c>
      <c r="AD113" s="17">
        <v>11111</v>
      </c>
      <c r="AE113" s="21">
        <v>696215</v>
      </c>
      <c r="AF113" s="24">
        <v>40251</v>
      </c>
    </row>
    <row r="114" spans="1:32" x14ac:dyDescent="0.2">
      <c r="A114" s="2" t="s">
        <v>68</v>
      </c>
      <c r="B114" s="2">
        <f t="shared" si="27"/>
        <v>789200693.5538491</v>
      </c>
      <c r="C114" s="2">
        <v>14189510516.615805</v>
      </c>
      <c r="D114" s="11">
        <f t="shared" si="28"/>
        <v>5.0303561362044755</v>
      </c>
      <c r="E114" s="11">
        <f t="shared" si="28"/>
        <v>5.8741668515627152</v>
      </c>
      <c r="F114" s="2">
        <v>1187916827</v>
      </c>
      <c r="G114" s="2">
        <v>2021672009</v>
      </c>
      <c r="H114" s="2">
        <f t="shared" si="29"/>
        <v>59756447</v>
      </c>
      <c r="I114" s="2">
        <f t="shared" si="30"/>
        <v>118756387</v>
      </c>
      <c r="J114" s="17">
        <v>11111</v>
      </c>
      <c r="K114" s="17">
        <v>379261</v>
      </c>
      <c r="L114" s="17">
        <v>254081</v>
      </c>
      <c r="M114" s="21">
        <v>66966</v>
      </c>
      <c r="N114" s="24">
        <v>11</v>
      </c>
      <c r="O114" s="21" t="s">
        <v>274</v>
      </c>
      <c r="P114" s="21">
        <v>133487</v>
      </c>
      <c r="Q114" s="21">
        <v>122752</v>
      </c>
      <c r="R114" s="17">
        <v>11111</v>
      </c>
      <c r="S114" s="24">
        <v>23025130</v>
      </c>
      <c r="T114" s="21">
        <v>35752537</v>
      </c>
      <c r="V114" s="17">
        <v>11111</v>
      </c>
      <c r="W114" s="24">
        <v>3002</v>
      </c>
      <c r="X114" s="17">
        <v>4984</v>
      </c>
      <c r="Y114" s="21">
        <v>17525</v>
      </c>
      <c r="Z114" s="24">
        <v>11167</v>
      </c>
      <c r="AA114" s="2" t="s">
        <v>273</v>
      </c>
      <c r="AB114" s="21">
        <v>6445343</v>
      </c>
      <c r="AC114" s="17">
        <v>1390289</v>
      </c>
      <c r="AD114" s="17">
        <v>11111</v>
      </c>
      <c r="AE114" s="24">
        <v>72680201</v>
      </c>
      <c r="AF114" s="21">
        <v>38181654</v>
      </c>
    </row>
    <row r="115" spans="1:32" x14ac:dyDescent="0.2">
      <c r="A115" s="2" t="s">
        <v>61</v>
      </c>
      <c r="B115" s="2">
        <f t="shared" si="27"/>
        <v>613178755.79802155</v>
      </c>
      <c r="C115" s="2">
        <v>18481668539.784889</v>
      </c>
      <c r="D115" s="11">
        <f t="shared" si="28"/>
        <v>8.383070955220445</v>
      </c>
      <c r="E115" s="11">
        <f t="shared" si="28"/>
        <v>0.91668397627355425</v>
      </c>
      <c r="F115" s="21">
        <v>1765792104</v>
      </c>
      <c r="G115" s="24">
        <v>3725099040</v>
      </c>
      <c r="H115" s="2">
        <f t="shared" si="29"/>
        <v>148027605</v>
      </c>
      <c r="I115" s="2">
        <f t="shared" si="30"/>
        <v>34147386</v>
      </c>
      <c r="J115" s="21">
        <v>3249253</v>
      </c>
      <c r="K115" s="21">
        <v>29468</v>
      </c>
      <c r="L115" s="24">
        <v>9851</v>
      </c>
      <c r="M115" s="24">
        <v>663065</v>
      </c>
      <c r="N115" s="24">
        <v>112773670</v>
      </c>
      <c r="O115" s="21">
        <v>102510</v>
      </c>
      <c r="P115" s="2" t="s">
        <v>273</v>
      </c>
      <c r="Q115" s="24">
        <v>28948666</v>
      </c>
      <c r="R115" s="17">
        <v>11111</v>
      </c>
      <c r="S115" s="21">
        <v>616134</v>
      </c>
      <c r="T115" s="24">
        <v>1623877</v>
      </c>
      <c r="V115" s="21">
        <v>6707</v>
      </c>
      <c r="W115" s="21">
        <v>188453</v>
      </c>
      <c r="X115" s="17">
        <v>532</v>
      </c>
      <c r="Y115" s="24">
        <v>330468</v>
      </c>
      <c r="Z115" s="21">
        <v>17088994</v>
      </c>
      <c r="AA115" s="21">
        <v>494991</v>
      </c>
      <c r="AB115" s="2" t="s">
        <v>273</v>
      </c>
      <c r="AC115" s="21">
        <v>4532370</v>
      </c>
      <c r="AD115" s="17">
        <v>11111</v>
      </c>
      <c r="AE115" s="21">
        <v>7416867</v>
      </c>
      <c r="AF115" s="24">
        <v>4076893</v>
      </c>
    </row>
    <row r="116" spans="1:32" x14ac:dyDescent="0.2">
      <c r="A116" s="2" t="s">
        <v>58</v>
      </c>
      <c r="B116" s="2">
        <f t="shared" si="27"/>
        <v>43751529.612103365</v>
      </c>
      <c r="C116" s="2">
        <v>1670126997.8780344</v>
      </c>
      <c r="D116" s="11">
        <f t="shared" si="28"/>
        <v>0.28189584866133066</v>
      </c>
      <c r="E116" s="11">
        <f t="shared" si="28"/>
        <v>3.4471570855259177</v>
      </c>
      <c r="F116" s="21">
        <v>417797568</v>
      </c>
      <c r="G116" s="24">
        <v>1180307192</v>
      </c>
      <c r="H116" s="2">
        <f t="shared" si="29"/>
        <v>1177754</v>
      </c>
      <c r="I116" s="2">
        <f t="shared" si="30"/>
        <v>40687043</v>
      </c>
      <c r="J116" s="17">
        <v>33062</v>
      </c>
      <c r="K116" s="17">
        <v>59974</v>
      </c>
      <c r="L116" s="17">
        <v>11111</v>
      </c>
      <c r="M116" s="17">
        <v>11111</v>
      </c>
      <c r="N116" s="21">
        <v>16197</v>
      </c>
      <c r="P116" s="21">
        <v>1032746</v>
      </c>
      <c r="Q116" s="2" t="s">
        <v>273</v>
      </c>
      <c r="R116" s="17">
        <v>11111</v>
      </c>
      <c r="S116" s="17"/>
      <c r="T116" s="24">
        <v>2442</v>
      </c>
      <c r="V116" s="17">
        <v>338</v>
      </c>
      <c r="W116" s="17">
        <v>2789</v>
      </c>
      <c r="X116" s="17">
        <v>689</v>
      </c>
      <c r="Y116" s="17">
        <v>3804</v>
      </c>
      <c r="Z116" s="24">
        <v>1306609</v>
      </c>
      <c r="AA116" s="17">
        <v>67914</v>
      </c>
      <c r="AB116" s="24">
        <v>39251002</v>
      </c>
      <c r="AC116" s="2" t="s">
        <v>273</v>
      </c>
      <c r="AD116" s="17"/>
      <c r="AE116" s="17">
        <v>11351</v>
      </c>
      <c r="AF116" s="21">
        <v>42547</v>
      </c>
    </row>
    <row r="117" spans="1:32" x14ac:dyDescent="0.2">
      <c r="A117" s="2" t="s">
        <v>69</v>
      </c>
      <c r="B117" s="2">
        <f t="shared" si="27"/>
        <v>4199439610.6032047</v>
      </c>
      <c r="C117" s="2">
        <v>139981320353.44016</v>
      </c>
      <c r="D117" s="11">
        <f t="shared" si="28"/>
        <v>2</v>
      </c>
      <c r="E117" s="11">
        <f t="shared" si="28"/>
        <v>4</v>
      </c>
      <c r="F117" s="23">
        <v>100</v>
      </c>
      <c r="G117" s="23">
        <v>100</v>
      </c>
      <c r="H117" s="17">
        <v>2</v>
      </c>
      <c r="I117" s="17">
        <v>4</v>
      </c>
      <c r="J117" s="17"/>
      <c r="K117" s="17"/>
      <c r="L117" s="17"/>
      <c r="M117" s="17"/>
      <c r="N117" s="17"/>
      <c r="O117" s="17"/>
      <c r="P117" s="17"/>
      <c r="Q117" s="17"/>
      <c r="R117" s="17" t="s">
        <v>273</v>
      </c>
      <c r="S117" s="17"/>
      <c r="T117" s="17"/>
      <c r="V117" s="17"/>
      <c r="W117" s="17"/>
      <c r="X117" s="17"/>
      <c r="Y117" s="17"/>
      <c r="Z117" s="17"/>
      <c r="AA117" s="17"/>
      <c r="AB117" s="24">
        <v>11715960</v>
      </c>
      <c r="AC117" s="17"/>
      <c r="AD117" s="2" t="s">
        <v>273</v>
      </c>
      <c r="AE117" s="17"/>
      <c r="AF117" s="17"/>
    </row>
    <row r="118" spans="1:32" x14ac:dyDescent="0.2">
      <c r="A118" s="2" t="s">
        <v>70</v>
      </c>
      <c r="B118" s="2">
        <f t="shared" si="27"/>
        <v>1487073042.2980418</v>
      </c>
      <c r="C118" s="2">
        <v>39857780124.731804</v>
      </c>
      <c r="D118" s="11">
        <f t="shared" si="28"/>
        <v>4.3793160835113181</v>
      </c>
      <c r="E118" s="11">
        <f t="shared" si="28"/>
        <v>2.9937842483407695</v>
      </c>
      <c r="F118" s="2">
        <v>4312054540</v>
      </c>
      <c r="G118" s="2">
        <v>3792642675</v>
      </c>
      <c r="H118" s="2">
        <f t="shared" si="29"/>
        <v>188838498</v>
      </c>
      <c r="I118" s="2">
        <f t="shared" si="30"/>
        <v>113543539</v>
      </c>
      <c r="J118" s="17">
        <v>11111</v>
      </c>
      <c r="K118" s="17">
        <v>11111</v>
      </c>
      <c r="L118" s="21">
        <v>7441</v>
      </c>
      <c r="M118" s="21">
        <v>10215</v>
      </c>
      <c r="N118" s="24">
        <v>2736495</v>
      </c>
      <c r="O118" s="24">
        <v>73176917</v>
      </c>
      <c r="P118" s="24">
        <v>28568037</v>
      </c>
      <c r="Q118" s="21">
        <v>340</v>
      </c>
      <c r="R118" s="17">
        <v>11111</v>
      </c>
      <c r="S118" s="2" t="s">
        <v>273</v>
      </c>
      <c r="T118" s="21">
        <v>84305720</v>
      </c>
      <c r="V118" s="17">
        <v>11111</v>
      </c>
      <c r="W118" s="24">
        <v>21395</v>
      </c>
      <c r="X118" s="24">
        <v>1185</v>
      </c>
      <c r="Y118" s="21">
        <v>40178</v>
      </c>
      <c r="Z118" s="24">
        <v>1258</v>
      </c>
      <c r="AA118" s="24">
        <v>12227657</v>
      </c>
      <c r="AB118" s="21">
        <v>43540982</v>
      </c>
      <c r="AC118" s="24">
        <v>751967</v>
      </c>
      <c r="AD118" s="17">
        <v>11111</v>
      </c>
      <c r="AE118" s="2" t="s">
        <v>273</v>
      </c>
      <c r="AF118" s="21">
        <v>56936695</v>
      </c>
    </row>
    <row r="119" spans="1:32" x14ac:dyDescent="0.2">
      <c r="A119" s="2" t="s">
        <v>62</v>
      </c>
      <c r="B119" s="2">
        <f t="shared" si="27"/>
        <v>641404532.54094958</v>
      </c>
      <c r="C119" s="2">
        <v>17248072759.077568</v>
      </c>
      <c r="D119" s="11">
        <f t="shared" si="28"/>
        <v>5.0593108804496749</v>
      </c>
      <c r="E119" s="11">
        <f t="shared" si="28"/>
        <v>2.8562436354123282</v>
      </c>
      <c r="F119" s="21">
        <v>2268897696</v>
      </c>
      <c r="G119" s="24">
        <v>3526779920</v>
      </c>
      <c r="H119" s="2">
        <f t="shared" si="29"/>
        <v>114790588</v>
      </c>
      <c r="I119" s="2">
        <f t="shared" si="30"/>
        <v>100733427</v>
      </c>
      <c r="J119" s="24">
        <v>5</v>
      </c>
      <c r="K119" s="17">
        <v>11111</v>
      </c>
      <c r="L119" s="24">
        <v>15205</v>
      </c>
      <c r="M119" s="24">
        <v>197856</v>
      </c>
      <c r="N119" s="21">
        <v>40160</v>
      </c>
      <c r="O119" s="21">
        <v>29923516</v>
      </c>
      <c r="P119" s="21">
        <v>1824471</v>
      </c>
      <c r="Q119" s="24">
        <v>108157</v>
      </c>
      <c r="R119" s="17">
        <v>11111</v>
      </c>
      <c r="S119" s="24">
        <v>82658996</v>
      </c>
      <c r="T119" s="2" t="s">
        <v>273</v>
      </c>
      <c r="V119" s="17">
        <v>11111</v>
      </c>
      <c r="W119" s="21">
        <v>695</v>
      </c>
      <c r="X119" s="21">
        <v>3661</v>
      </c>
      <c r="Y119" s="24">
        <v>81503</v>
      </c>
      <c r="Z119" s="21">
        <v>261704</v>
      </c>
      <c r="AA119" s="21">
        <v>6666251</v>
      </c>
      <c r="AB119" s="21">
        <v>1824471</v>
      </c>
      <c r="AC119" s="21">
        <v>537063</v>
      </c>
      <c r="AD119" s="17">
        <v>11111</v>
      </c>
      <c r="AE119" s="24">
        <v>91335857</v>
      </c>
      <c r="AF119" s="2" t="s">
        <v>273</v>
      </c>
    </row>
    <row r="120" spans="1:32" x14ac:dyDescent="0.2">
      <c r="A120" s="16"/>
      <c r="B120" s="2">
        <f>SUM(B109:B119)/C120*100</f>
        <v>2.878419196213136</v>
      </c>
      <c r="C120" s="7">
        <f>SUM(C109:C119)</f>
        <v>349628620540.07843</v>
      </c>
    </row>
    <row r="121" spans="1:32" x14ac:dyDescent="0.2">
      <c r="A121" s="16"/>
      <c r="B121" s="16"/>
    </row>
    <row r="122" spans="1:32" x14ac:dyDescent="0.2">
      <c r="A122" s="18"/>
      <c r="B122" s="18"/>
    </row>
    <row r="123" spans="1:32" x14ac:dyDescent="0.2">
      <c r="J123" s="1" t="s">
        <v>252</v>
      </c>
      <c r="R123" s="1"/>
      <c r="S123" s="1" t="s">
        <v>275</v>
      </c>
    </row>
    <row r="124" spans="1:32" ht="17" x14ac:dyDescent="0.25">
      <c r="A124" s="1" t="s">
        <v>136</v>
      </c>
      <c r="B124" s="1" t="s">
        <v>112</v>
      </c>
      <c r="C124" s="1" t="s">
        <v>113</v>
      </c>
      <c r="D124" s="1" t="s">
        <v>121</v>
      </c>
      <c r="E124" s="1" t="s">
        <v>122</v>
      </c>
      <c r="F124" s="1" t="s">
        <v>254</v>
      </c>
      <c r="G124" s="1" t="s">
        <v>255</v>
      </c>
      <c r="H124" s="1" t="s">
        <v>256</v>
      </c>
      <c r="I124" s="1" t="s">
        <v>257</v>
      </c>
      <c r="J124" s="1" t="s">
        <v>332</v>
      </c>
      <c r="K124" s="1" t="s">
        <v>107</v>
      </c>
      <c r="L124" s="1" t="s">
        <v>333</v>
      </c>
      <c r="M124" s="1" t="s">
        <v>334</v>
      </c>
      <c r="N124" s="1" t="s">
        <v>335</v>
      </c>
      <c r="O124" s="1" t="s">
        <v>336</v>
      </c>
      <c r="P124" s="1" t="s">
        <v>337</v>
      </c>
      <c r="Q124" s="1" t="s">
        <v>338</v>
      </c>
      <c r="R124" s="1"/>
      <c r="S124" s="1" t="s">
        <v>332</v>
      </c>
      <c r="T124" s="1" t="s">
        <v>107</v>
      </c>
      <c r="U124" s="1" t="s">
        <v>333</v>
      </c>
      <c r="V124" s="1" t="s">
        <v>334</v>
      </c>
      <c r="W124" s="1" t="s">
        <v>335</v>
      </c>
      <c r="X124" s="1" t="s">
        <v>336</v>
      </c>
      <c r="Y124" s="1" t="s">
        <v>337</v>
      </c>
      <c r="Z124" s="1" t="s">
        <v>338</v>
      </c>
    </row>
    <row r="125" spans="1:32" x14ac:dyDescent="0.2">
      <c r="A125" s="2" t="s">
        <v>106</v>
      </c>
      <c r="B125" s="2">
        <f>((H125+I125)/(F125+G125))*C125</f>
        <v>1658205756.4854827</v>
      </c>
      <c r="C125" s="2">
        <v>19508303017.476265</v>
      </c>
      <c r="D125" s="11">
        <f>H125/F125*100</f>
        <v>1</v>
      </c>
      <c r="E125" s="11">
        <f t="shared" ref="D125:E132" si="31">I125/G125*100</f>
        <v>16</v>
      </c>
      <c r="F125" s="17">
        <v>100</v>
      </c>
      <c r="G125" s="17">
        <v>100</v>
      </c>
      <c r="H125" s="17">
        <v>1</v>
      </c>
      <c r="I125" s="17">
        <v>16</v>
      </c>
      <c r="J125" s="17" t="s">
        <v>273</v>
      </c>
      <c r="K125" s="17"/>
      <c r="L125" s="17"/>
      <c r="M125" s="17"/>
      <c r="N125" s="17"/>
      <c r="O125" s="17"/>
      <c r="P125" s="17"/>
      <c r="Q125" s="17"/>
      <c r="S125" s="17" t="s">
        <v>273</v>
      </c>
      <c r="T125" s="17"/>
      <c r="U125" s="17"/>
      <c r="V125" s="17"/>
      <c r="W125" s="17"/>
      <c r="X125" s="17"/>
      <c r="Y125" s="17"/>
      <c r="Z125" s="17"/>
    </row>
    <row r="126" spans="1:32" x14ac:dyDescent="0.2">
      <c r="A126" s="2" t="s">
        <v>137</v>
      </c>
      <c r="B126" s="2">
        <f t="shared" ref="B126:B132" si="32">((H126+I126)/(F126+G126))*C126</f>
        <v>372414386.73859429</v>
      </c>
      <c r="C126" s="2">
        <v>3710661655.2454042</v>
      </c>
      <c r="D126" s="11">
        <f t="shared" si="31"/>
        <v>2.7356305645009851</v>
      </c>
      <c r="E126" s="11">
        <f t="shared" si="31"/>
        <v>12.813382564820824</v>
      </c>
      <c r="F126" s="30">
        <v>80531817</v>
      </c>
      <c r="G126" s="21">
        <v>211713557</v>
      </c>
      <c r="H126" s="2">
        <f>SUM(J126:Q126)</f>
        <v>2203053</v>
      </c>
      <c r="I126" s="2">
        <f>SUM(S126:Z126)</f>
        <v>27127668</v>
      </c>
      <c r="J126" s="21">
        <v>788864</v>
      </c>
      <c r="K126" s="2" t="s">
        <v>273</v>
      </c>
      <c r="L126" s="24">
        <v>138543</v>
      </c>
      <c r="M126" s="17">
        <v>53592</v>
      </c>
      <c r="N126" s="24">
        <v>1139360</v>
      </c>
      <c r="O126" s="17">
        <v>21998</v>
      </c>
      <c r="P126" s="17">
        <v>1111</v>
      </c>
      <c r="Q126" s="17">
        <v>59585</v>
      </c>
      <c r="S126" s="21">
        <v>180055</v>
      </c>
      <c r="T126" s="2" t="s">
        <v>273</v>
      </c>
      <c r="U126" s="24">
        <v>1895055</v>
      </c>
      <c r="V126" s="21">
        <v>5532741</v>
      </c>
      <c r="W126" s="24">
        <v>18606459</v>
      </c>
      <c r="X126" s="17">
        <v>2106</v>
      </c>
      <c r="Y126" s="17">
        <v>1111</v>
      </c>
      <c r="Z126" s="17">
        <v>910141</v>
      </c>
    </row>
    <row r="127" spans="1:32" x14ac:dyDescent="0.2">
      <c r="A127" s="2" t="s">
        <v>138</v>
      </c>
      <c r="B127" s="2">
        <f t="shared" si="32"/>
        <v>444304474.45573914</v>
      </c>
      <c r="C127" s="2">
        <v>35544357956.459129</v>
      </c>
      <c r="D127" s="11">
        <f t="shared" si="31"/>
        <v>1</v>
      </c>
      <c r="E127" s="11">
        <f t="shared" si="31"/>
        <v>1.5</v>
      </c>
      <c r="F127" s="17">
        <v>100</v>
      </c>
      <c r="G127" s="17">
        <v>100</v>
      </c>
      <c r="H127" s="17">
        <v>1</v>
      </c>
      <c r="I127" s="17">
        <v>1.5</v>
      </c>
      <c r="J127" s="19"/>
      <c r="K127" s="19"/>
      <c r="L127" s="17" t="s">
        <v>273</v>
      </c>
      <c r="M127" s="17"/>
      <c r="N127" s="19"/>
      <c r="O127" s="17"/>
      <c r="P127" s="17"/>
      <c r="Q127" s="17"/>
      <c r="S127" s="17"/>
      <c r="T127" s="17"/>
      <c r="U127" s="17" t="s">
        <v>273</v>
      </c>
      <c r="V127" s="17"/>
      <c r="W127" s="17"/>
      <c r="X127" s="17"/>
      <c r="Y127" s="17"/>
      <c r="Z127" s="17"/>
    </row>
    <row r="128" spans="1:32" x14ac:dyDescent="0.2">
      <c r="A128" s="2" t="s">
        <v>108</v>
      </c>
      <c r="B128" s="2">
        <f t="shared" si="32"/>
        <v>595022055.65242314</v>
      </c>
      <c r="C128" s="2">
        <v>22765426236.1614</v>
      </c>
      <c r="D128" s="11">
        <f t="shared" si="31"/>
        <v>2.3621651436441451</v>
      </c>
      <c r="E128" s="11">
        <f t="shared" si="31"/>
        <v>3.1524293658507467</v>
      </c>
      <c r="F128" s="30">
        <v>5355977813</v>
      </c>
      <c r="G128" s="30">
        <v>2500862251</v>
      </c>
      <c r="H128" s="2">
        <f>SUM(J128:Q128)</f>
        <v>126517041</v>
      </c>
      <c r="I128" s="2">
        <f>SUM(S128:Z128)</f>
        <v>78837916</v>
      </c>
      <c r="J128" s="30">
        <v>2527263</v>
      </c>
      <c r="K128" s="30">
        <v>4037352</v>
      </c>
      <c r="L128" s="30">
        <v>2335967</v>
      </c>
      <c r="M128" s="2" t="s">
        <v>273</v>
      </c>
      <c r="N128" s="30">
        <v>16965551</v>
      </c>
      <c r="O128" s="30">
        <v>15699150</v>
      </c>
      <c r="P128" s="30">
        <v>2511302</v>
      </c>
      <c r="Q128" s="30">
        <v>82440456</v>
      </c>
      <c r="S128" s="30">
        <v>43094</v>
      </c>
      <c r="T128" s="30">
        <v>249</v>
      </c>
      <c r="U128" s="30">
        <v>28373</v>
      </c>
      <c r="V128" s="2" t="s">
        <v>273</v>
      </c>
      <c r="W128" s="30">
        <v>52132598</v>
      </c>
      <c r="X128" s="30">
        <v>7110013</v>
      </c>
      <c r="Y128" s="30">
        <v>16108</v>
      </c>
      <c r="Z128" s="30">
        <v>19507481</v>
      </c>
    </row>
    <row r="129" spans="1:42" x14ac:dyDescent="0.2">
      <c r="A129" s="2" t="s">
        <v>109</v>
      </c>
      <c r="B129" s="2">
        <f t="shared" si="32"/>
        <v>2230632432.5707459</v>
      </c>
      <c r="C129" s="2">
        <v>49696600512.515869</v>
      </c>
      <c r="D129" s="11">
        <f t="shared" si="31"/>
        <v>11.702241094707619</v>
      </c>
      <c r="E129" s="11">
        <f t="shared" si="31"/>
        <v>1.1898821644314248</v>
      </c>
      <c r="F129" s="30">
        <v>1732408223</v>
      </c>
      <c r="G129" s="30">
        <v>3788598514</v>
      </c>
      <c r="H129" s="2">
        <f>SUM(J129:Q129)</f>
        <v>202730587</v>
      </c>
      <c r="I129" s="2">
        <f>SUM(S129:Z129)</f>
        <v>45079858</v>
      </c>
      <c r="J129" s="30">
        <v>52420605</v>
      </c>
      <c r="K129" s="30">
        <v>20033434</v>
      </c>
      <c r="L129" s="30">
        <v>4869284</v>
      </c>
      <c r="M129" s="30">
        <v>62611434</v>
      </c>
      <c r="N129" s="2" t="s">
        <v>273</v>
      </c>
      <c r="O129" s="30">
        <v>33760852</v>
      </c>
      <c r="P129" s="30">
        <v>7306</v>
      </c>
      <c r="Q129" s="30">
        <v>29027672</v>
      </c>
      <c r="R129" s="30"/>
      <c r="S129" s="30">
        <v>11089</v>
      </c>
      <c r="T129" s="30">
        <v>19650</v>
      </c>
      <c r="U129" s="30">
        <v>758953</v>
      </c>
      <c r="V129" s="30">
        <v>16892121</v>
      </c>
      <c r="W129" s="2" t="s">
        <v>273</v>
      </c>
      <c r="X129" s="30">
        <v>7803765</v>
      </c>
      <c r="Y129" s="30">
        <v>14764</v>
      </c>
      <c r="Z129" s="30">
        <v>19579516</v>
      </c>
    </row>
    <row r="130" spans="1:42" x14ac:dyDescent="0.2">
      <c r="A130" s="2" t="s">
        <v>110</v>
      </c>
      <c r="B130" s="2">
        <f t="shared" si="32"/>
        <v>681770852.64421427</v>
      </c>
      <c r="C130" s="2">
        <v>34088542632.210712</v>
      </c>
      <c r="D130" s="11">
        <f t="shared" si="31"/>
        <v>2</v>
      </c>
      <c r="E130" s="11">
        <f t="shared" si="31"/>
        <v>2</v>
      </c>
      <c r="F130" s="17">
        <v>100</v>
      </c>
      <c r="G130" s="17">
        <v>100</v>
      </c>
      <c r="H130" s="17">
        <v>2</v>
      </c>
      <c r="I130" s="17">
        <v>2</v>
      </c>
      <c r="J130" s="17"/>
      <c r="K130" s="17"/>
      <c r="L130" s="17"/>
      <c r="M130" s="17"/>
      <c r="N130" s="17"/>
      <c r="O130" s="17" t="s">
        <v>273</v>
      </c>
      <c r="P130" s="17"/>
      <c r="Q130" s="17"/>
      <c r="S130" s="17"/>
      <c r="T130" s="17"/>
      <c r="U130" s="17"/>
      <c r="V130" s="17"/>
      <c r="W130" s="17"/>
      <c r="X130" s="17" t="s">
        <v>273</v>
      </c>
      <c r="Y130" s="17"/>
      <c r="Z130" s="17"/>
    </row>
    <row r="131" spans="1:42" x14ac:dyDescent="0.2">
      <c r="A131" s="2" t="s">
        <v>139</v>
      </c>
      <c r="B131" s="2">
        <f t="shared" si="32"/>
        <v>8378512.9303727048</v>
      </c>
      <c r="C131" s="2">
        <v>418925646.51863521</v>
      </c>
      <c r="D131" s="11">
        <f t="shared" si="31"/>
        <v>2</v>
      </c>
      <c r="E131" s="11">
        <f t="shared" si="31"/>
        <v>2</v>
      </c>
      <c r="F131" s="19">
        <v>100</v>
      </c>
      <c r="G131" s="19">
        <v>100</v>
      </c>
      <c r="H131" s="17">
        <v>2</v>
      </c>
      <c r="I131" s="17">
        <v>2</v>
      </c>
      <c r="J131" s="17"/>
      <c r="K131" s="17"/>
      <c r="L131" s="17"/>
      <c r="M131" s="21">
        <v>25224</v>
      </c>
      <c r="N131" s="24">
        <v>41233</v>
      </c>
      <c r="P131" s="2" t="s">
        <v>273</v>
      </c>
      <c r="Q131" s="17"/>
      <c r="S131" s="17"/>
      <c r="T131" s="17"/>
      <c r="U131" s="17"/>
      <c r="V131" s="21">
        <v>3107033</v>
      </c>
      <c r="W131" s="21">
        <v>160100</v>
      </c>
      <c r="X131" s="24">
        <v>11766</v>
      </c>
      <c r="Y131" s="2" t="s">
        <v>273</v>
      </c>
      <c r="Z131" s="17"/>
    </row>
    <row r="132" spans="1:42" x14ac:dyDescent="0.2">
      <c r="A132" s="2" t="s">
        <v>140</v>
      </c>
      <c r="B132" s="2">
        <f t="shared" si="32"/>
        <v>1645892496.1369441</v>
      </c>
      <c r="C132" s="2">
        <v>20249558527.720245</v>
      </c>
      <c r="D132" s="11">
        <f t="shared" si="31"/>
        <v>5.6909438932799965</v>
      </c>
      <c r="E132" s="11">
        <f t="shared" si="31"/>
        <v>12.622626736481795</v>
      </c>
      <c r="F132" s="30">
        <v>8201529531</v>
      </c>
      <c r="G132" s="30">
        <v>4447112560</v>
      </c>
      <c r="H132" s="2">
        <f>SUM(J132:Q132)</f>
        <v>466744444</v>
      </c>
      <c r="I132" s="2">
        <f>SUM(S132:Z132)</f>
        <v>561342419</v>
      </c>
      <c r="J132" s="30">
        <v>8912634</v>
      </c>
      <c r="K132" s="30">
        <v>751311</v>
      </c>
      <c r="L132" s="30">
        <v>10822078</v>
      </c>
      <c r="M132" s="30">
        <v>345175160</v>
      </c>
      <c r="N132" s="30">
        <v>40015025</v>
      </c>
      <c r="O132" s="30">
        <v>39033668</v>
      </c>
      <c r="P132" s="30">
        <v>22034568</v>
      </c>
      <c r="Q132" s="2" t="s">
        <v>273</v>
      </c>
      <c r="S132" s="30">
        <v>292534</v>
      </c>
      <c r="T132" s="30">
        <v>51878</v>
      </c>
      <c r="U132" s="30">
        <v>14083730</v>
      </c>
      <c r="V132" s="30">
        <v>209563606</v>
      </c>
      <c r="W132" s="30">
        <v>55286549</v>
      </c>
      <c r="X132" s="30">
        <v>281871286</v>
      </c>
      <c r="Y132" s="17">
        <v>192836</v>
      </c>
      <c r="Z132" s="2" t="s">
        <v>273</v>
      </c>
    </row>
    <row r="133" spans="1:42" x14ac:dyDescent="0.2">
      <c r="B133" s="2">
        <f>SUM(B125:B131)/C133*100</f>
        <v>3.221126966106072</v>
      </c>
      <c r="C133" s="7">
        <f>SUM(C125:C132)</f>
        <v>185982376184.30768</v>
      </c>
    </row>
    <row r="134" spans="1:42" x14ac:dyDescent="0.2">
      <c r="J134" s="1" t="s">
        <v>252</v>
      </c>
      <c r="O134" s="1"/>
      <c r="P134" s="1" t="s">
        <v>275</v>
      </c>
    </row>
    <row r="135" spans="1:42" ht="17" x14ac:dyDescent="0.25">
      <c r="A135" s="1" t="s">
        <v>141</v>
      </c>
      <c r="B135" s="1" t="s">
        <v>112</v>
      </c>
      <c r="C135" s="1" t="s">
        <v>113</v>
      </c>
      <c r="D135" s="1" t="s">
        <v>121</v>
      </c>
      <c r="E135" s="1" t="s">
        <v>122</v>
      </c>
      <c r="F135" s="1" t="s">
        <v>254</v>
      </c>
      <c r="G135" s="1" t="s">
        <v>255</v>
      </c>
      <c r="H135" s="1" t="s">
        <v>256</v>
      </c>
      <c r="I135" s="1" t="s">
        <v>257</v>
      </c>
      <c r="J135" s="1" t="s">
        <v>339</v>
      </c>
      <c r="K135" s="1" t="s">
        <v>340</v>
      </c>
      <c r="L135" s="1" t="s">
        <v>341</v>
      </c>
      <c r="M135" s="1" t="s">
        <v>342</v>
      </c>
      <c r="N135" s="1" t="s">
        <v>343</v>
      </c>
      <c r="O135" s="1"/>
      <c r="P135" s="1" t="s">
        <v>339</v>
      </c>
      <c r="Q135" s="1" t="s">
        <v>340</v>
      </c>
      <c r="R135" s="1" t="s">
        <v>341</v>
      </c>
      <c r="S135" s="1" t="s">
        <v>342</v>
      </c>
      <c r="T135" s="1" t="s">
        <v>343</v>
      </c>
    </row>
    <row r="136" spans="1:42" x14ac:dyDescent="0.2">
      <c r="A136" s="2" t="s">
        <v>72</v>
      </c>
      <c r="B136" s="2">
        <f>((H136+I136)/(F136+G136))*C136</f>
        <v>1669557725.7420866</v>
      </c>
      <c r="C136" s="2">
        <v>8187305239.414607</v>
      </c>
      <c r="D136" s="11">
        <f t="shared" ref="D136:E140" si="33">H136/F136*100</f>
        <v>20.518096280677693</v>
      </c>
      <c r="E136" s="11">
        <f t="shared" si="33"/>
        <v>20.366440153075281</v>
      </c>
      <c r="F136" s="30">
        <v>113790703</v>
      </c>
      <c r="G136" s="30">
        <v>560585346</v>
      </c>
      <c r="H136" s="2">
        <f>SUM(J136:N136)</f>
        <v>23347686</v>
      </c>
      <c r="I136" s="2">
        <f>SUM(P136:T136)</f>
        <v>114171279</v>
      </c>
      <c r="J136" s="17" t="s">
        <v>273</v>
      </c>
      <c r="K136" s="17">
        <v>13431730</v>
      </c>
      <c r="L136" s="17">
        <v>4626515</v>
      </c>
      <c r="M136" s="17">
        <v>3096600</v>
      </c>
      <c r="N136" s="17">
        <v>2192841</v>
      </c>
      <c r="O136" s="17"/>
      <c r="P136" s="17" t="s">
        <v>273</v>
      </c>
      <c r="Q136" s="17">
        <v>36216952</v>
      </c>
      <c r="R136" s="17">
        <v>6404947</v>
      </c>
      <c r="S136" s="17">
        <v>27522497</v>
      </c>
      <c r="T136" s="17">
        <v>44026883</v>
      </c>
    </row>
    <row r="137" spans="1:42" x14ac:dyDescent="0.2">
      <c r="A137" s="2" t="s">
        <v>73</v>
      </c>
      <c r="B137" s="2">
        <f>((H137+I137)/(F137+G137))*C137</f>
        <v>11296874847.166977</v>
      </c>
      <c r="C137" s="2">
        <v>152941817636.90009</v>
      </c>
      <c r="D137" s="11">
        <f t="shared" si="33"/>
        <v>23.215061373995322</v>
      </c>
      <c r="E137" s="11">
        <f t="shared" si="33"/>
        <v>2.0405222463956596</v>
      </c>
      <c r="F137" s="30">
        <v>5536952633</v>
      </c>
      <c r="G137" s="30">
        <v>16394469337</v>
      </c>
      <c r="H137" s="2">
        <f>SUM(J137:N137)</f>
        <v>1285406952</v>
      </c>
      <c r="I137" s="2">
        <f>SUM(P137:T137)</f>
        <v>334532794</v>
      </c>
      <c r="J137" s="17">
        <v>60459030</v>
      </c>
      <c r="K137" s="17" t="s">
        <v>273</v>
      </c>
      <c r="L137" s="17">
        <v>142021739</v>
      </c>
      <c r="M137" s="17">
        <v>658740553</v>
      </c>
      <c r="N137" s="17">
        <v>424185630</v>
      </c>
      <c r="O137" s="19"/>
      <c r="P137" s="17">
        <v>610500</v>
      </c>
      <c r="Q137" s="17" t="s">
        <v>273</v>
      </c>
      <c r="R137" s="17">
        <v>11678299</v>
      </c>
      <c r="S137" s="17">
        <v>186779855</v>
      </c>
      <c r="T137" s="17">
        <v>135464140</v>
      </c>
    </row>
    <row r="138" spans="1:42" x14ac:dyDescent="0.2">
      <c r="A138" s="2" t="s">
        <v>74</v>
      </c>
      <c r="B138" s="2">
        <f>((H138+I138)/(F138+G138))*C138</f>
        <v>5655667835.0324812</v>
      </c>
      <c r="C138" s="2">
        <v>22802984391.357815</v>
      </c>
      <c r="D138" s="11">
        <f t="shared" si="33"/>
        <v>25.079072702465833</v>
      </c>
      <c r="E138" s="11">
        <f t="shared" si="33"/>
        <v>24.705571964956214</v>
      </c>
      <c r="F138" s="21">
        <v>621605794</v>
      </c>
      <c r="G138" s="30">
        <v>1778279113</v>
      </c>
      <c r="H138" s="2">
        <f>SUM(J138:N138)</f>
        <v>155892969</v>
      </c>
      <c r="I138" s="2">
        <f>SUM(P138:T138)</f>
        <v>439334026</v>
      </c>
      <c r="J138" s="30">
        <v>35923250</v>
      </c>
      <c r="K138" s="30">
        <v>99459187</v>
      </c>
      <c r="L138" s="2" t="s">
        <v>273</v>
      </c>
      <c r="M138" s="30">
        <v>14641935</v>
      </c>
      <c r="N138" s="30">
        <v>5868597</v>
      </c>
      <c r="O138" s="21"/>
      <c r="P138" s="30">
        <v>5173943</v>
      </c>
      <c r="Q138" s="30">
        <v>139354400</v>
      </c>
      <c r="R138" s="2" t="s">
        <v>273</v>
      </c>
      <c r="S138" s="30">
        <v>199798312</v>
      </c>
      <c r="T138" s="30">
        <v>95007371</v>
      </c>
    </row>
    <row r="139" spans="1:42" x14ac:dyDescent="0.2">
      <c r="A139" s="2" t="s">
        <v>75</v>
      </c>
      <c r="B139" s="2">
        <f>((H139+I139)/(F139+G139))*C139</f>
        <v>13022528114.380526</v>
      </c>
      <c r="C139" s="2">
        <v>76702400285.911484</v>
      </c>
      <c r="D139" s="11">
        <f t="shared" si="33"/>
        <v>28.656411060003073</v>
      </c>
      <c r="E139" s="11">
        <f t="shared" si="33"/>
        <v>10.975355147471911</v>
      </c>
      <c r="F139" s="30">
        <v>2482313415</v>
      </c>
      <c r="G139" s="30">
        <v>4829459128</v>
      </c>
      <c r="H139" s="2">
        <f>SUM(J139:N139)</f>
        <v>711341936</v>
      </c>
      <c r="I139" s="2">
        <f>SUM(P139:T139)</f>
        <v>530050291</v>
      </c>
      <c r="J139" s="30">
        <v>45113573</v>
      </c>
      <c r="K139" s="30">
        <v>404101071</v>
      </c>
      <c r="L139" s="30">
        <v>193259766</v>
      </c>
      <c r="M139" s="2" t="s">
        <v>273</v>
      </c>
      <c r="N139" s="30">
        <v>68867526</v>
      </c>
      <c r="O139" s="21"/>
      <c r="P139" s="30">
        <v>1289190</v>
      </c>
      <c r="Q139" s="30">
        <v>458993775</v>
      </c>
      <c r="R139" s="30">
        <v>10081933</v>
      </c>
      <c r="S139" s="2" t="s">
        <v>273</v>
      </c>
      <c r="T139" s="30">
        <v>59685393</v>
      </c>
    </row>
    <row r="140" spans="1:42" x14ac:dyDescent="0.2">
      <c r="A140" s="2" t="s">
        <v>76</v>
      </c>
      <c r="B140" s="2">
        <f>((H140+I140)/(F140+G140))*C140</f>
        <v>8710876625.3202839</v>
      </c>
      <c r="C140" s="2">
        <v>150336018558.71158</v>
      </c>
      <c r="D140" s="11">
        <f t="shared" si="33"/>
        <v>9.0843430860190875</v>
      </c>
      <c r="E140" s="11">
        <f t="shared" si="33"/>
        <v>3.8134305166696794</v>
      </c>
      <c r="F140" s="30">
        <v>4741924583</v>
      </c>
      <c r="G140" s="30">
        <v>7876086602</v>
      </c>
      <c r="H140" s="2">
        <f>SUM(J140:N140)</f>
        <v>430772698</v>
      </c>
      <c r="I140" s="2">
        <f>SUM(P140:T140)</f>
        <v>300349090</v>
      </c>
      <c r="J140" s="30">
        <v>52132434</v>
      </c>
      <c r="K140" s="30">
        <v>313885916</v>
      </c>
      <c r="L140" s="30">
        <v>6519124</v>
      </c>
      <c r="M140" s="30">
        <v>58235224</v>
      </c>
      <c r="N140" s="2" t="s">
        <v>273</v>
      </c>
      <c r="P140" s="30">
        <v>774451</v>
      </c>
      <c r="Q140" s="30">
        <v>267744424</v>
      </c>
      <c r="R140" s="30">
        <v>1122686</v>
      </c>
      <c r="S140" s="30">
        <v>30707529</v>
      </c>
      <c r="T140" s="2" t="s">
        <v>273</v>
      </c>
    </row>
    <row r="141" spans="1:42" x14ac:dyDescent="0.2">
      <c r="B141" s="2">
        <f>SUM(B136:B140)/C141*100</f>
        <v>9.819561886687568</v>
      </c>
      <c r="C141" s="7">
        <f>SUM(C136:C140)</f>
        <v>410970526112.29553</v>
      </c>
    </row>
    <row r="143" spans="1:42" x14ac:dyDescent="0.2">
      <c r="J143" s="1" t="s">
        <v>252</v>
      </c>
      <c r="AA143" s="1" t="s">
        <v>275</v>
      </c>
    </row>
    <row r="144" spans="1:42" ht="17" x14ac:dyDescent="0.25">
      <c r="A144" s="1" t="s">
        <v>142</v>
      </c>
      <c r="B144" s="1" t="s">
        <v>112</v>
      </c>
      <c r="C144" s="1" t="s">
        <v>113</v>
      </c>
      <c r="D144" s="1" t="s">
        <v>121</v>
      </c>
      <c r="E144" s="1" t="s">
        <v>122</v>
      </c>
      <c r="F144" s="1" t="s">
        <v>254</v>
      </c>
      <c r="G144" s="1" t="s">
        <v>255</v>
      </c>
      <c r="H144" s="1" t="s">
        <v>256</v>
      </c>
      <c r="I144" s="1" t="s">
        <v>257</v>
      </c>
      <c r="J144" s="1" t="s">
        <v>344</v>
      </c>
      <c r="K144" s="1" t="s">
        <v>345</v>
      </c>
      <c r="L144" s="1" t="s">
        <v>346</v>
      </c>
      <c r="M144" s="1" t="s">
        <v>347</v>
      </c>
      <c r="N144" s="1" t="s">
        <v>348</v>
      </c>
      <c r="O144" s="1" t="s">
        <v>349</v>
      </c>
      <c r="P144" s="1" t="s">
        <v>350</v>
      </c>
      <c r="Q144" s="1" t="s">
        <v>351</v>
      </c>
      <c r="R144" s="1" t="s">
        <v>352</v>
      </c>
      <c r="S144" s="1" t="s">
        <v>298</v>
      </c>
      <c r="T144" s="1" t="s">
        <v>353</v>
      </c>
      <c r="U144" s="1" t="s">
        <v>354</v>
      </c>
      <c r="V144" s="1" t="s">
        <v>355</v>
      </c>
      <c r="W144" s="1" t="s">
        <v>356</v>
      </c>
      <c r="X144" s="1" t="s">
        <v>357</v>
      </c>
      <c r="Y144" s="1" t="s">
        <v>358</v>
      </c>
      <c r="AA144" s="1" t="s">
        <v>344</v>
      </c>
      <c r="AB144" s="1" t="s">
        <v>345</v>
      </c>
      <c r="AC144" s="1" t="s">
        <v>346</v>
      </c>
      <c r="AD144" s="1" t="s">
        <v>347</v>
      </c>
      <c r="AE144" s="1" t="s">
        <v>348</v>
      </c>
      <c r="AF144" s="1" t="s">
        <v>349</v>
      </c>
      <c r="AG144" s="1" t="s">
        <v>350</v>
      </c>
      <c r="AH144" s="1" t="s">
        <v>351</v>
      </c>
      <c r="AI144" s="1" t="s">
        <v>352</v>
      </c>
      <c r="AJ144" s="1" t="s">
        <v>298</v>
      </c>
      <c r="AK144" s="1" t="s">
        <v>353</v>
      </c>
      <c r="AL144" s="1" t="s">
        <v>354</v>
      </c>
      <c r="AM144" s="1" t="s">
        <v>355</v>
      </c>
      <c r="AN144" s="1" t="s">
        <v>356</v>
      </c>
      <c r="AO144" s="1" t="s">
        <v>357</v>
      </c>
      <c r="AP144" s="1" t="s">
        <v>358</v>
      </c>
    </row>
    <row r="145" spans="1:43" x14ac:dyDescent="0.2">
      <c r="A145" s="2" t="s">
        <v>92</v>
      </c>
      <c r="B145" s="2">
        <f>((D145+E145)/2)*(C145/C$161)</f>
        <v>0.28672453511898699</v>
      </c>
      <c r="C145" s="2">
        <v>15383136311.805462</v>
      </c>
      <c r="D145" s="11">
        <f>H145/F145*100</f>
        <v>22.494472864586459</v>
      </c>
      <c r="E145" s="11">
        <f>I145/G145*100</f>
        <v>12.438135384905504</v>
      </c>
      <c r="F145" s="30">
        <v>409752038</v>
      </c>
      <c r="G145" s="30">
        <v>2630157599</v>
      </c>
      <c r="H145" s="2">
        <f>SUM(J145:Y145)</f>
        <v>92171561</v>
      </c>
      <c r="I145" s="2">
        <f>SUM(AA145:AP145)</f>
        <v>327142563</v>
      </c>
      <c r="J145" s="2" t="s">
        <v>273</v>
      </c>
      <c r="K145" s="24">
        <v>4561590</v>
      </c>
      <c r="L145" s="17">
        <v>30197</v>
      </c>
      <c r="M145" s="21">
        <v>12086088</v>
      </c>
      <c r="N145" s="24">
        <v>38721</v>
      </c>
      <c r="O145" s="21">
        <v>4851499</v>
      </c>
      <c r="P145" s="24">
        <v>1954407</v>
      </c>
      <c r="Q145" s="17">
        <v>5135</v>
      </c>
      <c r="R145" s="21">
        <v>47799</v>
      </c>
      <c r="S145" s="24">
        <v>587694</v>
      </c>
      <c r="T145" s="21">
        <v>409121</v>
      </c>
      <c r="U145" s="24">
        <v>24686673</v>
      </c>
      <c r="V145" s="21">
        <v>27090635</v>
      </c>
      <c r="W145" s="24">
        <v>619705</v>
      </c>
      <c r="X145" s="21">
        <v>259202</v>
      </c>
      <c r="Y145" s="24">
        <v>14943095</v>
      </c>
      <c r="AA145" s="2" t="s">
        <v>273</v>
      </c>
      <c r="AB145" s="24">
        <v>1052350</v>
      </c>
      <c r="AC145" s="21">
        <v>4546</v>
      </c>
      <c r="AD145" s="24">
        <v>24870313</v>
      </c>
      <c r="AE145" s="21">
        <v>17816</v>
      </c>
      <c r="AF145" s="24">
        <v>19768826</v>
      </c>
      <c r="AG145" s="21">
        <v>1495859</v>
      </c>
      <c r="AH145" s="24">
        <v>568853</v>
      </c>
      <c r="AI145" s="21">
        <v>51101</v>
      </c>
      <c r="AJ145" s="24">
        <v>903848</v>
      </c>
      <c r="AK145" s="21">
        <v>35917068</v>
      </c>
      <c r="AL145" s="24">
        <v>675572</v>
      </c>
      <c r="AM145" s="21">
        <v>39018847</v>
      </c>
      <c r="AN145" s="24">
        <v>11386469</v>
      </c>
      <c r="AO145" s="21">
        <v>63944</v>
      </c>
      <c r="AP145" s="24">
        <v>191347151</v>
      </c>
    </row>
    <row r="146" spans="1:43" x14ac:dyDescent="0.2">
      <c r="A146" s="2" t="s">
        <v>93</v>
      </c>
      <c r="B146" s="2">
        <f t="shared" ref="B146:B160" si="34">((D146+E146)/2)*(C146/C$161)</f>
        <v>0.32092786924883837</v>
      </c>
      <c r="C146" s="2">
        <v>19129040395.452148</v>
      </c>
      <c r="D146" s="11">
        <f t="shared" ref="D146:E160" si="35">H146/F146*100</f>
        <v>9.7717713634463959</v>
      </c>
      <c r="E146" s="11">
        <f t="shared" si="35"/>
        <v>21.671324014135088</v>
      </c>
      <c r="F146" s="30">
        <v>2520012338</v>
      </c>
      <c r="G146" s="30">
        <v>3342727115</v>
      </c>
      <c r="H146" s="2">
        <f t="shared" ref="H146:H160" si="36">SUM(J146:Y146)</f>
        <v>246249844</v>
      </c>
      <c r="I146" s="2">
        <f>SUM(AA146:AP146)</f>
        <v>724413224</v>
      </c>
      <c r="J146" s="21">
        <v>1678169</v>
      </c>
      <c r="K146" s="2" t="s">
        <v>273</v>
      </c>
      <c r="L146" s="17">
        <v>61284</v>
      </c>
      <c r="M146" s="24">
        <v>107801551</v>
      </c>
      <c r="N146" s="21">
        <v>183310</v>
      </c>
      <c r="O146" s="24">
        <v>58978640</v>
      </c>
      <c r="P146" s="17">
        <v>1815182</v>
      </c>
      <c r="Q146" s="21">
        <v>21848</v>
      </c>
      <c r="R146" s="24">
        <v>13027</v>
      </c>
      <c r="S146" s="21">
        <v>21515854</v>
      </c>
      <c r="T146" s="24">
        <v>3476840</v>
      </c>
      <c r="U146" s="21">
        <v>14257409</v>
      </c>
      <c r="V146" s="24">
        <v>190899</v>
      </c>
      <c r="W146" s="21">
        <v>7264703</v>
      </c>
      <c r="X146" s="24">
        <v>127870</v>
      </c>
      <c r="Y146" s="21">
        <v>28863258</v>
      </c>
      <c r="AA146" s="24">
        <v>1925160</v>
      </c>
      <c r="AB146" s="2" t="s">
        <v>273</v>
      </c>
      <c r="AC146" s="21">
        <v>9604</v>
      </c>
      <c r="AD146" s="24">
        <v>287197884</v>
      </c>
      <c r="AE146" s="21">
        <v>20659</v>
      </c>
      <c r="AF146" s="24">
        <v>161428465</v>
      </c>
      <c r="AG146" s="17">
        <v>269945</v>
      </c>
      <c r="AH146" s="21">
        <v>2660</v>
      </c>
      <c r="AI146" s="17">
        <v>9604</v>
      </c>
      <c r="AJ146" s="24">
        <v>70047107</v>
      </c>
      <c r="AK146" s="21">
        <v>3094166</v>
      </c>
      <c r="AL146" s="24">
        <v>30686296</v>
      </c>
      <c r="AM146" s="21">
        <v>12417648</v>
      </c>
      <c r="AN146" s="24">
        <v>40811488</v>
      </c>
      <c r="AO146" s="21">
        <v>117035</v>
      </c>
      <c r="AP146" s="24">
        <v>116375503</v>
      </c>
    </row>
    <row r="147" spans="1:43" x14ac:dyDescent="0.2">
      <c r="A147" s="2" t="s">
        <v>144</v>
      </c>
      <c r="B147" s="2">
        <f t="shared" si="34"/>
        <v>0.50744671877136527</v>
      </c>
      <c r="C147" s="2">
        <v>50055049171.11853</v>
      </c>
      <c r="D147" s="11">
        <f t="shared" si="35"/>
        <v>12</v>
      </c>
      <c r="E147" s="11">
        <f t="shared" si="35"/>
        <v>7.0000000000000009</v>
      </c>
      <c r="F147" s="17">
        <v>100</v>
      </c>
      <c r="G147" s="17">
        <v>100</v>
      </c>
      <c r="H147" s="17">
        <v>12</v>
      </c>
      <c r="I147" s="17">
        <v>7</v>
      </c>
      <c r="J147" s="17"/>
      <c r="K147" s="17"/>
      <c r="L147" s="17" t="s">
        <v>273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 t="s">
        <v>273</v>
      </c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</row>
    <row r="148" spans="1:43" x14ac:dyDescent="0.2">
      <c r="A148" s="2" t="s">
        <v>143</v>
      </c>
      <c r="B148" s="2">
        <f t="shared" si="34"/>
        <v>0.52726280928771796</v>
      </c>
      <c r="C148" s="2">
        <v>24568186514.397526</v>
      </c>
      <c r="D148" s="11">
        <f t="shared" si="35"/>
        <v>21.790892298230332</v>
      </c>
      <c r="E148" s="11">
        <f t="shared" si="35"/>
        <v>18.431239377610606</v>
      </c>
      <c r="F148" s="30">
        <v>11844759208</v>
      </c>
      <c r="G148" s="30">
        <v>9532205632</v>
      </c>
      <c r="H148" s="2">
        <f t="shared" si="36"/>
        <v>2581078722</v>
      </c>
      <c r="I148" s="2">
        <f>SUM(AA148:AP148)</f>
        <v>1756903638</v>
      </c>
      <c r="J148" s="19">
        <v>66594463</v>
      </c>
      <c r="K148" s="19">
        <v>535312787</v>
      </c>
      <c r="L148" s="19">
        <v>259035</v>
      </c>
      <c r="M148" s="17" t="s">
        <v>273</v>
      </c>
      <c r="N148" s="19">
        <v>6384897</v>
      </c>
      <c r="O148" s="19">
        <v>461314429</v>
      </c>
      <c r="P148" s="19">
        <v>28833004</v>
      </c>
      <c r="Q148" s="19">
        <v>672548</v>
      </c>
      <c r="R148" s="19">
        <v>34610281</v>
      </c>
      <c r="S148" s="19">
        <v>487573302</v>
      </c>
      <c r="T148" s="19">
        <v>7797336</v>
      </c>
      <c r="U148" s="19">
        <v>76511266</v>
      </c>
      <c r="V148" s="19">
        <v>473418867</v>
      </c>
      <c r="W148" s="19">
        <v>116520947</v>
      </c>
      <c r="X148" s="19">
        <v>43700176</v>
      </c>
      <c r="Y148" s="19">
        <v>241575384</v>
      </c>
      <c r="AA148" s="19">
        <v>8463340</v>
      </c>
      <c r="AB148" s="19">
        <v>6147531</v>
      </c>
      <c r="AC148" s="19">
        <v>28108</v>
      </c>
      <c r="AD148" s="17" t="s">
        <v>273</v>
      </c>
      <c r="AE148" s="19">
        <v>88799</v>
      </c>
      <c r="AF148" s="19">
        <v>53995169</v>
      </c>
      <c r="AG148" s="19">
        <v>2435141</v>
      </c>
      <c r="AH148" s="19">
        <v>2724975</v>
      </c>
      <c r="AI148" s="19">
        <v>639</v>
      </c>
      <c r="AJ148" s="19">
        <v>3223552</v>
      </c>
      <c r="AK148" s="19">
        <v>86470407</v>
      </c>
      <c r="AL148" s="19">
        <v>5582026</v>
      </c>
      <c r="AM148" s="19">
        <v>1444161940</v>
      </c>
      <c r="AN148" s="19">
        <v>122098444</v>
      </c>
      <c r="AO148" s="19">
        <v>2134802</v>
      </c>
      <c r="AP148" s="19">
        <v>19348765</v>
      </c>
    </row>
    <row r="149" spans="1:43" x14ac:dyDescent="0.2">
      <c r="A149" s="2" t="s">
        <v>145</v>
      </c>
      <c r="B149" s="2">
        <f t="shared" si="34"/>
        <v>0.66203537390003664</v>
      </c>
      <c r="C149" s="2">
        <v>11937133415.740543</v>
      </c>
      <c r="D149" s="11">
        <f t="shared" si="35"/>
        <v>82.149391817990477</v>
      </c>
      <c r="E149" s="11">
        <f t="shared" si="35"/>
        <v>21.792876981509828</v>
      </c>
      <c r="F149" s="30">
        <v>94014948</v>
      </c>
      <c r="G149" s="30">
        <v>384337736</v>
      </c>
      <c r="H149" s="2">
        <f t="shared" si="36"/>
        <v>77232708</v>
      </c>
      <c r="I149" s="2">
        <f>SUM(AA149:AP149)</f>
        <v>83758250</v>
      </c>
      <c r="J149" s="24">
        <v>4934</v>
      </c>
      <c r="K149" s="17">
        <v>66231</v>
      </c>
      <c r="L149" s="17">
        <v>111111</v>
      </c>
      <c r="M149" s="21">
        <v>4511</v>
      </c>
      <c r="N149" s="2" t="s">
        <v>273</v>
      </c>
      <c r="O149" s="24">
        <v>1650</v>
      </c>
      <c r="P149" s="21">
        <v>1517470</v>
      </c>
      <c r="Q149" s="24">
        <v>59123425</v>
      </c>
      <c r="R149" s="21">
        <v>3653</v>
      </c>
      <c r="S149" s="24">
        <v>5569082</v>
      </c>
      <c r="T149" s="21">
        <v>10588</v>
      </c>
      <c r="U149" s="19">
        <v>381479</v>
      </c>
      <c r="V149" s="19">
        <v>40957</v>
      </c>
      <c r="W149" s="24">
        <v>10391759</v>
      </c>
      <c r="X149" s="21">
        <v>2929</v>
      </c>
      <c r="Y149" s="21">
        <v>2929</v>
      </c>
      <c r="AA149" s="24">
        <v>11071</v>
      </c>
      <c r="AB149" s="21">
        <v>2410</v>
      </c>
      <c r="AC149" s="17">
        <v>11111</v>
      </c>
      <c r="AD149" s="24">
        <v>64634012</v>
      </c>
      <c r="AE149" s="2" t="s">
        <v>273</v>
      </c>
      <c r="AF149" s="21">
        <v>2216715</v>
      </c>
      <c r="AG149" s="24">
        <v>610010</v>
      </c>
      <c r="AH149" s="21">
        <v>2122</v>
      </c>
      <c r="AI149" s="24">
        <v>34297</v>
      </c>
      <c r="AJ149" s="21">
        <v>86848</v>
      </c>
      <c r="AK149" s="24">
        <v>44978</v>
      </c>
      <c r="AL149" s="17">
        <v>1822</v>
      </c>
      <c r="AM149" s="21">
        <v>757611</v>
      </c>
      <c r="AN149" s="24">
        <v>13788857</v>
      </c>
      <c r="AO149" s="21">
        <v>293236</v>
      </c>
      <c r="AP149" s="24">
        <v>1263150</v>
      </c>
    </row>
    <row r="150" spans="1:43" x14ac:dyDescent="0.2">
      <c r="A150" s="2" t="s">
        <v>98</v>
      </c>
      <c r="B150" s="2">
        <f t="shared" si="34"/>
        <v>0.21547790011039034</v>
      </c>
      <c r="C150" s="2">
        <v>25356946951.594219</v>
      </c>
      <c r="D150" s="11">
        <f t="shared" si="35"/>
        <v>12.64729916720116</v>
      </c>
      <c r="E150" s="11">
        <f t="shared" si="35"/>
        <v>3.2790714255371523</v>
      </c>
      <c r="F150" s="30">
        <v>10655796413</v>
      </c>
      <c r="G150" s="30">
        <v>11361004402</v>
      </c>
      <c r="H150" s="2">
        <f t="shared" si="36"/>
        <v>1347670451</v>
      </c>
      <c r="I150" s="2">
        <f>SUM(AA150:AP150)</f>
        <v>372535449</v>
      </c>
      <c r="J150" s="21">
        <v>34121917</v>
      </c>
      <c r="K150" s="24">
        <v>427310251</v>
      </c>
      <c r="L150" s="21">
        <v>26408</v>
      </c>
      <c r="M150" s="24">
        <v>33403357</v>
      </c>
      <c r="N150" s="21">
        <v>1623046</v>
      </c>
      <c r="O150" s="2" t="s">
        <v>273</v>
      </c>
      <c r="P150" s="24">
        <v>5726356</v>
      </c>
      <c r="Q150" s="21">
        <v>95890</v>
      </c>
      <c r="R150" s="24">
        <v>8061534</v>
      </c>
      <c r="S150" s="21">
        <v>299600191</v>
      </c>
      <c r="T150" s="24">
        <v>149447</v>
      </c>
      <c r="U150" s="21">
        <v>61925064</v>
      </c>
      <c r="V150" s="24">
        <v>51866300</v>
      </c>
      <c r="W150" s="21">
        <v>130797268</v>
      </c>
      <c r="X150" s="24">
        <v>3471691</v>
      </c>
      <c r="Y150" s="21">
        <v>289491731</v>
      </c>
      <c r="AA150" s="24">
        <v>850090</v>
      </c>
      <c r="AB150" s="21">
        <v>12229561</v>
      </c>
      <c r="AC150" s="24">
        <v>4385</v>
      </c>
      <c r="AD150" s="21">
        <v>65993057</v>
      </c>
      <c r="AE150" s="24">
        <v>165517</v>
      </c>
      <c r="AF150" s="2" t="s">
        <v>273</v>
      </c>
      <c r="AG150" s="24">
        <v>361143</v>
      </c>
      <c r="AH150" s="21">
        <v>10029935</v>
      </c>
      <c r="AI150" s="24">
        <v>45431207</v>
      </c>
      <c r="AJ150" s="21">
        <v>4997077</v>
      </c>
      <c r="AK150" s="24">
        <v>73653073</v>
      </c>
      <c r="AL150" s="21">
        <v>7952781</v>
      </c>
      <c r="AM150" s="24">
        <v>48884097</v>
      </c>
      <c r="AN150" s="21">
        <v>10792252</v>
      </c>
      <c r="AO150" s="24">
        <v>5266853</v>
      </c>
      <c r="AP150" s="21">
        <v>85924421</v>
      </c>
      <c r="AQ150" s="21"/>
    </row>
    <row r="151" spans="1:43" x14ac:dyDescent="0.2">
      <c r="A151" s="2" t="s">
        <v>99</v>
      </c>
      <c r="B151" s="2">
        <f t="shared" si="34"/>
        <v>0.11960664065936205</v>
      </c>
      <c r="C151" s="2">
        <v>7012076136.58358</v>
      </c>
      <c r="D151" s="11">
        <f t="shared" si="35"/>
        <v>25.058591664838346</v>
      </c>
      <c r="E151" s="11">
        <f t="shared" si="35"/>
        <v>6.9097210154790547</v>
      </c>
      <c r="F151" s="30">
        <v>1573675202</v>
      </c>
      <c r="G151" s="30">
        <v>2138647793</v>
      </c>
      <c r="H151" s="2">
        <f t="shared" si="36"/>
        <v>394340843</v>
      </c>
      <c r="I151" s="2">
        <f>SUM(AA151:AP151)</f>
        <v>147774596</v>
      </c>
      <c r="J151" s="19">
        <v>1901823</v>
      </c>
      <c r="K151" s="19">
        <v>1638452</v>
      </c>
      <c r="L151" s="19">
        <v>745</v>
      </c>
      <c r="M151" s="19">
        <v>1066235</v>
      </c>
      <c r="N151" s="19">
        <v>277993</v>
      </c>
      <c r="O151" s="19">
        <v>346506953</v>
      </c>
      <c r="P151" s="17" t="s">
        <v>273</v>
      </c>
      <c r="Q151" s="19">
        <v>159636</v>
      </c>
      <c r="R151" s="19">
        <v>2636594</v>
      </c>
      <c r="S151" s="19">
        <v>23767743</v>
      </c>
      <c r="T151" s="19">
        <v>314991</v>
      </c>
      <c r="U151" s="19">
        <v>769915</v>
      </c>
      <c r="V151" s="19">
        <v>25334</v>
      </c>
      <c r="W151" s="19">
        <v>9893630</v>
      </c>
      <c r="X151" s="19">
        <v>5338146</v>
      </c>
      <c r="Y151" s="19">
        <v>42653</v>
      </c>
      <c r="Z151" s="17"/>
      <c r="AA151" s="19">
        <v>807150</v>
      </c>
      <c r="AB151" s="19">
        <v>500013</v>
      </c>
      <c r="AC151" s="19">
        <v>2814</v>
      </c>
      <c r="AD151" s="19">
        <v>6695373</v>
      </c>
      <c r="AE151" s="19">
        <v>25227</v>
      </c>
      <c r="AF151" s="19">
        <v>56976371</v>
      </c>
      <c r="AG151" s="17" t="s">
        <v>273</v>
      </c>
      <c r="AH151" s="19">
        <v>2203</v>
      </c>
      <c r="AI151" s="19">
        <v>9385581</v>
      </c>
      <c r="AJ151" s="19">
        <v>12983786</v>
      </c>
      <c r="AK151" s="19">
        <v>714773</v>
      </c>
      <c r="AL151" s="19">
        <v>34700</v>
      </c>
      <c r="AM151" s="19">
        <v>6529432</v>
      </c>
      <c r="AN151" s="19">
        <v>38225466</v>
      </c>
      <c r="AO151" s="19">
        <v>14062357</v>
      </c>
      <c r="AP151" s="19">
        <v>829350</v>
      </c>
    </row>
    <row r="152" spans="1:43" x14ac:dyDescent="0.2">
      <c r="A152" s="2" t="s">
        <v>100</v>
      </c>
      <c r="B152" s="2">
        <f t="shared" si="34"/>
        <v>4.0450303046925722E-3</v>
      </c>
      <c r="C152" s="2">
        <v>2807818687.1596055</v>
      </c>
      <c r="D152" s="11">
        <f t="shared" si="35"/>
        <v>1</v>
      </c>
      <c r="E152" s="11">
        <f t="shared" si="35"/>
        <v>1.7000000000000002</v>
      </c>
      <c r="F152" s="17">
        <v>100</v>
      </c>
      <c r="G152" s="17">
        <v>100</v>
      </c>
      <c r="H152" s="17">
        <v>1</v>
      </c>
      <c r="I152" s="17">
        <v>1.7</v>
      </c>
      <c r="Q152" s="2" t="s">
        <v>273</v>
      </c>
      <c r="AH152" s="2" t="s">
        <v>273</v>
      </c>
    </row>
    <row r="153" spans="1:43" x14ac:dyDescent="0.2">
      <c r="A153" s="2" t="s">
        <v>101</v>
      </c>
      <c r="B153" s="2">
        <f t="shared" si="34"/>
        <v>3.7993910809242812E-3</v>
      </c>
      <c r="C153" s="2">
        <v>2373579534.8736606</v>
      </c>
      <c r="D153" s="11">
        <f t="shared" si="35"/>
        <v>1.5</v>
      </c>
      <c r="E153" s="11">
        <f t="shared" si="35"/>
        <v>1.5</v>
      </c>
      <c r="F153" s="17">
        <v>100</v>
      </c>
      <c r="G153" s="17">
        <v>100</v>
      </c>
      <c r="H153" s="17">
        <v>1.5</v>
      </c>
      <c r="I153" s="17">
        <v>1.5</v>
      </c>
      <c r="R153" s="2" t="s">
        <v>273</v>
      </c>
      <c r="AI153" s="2" t="s">
        <v>273</v>
      </c>
    </row>
    <row r="154" spans="1:43" x14ac:dyDescent="0.2">
      <c r="A154" s="2" t="s">
        <v>94</v>
      </c>
      <c r="B154" s="2">
        <f t="shared" si="34"/>
        <v>1.7051095918459931</v>
      </c>
      <c r="C154" s="2">
        <v>63681669732.4916</v>
      </c>
      <c r="D154" s="11">
        <f t="shared" si="35"/>
        <v>14.391539756130891</v>
      </c>
      <c r="E154" s="11">
        <f t="shared" si="35"/>
        <v>35.79056815964659</v>
      </c>
      <c r="F154" s="30">
        <v>2847593565</v>
      </c>
      <c r="G154" s="30">
        <v>3845404761</v>
      </c>
      <c r="H154" s="2">
        <f t="shared" si="36"/>
        <v>409812560</v>
      </c>
      <c r="I154" s="2">
        <f t="shared" ref="I154:I160" si="37">SUM(AA154:AP154)</f>
        <v>1376292212</v>
      </c>
      <c r="J154" s="24">
        <v>5616173</v>
      </c>
      <c r="K154" s="21">
        <v>109886948</v>
      </c>
      <c r="L154" s="17">
        <v>111111</v>
      </c>
      <c r="M154" s="24">
        <v>170285912</v>
      </c>
      <c r="N154" s="17">
        <v>11111</v>
      </c>
      <c r="O154" s="21">
        <v>4469422</v>
      </c>
      <c r="P154" s="24">
        <v>25920509</v>
      </c>
      <c r="Q154" s="21">
        <v>21372</v>
      </c>
      <c r="R154" s="24">
        <v>584089</v>
      </c>
      <c r="S154" s="2" t="s">
        <v>273</v>
      </c>
      <c r="T154" s="21">
        <v>6625724</v>
      </c>
      <c r="U154" s="24">
        <v>9929766</v>
      </c>
      <c r="V154" s="21">
        <v>665458</v>
      </c>
      <c r="W154" s="24">
        <v>74469226</v>
      </c>
      <c r="X154" s="21">
        <v>19629</v>
      </c>
      <c r="Y154" s="24">
        <v>1196110</v>
      </c>
      <c r="AA154" s="21">
        <v>100761840</v>
      </c>
      <c r="AB154" s="24">
        <v>7538713</v>
      </c>
      <c r="AC154" s="17">
        <v>11111</v>
      </c>
      <c r="AD154" s="21">
        <v>378048023</v>
      </c>
      <c r="AE154" s="24">
        <v>130190</v>
      </c>
      <c r="AF154" s="21">
        <v>84148187</v>
      </c>
      <c r="AG154" s="24">
        <v>3536242</v>
      </c>
      <c r="AH154" s="17">
        <v>111111</v>
      </c>
      <c r="AI154" s="21">
        <v>487563</v>
      </c>
      <c r="AJ154" s="2" t="s">
        <v>273</v>
      </c>
      <c r="AK154" s="24">
        <v>17592165</v>
      </c>
      <c r="AL154" s="21">
        <v>16882851</v>
      </c>
      <c r="AM154" s="24">
        <v>1813278</v>
      </c>
      <c r="AN154" s="21">
        <v>746547981</v>
      </c>
      <c r="AO154" s="24">
        <v>163327</v>
      </c>
      <c r="AP154" s="21">
        <v>18519630</v>
      </c>
    </row>
    <row r="155" spans="1:43" x14ac:dyDescent="0.2">
      <c r="A155" s="2" t="s">
        <v>102</v>
      </c>
      <c r="B155" s="2">
        <f t="shared" si="34"/>
        <v>6.9394603139726327E-2</v>
      </c>
      <c r="C155" s="2">
        <v>12184564690.830519</v>
      </c>
      <c r="D155" s="11">
        <f t="shared" si="35"/>
        <v>9.2343227855950278</v>
      </c>
      <c r="E155" s="11">
        <f t="shared" si="35"/>
        <v>1.4396655285379203</v>
      </c>
      <c r="F155" s="30">
        <v>1622761598</v>
      </c>
      <c r="G155" s="30">
        <v>2173837838</v>
      </c>
      <c r="H155" s="2">
        <f t="shared" si="36"/>
        <v>149851044</v>
      </c>
      <c r="I155" s="2">
        <f t="shared" si="37"/>
        <v>31295994</v>
      </c>
      <c r="J155" s="24">
        <v>2000762</v>
      </c>
      <c r="K155" s="21">
        <v>7681</v>
      </c>
      <c r="L155" s="17">
        <v>1098370</v>
      </c>
      <c r="M155" s="24">
        <v>54273831</v>
      </c>
      <c r="N155" s="21">
        <v>17291</v>
      </c>
      <c r="O155" s="24">
        <v>10190633</v>
      </c>
      <c r="P155" s="21">
        <v>299736</v>
      </c>
      <c r="Q155" s="24">
        <v>145</v>
      </c>
      <c r="R155" s="21">
        <v>836619</v>
      </c>
      <c r="S155" s="24">
        <v>9588187</v>
      </c>
      <c r="T155" s="2" t="s">
        <v>273</v>
      </c>
      <c r="U155" s="21">
        <v>1164</v>
      </c>
      <c r="V155" s="24">
        <v>67318842</v>
      </c>
      <c r="W155" s="21">
        <v>2702350</v>
      </c>
      <c r="X155" s="17">
        <v>11111</v>
      </c>
      <c r="Y155" s="24">
        <v>1504322</v>
      </c>
      <c r="AA155" s="21">
        <v>160381</v>
      </c>
      <c r="AB155" s="24">
        <v>6967</v>
      </c>
      <c r="AC155" s="21">
        <v>3766</v>
      </c>
      <c r="AD155" s="24">
        <v>9243506</v>
      </c>
      <c r="AE155" s="21">
        <v>732400</v>
      </c>
      <c r="AF155" s="24">
        <v>1142103</v>
      </c>
      <c r="AG155" s="21">
        <v>302534</v>
      </c>
      <c r="AH155" s="24">
        <v>76415</v>
      </c>
      <c r="AI155" s="21">
        <v>47950</v>
      </c>
      <c r="AJ155" s="24">
        <v>3148785</v>
      </c>
      <c r="AK155" s="2" t="s">
        <v>273</v>
      </c>
      <c r="AL155" s="21">
        <v>93936</v>
      </c>
      <c r="AM155" s="24">
        <v>274862</v>
      </c>
      <c r="AN155" s="21">
        <v>16043978</v>
      </c>
      <c r="AO155" s="24">
        <v>16465</v>
      </c>
      <c r="AP155" s="21">
        <v>1946</v>
      </c>
    </row>
    <row r="156" spans="1:43" x14ac:dyDescent="0.2">
      <c r="A156" s="2" t="s">
        <v>95</v>
      </c>
      <c r="B156" s="2">
        <f t="shared" si="34"/>
        <v>3.6302858996758718E-2</v>
      </c>
      <c r="C156" s="2">
        <v>1930259178.5080106</v>
      </c>
      <c r="D156" s="11">
        <f t="shared" si="35"/>
        <v>19.72815836403824</v>
      </c>
      <c r="E156" s="11">
        <f t="shared" si="35"/>
        <v>15.519985084509976</v>
      </c>
      <c r="F156" s="30">
        <v>927241624</v>
      </c>
      <c r="G156" s="30">
        <v>1860691131</v>
      </c>
      <c r="H156" s="2">
        <f t="shared" si="36"/>
        <v>182927696</v>
      </c>
      <c r="I156" s="2">
        <f t="shared" si="37"/>
        <v>288778986</v>
      </c>
      <c r="J156" s="24">
        <v>3058034</v>
      </c>
      <c r="K156" s="21">
        <v>31930471</v>
      </c>
      <c r="L156" s="17">
        <v>3081</v>
      </c>
      <c r="M156" s="24">
        <v>1117306</v>
      </c>
      <c r="N156" s="17">
        <v>11111</v>
      </c>
      <c r="O156" s="21">
        <v>4930506</v>
      </c>
      <c r="P156" s="24">
        <v>21639</v>
      </c>
      <c r="Q156" s="17">
        <v>11111</v>
      </c>
      <c r="R156" s="17">
        <v>1</v>
      </c>
      <c r="S156" s="21">
        <v>52226545</v>
      </c>
      <c r="T156" s="24">
        <v>185444</v>
      </c>
      <c r="U156" s="2" t="s">
        <v>273</v>
      </c>
      <c r="V156" s="21">
        <v>87718600</v>
      </c>
      <c r="W156" s="24">
        <v>693884</v>
      </c>
      <c r="X156" s="17">
        <v>111111</v>
      </c>
      <c r="Y156" s="21">
        <v>908852</v>
      </c>
      <c r="AA156" s="24">
        <v>31552998</v>
      </c>
      <c r="AB156" s="21">
        <v>10289764</v>
      </c>
      <c r="AC156" s="24">
        <v>4308</v>
      </c>
      <c r="AD156" s="21">
        <v>35539045</v>
      </c>
      <c r="AE156" s="17"/>
      <c r="AF156" s="24">
        <v>52598832</v>
      </c>
      <c r="AG156" s="21">
        <v>33836</v>
      </c>
      <c r="AH156" s="24">
        <v>39004</v>
      </c>
      <c r="AI156" s="21">
        <v>13438</v>
      </c>
      <c r="AJ156" s="24">
        <v>583128</v>
      </c>
      <c r="AK156" s="21">
        <v>120433</v>
      </c>
      <c r="AL156" s="2" t="s">
        <v>273</v>
      </c>
      <c r="AM156" s="24">
        <v>108445521</v>
      </c>
      <c r="AN156" s="21">
        <v>15419500</v>
      </c>
      <c r="AO156" s="24">
        <v>145</v>
      </c>
      <c r="AP156" s="21">
        <v>34139034</v>
      </c>
    </row>
    <row r="157" spans="1:43" x14ac:dyDescent="0.2">
      <c r="A157" s="2" t="s">
        <v>103</v>
      </c>
      <c r="B157" s="2">
        <f t="shared" si="34"/>
        <v>2.9334271822719411</v>
      </c>
      <c r="C157" s="2">
        <v>680353840818.19983</v>
      </c>
      <c r="D157" s="11">
        <f t="shared" si="35"/>
        <v>6.7621749853781568</v>
      </c>
      <c r="E157" s="11">
        <f t="shared" si="35"/>
        <v>1.3185721287878398</v>
      </c>
      <c r="F157" s="30">
        <v>32883045467</v>
      </c>
      <c r="G157" s="30">
        <v>35194301007</v>
      </c>
      <c r="H157" s="2">
        <f t="shared" si="36"/>
        <v>2223609075</v>
      </c>
      <c r="I157" s="2">
        <f t="shared" si="37"/>
        <v>464062244</v>
      </c>
      <c r="J157" s="24">
        <v>97485252</v>
      </c>
      <c r="K157" s="21">
        <v>7898488</v>
      </c>
      <c r="L157" s="24">
        <v>98428115</v>
      </c>
      <c r="M157" s="21">
        <v>842970969</v>
      </c>
      <c r="N157" s="24">
        <v>609188</v>
      </c>
      <c r="O157" s="21">
        <v>419134660</v>
      </c>
      <c r="P157" s="24">
        <v>12737211</v>
      </c>
      <c r="Q157" s="21">
        <v>452085</v>
      </c>
      <c r="R157" s="24">
        <v>1705461</v>
      </c>
      <c r="S157" s="21">
        <v>2384103</v>
      </c>
      <c r="T157" s="24">
        <v>191240</v>
      </c>
      <c r="U157" s="21">
        <v>68291524</v>
      </c>
      <c r="V157" s="2" t="s">
        <v>273</v>
      </c>
      <c r="W157" s="24">
        <v>474358773</v>
      </c>
      <c r="X157" s="21">
        <v>1243340</v>
      </c>
      <c r="Y157" s="24">
        <v>195718666</v>
      </c>
      <c r="AA157" s="21">
        <v>6791236</v>
      </c>
      <c r="AB157" s="24">
        <v>86354</v>
      </c>
      <c r="AC157" s="21">
        <v>56687</v>
      </c>
      <c r="AD157" s="24">
        <v>236554668</v>
      </c>
      <c r="AE157" s="17">
        <v>105028</v>
      </c>
      <c r="AF157" s="21">
        <v>65796823</v>
      </c>
      <c r="AG157" s="24">
        <v>43699584</v>
      </c>
      <c r="AH157" s="17">
        <v>1783974</v>
      </c>
      <c r="AI157" s="21">
        <v>1917691</v>
      </c>
      <c r="AJ157" s="24">
        <v>98109</v>
      </c>
      <c r="AK157" s="21">
        <v>55581737</v>
      </c>
      <c r="AL157" s="24">
        <v>4612854</v>
      </c>
      <c r="AM157" s="2" t="s">
        <v>273</v>
      </c>
      <c r="AN157" s="21">
        <v>4273831</v>
      </c>
      <c r="AO157" s="24">
        <v>2161338</v>
      </c>
      <c r="AP157" s="21">
        <v>40542330</v>
      </c>
    </row>
    <row r="158" spans="1:43" x14ac:dyDescent="0.2">
      <c r="A158" s="2" t="s">
        <v>96</v>
      </c>
      <c r="B158" s="2">
        <f t="shared" si="34"/>
        <v>0.30707969726869583</v>
      </c>
      <c r="C158" s="2">
        <v>11093241543.967829</v>
      </c>
      <c r="D158" s="11">
        <f t="shared" si="35"/>
        <v>40.627647709964677</v>
      </c>
      <c r="E158" s="11">
        <f t="shared" si="35"/>
        <v>11.252795675061742</v>
      </c>
      <c r="F158" s="30">
        <v>2640276916</v>
      </c>
      <c r="G158" s="30">
        <v>5477912190</v>
      </c>
      <c r="H158" s="2">
        <f t="shared" si="36"/>
        <v>1072682404</v>
      </c>
      <c r="I158" s="2">
        <f t="shared" si="37"/>
        <v>616418266</v>
      </c>
      <c r="J158" s="24">
        <v>19301946</v>
      </c>
      <c r="K158" s="21">
        <v>52738523</v>
      </c>
      <c r="L158" s="24">
        <v>3245726</v>
      </c>
      <c r="M158" s="21">
        <v>135040880</v>
      </c>
      <c r="N158" s="24">
        <v>85796311</v>
      </c>
      <c r="O158" s="21">
        <v>16860648</v>
      </c>
      <c r="P158" s="24">
        <v>85295861</v>
      </c>
      <c r="Q158" s="21">
        <v>53120918</v>
      </c>
      <c r="R158" s="24">
        <v>7124722</v>
      </c>
      <c r="S158" s="21">
        <v>461335552</v>
      </c>
      <c r="T158" s="24">
        <v>77654975</v>
      </c>
      <c r="U158" s="21">
        <v>22621494</v>
      </c>
      <c r="V158" s="24">
        <v>10072506</v>
      </c>
      <c r="W158" s="2" t="s">
        <v>273</v>
      </c>
      <c r="X158" s="21">
        <v>17083531</v>
      </c>
      <c r="Y158" s="24">
        <v>25388811</v>
      </c>
      <c r="AA158" s="21">
        <v>365570</v>
      </c>
      <c r="AB158" s="24">
        <v>551091</v>
      </c>
      <c r="AC158" s="21">
        <v>80251</v>
      </c>
      <c r="AD158" s="24">
        <v>104805553</v>
      </c>
      <c r="AE158" s="21">
        <v>234908</v>
      </c>
      <c r="AF158" s="24">
        <v>55443137</v>
      </c>
      <c r="AG158" s="21">
        <v>3322693</v>
      </c>
      <c r="AH158" s="24">
        <v>17823</v>
      </c>
      <c r="AI158" s="21">
        <v>2117463</v>
      </c>
      <c r="AJ158" s="24">
        <v>7120429</v>
      </c>
      <c r="AK158" s="21">
        <v>8892795</v>
      </c>
      <c r="AL158" s="24">
        <v>28962</v>
      </c>
      <c r="AM158" s="21">
        <v>424809206</v>
      </c>
      <c r="AN158" s="2" t="s">
        <v>273</v>
      </c>
      <c r="AO158" s="24">
        <v>1192947</v>
      </c>
      <c r="AP158" s="21">
        <v>7435438</v>
      </c>
    </row>
    <row r="159" spans="1:43" x14ac:dyDescent="0.2">
      <c r="A159" s="2" t="s">
        <v>104</v>
      </c>
      <c r="B159" s="2">
        <f t="shared" si="34"/>
        <v>0.15478027306990808</v>
      </c>
      <c r="C159" s="2">
        <v>2373579534.8736606</v>
      </c>
      <c r="D159" s="11">
        <f t="shared" si="35"/>
        <v>35.864893831505356</v>
      </c>
      <c r="E159" s="11">
        <f t="shared" si="35"/>
        <v>86.349642476971638</v>
      </c>
      <c r="F159" s="30">
        <v>465595233</v>
      </c>
      <c r="G159" s="30">
        <v>957927386</v>
      </c>
      <c r="H159" s="2">
        <f t="shared" si="36"/>
        <v>166985236</v>
      </c>
      <c r="I159" s="2">
        <f t="shared" si="37"/>
        <v>827166873</v>
      </c>
      <c r="J159" s="24">
        <v>22873</v>
      </c>
      <c r="K159" s="21">
        <v>63821</v>
      </c>
      <c r="L159" s="17">
        <v>111111</v>
      </c>
      <c r="M159" s="24">
        <v>161495142</v>
      </c>
      <c r="N159" s="21">
        <v>126830</v>
      </c>
      <c r="O159" s="24">
        <v>2545005</v>
      </c>
      <c r="P159" s="21">
        <v>1183105</v>
      </c>
      <c r="Q159" s="24">
        <v>12589</v>
      </c>
      <c r="R159" s="21">
        <v>735855</v>
      </c>
      <c r="S159" s="24">
        <v>35</v>
      </c>
      <c r="T159" s="21">
        <v>20760</v>
      </c>
      <c r="U159" s="24">
        <v>2394</v>
      </c>
      <c r="V159" s="21">
        <v>138239</v>
      </c>
      <c r="W159" s="24">
        <v>402190</v>
      </c>
      <c r="X159" s="2" t="s">
        <v>273</v>
      </c>
      <c r="Y159" s="21">
        <v>125287</v>
      </c>
      <c r="AA159" s="17">
        <v>733141832</v>
      </c>
      <c r="AB159" s="17">
        <v>11111</v>
      </c>
      <c r="AC159" s="24">
        <v>5863675</v>
      </c>
      <c r="AD159" s="21">
        <v>1688958</v>
      </c>
      <c r="AE159" s="24">
        <v>200416</v>
      </c>
      <c r="AF159" s="21">
        <v>6818813</v>
      </c>
      <c r="AG159" s="24">
        <v>6478612</v>
      </c>
      <c r="AH159" s="17">
        <v>11111</v>
      </c>
      <c r="AI159" s="21">
        <v>712751</v>
      </c>
      <c r="AJ159" s="17">
        <v>3519067</v>
      </c>
      <c r="AK159" s="17">
        <v>330899</v>
      </c>
      <c r="AL159" s="24">
        <v>181280</v>
      </c>
      <c r="AM159" s="21">
        <v>8311620</v>
      </c>
      <c r="AN159" s="24">
        <v>59559760</v>
      </c>
      <c r="AO159" s="2" t="s">
        <v>273</v>
      </c>
      <c r="AP159" s="21">
        <v>336968</v>
      </c>
    </row>
    <row r="160" spans="1:43" x14ac:dyDescent="0.2">
      <c r="A160" s="2" t="s">
        <v>97</v>
      </c>
      <c r="B160" s="2">
        <f t="shared" si="34"/>
        <v>0.28023642681233968</v>
      </c>
      <c r="C160" s="2">
        <v>6849328422.6359911</v>
      </c>
      <c r="D160" s="11">
        <f t="shared" si="35"/>
        <v>65.807710428638629</v>
      </c>
      <c r="E160" s="11">
        <f t="shared" si="35"/>
        <v>10.873267080098376</v>
      </c>
      <c r="F160" s="30">
        <v>714880308</v>
      </c>
      <c r="G160" s="30">
        <v>1715643924</v>
      </c>
      <c r="H160" s="2">
        <f t="shared" si="36"/>
        <v>470446363</v>
      </c>
      <c r="I160" s="2">
        <f t="shared" si="37"/>
        <v>186546546</v>
      </c>
      <c r="J160" s="24">
        <v>126128237</v>
      </c>
      <c r="K160" s="21">
        <v>114563550</v>
      </c>
      <c r="L160" s="17">
        <v>111111</v>
      </c>
      <c r="M160" s="24">
        <v>43869278</v>
      </c>
      <c r="N160" s="21">
        <v>478837</v>
      </c>
      <c r="O160" s="24">
        <v>34545111</v>
      </c>
      <c r="P160" s="21">
        <v>6053194</v>
      </c>
      <c r="Q160" s="24">
        <v>699472</v>
      </c>
      <c r="R160" s="21">
        <v>875134</v>
      </c>
      <c r="S160" s="24">
        <v>51995929</v>
      </c>
      <c r="T160" s="21">
        <v>94275</v>
      </c>
      <c r="U160" s="24">
        <v>50429348</v>
      </c>
      <c r="V160" s="21">
        <v>31032502</v>
      </c>
      <c r="W160" s="24">
        <v>8893846</v>
      </c>
      <c r="X160" s="21">
        <v>676539</v>
      </c>
      <c r="Y160" s="2" t="s">
        <v>273</v>
      </c>
      <c r="AA160" s="24">
        <v>13817702</v>
      </c>
      <c r="AB160" s="21">
        <v>4092339</v>
      </c>
      <c r="AC160" s="17">
        <v>11111</v>
      </c>
      <c r="AD160" s="24">
        <v>52316067</v>
      </c>
      <c r="AE160" s="21">
        <v>11785</v>
      </c>
      <c r="AF160" s="24">
        <v>59857404</v>
      </c>
      <c r="AG160" s="21">
        <v>40382</v>
      </c>
      <c r="AH160" s="24">
        <v>3744644</v>
      </c>
      <c r="AI160" s="21">
        <v>343436</v>
      </c>
      <c r="AJ160" s="24">
        <v>184177</v>
      </c>
      <c r="AK160" s="21">
        <v>7810460</v>
      </c>
      <c r="AL160" s="24">
        <v>48037</v>
      </c>
      <c r="AM160" s="21">
        <v>29913648</v>
      </c>
      <c r="AN160" s="24">
        <v>14344243</v>
      </c>
      <c r="AO160" s="17">
        <v>11111</v>
      </c>
      <c r="AP160" s="2" t="s">
        <v>273</v>
      </c>
    </row>
    <row r="161" spans="1:3" x14ac:dyDescent="0.2">
      <c r="B161" s="1">
        <f>SUM(B145:B160)</f>
        <v>8.1336569018876776</v>
      </c>
      <c r="C161" s="7">
        <f>SUM(C145:C160)</f>
        <v>937089451040.23267</v>
      </c>
    </row>
    <row r="162" spans="1:3" s="1" customFormat="1" x14ac:dyDescent="0.2">
      <c r="A162" s="1" t="s">
        <v>146</v>
      </c>
    </row>
    <row r="163" spans="1:3" s="1" customFormat="1" x14ac:dyDescent="0.2"/>
    <row r="164" spans="1:3" s="1" customFormat="1" x14ac:dyDescent="0.2">
      <c r="A164" s="1" t="s">
        <v>147</v>
      </c>
    </row>
    <row r="165" spans="1:3" x14ac:dyDescent="0.2">
      <c r="A165" s="2" t="s">
        <v>148</v>
      </c>
    </row>
    <row r="166" spans="1:3" x14ac:dyDescent="0.2">
      <c r="A166" s="2" t="s">
        <v>149</v>
      </c>
    </row>
    <row r="167" spans="1:3" x14ac:dyDescent="0.2">
      <c r="A167" s="2" t="s">
        <v>150</v>
      </c>
    </row>
    <row r="168" spans="1:3" x14ac:dyDescent="0.2">
      <c r="A168" s="2" t="s">
        <v>151</v>
      </c>
    </row>
    <row r="169" spans="1:3" x14ac:dyDescent="0.2">
      <c r="A169" s="2" t="s">
        <v>152</v>
      </c>
    </row>
    <row r="170" spans="1:3" x14ac:dyDescent="0.2">
      <c r="A170" s="2" t="s">
        <v>153</v>
      </c>
    </row>
    <row r="171" spans="1:3" x14ac:dyDescent="0.2">
      <c r="A171" s="2" t="s">
        <v>154</v>
      </c>
    </row>
    <row r="172" spans="1:3" x14ac:dyDescent="0.2">
      <c r="A172" s="2" t="s">
        <v>155</v>
      </c>
    </row>
    <row r="173" spans="1:3" x14ac:dyDescent="0.2">
      <c r="A173" s="2" t="s">
        <v>156</v>
      </c>
    </row>
    <row r="174" spans="1:3" x14ac:dyDescent="0.2">
      <c r="A174" s="2" t="s">
        <v>157</v>
      </c>
    </row>
    <row r="175" spans="1:3" x14ac:dyDescent="0.2">
      <c r="A175" s="2" t="s">
        <v>158</v>
      </c>
    </row>
    <row r="176" spans="1:3" x14ac:dyDescent="0.2">
      <c r="A176" s="2" t="s">
        <v>159</v>
      </c>
    </row>
    <row r="177" spans="1:1" x14ac:dyDescent="0.2">
      <c r="A177" s="2" t="s">
        <v>160</v>
      </c>
    </row>
    <row r="178" spans="1:1" x14ac:dyDescent="0.2">
      <c r="A178" s="2" t="s">
        <v>161</v>
      </c>
    </row>
    <row r="179" spans="1:1" x14ac:dyDescent="0.2">
      <c r="A179" s="2" t="s">
        <v>162</v>
      </c>
    </row>
    <row r="180" spans="1:1" x14ac:dyDescent="0.2">
      <c r="A180" s="2" t="s">
        <v>163</v>
      </c>
    </row>
    <row r="181" spans="1:1" x14ac:dyDescent="0.2">
      <c r="A181" s="2" t="s">
        <v>164</v>
      </c>
    </row>
    <row r="182" spans="1:1" x14ac:dyDescent="0.2">
      <c r="A182" s="2" t="s">
        <v>165</v>
      </c>
    </row>
    <row r="183" spans="1:1" x14ac:dyDescent="0.2">
      <c r="A183" s="2" t="s">
        <v>166</v>
      </c>
    </row>
    <row r="184" spans="1:1" x14ac:dyDescent="0.2">
      <c r="A184" s="2" t="s">
        <v>167</v>
      </c>
    </row>
    <row r="185" spans="1:1" x14ac:dyDescent="0.2">
      <c r="A185" s="2" t="s">
        <v>168</v>
      </c>
    </row>
    <row r="186" spans="1:1" x14ac:dyDescent="0.2">
      <c r="A186" s="2" t="s">
        <v>169</v>
      </c>
    </row>
    <row r="187" spans="1:1" x14ac:dyDescent="0.2">
      <c r="A187" s="2" t="s">
        <v>170</v>
      </c>
    </row>
    <row r="188" spans="1:1" x14ac:dyDescent="0.2">
      <c r="A188" s="2" t="s">
        <v>171</v>
      </c>
    </row>
    <row r="189" spans="1:1" x14ac:dyDescent="0.2">
      <c r="A189" s="2" t="s">
        <v>172</v>
      </c>
    </row>
    <row r="190" spans="1:1" x14ac:dyDescent="0.2">
      <c r="A190" s="2" t="s">
        <v>173</v>
      </c>
    </row>
    <row r="191" spans="1:1" x14ac:dyDescent="0.2">
      <c r="A191" s="2" t="s">
        <v>174</v>
      </c>
    </row>
    <row r="192" spans="1:1" x14ac:dyDescent="0.2">
      <c r="A192" s="2" t="s">
        <v>175</v>
      </c>
    </row>
    <row r="193" spans="1:1" x14ac:dyDescent="0.2">
      <c r="A193" s="2" t="s">
        <v>176</v>
      </c>
    </row>
    <row r="194" spans="1:1" x14ac:dyDescent="0.2">
      <c r="A194" s="2" t="s">
        <v>177</v>
      </c>
    </row>
    <row r="195" spans="1:1" x14ac:dyDescent="0.2">
      <c r="A195" s="2" t="s">
        <v>178</v>
      </c>
    </row>
    <row r="196" spans="1:1" x14ac:dyDescent="0.2">
      <c r="A196" s="2" t="s">
        <v>179</v>
      </c>
    </row>
    <row r="197" spans="1:1" x14ac:dyDescent="0.2">
      <c r="A197" s="2" t="s">
        <v>180</v>
      </c>
    </row>
    <row r="198" spans="1:1" x14ac:dyDescent="0.2">
      <c r="A198" s="2" t="s">
        <v>181</v>
      </c>
    </row>
    <row r="199" spans="1:1" x14ac:dyDescent="0.2">
      <c r="A199" s="2" t="s">
        <v>182</v>
      </c>
    </row>
    <row r="200" spans="1:1" x14ac:dyDescent="0.2">
      <c r="A200" s="2" t="s">
        <v>183</v>
      </c>
    </row>
    <row r="201" spans="1:1" x14ac:dyDescent="0.2">
      <c r="A201" s="2" t="s">
        <v>184</v>
      </c>
    </row>
    <row r="202" spans="1:1" x14ac:dyDescent="0.2">
      <c r="A202" s="2" t="s">
        <v>185</v>
      </c>
    </row>
    <row r="203" spans="1:1" x14ac:dyDescent="0.2">
      <c r="A203" s="2" t="s">
        <v>186</v>
      </c>
    </row>
    <row r="204" spans="1:1" x14ac:dyDescent="0.2">
      <c r="A204" s="2" t="s">
        <v>187</v>
      </c>
    </row>
    <row r="205" spans="1:1" x14ac:dyDescent="0.2">
      <c r="A205" s="2" t="s">
        <v>188</v>
      </c>
    </row>
    <row r="206" spans="1:1" x14ac:dyDescent="0.2">
      <c r="A206" s="2" t="s">
        <v>189</v>
      </c>
    </row>
    <row r="207" spans="1:1" x14ac:dyDescent="0.2">
      <c r="A207" s="2" t="s">
        <v>190</v>
      </c>
    </row>
    <row r="208" spans="1:1" x14ac:dyDescent="0.2">
      <c r="A208" s="2" t="s">
        <v>191</v>
      </c>
    </row>
    <row r="209" spans="1:2" x14ac:dyDescent="0.2">
      <c r="A209" s="2" t="s">
        <v>192</v>
      </c>
    </row>
    <row r="210" spans="1:2" x14ac:dyDescent="0.2">
      <c r="A210" s="2" t="s">
        <v>193</v>
      </c>
    </row>
    <row r="211" spans="1:2" x14ac:dyDescent="0.2">
      <c r="A211" s="2" t="s">
        <v>194</v>
      </c>
    </row>
    <row r="212" spans="1:2" x14ac:dyDescent="0.2">
      <c r="A212" s="2" t="s">
        <v>195</v>
      </c>
    </row>
    <row r="213" spans="1:2" x14ac:dyDescent="0.2">
      <c r="A213" s="2" t="s">
        <v>196</v>
      </c>
    </row>
    <row r="214" spans="1:2" x14ac:dyDescent="0.2">
      <c r="A214" s="2" t="s">
        <v>197</v>
      </c>
    </row>
    <row r="215" spans="1:2" x14ac:dyDescent="0.2">
      <c r="A215" s="2" t="s">
        <v>198</v>
      </c>
    </row>
    <row r="216" spans="1:2" x14ac:dyDescent="0.2">
      <c r="A216" s="2" t="s">
        <v>199</v>
      </c>
    </row>
    <row r="217" spans="1:2" x14ac:dyDescent="0.2">
      <c r="A217" s="2" t="s">
        <v>200</v>
      </c>
    </row>
    <row r="218" spans="1:2" x14ac:dyDescent="0.2">
      <c r="A218" s="2" t="s">
        <v>201</v>
      </c>
    </row>
    <row r="219" spans="1:2" s="1" customFormat="1" x14ac:dyDescent="0.2"/>
    <row r="220" spans="1:2" x14ac:dyDescent="0.2">
      <c r="A220" s="1" t="s">
        <v>202</v>
      </c>
      <c r="B220" s="1"/>
    </row>
    <row r="221" spans="1:2" x14ac:dyDescent="0.2">
      <c r="A221" s="2" t="s">
        <v>203</v>
      </c>
    </row>
    <row r="222" spans="1:2" x14ac:dyDescent="0.2">
      <c r="A222" s="2" t="s">
        <v>204</v>
      </c>
    </row>
    <row r="223" spans="1:2" x14ac:dyDescent="0.2">
      <c r="A223" s="2" t="s">
        <v>205</v>
      </c>
    </row>
    <row r="224" spans="1:2" x14ac:dyDescent="0.2">
      <c r="A224" s="2" t="s">
        <v>206</v>
      </c>
    </row>
    <row r="225" spans="1:2" x14ac:dyDescent="0.2">
      <c r="A225" s="2" t="s">
        <v>207</v>
      </c>
    </row>
    <row r="226" spans="1:2" x14ac:dyDescent="0.2">
      <c r="A226" s="2" t="s">
        <v>208</v>
      </c>
    </row>
    <row r="227" spans="1:2" x14ac:dyDescent="0.2">
      <c r="A227" s="2" t="s">
        <v>209</v>
      </c>
    </row>
    <row r="228" spans="1:2" x14ac:dyDescent="0.2">
      <c r="A228" s="2" t="s">
        <v>210</v>
      </c>
    </row>
    <row r="229" spans="1:2" x14ac:dyDescent="0.2">
      <c r="A229" s="2" t="s">
        <v>211</v>
      </c>
    </row>
    <row r="230" spans="1:2" x14ac:dyDescent="0.2">
      <c r="A230" s="2" t="s">
        <v>212</v>
      </c>
    </row>
    <row r="231" spans="1:2" x14ac:dyDescent="0.2">
      <c r="A231" s="2" t="s">
        <v>213</v>
      </c>
    </row>
    <row r="232" spans="1:2" x14ac:dyDescent="0.2">
      <c r="A232" s="2" t="s">
        <v>214</v>
      </c>
    </row>
    <row r="233" spans="1:2" x14ac:dyDescent="0.2">
      <c r="A233" s="2" t="s">
        <v>215</v>
      </c>
    </row>
    <row r="234" spans="1:2" x14ac:dyDescent="0.2">
      <c r="A234" s="2" t="s">
        <v>216</v>
      </c>
    </row>
    <row r="236" spans="1:2" x14ac:dyDescent="0.2">
      <c r="A236" s="1" t="s">
        <v>217</v>
      </c>
      <c r="B236" s="1"/>
    </row>
    <row r="237" spans="1:2" x14ac:dyDescent="0.2">
      <c r="A237" s="2" t="s">
        <v>218</v>
      </c>
    </row>
    <row r="238" spans="1:2" x14ac:dyDescent="0.2">
      <c r="A238" s="2" t="s">
        <v>219</v>
      </c>
    </row>
    <row r="239" spans="1:2" x14ac:dyDescent="0.2">
      <c r="A239" s="2" t="s">
        <v>220</v>
      </c>
    </row>
    <row r="240" spans="1:2" x14ac:dyDescent="0.2">
      <c r="A240" s="2" t="s">
        <v>221</v>
      </c>
    </row>
    <row r="241" spans="1:2" x14ac:dyDescent="0.2">
      <c r="A241" s="2" t="s">
        <v>222</v>
      </c>
    </row>
    <row r="242" spans="1:2" x14ac:dyDescent="0.2">
      <c r="A242" s="2" t="s">
        <v>223</v>
      </c>
    </row>
    <row r="243" spans="1:2" x14ac:dyDescent="0.2">
      <c r="A243" s="2" t="s">
        <v>224</v>
      </c>
    </row>
    <row r="244" spans="1:2" x14ac:dyDescent="0.2">
      <c r="A244" s="2" t="s">
        <v>225</v>
      </c>
    </row>
    <row r="247" spans="1:2" x14ac:dyDescent="0.2">
      <c r="A247" s="1" t="s">
        <v>226</v>
      </c>
      <c r="B247" s="1"/>
    </row>
    <row r="248" spans="1:2" x14ac:dyDescent="0.2">
      <c r="A248" s="2" t="s">
        <v>227</v>
      </c>
    </row>
    <row r="249" spans="1:2" x14ac:dyDescent="0.2">
      <c r="A249" s="2" t="s">
        <v>228</v>
      </c>
    </row>
    <row r="250" spans="1:2" x14ac:dyDescent="0.2">
      <c r="A250" s="2" t="s">
        <v>229</v>
      </c>
    </row>
    <row r="251" spans="1:2" x14ac:dyDescent="0.2">
      <c r="A251" s="2" t="s">
        <v>230</v>
      </c>
    </row>
    <row r="252" spans="1:2" x14ac:dyDescent="0.2">
      <c r="A252" s="2" t="s">
        <v>231</v>
      </c>
    </row>
    <row r="253" spans="1:2" x14ac:dyDescent="0.2">
      <c r="A253" s="2" t="s">
        <v>232</v>
      </c>
    </row>
    <row r="254" spans="1:2" x14ac:dyDescent="0.2">
      <c r="A254" s="2" t="s">
        <v>233</v>
      </c>
    </row>
    <row r="255" spans="1:2" x14ac:dyDescent="0.2">
      <c r="A255" s="2" t="s">
        <v>234</v>
      </c>
    </row>
    <row r="256" spans="1:2" x14ac:dyDescent="0.2">
      <c r="A256" s="2" t="s">
        <v>235</v>
      </c>
    </row>
    <row r="257" spans="1:2" x14ac:dyDescent="0.2">
      <c r="A257" s="2" t="s">
        <v>236</v>
      </c>
    </row>
    <row r="258" spans="1:2" x14ac:dyDescent="0.2">
      <c r="A258" s="2" t="s">
        <v>237</v>
      </c>
    </row>
    <row r="261" spans="1:2" x14ac:dyDescent="0.2">
      <c r="A261" s="1" t="s">
        <v>238</v>
      </c>
      <c r="B261" s="1"/>
    </row>
    <row r="262" spans="1:2" x14ac:dyDescent="0.2">
      <c r="A262" s="12" t="s">
        <v>239</v>
      </c>
      <c r="B262" s="12"/>
    </row>
    <row r="263" spans="1:2" x14ac:dyDescent="0.2">
      <c r="A263" s="2" t="s">
        <v>240</v>
      </c>
    </row>
    <row r="264" spans="1:2" x14ac:dyDescent="0.2">
      <c r="A264" s="2" t="s">
        <v>241</v>
      </c>
    </row>
    <row r="265" spans="1:2" x14ac:dyDescent="0.2">
      <c r="A265" s="2" t="s">
        <v>242</v>
      </c>
    </row>
    <row r="266" spans="1:2" x14ac:dyDescent="0.2">
      <c r="A266" s="2" t="s">
        <v>243</v>
      </c>
    </row>
    <row r="267" spans="1:2" x14ac:dyDescent="0.2">
      <c r="A267" s="2" t="s">
        <v>244</v>
      </c>
    </row>
    <row r="268" spans="1:2" x14ac:dyDescent="0.2">
      <c r="A268" s="2" t="s">
        <v>245</v>
      </c>
    </row>
    <row r="269" spans="1:2" x14ac:dyDescent="0.2">
      <c r="A269" s="2" t="s">
        <v>246</v>
      </c>
    </row>
    <row r="270" spans="1:2" x14ac:dyDescent="0.2">
      <c r="A270" s="2" t="s">
        <v>247</v>
      </c>
    </row>
    <row r="271" spans="1:2" x14ac:dyDescent="0.2">
      <c r="A271" s="2" t="s">
        <v>248</v>
      </c>
    </row>
    <row r="272" spans="1:2" x14ac:dyDescent="0.2">
      <c r="A272" s="2" t="s">
        <v>249</v>
      </c>
    </row>
    <row r="273" spans="1:1" x14ac:dyDescent="0.2">
      <c r="A273" s="2" t="s">
        <v>250</v>
      </c>
    </row>
    <row r="274" spans="1:1" x14ac:dyDescent="0.2">
      <c r="A274" s="2" t="s">
        <v>251</v>
      </c>
    </row>
  </sheetData>
  <pageMargins left="0.7" right="0.7" top="0.75" bottom="0.75" header="0.3" footer="0.3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47AE-A965-9441-8BED-1610AFE4E5D1}">
  <dimension ref="A1:W161"/>
  <sheetViews>
    <sheetView topLeftCell="A127" zoomScale="118" zoomScaleNormal="100" workbookViewId="0">
      <selection activeCell="H151" sqref="H151"/>
    </sheetView>
  </sheetViews>
  <sheetFormatPr baseColWidth="10" defaultColWidth="8.83203125" defaultRowHeight="15" x14ac:dyDescent="0.2"/>
  <cols>
    <col min="1" max="2" width="8.83203125" style="2"/>
    <col min="3" max="3" width="2.33203125" style="2" customWidth="1"/>
    <col min="4" max="4" width="23.83203125" style="2" customWidth="1"/>
    <col min="5" max="6" width="5.6640625" style="2" customWidth="1"/>
    <col min="7" max="7" width="6.83203125" style="3" customWidth="1"/>
    <col min="8" max="8" width="7.6640625" style="3" customWidth="1"/>
    <col min="9" max="9" width="4.83203125" style="3" customWidth="1"/>
    <col min="10" max="10" width="16.5" style="2" customWidth="1"/>
    <col min="11" max="11" width="9.5" style="2" customWidth="1"/>
    <col min="12" max="12" width="8.5" style="2" customWidth="1"/>
    <col min="13" max="13" width="6" style="2" customWidth="1"/>
    <col min="14" max="14" width="7.33203125" style="2" customWidth="1"/>
    <col min="15" max="16384" width="8.83203125" style="2"/>
  </cols>
  <sheetData>
    <row r="1" spans="3:23" x14ac:dyDescent="0.2">
      <c r="F1" s="1"/>
      <c r="G1" s="4"/>
      <c r="H1" s="4"/>
    </row>
    <row r="2" spans="3:23" x14ac:dyDescent="0.2">
      <c r="D2" s="1"/>
      <c r="G2" s="4"/>
      <c r="H2" s="4"/>
      <c r="I2" s="4"/>
    </row>
    <row r="3" spans="3:23" x14ac:dyDescent="0.2">
      <c r="D3" s="1" t="s">
        <v>511</v>
      </c>
      <c r="E3" s="2" t="s">
        <v>359</v>
      </c>
      <c r="F3" s="2" t="s">
        <v>360</v>
      </c>
      <c r="G3" s="3" t="s">
        <v>361</v>
      </c>
      <c r="H3" s="3" t="s">
        <v>517</v>
      </c>
      <c r="I3" s="4" t="s">
        <v>518</v>
      </c>
      <c r="J3" s="4" t="s">
        <v>513</v>
      </c>
      <c r="K3" s="1" t="s">
        <v>520</v>
      </c>
      <c r="L3" s="1" t="s">
        <v>521</v>
      </c>
      <c r="M3" s="2" t="s">
        <v>522</v>
      </c>
      <c r="N3" s="2" t="s">
        <v>523</v>
      </c>
      <c r="T3" s="3"/>
      <c r="U3" s="3" t="s">
        <v>364</v>
      </c>
      <c r="V3" s="3" t="s">
        <v>365</v>
      </c>
    </row>
    <row r="4" spans="3:23" x14ac:dyDescent="0.2">
      <c r="C4" s="31"/>
      <c r="D4" s="10" t="s">
        <v>6</v>
      </c>
      <c r="E4" s="2">
        <v>116</v>
      </c>
      <c r="F4" s="32">
        <v>2.579786158408549E-3</v>
      </c>
      <c r="G4" s="33">
        <v>92</v>
      </c>
      <c r="H4" s="33">
        <v>440</v>
      </c>
      <c r="I4" s="33">
        <v>1</v>
      </c>
      <c r="J4" s="3">
        <v>2129440524.9576907</v>
      </c>
      <c r="K4" s="2">
        <f>J4/J$19</f>
        <v>1.0224921068963709E-2</v>
      </c>
      <c r="L4" s="2">
        <f>I4*K4</f>
        <v>1.0224921068963709E-2</v>
      </c>
      <c r="M4" s="2">
        <f>K4^2</f>
        <v>1.0454901086653797E-4</v>
      </c>
      <c r="N4" s="2">
        <f>M4-(1/14)</f>
        <v>-7.1324022417704885E-2</v>
      </c>
      <c r="T4" s="3" t="s">
        <v>366</v>
      </c>
      <c r="U4" s="3">
        <v>1</v>
      </c>
      <c r="V4" s="3">
        <v>1</v>
      </c>
      <c r="W4" s="2">
        <f>U4+V4</f>
        <v>2</v>
      </c>
    </row>
    <row r="5" spans="3:23" x14ac:dyDescent="0.2">
      <c r="C5" s="31"/>
      <c r="D5" s="10" t="s">
        <v>7</v>
      </c>
      <c r="E5" s="2">
        <v>100</v>
      </c>
      <c r="F5" s="32">
        <v>9.8812734209985497E-3</v>
      </c>
      <c r="G5" s="33">
        <v>348</v>
      </c>
      <c r="H5" s="33">
        <v>10010</v>
      </c>
      <c r="I5" s="33">
        <v>1</v>
      </c>
      <c r="J5" s="40">
        <v>8156328768.676713</v>
      </c>
      <c r="K5" s="2">
        <f t="shared" ref="K5:K18" si="0">J5/J$19</f>
        <v>3.9164192140982365E-2</v>
      </c>
      <c r="L5" s="2">
        <f t="shared" ref="L5:L18" si="1">I5*K5</f>
        <v>3.9164192140982365E-2</v>
      </c>
      <c r="M5" s="2">
        <f t="shared" ref="M5:M19" si="2">K5^2</f>
        <v>1.5338339460557848E-3</v>
      </c>
      <c r="N5" s="2">
        <f t="shared" ref="N5:N18" si="3">M5-(1/14)</f>
        <v>-6.9894737482515637E-2</v>
      </c>
      <c r="T5" s="3" t="s">
        <v>367</v>
      </c>
      <c r="U5" s="3">
        <v>0</v>
      </c>
      <c r="V5" s="3">
        <v>0</v>
      </c>
      <c r="W5" s="2">
        <f>U5+V5</f>
        <v>0</v>
      </c>
    </row>
    <row r="6" spans="3:23" x14ac:dyDescent="0.2">
      <c r="C6" s="31"/>
      <c r="D6" s="10" t="s">
        <v>8</v>
      </c>
      <c r="E6" s="2">
        <v>98</v>
      </c>
      <c r="F6" s="32">
        <v>5.1894772234066132E-3</v>
      </c>
      <c r="G6" s="33">
        <v>277</v>
      </c>
      <c r="H6" s="33">
        <v>430</v>
      </c>
      <c r="I6" s="33"/>
      <c r="J6" s="3">
        <v>4283565545.4807315</v>
      </c>
      <c r="K6" s="2">
        <f t="shared" si="0"/>
        <v>2.0568369523794608E-2</v>
      </c>
      <c r="L6" s="2">
        <f t="shared" si="1"/>
        <v>0</v>
      </c>
      <c r="M6" s="2">
        <f t="shared" si="2"/>
        <v>4.2305782486736285E-4</v>
      </c>
      <c r="N6" s="2">
        <f t="shared" si="3"/>
        <v>-7.1005513603704065E-2</v>
      </c>
      <c r="T6" s="3" t="s">
        <v>368</v>
      </c>
      <c r="U6" s="3">
        <v>1</v>
      </c>
      <c r="V6" s="3">
        <v>0</v>
      </c>
      <c r="W6" s="2">
        <f>U6+V6</f>
        <v>1</v>
      </c>
    </row>
    <row r="7" spans="3:23" x14ac:dyDescent="0.2">
      <c r="C7" s="31"/>
      <c r="D7" s="10" t="s">
        <v>9</v>
      </c>
      <c r="E7" s="2">
        <v>132</v>
      </c>
      <c r="F7" s="32">
        <v>2.832614697270714E-3</v>
      </c>
      <c r="G7" s="33">
        <v>306</v>
      </c>
      <c r="H7" s="33">
        <v>22810</v>
      </c>
      <c r="I7" s="33">
        <v>1</v>
      </c>
      <c r="J7" s="3">
        <v>2338133534.168601</v>
      </c>
      <c r="K7" s="2">
        <f t="shared" si="0"/>
        <v>1.1227000968268938E-2</v>
      </c>
      <c r="L7" s="2">
        <f t="shared" si="1"/>
        <v>1.1227000968268938E-2</v>
      </c>
      <c r="M7" s="2">
        <f t="shared" si="2"/>
        <v>1.2604555074151167E-4</v>
      </c>
      <c r="N7" s="2">
        <f t="shared" si="3"/>
        <v>-7.1302525877829911E-2</v>
      </c>
    </row>
    <row r="8" spans="3:23" x14ac:dyDescent="0.2">
      <c r="C8" s="31"/>
      <c r="D8" s="10" t="s">
        <v>10</v>
      </c>
      <c r="E8" s="2">
        <v>96</v>
      </c>
      <c r="F8" s="32">
        <v>8.5215836474868416E-4</v>
      </c>
      <c r="G8" s="33">
        <v>71</v>
      </c>
      <c r="H8" s="33">
        <v>750</v>
      </c>
      <c r="I8" s="33"/>
      <c r="J8" s="3">
        <v>703399601.42159665</v>
      </c>
      <c r="K8" s="2">
        <f t="shared" si="0"/>
        <v>3.3775094068989129E-3</v>
      </c>
      <c r="L8" s="2">
        <f t="shared" si="1"/>
        <v>0</v>
      </c>
      <c r="M8" s="2">
        <f t="shared" si="2"/>
        <v>1.1407569793690647E-5</v>
      </c>
      <c r="N8" s="2">
        <f t="shared" si="3"/>
        <v>-7.1417163858777735E-2</v>
      </c>
    </row>
    <row r="9" spans="3:23" x14ac:dyDescent="0.2">
      <c r="C9" s="31"/>
      <c r="D9" s="10" t="s">
        <v>19</v>
      </c>
      <c r="E9" s="2">
        <v>61</v>
      </c>
      <c r="F9" s="32">
        <v>0.11718927733182312</v>
      </c>
      <c r="G9" s="33">
        <v>9636</v>
      </c>
      <c r="H9" s="33">
        <v>48310</v>
      </c>
      <c r="I9" s="34">
        <v>1</v>
      </c>
      <c r="J9" s="3">
        <v>96731892070.788498</v>
      </c>
      <c r="K9" s="1">
        <f t="shared" si="0"/>
        <v>0.46447691291823262</v>
      </c>
      <c r="L9" s="2">
        <f t="shared" si="1"/>
        <v>0.46447691291823262</v>
      </c>
      <c r="M9" s="2">
        <f t="shared" si="2"/>
        <v>0.21573880263405146</v>
      </c>
      <c r="N9" s="2">
        <f t="shared" si="3"/>
        <v>0.14431023120548003</v>
      </c>
    </row>
    <row r="10" spans="3:23" x14ac:dyDescent="0.2">
      <c r="C10" s="31"/>
      <c r="D10" s="10" t="s">
        <v>11</v>
      </c>
      <c r="E10" s="2">
        <v>79</v>
      </c>
      <c r="F10" s="32">
        <v>1.4656975288225987E-3</v>
      </c>
      <c r="G10" s="33">
        <v>103</v>
      </c>
      <c r="H10" s="33">
        <v>340</v>
      </c>
      <c r="I10" s="33"/>
      <c r="J10" s="3">
        <v>1209835049.7122512</v>
      </c>
      <c r="K10" s="2">
        <f t="shared" si="0"/>
        <v>5.8092572883759411E-3</v>
      </c>
      <c r="L10" s="2">
        <f t="shared" si="1"/>
        <v>0</v>
      </c>
      <c r="M10" s="2">
        <f t="shared" si="2"/>
        <v>3.3747470242548995E-5</v>
      </c>
      <c r="N10" s="2">
        <f t="shared" si="3"/>
        <v>-7.1394823958328871E-2</v>
      </c>
    </row>
    <row r="11" spans="3:23" x14ac:dyDescent="0.2">
      <c r="C11" s="31"/>
      <c r="D11" s="10" t="s">
        <v>12</v>
      </c>
      <c r="E11" s="2">
        <v>138</v>
      </c>
      <c r="F11" s="32">
        <v>4.7020877303029776E-3</v>
      </c>
      <c r="G11" s="33">
        <v>746</v>
      </c>
      <c r="H11" s="33">
        <v>196850</v>
      </c>
      <c r="I11" s="33">
        <v>1</v>
      </c>
      <c r="J11" s="3">
        <v>3881258193.5048141</v>
      </c>
      <c r="K11" s="2">
        <f t="shared" si="0"/>
        <v>1.8636612862265266E-2</v>
      </c>
      <c r="L11" s="2">
        <f t="shared" si="1"/>
        <v>1.8636612862265266E-2</v>
      </c>
      <c r="M11" s="2">
        <f t="shared" si="2"/>
        <v>3.4732333897795115E-4</v>
      </c>
      <c r="N11" s="2">
        <f t="shared" si="3"/>
        <v>-7.1081248089593471E-2</v>
      </c>
    </row>
    <row r="12" spans="3:23" x14ac:dyDescent="0.2">
      <c r="C12" s="31"/>
      <c r="D12" s="10" t="s">
        <v>5</v>
      </c>
      <c r="E12" s="2">
        <v>56</v>
      </c>
      <c r="F12" s="2">
        <v>1.7943939805233143E-2</v>
      </c>
      <c r="G12" s="33">
        <v>9705</v>
      </c>
      <c r="H12" s="33">
        <v>27560</v>
      </c>
      <c r="I12" s="33"/>
      <c r="J12" s="3">
        <v>14811519347.881405</v>
      </c>
      <c r="K12" s="2">
        <f t="shared" si="0"/>
        <v>7.1120378554139357E-2</v>
      </c>
      <c r="L12" s="2">
        <f t="shared" si="1"/>
        <v>0</v>
      </c>
      <c r="M12" s="2">
        <f t="shared" si="2"/>
        <v>5.0581082456840855E-3</v>
      </c>
      <c r="N12" s="2">
        <f t="shared" si="3"/>
        <v>-6.6370463182887335E-2</v>
      </c>
    </row>
    <row r="13" spans="3:23" x14ac:dyDescent="0.2">
      <c r="C13" s="31"/>
      <c r="D13" s="10" t="s">
        <v>13</v>
      </c>
      <c r="E13" s="2">
        <v>113</v>
      </c>
      <c r="F13" s="32">
        <v>2.7814358649433726E-2</v>
      </c>
      <c r="G13" s="33">
        <v>2790</v>
      </c>
      <c r="H13" s="33">
        <v>10830</v>
      </c>
      <c r="I13" s="33">
        <v>1</v>
      </c>
      <c r="J13" s="3">
        <v>22958888391.101994</v>
      </c>
      <c r="K13" s="2">
        <f t="shared" si="0"/>
        <v>0.11024154883819981</v>
      </c>
      <c r="L13" s="2">
        <f t="shared" si="1"/>
        <v>0.11024154883819981</v>
      </c>
      <c r="M13" s="2">
        <f t="shared" si="2"/>
        <v>1.2153199090245193E-2</v>
      </c>
      <c r="N13" s="2">
        <f t="shared" si="3"/>
        <v>-5.9275372338326235E-2</v>
      </c>
    </row>
    <row r="14" spans="3:23" x14ac:dyDescent="0.2">
      <c r="C14" s="31"/>
      <c r="D14" s="10" t="s">
        <v>14</v>
      </c>
      <c r="E14" s="2">
        <v>114</v>
      </c>
      <c r="F14" s="32">
        <v>2.2231454905780254E-3</v>
      </c>
      <c r="G14" s="33">
        <v>169</v>
      </c>
      <c r="H14" s="33">
        <v>610</v>
      </c>
      <c r="I14" s="33">
        <v>1</v>
      </c>
      <c r="J14" s="3">
        <v>1835057562.8462932</v>
      </c>
      <c r="K14" s="2">
        <f t="shared" si="0"/>
        <v>8.8113842660531988E-3</v>
      </c>
      <c r="L14" s="2">
        <f t="shared" si="1"/>
        <v>8.8113842660531988E-3</v>
      </c>
      <c r="M14" s="2">
        <f t="shared" si="2"/>
        <v>7.7640492684049871E-5</v>
      </c>
      <c r="N14" s="2">
        <f t="shared" si="3"/>
        <v>-7.1350930935887374E-2</v>
      </c>
    </row>
    <row r="15" spans="3:23" x14ac:dyDescent="0.2">
      <c r="C15" s="31"/>
      <c r="D15" s="10" t="s">
        <v>15</v>
      </c>
      <c r="E15" s="2">
        <v>92</v>
      </c>
      <c r="F15" s="32">
        <v>1.3332451130382372E-3</v>
      </c>
      <c r="G15" s="33">
        <v>109</v>
      </c>
      <c r="H15" s="33">
        <v>390</v>
      </c>
      <c r="I15" s="33"/>
      <c r="J15" s="3">
        <v>1100504460.089366</v>
      </c>
      <c r="K15" s="2">
        <f t="shared" si="0"/>
        <v>5.2842852892920613E-3</v>
      </c>
      <c r="L15" s="2">
        <f t="shared" si="1"/>
        <v>0</v>
      </c>
      <c r="M15" s="2">
        <f t="shared" si="2"/>
        <v>2.7923671018628483E-5</v>
      </c>
      <c r="N15" s="2">
        <f t="shared" si="3"/>
        <v>-7.1400647757552796E-2</v>
      </c>
    </row>
    <row r="16" spans="3:23" x14ac:dyDescent="0.2">
      <c r="C16" s="31"/>
      <c r="D16" s="10" t="s">
        <v>16</v>
      </c>
      <c r="E16" s="2">
        <v>91</v>
      </c>
      <c r="F16" s="32">
        <v>1.3523429495557674E-3</v>
      </c>
      <c r="G16" s="33">
        <v>50</v>
      </c>
      <c r="H16" s="33">
        <v>260</v>
      </c>
      <c r="I16" s="33"/>
      <c r="J16" s="3">
        <v>1116268443.8160377</v>
      </c>
      <c r="K16" s="2">
        <f t="shared" si="0"/>
        <v>5.3599791100156285E-3</v>
      </c>
      <c r="L16" s="2">
        <f t="shared" si="1"/>
        <v>0</v>
      </c>
      <c r="M16" s="2">
        <f t="shared" si="2"/>
        <v>2.8729376059803929E-5</v>
      </c>
      <c r="N16" s="2">
        <f t="shared" si="3"/>
        <v>-7.1399842052511625E-2</v>
      </c>
    </row>
    <row r="17" spans="1:14" x14ac:dyDescent="0.2">
      <c r="C17" s="31"/>
      <c r="D17" s="10" t="s">
        <v>17</v>
      </c>
      <c r="E17" s="2">
        <v>109</v>
      </c>
      <c r="F17" s="32">
        <v>8.0320300533250084E-3</v>
      </c>
      <c r="G17" s="33">
        <v>515</v>
      </c>
      <c r="H17" s="33">
        <v>156000</v>
      </c>
      <c r="I17" s="33">
        <v>1</v>
      </c>
      <c r="J17" s="3">
        <v>6629902341.8977947</v>
      </c>
      <c r="K17" s="2">
        <f t="shared" si="0"/>
        <v>3.1834760044396879E-2</v>
      </c>
      <c r="L17" s="2">
        <f t="shared" si="1"/>
        <v>3.1834760044396879E-2</v>
      </c>
      <c r="M17" s="2">
        <f t="shared" si="2"/>
        <v>1.0134519470843279E-3</v>
      </c>
      <c r="N17" s="2">
        <f t="shared" si="3"/>
        <v>-7.0415119481487098E-2</v>
      </c>
    </row>
    <row r="18" spans="1:14" x14ac:dyDescent="0.2">
      <c r="A18" s="2">
        <v>1.3</v>
      </c>
      <c r="C18" s="31"/>
      <c r="D18" s="10" t="s">
        <v>18</v>
      </c>
      <c r="E18" s="2">
        <v>101</v>
      </c>
      <c r="F18" s="32">
        <v>4.8912337904253894E-2</v>
      </c>
      <c r="G18" s="33">
        <v>1315</v>
      </c>
      <c r="H18" s="33">
        <v>5130</v>
      </c>
      <c r="I18" s="33">
        <v>1</v>
      </c>
      <c r="J18" s="3">
        <v>40373855857.88063</v>
      </c>
      <c r="K18" s="2">
        <f t="shared" si="0"/>
        <v>0.19386288772012064</v>
      </c>
      <c r="L18" s="2">
        <f t="shared" si="1"/>
        <v>0.19386288772012064</v>
      </c>
      <c r="M18" s="2">
        <f t="shared" si="2"/>
        <v>3.7582819235184105E-2</v>
      </c>
      <c r="N18" s="2">
        <f t="shared" si="3"/>
        <v>-3.384575219338732E-2</v>
      </c>
    </row>
    <row r="19" spans="1:14" x14ac:dyDescent="0.2">
      <c r="D19" s="35" t="s">
        <v>369</v>
      </c>
      <c r="F19" s="32">
        <v>0.11717055528414336</v>
      </c>
      <c r="G19" s="34"/>
      <c r="H19" s="34"/>
      <c r="I19" s="34">
        <f>9/15*100</f>
        <v>60</v>
      </c>
      <c r="J19" s="7">
        <f>SUM(J4:J18)</f>
        <v>208259849694.22443</v>
      </c>
      <c r="K19" s="36"/>
      <c r="L19" s="36">
        <f>SUM(L4:L18)*100</f>
        <v>88.848022082748344</v>
      </c>
      <c r="M19" s="2">
        <f t="shared" si="2"/>
        <v>0</v>
      </c>
      <c r="N19" s="1">
        <f>SQRT(ABS(SUM(N4:N18))/(1-(1/15)))</f>
        <v>0.92417990596973576</v>
      </c>
    </row>
    <row r="21" spans="1:14" x14ac:dyDescent="0.2">
      <c r="D21" s="37" t="s">
        <v>370</v>
      </c>
      <c r="G21" s="34"/>
      <c r="H21" s="34"/>
      <c r="I21" s="34"/>
    </row>
    <row r="22" spans="1:14" x14ac:dyDescent="0.2">
      <c r="D22" s="1" t="s">
        <v>371</v>
      </c>
      <c r="G22" s="4"/>
      <c r="H22" s="4"/>
      <c r="I22" s="4"/>
      <c r="J22" s="4" t="s">
        <v>362</v>
      </c>
      <c r="K22" s="1" t="s">
        <v>363</v>
      </c>
      <c r="L22" s="1"/>
    </row>
    <row r="23" spans="1:14" x14ac:dyDescent="0.2">
      <c r="C23" s="31"/>
      <c r="D23" s="10" t="s">
        <v>25</v>
      </c>
      <c r="E23" s="2">
        <v>68</v>
      </c>
      <c r="F23" s="32">
        <v>6.5860723765934936E-2</v>
      </c>
      <c r="G23" s="33">
        <v>4654</v>
      </c>
      <c r="H23" s="33">
        <v>51060</v>
      </c>
      <c r="I23" s="33"/>
      <c r="J23" s="3">
        <v>65779909102.708412</v>
      </c>
      <c r="K23" s="2">
        <f>J23/J$29</f>
        <v>0.18625900710326568</v>
      </c>
      <c r="L23" s="2">
        <f>I23*K23</f>
        <v>0</v>
      </c>
      <c r="M23" s="2">
        <f>K23^2</f>
        <v>3.4692417727094374E-2</v>
      </c>
      <c r="N23" s="2">
        <f>M23-(1/6)</f>
        <v>-0.13197424893957227</v>
      </c>
    </row>
    <row r="24" spans="1:14" x14ac:dyDescent="0.2">
      <c r="C24" s="31"/>
      <c r="D24" s="10" t="s">
        <v>26</v>
      </c>
      <c r="E24" s="2">
        <v>70</v>
      </c>
      <c r="F24" s="32">
        <v>4.7785673352822501E-2</v>
      </c>
      <c r="G24" s="33">
        <v>6221</v>
      </c>
      <c r="H24" s="33">
        <v>20720</v>
      </c>
      <c r="I24" s="33"/>
      <c r="J24" s="3">
        <v>47727037752.145149</v>
      </c>
      <c r="K24" s="2">
        <f t="shared" ref="K24:K27" si="4">J24/J$29</f>
        <v>0.13514142517002373</v>
      </c>
      <c r="L24" s="2">
        <f t="shared" ref="L24:L28" si="5">I24*K24</f>
        <v>0</v>
      </c>
      <c r="M24" s="2">
        <f t="shared" ref="M24:M28" si="6">K24^2</f>
        <v>1.8263204796985122E-2</v>
      </c>
      <c r="N24" s="2">
        <f t="shared" ref="N24:N28" si="7">M24-(1/6)</f>
        <v>-0.14840346186968154</v>
      </c>
    </row>
    <row r="25" spans="1:14" x14ac:dyDescent="0.2">
      <c r="C25" s="31"/>
      <c r="D25" s="10" t="s">
        <v>24</v>
      </c>
      <c r="E25" s="2">
        <v>61</v>
      </c>
      <c r="F25" s="32">
        <v>0.10742922157088773</v>
      </c>
      <c r="G25" s="33">
        <v>15271</v>
      </c>
      <c r="H25" s="33">
        <v>107160</v>
      </c>
      <c r="I25" s="34">
        <v>1</v>
      </c>
      <c r="J25" s="3">
        <v>107297400116.9846</v>
      </c>
      <c r="K25" s="1">
        <f t="shared" si="4"/>
        <v>0.30381779912992474</v>
      </c>
      <c r="L25" s="2">
        <f t="shared" si="5"/>
        <v>0.30381779912992474</v>
      </c>
      <c r="M25" s="2">
        <f t="shared" si="6"/>
        <v>9.2305255068151293E-2</v>
      </c>
      <c r="N25" s="2">
        <f t="shared" si="7"/>
        <v>-7.4361411598515365E-2</v>
      </c>
    </row>
    <row r="26" spans="1:14" x14ac:dyDescent="0.2">
      <c r="A26" s="2" t="s">
        <v>372</v>
      </c>
      <c r="C26" s="31"/>
      <c r="D26" s="10" t="s">
        <v>27</v>
      </c>
      <c r="E26" s="2">
        <v>121</v>
      </c>
      <c r="F26" s="32">
        <v>3.5878519439649273E-2</v>
      </c>
      <c r="G26" s="33">
        <v>8505</v>
      </c>
      <c r="H26" s="33">
        <v>111890</v>
      </c>
      <c r="I26" s="33">
        <v>1</v>
      </c>
      <c r="J26" s="3">
        <v>35834494559.57225</v>
      </c>
      <c r="K26" s="2">
        <f t="shared" si="4"/>
        <v>0.1014671115810114</v>
      </c>
      <c r="L26" s="2">
        <f t="shared" si="5"/>
        <v>0.1014671115810114</v>
      </c>
      <c r="M26" s="2">
        <f t="shared" si="6"/>
        <v>1.0295574732593418E-2</v>
      </c>
      <c r="N26" s="2">
        <f t="shared" si="7"/>
        <v>-0.15637109193407323</v>
      </c>
    </row>
    <row r="27" spans="1:14" x14ac:dyDescent="0.2">
      <c r="A27" s="2" t="s">
        <v>373</v>
      </c>
      <c r="C27" s="31"/>
      <c r="D27" s="10" t="s">
        <v>28</v>
      </c>
      <c r="E27" s="2">
        <v>115</v>
      </c>
      <c r="F27" s="32">
        <v>2.6687104727306461E-2</v>
      </c>
      <c r="G27" s="33">
        <v>5877</v>
      </c>
      <c r="H27" s="33">
        <v>120340</v>
      </c>
      <c r="I27" s="33">
        <v>1</v>
      </c>
      <c r="J27" s="3">
        <v>26654358209.234581</v>
      </c>
      <c r="K27" s="2">
        <f t="shared" si="4"/>
        <v>7.5473109688781848E-2</v>
      </c>
      <c r="L27" s="2">
        <f t="shared" si="5"/>
        <v>7.5473109688781848E-2</v>
      </c>
      <c r="M27" s="2">
        <f t="shared" si="6"/>
        <v>5.6961902860948963E-3</v>
      </c>
      <c r="N27" s="2">
        <f t="shared" si="7"/>
        <v>-0.16097047638057177</v>
      </c>
    </row>
    <row r="28" spans="1:14" x14ac:dyDescent="0.2">
      <c r="A28" s="2" t="s">
        <v>374</v>
      </c>
      <c r="C28" s="31"/>
      <c r="D28" s="10" t="s">
        <v>23</v>
      </c>
      <c r="E28" s="2">
        <v>150</v>
      </c>
      <c r="F28" s="32">
        <v>6.9956281312635427E-2</v>
      </c>
      <c r="G28" s="33">
        <v>3772</v>
      </c>
      <c r="H28" s="33">
        <v>74340</v>
      </c>
      <c r="I28" s="33">
        <v>1</v>
      </c>
      <c r="J28" s="3">
        <v>69870441179.220673</v>
      </c>
      <c r="K28" s="2">
        <f>J28/J$29</f>
        <v>0.19784154732699277</v>
      </c>
      <c r="L28" s="2">
        <f t="shared" si="5"/>
        <v>0.19784154732699277</v>
      </c>
      <c r="M28" s="2">
        <f t="shared" si="6"/>
        <v>3.914127784873872E-2</v>
      </c>
      <c r="N28" s="2">
        <f t="shared" si="7"/>
        <v>-0.12752538881792794</v>
      </c>
    </row>
    <row r="29" spans="1:14" x14ac:dyDescent="0.2">
      <c r="D29" s="35" t="s">
        <v>369</v>
      </c>
      <c r="G29" s="34"/>
      <c r="H29" s="34"/>
      <c r="I29" s="34">
        <f>COUNT(I23:I28)/6*100</f>
        <v>66.666666666666657</v>
      </c>
      <c r="J29" s="7">
        <f>SUM(J23:J28)</f>
        <v>353163640919.8656</v>
      </c>
      <c r="K29" s="36"/>
      <c r="L29" s="36">
        <f>SUM(L23:L28)*100</f>
        <v>67.859956772671069</v>
      </c>
      <c r="N29" s="1">
        <f>SQRT(ABS(SUM(N23:N28))/(1-(1/6)))</f>
        <v>0.97955464137964787</v>
      </c>
    </row>
    <row r="31" spans="1:14" x14ac:dyDescent="0.2">
      <c r="D31" s="37" t="s">
        <v>123</v>
      </c>
      <c r="G31" s="34"/>
      <c r="H31" s="34"/>
      <c r="I31" s="34"/>
    </row>
    <row r="32" spans="1:14" x14ac:dyDescent="0.2">
      <c r="D32" s="1" t="s">
        <v>371</v>
      </c>
      <c r="G32" s="4"/>
      <c r="H32" s="4"/>
      <c r="I32" s="4"/>
      <c r="J32" s="4" t="s">
        <v>362</v>
      </c>
      <c r="K32" s="1" t="s">
        <v>363</v>
      </c>
      <c r="L32" s="1"/>
    </row>
    <row r="33" spans="1:14" x14ac:dyDescent="0.2">
      <c r="C33" s="31"/>
      <c r="D33" s="2" t="s">
        <v>31</v>
      </c>
      <c r="E33" s="2">
        <v>105</v>
      </c>
      <c r="F33" s="32">
        <v>3.1345215279028331E-2</v>
      </c>
      <c r="G33" s="3">
        <v>2250</v>
      </c>
      <c r="H33" s="3">
        <v>566730</v>
      </c>
      <c r="J33" s="2">
        <v>37657768013.80101</v>
      </c>
      <c r="K33" s="2">
        <f>J33/J$39</f>
        <v>4.3977589718105829E-2</v>
      </c>
      <c r="L33" s="2">
        <f>I33*K33</f>
        <v>0</v>
      </c>
      <c r="M33" s="2">
        <f>K33^2</f>
        <v>1.9340283974140476E-3</v>
      </c>
      <c r="N33" s="2">
        <f>M33-(1/6)</f>
        <v>-0.16473263826925261</v>
      </c>
    </row>
    <row r="34" spans="1:14" x14ac:dyDescent="0.2">
      <c r="A34" s="2" t="s">
        <v>375</v>
      </c>
      <c r="C34" s="31"/>
      <c r="D34" s="2" t="s">
        <v>32</v>
      </c>
      <c r="E34" s="2">
        <v>127</v>
      </c>
      <c r="F34" s="32">
        <v>5.5569995633152416E-3</v>
      </c>
      <c r="G34" s="3">
        <v>2203</v>
      </c>
      <c r="H34" s="3">
        <v>30360</v>
      </c>
      <c r="I34" s="3">
        <v>1</v>
      </c>
      <c r="J34" s="2">
        <v>6676113038.1557198</v>
      </c>
      <c r="K34" s="2">
        <f t="shared" ref="K34:K38" si="8">J34/J$39</f>
        <v>7.7965151836962157E-3</v>
      </c>
      <c r="L34" s="2">
        <f t="shared" ref="L34:L38" si="9">I34*K34</f>
        <v>7.7965151836962157E-3</v>
      </c>
      <c r="M34" s="2">
        <f t="shared" ref="M34:M38" si="10">K34^2</f>
        <v>6.0785649009605635E-5</v>
      </c>
      <c r="N34" s="2">
        <f t="shared" ref="N34:N38" si="11">M34-(1/6)</f>
        <v>-0.16660588101765705</v>
      </c>
    </row>
    <row r="35" spans="1:14" x14ac:dyDescent="0.2">
      <c r="A35" s="2" t="s">
        <v>376</v>
      </c>
      <c r="C35" s="31"/>
      <c r="D35" s="2" t="s">
        <v>34</v>
      </c>
      <c r="E35" s="2">
        <v>112</v>
      </c>
      <c r="F35" s="32">
        <v>2.1847786172742995E-2</v>
      </c>
      <c r="G35" s="3">
        <v>2479</v>
      </c>
      <c r="H35" s="3">
        <v>823290</v>
      </c>
      <c r="J35" s="2">
        <v>26247669891.064445</v>
      </c>
      <c r="K35" s="2">
        <f t="shared" si="8"/>
        <v>3.0652620120833359E-2</v>
      </c>
      <c r="L35" s="2">
        <f t="shared" si="9"/>
        <v>0</v>
      </c>
      <c r="M35" s="2">
        <f t="shared" si="10"/>
        <v>9.3958312027211813E-4</v>
      </c>
      <c r="N35" s="2">
        <f t="shared" si="11"/>
        <v>-0.16572708354639454</v>
      </c>
    </row>
    <row r="36" spans="1:14" x14ac:dyDescent="0.2">
      <c r="A36" s="2" t="s">
        <v>377</v>
      </c>
      <c r="C36" s="31"/>
      <c r="D36" s="2" t="s">
        <v>33</v>
      </c>
      <c r="E36" s="2">
        <v>112</v>
      </c>
      <c r="F36" s="32">
        <v>2.9206785363140364E-2</v>
      </c>
      <c r="G36" s="3">
        <v>28829</v>
      </c>
      <c r="H36" s="3">
        <v>786380</v>
      </c>
      <c r="J36" s="2">
        <v>35088683802.082138</v>
      </c>
      <c r="K36" s="2">
        <f t="shared" si="8"/>
        <v>4.0977355307696015E-2</v>
      </c>
      <c r="L36" s="2">
        <f t="shared" si="9"/>
        <v>0</v>
      </c>
      <c r="M36" s="2">
        <f t="shared" si="10"/>
        <v>1.6791436480131628E-3</v>
      </c>
      <c r="N36" s="2">
        <f t="shared" si="11"/>
        <v>-0.16498752301865349</v>
      </c>
    </row>
    <row r="37" spans="1:14" x14ac:dyDescent="0.2">
      <c r="C37" s="31"/>
      <c r="D37" s="2" t="s">
        <v>35</v>
      </c>
      <c r="E37" s="2">
        <v>60</v>
      </c>
      <c r="F37" s="32">
        <v>0.6154707179799932</v>
      </c>
      <c r="G37" s="3">
        <v>55908</v>
      </c>
      <c r="H37" s="3">
        <v>1213090</v>
      </c>
      <c r="I37" s="4">
        <v>1</v>
      </c>
      <c r="J37" s="2">
        <v>739419184416.48059</v>
      </c>
      <c r="K37" s="1">
        <f t="shared" si="8"/>
        <v>0.86351037878949966</v>
      </c>
      <c r="L37" s="2">
        <f t="shared" si="9"/>
        <v>0.86351037878949966</v>
      </c>
      <c r="M37" s="2">
        <f t="shared" si="10"/>
        <v>0.74565017427718516</v>
      </c>
      <c r="N37" s="2">
        <f t="shared" si="11"/>
        <v>0.57898350761051853</v>
      </c>
    </row>
    <row r="38" spans="1:14" x14ac:dyDescent="0.2">
      <c r="C38" s="31"/>
      <c r="D38" s="2" t="s">
        <v>36</v>
      </c>
      <c r="E38" s="2">
        <v>97</v>
      </c>
      <c r="F38" s="32">
        <v>9.3267752635055202E-3</v>
      </c>
      <c r="G38" s="3">
        <v>1343</v>
      </c>
      <c r="H38" s="3">
        <v>17200</v>
      </c>
      <c r="J38" s="2">
        <v>11205076630.146416</v>
      </c>
      <c r="K38" s="2">
        <f t="shared" si="8"/>
        <v>1.3085540880169033E-2</v>
      </c>
      <c r="L38" s="2">
        <f t="shared" si="9"/>
        <v>0</v>
      </c>
      <c r="M38" s="2">
        <f t="shared" si="10"/>
        <v>1.7123138012657495E-4</v>
      </c>
      <c r="N38" s="2">
        <f t="shared" si="11"/>
        <v>-0.16649543528654009</v>
      </c>
    </row>
    <row r="39" spans="1:14" x14ac:dyDescent="0.2">
      <c r="D39" s="35" t="s">
        <v>369</v>
      </c>
      <c r="F39" s="32"/>
      <c r="G39" s="34"/>
      <c r="H39" s="34"/>
      <c r="I39" s="34">
        <f>COUNT(I33:I38)/6*100</f>
        <v>33.333333333333329</v>
      </c>
      <c r="J39" s="7">
        <f>SUM(J33:J38)</f>
        <v>856294495791.73022</v>
      </c>
      <c r="K39" s="36"/>
      <c r="L39" s="36">
        <f>SUM(L33:L38)*100</f>
        <v>87.130689397319586</v>
      </c>
      <c r="N39" s="1">
        <f>SQRT(ABS(SUM(N33:N38))/(1-(1/6)))</f>
        <v>0.54724589010204105</v>
      </c>
    </row>
    <row r="41" spans="1:14" x14ac:dyDescent="0.2">
      <c r="D41" s="1" t="s">
        <v>378</v>
      </c>
      <c r="G41" s="4"/>
      <c r="H41" s="4"/>
      <c r="I41" s="4"/>
    </row>
    <row r="42" spans="1:14" x14ac:dyDescent="0.2">
      <c r="C42" s="31"/>
      <c r="D42" s="10" t="s">
        <v>60</v>
      </c>
      <c r="E42" s="2">
        <v>74</v>
      </c>
      <c r="F42" s="2">
        <v>3.3947570844112568E-2</v>
      </c>
      <c r="G42" s="33">
        <v>20569</v>
      </c>
      <c r="H42" s="33">
        <v>581800</v>
      </c>
      <c r="I42" s="34">
        <v>1</v>
      </c>
      <c r="J42" s="2">
        <v>28295673249.105373</v>
      </c>
      <c r="K42" s="1">
        <f>J42/J$46</f>
        <v>0.43070918639675326</v>
      </c>
      <c r="L42" s="2">
        <f>I42*K42</f>
        <v>0.43070918639675326</v>
      </c>
      <c r="M42" s="2">
        <f>K42^2</f>
        <v>0.18551040324655316</v>
      </c>
      <c r="N42" s="2">
        <f>(1/4)-M42</f>
        <v>6.4489596753446843E-2</v>
      </c>
    </row>
    <row r="43" spans="1:14" x14ac:dyDescent="0.2">
      <c r="A43" s="2">
        <v>1.2</v>
      </c>
      <c r="C43" s="31"/>
      <c r="D43" s="2" t="s">
        <v>61</v>
      </c>
      <c r="E43" s="2">
        <v>104</v>
      </c>
      <c r="F43" s="32">
        <v>2.2173275275985557E-2</v>
      </c>
      <c r="G43" s="3">
        <v>1247</v>
      </c>
      <c r="H43" s="3">
        <v>2030</v>
      </c>
      <c r="I43" s="3">
        <v>1</v>
      </c>
      <c r="J43" s="2">
        <v>18481668539.784889</v>
      </c>
      <c r="K43" s="2">
        <f>J43/J$46</f>
        <v>0.28132302596040543</v>
      </c>
      <c r="L43" s="2">
        <f t="shared" ref="L43:L45" si="12">I43*K43</f>
        <v>0.28132302596040543</v>
      </c>
      <c r="M43" s="2">
        <f t="shared" ref="M43:M46" si="13">K43^2</f>
        <v>7.9142644935518952E-2</v>
      </c>
      <c r="N43" s="2">
        <f t="shared" ref="N43:N45" si="14">(1/4)-M43</f>
        <v>0.17085735506448105</v>
      </c>
    </row>
    <row r="44" spans="1:14" x14ac:dyDescent="0.2">
      <c r="C44" s="31"/>
      <c r="D44" s="2" t="s">
        <v>58</v>
      </c>
      <c r="E44" s="2">
        <v>225</v>
      </c>
      <c r="F44" s="32">
        <v>2.0037252367169672E-3</v>
      </c>
      <c r="G44" s="3">
        <v>87</v>
      </c>
      <c r="H44" s="3">
        <v>460</v>
      </c>
      <c r="I44" s="3">
        <v>1</v>
      </c>
      <c r="J44" s="2">
        <v>1670126997.8780344</v>
      </c>
      <c r="K44" s="2">
        <f>J44/J$46</f>
        <v>2.5422227423340903E-2</v>
      </c>
      <c r="L44" s="2">
        <f t="shared" si="12"/>
        <v>2.5422227423340903E-2</v>
      </c>
      <c r="M44" s="2">
        <f t="shared" si="13"/>
        <v>6.4628964716406624E-4</v>
      </c>
      <c r="N44" s="2">
        <f t="shared" si="14"/>
        <v>0.24935371035283593</v>
      </c>
    </row>
    <row r="45" spans="1:14" x14ac:dyDescent="0.2">
      <c r="C45" s="31"/>
      <c r="D45" s="2" t="s">
        <v>62</v>
      </c>
      <c r="E45" s="2">
        <v>58</v>
      </c>
      <c r="F45" s="32">
        <v>2.0693275850282401E-2</v>
      </c>
      <c r="G45" s="3">
        <v>13810</v>
      </c>
      <c r="H45" s="3">
        <v>386850</v>
      </c>
      <c r="J45" s="2">
        <v>17248072759.077568</v>
      </c>
      <c r="K45" s="2">
        <f>J45/J$46</f>
        <v>0.26254556021950043</v>
      </c>
      <c r="L45" s="2">
        <f t="shared" si="12"/>
        <v>0</v>
      </c>
      <c r="M45" s="2">
        <f t="shared" si="13"/>
        <v>6.8930171190971321E-2</v>
      </c>
      <c r="N45" s="2">
        <f t="shared" si="14"/>
        <v>0.18106982880902867</v>
      </c>
    </row>
    <row r="46" spans="1:14" x14ac:dyDescent="0.2">
      <c r="I46" s="34">
        <f>COUNT(I42:I45)/4*100</f>
        <v>75</v>
      </c>
      <c r="J46" s="7">
        <f>SUM(J42:J45)</f>
        <v>65695541545.845863</v>
      </c>
      <c r="K46" s="36"/>
      <c r="L46" s="36">
        <f>SUM(L42:L45)*100</f>
        <v>73.745443978049963</v>
      </c>
      <c r="M46" s="2">
        <f t="shared" si="13"/>
        <v>0</v>
      </c>
      <c r="N46" s="1">
        <f>SQRT(SUM(N42:N45)/(1-(1/4)))</f>
        <v>0.94217513657125163</v>
      </c>
    </row>
    <row r="48" spans="1:14" x14ac:dyDescent="0.2">
      <c r="D48" s="1" t="s">
        <v>135</v>
      </c>
      <c r="E48" s="2" t="s">
        <v>359</v>
      </c>
      <c r="F48" s="2" t="s">
        <v>360</v>
      </c>
      <c r="G48" s="3" t="s">
        <v>361</v>
      </c>
    </row>
    <row r="49" spans="1:14" x14ac:dyDescent="0.2">
      <c r="D49" s="2" t="s">
        <v>64</v>
      </c>
      <c r="E49" s="2">
        <v>63</v>
      </c>
      <c r="F49" s="2">
        <v>1.1069674976403145E-3</v>
      </c>
      <c r="G49" s="3">
        <v>673</v>
      </c>
      <c r="H49" s="3">
        <v>1861</v>
      </c>
      <c r="J49" s="2">
        <v>922669570.51044226</v>
      </c>
      <c r="K49" s="2">
        <f>J49/J$60</f>
        <v>2.6389989729249733E-3</v>
      </c>
      <c r="L49" s="2">
        <f>I49*K49</f>
        <v>0</v>
      </c>
    </row>
    <row r="50" spans="1:14" x14ac:dyDescent="0.2">
      <c r="A50" s="2" t="s">
        <v>379</v>
      </c>
      <c r="D50" s="2" t="s">
        <v>65</v>
      </c>
      <c r="E50" s="2">
        <v>117</v>
      </c>
      <c r="F50" s="2">
        <v>2.5164787101373291E-3</v>
      </c>
      <c r="G50" s="3">
        <v>836</v>
      </c>
      <c r="H50" s="3">
        <v>23180</v>
      </c>
      <c r="I50" s="3">
        <v>1</v>
      </c>
      <c r="J50" s="2">
        <v>2097512651.1216919</v>
      </c>
      <c r="K50" s="2">
        <f t="shared" ref="K50:K59" si="15">J50/J$60</f>
        <v>5.9992590076911366E-3</v>
      </c>
      <c r="L50" s="2">
        <f t="shared" ref="L50:L59" si="16">I50*K50</f>
        <v>5.9992590076911366E-3</v>
      </c>
    </row>
    <row r="51" spans="1:14" x14ac:dyDescent="0.2">
      <c r="D51" s="2" t="s">
        <v>66</v>
      </c>
      <c r="E51" s="2">
        <v>28</v>
      </c>
      <c r="F51" s="2">
        <v>7.0670494486997082E-3</v>
      </c>
      <c r="G51" s="3">
        <v>4310</v>
      </c>
      <c r="H51" s="3">
        <v>101000</v>
      </c>
      <c r="J51" s="2">
        <v>5890463354.6219378</v>
      </c>
      <c r="K51" s="2">
        <f t="shared" si="15"/>
        <v>1.684777220332483E-2</v>
      </c>
      <c r="L51" s="2">
        <f t="shared" si="16"/>
        <v>0</v>
      </c>
    </row>
    <row r="52" spans="1:14" x14ac:dyDescent="0.2">
      <c r="D52" s="2" t="s">
        <v>67</v>
      </c>
      <c r="E52" s="2">
        <v>48</v>
      </c>
      <c r="F52" s="2">
        <v>9.7171871488644451E-2</v>
      </c>
      <c r="G52" s="3">
        <v>85416</v>
      </c>
      <c r="H52" s="3">
        <v>1000000</v>
      </c>
      <c r="J52" s="2">
        <v>80993822423.190765</v>
      </c>
      <c r="K52" s="2">
        <f t="shared" si="15"/>
        <v>0.23165672849687752</v>
      </c>
      <c r="L52" s="2">
        <f t="shared" si="16"/>
        <v>0</v>
      </c>
    </row>
    <row r="53" spans="1:14" x14ac:dyDescent="0.2">
      <c r="D53" s="2" t="s">
        <v>60</v>
      </c>
      <c r="E53" s="2">
        <v>74</v>
      </c>
      <c r="F53" s="2">
        <v>3.3947570844112568E-2</v>
      </c>
      <c r="G53" s="3">
        <v>20569</v>
      </c>
      <c r="H53" s="3">
        <v>581800</v>
      </c>
      <c r="J53" s="2">
        <v>28295673249.105373</v>
      </c>
      <c r="K53" s="2">
        <f t="shared" si="15"/>
        <v>8.0930654948660877E-2</v>
      </c>
      <c r="L53" s="2">
        <f t="shared" si="16"/>
        <v>0</v>
      </c>
    </row>
    <row r="54" spans="1:14" x14ac:dyDescent="0.2">
      <c r="D54" s="2" t="s">
        <v>68</v>
      </c>
      <c r="E54" s="2">
        <v>51</v>
      </c>
      <c r="F54" s="2">
        <v>1.7023783433791431E-2</v>
      </c>
      <c r="G54" s="3">
        <v>14714</v>
      </c>
      <c r="H54" s="3">
        <v>94280</v>
      </c>
      <c r="J54" s="2">
        <v>14189510516.615805</v>
      </c>
      <c r="K54" s="2">
        <f t="shared" si="15"/>
        <v>4.0584522213018427E-2</v>
      </c>
      <c r="L54" s="2">
        <f t="shared" si="16"/>
        <v>0</v>
      </c>
    </row>
    <row r="55" spans="1:14" x14ac:dyDescent="0.2">
      <c r="A55" s="2">
        <v>1.2</v>
      </c>
      <c r="D55" s="2" t="s">
        <v>61</v>
      </c>
      <c r="E55" s="2">
        <v>104</v>
      </c>
      <c r="F55" s="32">
        <v>2.2173275275985557E-2</v>
      </c>
      <c r="G55" s="3">
        <v>1247</v>
      </c>
      <c r="H55" s="3">
        <v>2030</v>
      </c>
      <c r="I55" s="3">
        <v>1</v>
      </c>
      <c r="J55" s="2">
        <v>18481668539.784889</v>
      </c>
      <c r="K55" s="2">
        <f t="shared" si="15"/>
        <v>5.2860857075247104E-2</v>
      </c>
      <c r="L55" s="2">
        <f t="shared" si="16"/>
        <v>5.2860857075247104E-2</v>
      </c>
    </row>
    <row r="56" spans="1:14" x14ac:dyDescent="0.2">
      <c r="D56" s="2" t="s">
        <v>58</v>
      </c>
      <c r="E56" s="2">
        <v>225</v>
      </c>
      <c r="F56" s="32">
        <v>2.0037252367169672E-3</v>
      </c>
      <c r="G56" s="3">
        <v>87</v>
      </c>
      <c r="H56" s="3">
        <v>460</v>
      </c>
      <c r="I56" s="3">
        <v>1</v>
      </c>
      <c r="J56" s="2">
        <v>1670126997.8780344</v>
      </c>
      <c r="K56" s="2">
        <f t="shared" si="15"/>
        <v>4.7768600731203162E-3</v>
      </c>
      <c r="L56" s="2">
        <f t="shared" si="16"/>
        <v>4.7768600731203162E-3</v>
      </c>
    </row>
    <row r="57" spans="1:14" x14ac:dyDescent="0.2">
      <c r="D57" s="2" t="s">
        <v>69</v>
      </c>
      <c r="E57" s="2">
        <v>35</v>
      </c>
      <c r="F57" s="2">
        <v>0.16794178204263341</v>
      </c>
      <c r="G57" s="3">
        <v>33650</v>
      </c>
      <c r="H57" s="3">
        <v>2376000</v>
      </c>
      <c r="I57" s="4">
        <v>1</v>
      </c>
      <c r="J57" s="2">
        <v>139981320353.44016</v>
      </c>
      <c r="K57" s="1">
        <f t="shared" si="15"/>
        <v>0.40037145739730395</v>
      </c>
      <c r="L57" s="2">
        <f t="shared" si="16"/>
        <v>0.40037145739730395</v>
      </c>
    </row>
    <row r="58" spans="1:14" x14ac:dyDescent="0.2">
      <c r="D58" s="2" t="s">
        <v>70</v>
      </c>
      <c r="E58" s="2">
        <v>56</v>
      </c>
      <c r="F58" s="2">
        <v>4.7819141907718181E-2</v>
      </c>
      <c r="G58" s="3">
        <v>13456</v>
      </c>
      <c r="H58" s="3">
        <v>743390</v>
      </c>
      <c r="J58" s="2">
        <v>39857780124.731804</v>
      </c>
      <c r="K58" s="2">
        <f t="shared" si="15"/>
        <v>0.11400033573671023</v>
      </c>
      <c r="L58" s="2">
        <f t="shared" si="16"/>
        <v>0</v>
      </c>
    </row>
    <row r="59" spans="1:14" x14ac:dyDescent="0.2">
      <c r="D59" s="2" t="s">
        <v>62</v>
      </c>
      <c r="E59" s="2">
        <v>58</v>
      </c>
      <c r="F59" s="32">
        <v>2.0693275850282401E-2</v>
      </c>
      <c r="G59" s="3">
        <v>13810</v>
      </c>
      <c r="H59" s="3">
        <v>386850</v>
      </c>
      <c r="J59" s="2">
        <v>17248072759.077568</v>
      </c>
      <c r="K59" s="2">
        <f t="shared" si="15"/>
        <v>4.9332553875120748E-2</v>
      </c>
      <c r="L59" s="2">
        <f t="shared" si="16"/>
        <v>0</v>
      </c>
    </row>
    <row r="60" spans="1:14" x14ac:dyDescent="0.2">
      <c r="I60" s="34">
        <f>COUNT(I49:I59)/11*100</f>
        <v>36.363636363636367</v>
      </c>
      <c r="J60" s="7">
        <f>SUM(J49:J59)</f>
        <v>349628620540.07843</v>
      </c>
      <c r="L60" s="36">
        <f>SUM(L49:L59)*100</f>
        <v>46.400843355336249</v>
      </c>
    </row>
    <row r="62" spans="1:14" x14ac:dyDescent="0.2">
      <c r="D62" s="1" t="s">
        <v>524</v>
      </c>
      <c r="G62" s="4"/>
      <c r="H62" s="4"/>
      <c r="I62" s="4"/>
    </row>
    <row r="63" spans="1:14" x14ac:dyDescent="0.2">
      <c r="C63" s="38"/>
      <c r="D63" s="2" t="s">
        <v>3</v>
      </c>
      <c r="E63" s="2">
        <v>31</v>
      </c>
      <c r="F63" s="32">
        <v>0.82522492134839631</v>
      </c>
      <c r="G63" s="3">
        <v>44494</v>
      </c>
      <c r="H63" s="3">
        <v>2736690</v>
      </c>
      <c r="J63" s="2">
        <v>917056983548.11804</v>
      </c>
      <c r="K63" s="2">
        <f>J63/J$67</f>
        <v>0.20540313383778028</v>
      </c>
      <c r="L63" s="2">
        <f>I63*K63</f>
        <v>0</v>
      </c>
      <c r="M63" s="2">
        <f>K63^2</f>
        <v>4.2190447390381081E-2</v>
      </c>
      <c r="N63" s="2">
        <f>M63-(1/4)</f>
        <v>-0.20780955260961892</v>
      </c>
    </row>
    <row r="64" spans="1:14" x14ac:dyDescent="0.2">
      <c r="C64" s="38"/>
      <c r="D64" s="2" t="s">
        <v>0</v>
      </c>
      <c r="E64" s="2">
        <v>29</v>
      </c>
      <c r="F64" s="32">
        <v>3.0917554631737114</v>
      </c>
      <c r="G64" s="3">
        <v>209469</v>
      </c>
      <c r="H64" s="3">
        <v>8358140</v>
      </c>
      <c r="I64" s="4">
        <v>1</v>
      </c>
      <c r="J64" s="41">
        <v>3371702373241.3599</v>
      </c>
      <c r="K64" s="1">
        <f t="shared" ref="K64:K66" si="17">J64/J$67</f>
        <v>0.75519651042024682</v>
      </c>
      <c r="L64" s="2">
        <f t="shared" ref="L64:L66" si="18">I64*K64</f>
        <v>0.75519651042024682</v>
      </c>
      <c r="M64" s="2">
        <f t="shared" ref="M64:M66" si="19">K64^2</f>
        <v>0.57032176935091794</v>
      </c>
      <c r="N64" s="2">
        <f t="shared" ref="N64:N66" si="20">M64-(1/4)</f>
        <v>0.32032176935091794</v>
      </c>
    </row>
    <row r="65" spans="1:14" x14ac:dyDescent="0.2">
      <c r="C65" s="38"/>
      <c r="D65" s="2" t="s">
        <v>1</v>
      </c>
      <c r="E65" s="2">
        <v>70</v>
      </c>
      <c r="F65" s="32">
        <v>4.7565098966246291E-2</v>
      </c>
      <c r="G65" s="3">
        <v>6956</v>
      </c>
      <c r="H65" s="3">
        <v>397300</v>
      </c>
      <c r="J65" s="2">
        <v>94602054768.818298</v>
      </c>
      <c r="K65" s="2">
        <f t="shared" si="17"/>
        <v>2.1189041537885013E-2</v>
      </c>
      <c r="L65" s="2">
        <f t="shared" si="18"/>
        <v>0</v>
      </c>
      <c r="M65" s="2">
        <f t="shared" si="19"/>
        <v>4.4897548129421645E-4</v>
      </c>
      <c r="N65" s="2">
        <f t="shared" si="20"/>
        <v>-0.24955102451870578</v>
      </c>
    </row>
    <row r="66" spans="1:14" x14ac:dyDescent="0.2">
      <c r="C66" s="38"/>
      <c r="D66" s="2" t="s">
        <v>2</v>
      </c>
      <c r="E66" s="2">
        <v>40</v>
      </c>
      <c r="F66" s="32">
        <v>6.3998202320885877E-2</v>
      </c>
      <c r="G66" s="3">
        <v>3449</v>
      </c>
      <c r="H66" s="3">
        <v>175020</v>
      </c>
      <c r="J66" s="2">
        <v>81307488149.802902</v>
      </c>
      <c r="K66" s="2">
        <f t="shared" si="17"/>
        <v>1.8211314204087743E-2</v>
      </c>
      <c r="L66" s="2">
        <f t="shared" si="18"/>
        <v>0</v>
      </c>
      <c r="M66" s="2">
        <f t="shared" si="19"/>
        <v>3.3165196504000795E-4</v>
      </c>
      <c r="N66" s="2">
        <f t="shared" si="20"/>
        <v>-0.24966834803495999</v>
      </c>
    </row>
    <row r="67" spans="1:14" x14ac:dyDescent="0.2">
      <c r="I67" s="34">
        <f>COUNT(I63:I66)/4*100</f>
        <v>25</v>
      </c>
      <c r="J67" s="7">
        <f>SUM(J63:J66)</f>
        <v>4464668899708.0996</v>
      </c>
      <c r="K67" s="36"/>
      <c r="L67" s="36">
        <f>SUM(L63:L66)*100</f>
        <v>75.519651042024677</v>
      </c>
      <c r="N67" s="1">
        <f>SQRT(ABS(SUM(N63:N66))/(1-(1/4)))</f>
        <v>0.71805956652854064</v>
      </c>
    </row>
    <row r="69" spans="1:14" x14ac:dyDescent="0.2">
      <c r="D69" s="1" t="s">
        <v>124</v>
      </c>
      <c r="G69" s="4"/>
      <c r="H69" s="4"/>
      <c r="I69" s="4"/>
      <c r="J69" s="1" t="s">
        <v>380</v>
      </c>
    </row>
    <row r="70" spans="1:14" x14ac:dyDescent="0.2">
      <c r="C70" s="38"/>
      <c r="D70" s="2" t="s">
        <v>39</v>
      </c>
      <c r="E70" s="2">
        <v>109</v>
      </c>
      <c r="F70" s="32">
        <v>3.5436545712802095E-2</v>
      </c>
      <c r="G70" s="3">
        <v>383</v>
      </c>
      <c r="H70" s="3">
        <v>5270</v>
      </c>
      <c r="I70" s="3">
        <v>1</v>
      </c>
      <c r="J70" s="2">
        <v>29536750160.146709</v>
      </c>
      <c r="K70" s="2">
        <f>J70/J$77</f>
        <v>6.7432767500859876E-3</v>
      </c>
      <c r="L70" s="2">
        <f>I70*K70</f>
        <v>6.7432767500859876E-3</v>
      </c>
      <c r="M70" s="2">
        <f>K70^2</f>
        <v>4.547178132825024E-5</v>
      </c>
      <c r="N70" s="2">
        <f>M70-(1/7)</f>
        <v>-0.14281167107581461</v>
      </c>
    </row>
    <row r="71" spans="1:14" x14ac:dyDescent="0.2">
      <c r="C71" s="38"/>
      <c r="D71" s="2" t="s">
        <v>40</v>
      </c>
      <c r="E71" s="2">
        <v>46</v>
      </c>
      <c r="F71" s="32">
        <v>2.2360519796041323</v>
      </c>
      <c r="G71" s="3">
        <v>239340</v>
      </c>
      <c r="H71" s="3">
        <v>1811570</v>
      </c>
      <c r="I71" s="4">
        <v>1</v>
      </c>
      <c r="J71" s="2">
        <v>1863773890433.3591</v>
      </c>
      <c r="K71" s="1">
        <f>J71/J$77</f>
        <v>0.42550189423798662</v>
      </c>
      <c r="L71" s="2">
        <f t="shared" ref="L71:L76" si="21">I71*K71</f>
        <v>0.42550189423798662</v>
      </c>
      <c r="M71" s="2">
        <f t="shared" ref="M71:M77" si="22">K71^2</f>
        <v>0.18105186200011475</v>
      </c>
      <c r="N71" s="2">
        <f t="shared" ref="N71:N76" si="23">M71-(1/7)</f>
        <v>3.81947191429719E-2</v>
      </c>
    </row>
    <row r="72" spans="1:14" x14ac:dyDescent="0.2">
      <c r="C72" s="38"/>
      <c r="D72" s="2" t="s">
        <v>41</v>
      </c>
      <c r="E72" s="2">
        <v>163</v>
      </c>
      <c r="F72" s="32">
        <v>0.64411520407451972</v>
      </c>
      <c r="G72" s="3">
        <v>27605</v>
      </c>
      <c r="H72" s="3">
        <v>328550</v>
      </c>
      <c r="J72" s="2">
        <v>536877098893.63885</v>
      </c>
      <c r="K72" s="2">
        <f t="shared" ref="K72:K76" si="24">J72/J$77</f>
        <v>0.12256970854931416</v>
      </c>
      <c r="L72" s="2">
        <f t="shared" si="21"/>
        <v>0</v>
      </c>
      <c r="M72" s="2">
        <f t="shared" si="22"/>
        <v>1.5023333453863818E-2</v>
      </c>
      <c r="N72" s="2">
        <f t="shared" si="23"/>
        <v>-0.12783380940327904</v>
      </c>
    </row>
    <row r="73" spans="1:14" x14ac:dyDescent="0.2">
      <c r="C73" s="38"/>
      <c r="D73" s="2" t="s">
        <v>42</v>
      </c>
      <c r="E73" s="2">
        <v>65</v>
      </c>
      <c r="F73" s="32">
        <v>0.56598439798043843</v>
      </c>
      <c r="G73" s="3">
        <v>92220</v>
      </c>
      <c r="H73" s="3">
        <v>298170</v>
      </c>
      <c r="J73" s="2">
        <v>471754213663.37671</v>
      </c>
      <c r="K73" s="2">
        <f t="shared" si="24"/>
        <v>0.10770207296006545</v>
      </c>
      <c r="L73" s="2">
        <f t="shared" si="21"/>
        <v>0</v>
      </c>
      <c r="M73" s="2">
        <f t="shared" si="22"/>
        <v>1.1599736519895262E-2</v>
      </c>
      <c r="N73" s="2">
        <f t="shared" si="23"/>
        <v>-0.13125740633724758</v>
      </c>
    </row>
    <row r="74" spans="1:14" x14ac:dyDescent="0.2">
      <c r="A74" s="2" t="s">
        <v>381</v>
      </c>
      <c r="B74" s="2" t="s">
        <v>382</v>
      </c>
      <c r="C74" s="38"/>
      <c r="D74" s="2" t="s">
        <v>43</v>
      </c>
      <c r="E74" s="2">
        <v>361</v>
      </c>
      <c r="F74" s="32">
        <v>0.36888308018308469</v>
      </c>
      <c r="G74" s="3">
        <v>4987</v>
      </c>
      <c r="H74" s="3">
        <v>709</v>
      </c>
      <c r="J74" s="2">
        <v>307468099909.54913</v>
      </c>
      <c r="K74" s="2">
        <f t="shared" si="24"/>
        <v>7.0195349125127995E-2</v>
      </c>
      <c r="L74" s="2">
        <f t="shared" si="21"/>
        <v>0</v>
      </c>
      <c r="M74" s="2">
        <f t="shared" si="22"/>
        <v>4.9273870387986076E-3</v>
      </c>
      <c r="N74" s="2">
        <f t="shared" si="23"/>
        <v>-0.13792975581834424</v>
      </c>
    </row>
    <row r="75" spans="1:14" x14ac:dyDescent="0.2">
      <c r="C75" s="38"/>
      <c r="D75" s="2" t="s">
        <v>44</v>
      </c>
      <c r="E75" s="2">
        <v>119</v>
      </c>
      <c r="F75" s="32">
        <v>0.97905116240569812</v>
      </c>
      <c r="G75" s="3">
        <v>66881</v>
      </c>
      <c r="H75" s="3">
        <v>510890</v>
      </c>
      <c r="J75" s="2">
        <v>816049899794.01929</v>
      </c>
      <c r="K75" s="2">
        <f t="shared" si="24"/>
        <v>0.1863052057641699</v>
      </c>
      <c r="L75" s="2">
        <f t="shared" si="21"/>
        <v>0</v>
      </c>
      <c r="M75" s="2">
        <f t="shared" si="22"/>
        <v>3.4709629694829686E-2</v>
      </c>
      <c r="N75" s="2">
        <f t="shared" si="23"/>
        <v>-0.10814751316231316</v>
      </c>
    </row>
    <row r="76" spans="1:14" x14ac:dyDescent="0.2">
      <c r="A76" s="2" t="s">
        <v>383</v>
      </c>
      <c r="B76" s="2" t="s">
        <v>382</v>
      </c>
      <c r="C76" s="38"/>
      <c r="D76" s="2" t="s">
        <v>45</v>
      </c>
      <c r="E76" s="2">
        <v>136</v>
      </c>
      <c r="F76" s="32">
        <v>0.42557052124391809</v>
      </c>
      <c r="G76" s="3">
        <v>86025</v>
      </c>
      <c r="H76" s="3">
        <v>310070</v>
      </c>
      <c r="J76" s="2">
        <v>354717704806.19641</v>
      </c>
      <c r="K76" s="2">
        <f t="shared" si="24"/>
        <v>8.0982492613249912E-2</v>
      </c>
      <c r="L76" s="2">
        <f t="shared" si="21"/>
        <v>0</v>
      </c>
      <c r="M76" s="2">
        <f t="shared" si="22"/>
        <v>6.5581641098550764E-3</v>
      </c>
      <c r="N76" s="2">
        <f t="shared" si="23"/>
        <v>-0.13629897874728777</v>
      </c>
    </row>
    <row r="77" spans="1:14" x14ac:dyDescent="0.2">
      <c r="F77" s="32"/>
      <c r="I77" s="34">
        <f>COUNT(I70:I76)/7*100</f>
        <v>28.571428571428569</v>
      </c>
      <c r="J77" s="7">
        <f>SUM(J70:J76)</f>
        <v>4380177657660.2861</v>
      </c>
      <c r="K77" s="36"/>
      <c r="L77" s="36">
        <f>SUM(L70:L76)*100</f>
        <v>43.224517098807262</v>
      </c>
      <c r="M77" s="2">
        <f t="shared" si="22"/>
        <v>0</v>
      </c>
      <c r="N77" s="1">
        <f>SQRT(ABS(SUM(N70:N76))/(1-(1/7)))</f>
        <v>0.93296935532106318</v>
      </c>
    </row>
    <row r="78" spans="1:14" x14ac:dyDescent="0.2">
      <c r="F78" s="32"/>
    </row>
    <row r="79" spans="1:14" x14ac:dyDescent="0.2">
      <c r="D79" s="1" t="s">
        <v>384</v>
      </c>
      <c r="F79" s="32"/>
      <c r="G79" s="4"/>
      <c r="H79" s="4"/>
      <c r="I79" s="4"/>
    </row>
    <row r="80" spans="1:14" x14ac:dyDescent="0.2">
      <c r="C80" s="38"/>
      <c r="D80" s="2" t="s">
        <v>48</v>
      </c>
      <c r="E80" s="2">
        <v>58</v>
      </c>
      <c r="F80" s="32">
        <v>0.31078518081125284</v>
      </c>
      <c r="G80" s="3">
        <v>28641</v>
      </c>
      <c r="H80" s="3">
        <v>1280000</v>
      </c>
      <c r="J80" s="2">
        <v>256532331727.85284</v>
      </c>
      <c r="K80" s="2">
        <f>J80/J$84</f>
        <v>0.28880985939841403</v>
      </c>
      <c r="L80" s="2">
        <f t="shared" ref="L80:L83" si="25">I80*K80</f>
        <v>0</v>
      </c>
      <c r="M80" s="2">
        <f>K80^2</f>
        <v>8.341113488573168E-2</v>
      </c>
      <c r="N80" s="2">
        <f>M80-(1/4)</f>
        <v>-0.16658886511426832</v>
      </c>
    </row>
    <row r="81" spans="3:14" x14ac:dyDescent="0.2">
      <c r="C81" s="38"/>
      <c r="D81" s="2" t="s">
        <v>49</v>
      </c>
      <c r="E81" s="2">
        <v>68</v>
      </c>
      <c r="F81" s="32">
        <v>0.15613562215984869</v>
      </c>
      <c r="G81" s="3">
        <v>14447</v>
      </c>
      <c r="H81" s="3">
        <v>248360</v>
      </c>
      <c r="J81" s="2">
        <v>128879488764.20409</v>
      </c>
      <c r="K81" s="2">
        <f t="shared" ref="K81:K83" si="26">J81/J$84</f>
        <v>0.14509542239227985</v>
      </c>
      <c r="L81" s="2">
        <f t="shared" si="25"/>
        <v>0</v>
      </c>
      <c r="M81" s="2">
        <f t="shared" ref="M81:M84" si="27">K81^2</f>
        <v>2.1052681599194104E-2</v>
      </c>
      <c r="N81" s="2">
        <f t="shared" ref="N81:N83" si="28">M81-(1/4)</f>
        <v>-0.2289473184008059</v>
      </c>
    </row>
    <row r="82" spans="3:14" x14ac:dyDescent="0.2">
      <c r="C82" s="38"/>
      <c r="D82" s="2" t="s">
        <v>47</v>
      </c>
      <c r="E82" s="2">
        <v>38</v>
      </c>
      <c r="F82" s="32">
        <v>0.55117059100481602</v>
      </c>
      <c r="G82" s="3">
        <v>44901</v>
      </c>
      <c r="H82" s="3">
        <v>1109500</v>
      </c>
      <c r="I82" s="4">
        <v>1</v>
      </c>
      <c r="J82" s="2">
        <v>454954372409.91077</v>
      </c>
      <c r="K82" s="1">
        <f t="shared" si="26"/>
        <v>0.51219784829225035</v>
      </c>
      <c r="L82" s="2">
        <f t="shared" si="25"/>
        <v>0.51219784829225035</v>
      </c>
      <c r="M82" s="2">
        <f t="shared" si="27"/>
        <v>0.26234663579521111</v>
      </c>
      <c r="N82" s="2">
        <f t="shared" si="28"/>
        <v>1.2346635795211114E-2</v>
      </c>
    </row>
    <row r="83" spans="3:14" x14ac:dyDescent="0.2">
      <c r="C83" s="38"/>
      <c r="D83" s="2" t="s">
        <v>50</v>
      </c>
      <c r="E83" s="2">
        <v>83</v>
      </c>
      <c r="F83" s="32">
        <v>5.7997841546072668E-2</v>
      </c>
      <c r="G83" s="3">
        <v>9599</v>
      </c>
      <c r="H83" s="3">
        <v>1083300</v>
      </c>
      <c r="J83" s="2">
        <v>47873330022.233315</v>
      </c>
      <c r="K83" s="2">
        <f t="shared" si="26"/>
        <v>5.3896869917055744E-2</v>
      </c>
      <c r="L83" s="2">
        <f t="shared" si="25"/>
        <v>0</v>
      </c>
      <c r="M83" s="2">
        <f t="shared" si="27"/>
        <v>2.9048725868560284E-3</v>
      </c>
      <c r="N83" s="2">
        <f t="shared" si="28"/>
        <v>-0.24709512741314396</v>
      </c>
    </row>
    <row r="84" spans="3:14" x14ac:dyDescent="0.2">
      <c r="I84" s="34">
        <f>COUNT(I80:I83)/4*100</f>
        <v>25</v>
      </c>
      <c r="J84" s="7">
        <f>SUM(J80:J83)</f>
        <v>888239522924.20105</v>
      </c>
      <c r="K84" s="36"/>
      <c r="L84" s="36">
        <f>SUM(L80:L83)*100</f>
        <v>51.219784829225034</v>
      </c>
      <c r="M84" s="2">
        <f t="shared" si="27"/>
        <v>0</v>
      </c>
      <c r="N84" s="1">
        <f>SQRT(ABS(SUM(N80:N83))/(1-(1/7)))</f>
        <v>0.8575150849918084</v>
      </c>
    </row>
    <row r="85" spans="3:14" x14ac:dyDescent="0.2">
      <c r="J85" s="7"/>
    </row>
    <row r="86" spans="3:14" x14ac:dyDescent="0.2">
      <c r="D86" s="1" t="s">
        <v>125</v>
      </c>
      <c r="G86" s="4"/>
      <c r="H86" s="4"/>
      <c r="I86" s="4"/>
    </row>
    <row r="87" spans="3:14" x14ac:dyDescent="0.2">
      <c r="C87" s="38"/>
      <c r="D87" s="2" t="s">
        <v>53</v>
      </c>
      <c r="E87" s="2">
        <v>146</v>
      </c>
      <c r="F87" s="32">
        <v>5.5426372831568753E-2</v>
      </c>
      <c r="G87" s="3">
        <v>1114</v>
      </c>
      <c r="H87" s="3">
        <v>771</v>
      </c>
      <c r="I87" s="3">
        <v>1</v>
      </c>
      <c r="J87" s="2">
        <v>45750754989.617645</v>
      </c>
      <c r="K87" s="2">
        <f>J87/J$93</f>
        <v>2.0780147047971952E-2</v>
      </c>
      <c r="L87" s="2">
        <f t="shared" ref="L87:L92" si="29">I87*K87</f>
        <v>2.0780147047971952E-2</v>
      </c>
      <c r="M87" s="2">
        <f>K87^2</f>
        <v>4.3181451133533739E-4</v>
      </c>
      <c r="N87" s="2">
        <f>(1/6)-M87</f>
        <v>0.16623485215533132</v>
      </c>
    </row>
    <row r="88" spans="3:14" x14ac:dyDescent="0.2">
      <c r="C88" s="38"/>
      <c r="D88" s="2" t="s">
        <v>57</v>
      </c>
      <c r="E88" s="2">
        <v>93</v>
      </c>
      <c r="F88" s="32">
        <v>0.28923227188303169</v>
      </c>
      <c r="G88" s="3">
        <v>2652</v>
      </c>
      <c r="H88" s="3">
        <v>17820</v>
      </c>
      <c r="J88" s="2">
        <v>238741850314.15726</v>
      </c>
      <c r="K88" s="2">
        <f t="shared" ref="K88:K92" si="30">J88/J$93</f>
        <v>0.10843735272038531</v>
      </c>
      <c r="L88" s="2">
        <f t="shared" si="29"/>
        <v>0</v>
      </c>
      <c r="M88" s="2">
        <f t="shared" ref="M88:M93" si="31">K88^2</f>
        <v>1.1758659465005254E-2</v>
      </c>
      <c r="N88" s="2">
        <f t="shared" ref="N88:N92" si="32">(1/6)-M88</f>
        <v>0.1549080072016614</v>
      </c>
    </row>
    <row r="89" spans="3:14" x14ac:dyDescent="0.2">
      <c r="C89" s="38"/>
      <c r="D89" s="2" t="s">
        <v>55</v>
      </c>
      <c r="E89" s="2">
        <v>96</v>
      </c>
      <c r="F89" s="32">
        <v>0.14429714362203758</v>
      </c>
      <c r="G89" s="3">
        <v>2759</v>
      </c>
      <c r="H89" s="3">
        <v>309500</v>
      </c>
      <c r="J89" s="2">
        <v>119107618382.58754</v>
      </c>
      <c r="K89" s="2">
        <f t="shared" si="30"/>
        <v>5.4099081536153275E-2</v>
      </c>
      <c r="L89" s="2">
        <f t="shared" si="29"/>
        <v>0</v>
      </c>
      <c r="M89" s="2">
        <f t="shared" si="31"/>
        <v>2.9267106230553602E-3</v>
      </c>
      <c r="N89" s="2">
        <f t="shared" si="32"/>
        <v>0.1637399560436113</v>
      </c>
    </row>
    <row r="90" spans="3:14" x14ac:dyDescent="0.2">
      <c r="C90" s="38"/>
      <c r="D90" s="2" t="s">
        <v>56</v>
      </c>
      <c r="E90" s="2">
        <v>89</v>
      </c>
      <c r="F90" s="32">
        <v>0.19358522800939576</v>
      </c>
      <c r="G90" s="3">
        <v>1389</v>
      </c>
      <c r="H90" s="3">
        <v>11610</v>
      </c>
      <c r="J90" s="2">
        <v>159791627772.23462</v>
      </c>
      <c r="K90" s="2">
        <f t="shared" si="30"/>
        <v>7.2577895663041264E-2</v>
      </c>
      <c r="L90" s="2">
        <f t="shared" si="29"/>
        <v>0</v>
      </c>
      <c r="M90" s="2">
        <f t="shared" si="31"/>
        <v>5.2675509388753041E-3</v>
      </c>
      <c r="N90" s="2">
        <f t="shared" si="32"/>
        <v>0.16139911572779136</v>
      </c>
    </row>
    <row r="91" spans="3:14" x14ac:dyDescent="0.2">
      <c r="C91" s="38"/>
      <c r="D91" s="2" t="s">
        <v>54</v>
      </c>
      <c r="E91" s="2">
        <v>96</v>
      </c>
      <c r="F91" s="32">
        <v>1.409241248055124</v>
      </c>
      <c r="G91" s="3">
        <v>25940</v>
      </c>
      <c r="H91" s="3">
        <v>2149690</v>
      </c>
      <c r="I91" s="4">
        <v>1</v>
      </c>
      <c r="J91" s="2">
        <v>1163234174766.5491</v>
      </c>
      <c r="K91" s="1">
        <f t="shared" si="30"/>
        <v>0.52834488104864408</v>
      </c>
      <c r="L91" s="2">
        <f t="shared" si="29"/>
        <v>0.52834488104864408</v>
      </c>
      <c r="M91" s="2">
        <f>K91^2</f>
        <v>0.27914831333030588</v>
      </c>
      <c r="N91" s="2">
        <f t="shared" si="32"/>
        <v>-0.11248164666363922</v>
      </c>
    </row>
    <row r="92" spans="3:14" x14ac:dyDescent="0.2">
      <c r="C92" s="38"/>
      <c r="D92" s="2" t="s">
        <v>126</v>
      </c>
      <c r="E92" s="2">
        <v>149</v>
      </c>
      <c r="F92" s="32">
        <v>0.57549302983108974</v>
      </c>
      <c r="G92" s="3">
        <v>6894</v>
      </c>
      <c r="H92" s="3">
        <v>83600</v>
      </c>
      <c r="J92" s="2">
        <v>475030915085.22394</v>
      </c>
      <c r="K92" s="2">
        <f t="shared" si="30"/>
        <v>0.2157606419838041</v>
      </c>
      <c r="L92" s="2">
        <f t="shared" si="29"/>
        <v>0</v>
      </c>
      <c r="M92" s="2">
        <f t="shared" si="31"/>
        <v>4.6552654629263286E-2</v>
      </c>
      <c r="N92" s="2">
        <f t="shared" si="32"/>
        <v>0.12011401203740338</v>
      </c>
    </row>
    <row r="93" spans="3:14" x14ac:dyDescent="0.2">
      <c r="I93" s="34">
        <f>COUNT(I87:I92)/6*100</f>
        <v>33.333333333333329</v>
      </c>
      <c r="J93" s="7">
        <f>SUM(J87:J92)</f>
        <v>2201656941310.3701</v>
      </c>
      <c r="K93" s="36"/>
      <c r="L93" s="36">
        <f>SUM(L87:L92)*100</f>
        <v>54.912502809661603</v>
      </c>
      <c r="M93" s="2">
        <f t="shared" si="31"/>
        <v>0</v>
      </c>
      <c r="N93" s="1">
        <f>SQRT(SUM(N87:N92)/(1-(1/6)))</f>
        <v>0.88583133597914188</v>
      </c>
    </row>
    <row r="96" spans="3:14" x14ac:dyDescent="0.2">
      <c r="D96" s="1" t="s">
        <v>385</v>
      </c>
      <c r="G96" s="4"/>
      <c r="H96" s="4"/>
      <c r="I96" s="4"/>
    </row>
    <row r="97" spans="4:14" x14ac:dyDescent="0.2">
      <c r="D97" s="2" t="s">
        <v>106</v>
      </c>
      <c r="E97" s="2">
        <v>77</v>
      </c>
      <c r="F97" s="32">
        <v>2.3404974071614616E-2</v>
      </c>
      <c r="G97" s="3">
        <v>11502</v>
      </c>
      <c r="H97" s="3">
        <v>1259200</v>
      </c>
      <c r="J97" s="2">
        <v>19508303017.476265</v>
      </c>
      <c r="K97" s="2">
        <f>J97/J$105</f>
        <v>0.10489328837342968</v>
      </c>
      <c r="L97" s="2">
        <f t="shared" ref="L97:L104" si="33">I97*K97</f>
        <v>0</v>
      </c>
      <c r="M97" s="2">
        <f>K97^2</f>
        <v>1.1002601945791477E-2</v>
      </c>
      <c r="N97" s="2">
        <f>(1/8)-M97</f>
        <v>0.11399739805420853</v>
      </c>
    </row>
    <row r="98" spans="4:14" x14ac:dyDescent="0.2">
      <c r="D98" s="2" t="s">
        <v>137</v>
      </c>
      <c r="E98" s="2">
        <v>34</v>
      </c>
      <c r="F98" s="32">
        <v>4.451844927349736E-3</v>
      </c>
      <c r="G98" s="3">
        <v>4345</v>
      </c>
      <c r="H98" s="3">
        <v>622980</v>
      </c>
      <c r="J98" s="2">
        <v>3710661655.2454042</v>
      </c>
      <c r="K98" s="2">
        <f t="shared" ref="K98:K103" si="34">J98/J$105</f>
        <v>1.9951684301356357E-2</v>
      </c>
      <c r="L98" s="2">
        <f t="shared" si="33"/>
        <v>0</v>
      </c>
      <c r="M98" s="2">
        <f t="shared" ref="M98:M104" si="35">K98^2</f>
        <v>3.9806970646098972E-4</v>
      </c>
      <c r="N98" s="2">
        <f t="shared" ref="N98:N104" si="36">(1/8)-M98</f>
        <v>0.12460193029353901</v>
      </c>
    </row>
    <row r="99" spans="4:14" x14ac:dyDescent="0.2">
      <c r="D99" s="2" t="s">
        <v>138</v>
      </c>
      <c r="E99" s="2">
        <v>64</v>
      </c>
      <c r="F99" s="32">
        <v>4.2644138530032794E-2</v>
      </c>
      <c r="G99" s="3">
        <v>60373</v>
      </c>
      <c r="H99" s="3">
        <v>2267050</v>
      </c>
      <c r="J99" s="2">
        <v>35544357956.459129</v>
      </c>
      <c r="K99" s="2">
        <f t="shared" si="34"/>
        <v>0.19111680733251216</v>
      </c>
      <c r="L99" s="2">
        <f t="shared" si="33"/>
        <v>0</v>
      </c>
      <c r="M99" s="2">
        <f t="shared" si="35"/>
        <v>3.6525634044972576E-2</v>
      </c>
      <c r="N99" s="2">
        <f t="shared" si="36"/>
        <v>8.8474365955027418E-2</v>
      </c>
    </row>
    <row r="100" spans="4:14" x14ac:dyDescent="0.2">
      <c r="D100" s="2" t="s">
        <v>108</v>
      </c>
      <c r="E100" s="2">
        <v>83</v>
      </c>
      <c r="F100" s="32">
        <v>2.7312688874541722E-2</v>
      </c>
      <c r="G100" s="3">
        <v>1536</v>
      </c>
      <c r="H100" s="3">
        <v>257670</v>
      </c>
      <c r="J100" s="2">
        <v>22765426236.1614</v>
      </c>
      <c r="K100" s="2">
        <f t="shared" si="34"/>
        <v>0.12240636292118866</v>
      </c>
      <c r="L100" s="2">
        <f t="shared" si="33"/>
        <v>0</v>
      </c>
      <c r="M100" s="2">
        <f t="shared" si="35"/>
        <v>1.4983317683593749E-2</v>
      </c>
      <c r="N100" s="2">
        <f t="shared" si="36"/>
        <v>0.11001668231640625</v>
      </c>
    </row>
    <row r="101" spans="4:14" x14ac:dyDescent="0.2">
      <c r="D101" s="2" t="s">
        <v>109</v>
      </c>
      <c r="E101" s="2">
        <v>37</v>
      </c>
      <c r="F101" s="32">
        <v>5.9623209943009015E-2</v>
      </c>
      <c r="G101" s="3">
        <v>18907</v>
      </c>
      <c r="H101" s="3">
        <v>472710</v>
      </c>
      <c r="I101" s="4">
        <v>1</v>
      </c>
      <c r="J101" s="2">
        <v>49696600512.515869</v>
      </c>
      <c r="K101" s="1">
        <f t="shared" si="34"/>
        <v>0.26721134298911614</v>
      </c>
      <c r="L101" s="2">
        <f t="shared" si="33"/>
        <v>0.26721134298911614</v>
      </c>
      <c r="M101" s="2">
        <f t="shared" si="35"/>
        <v>7.1401901822047073E-2</v>
      </c>
      <c r="N101" s="2">
        <f t="shared" si="36"/>
        <v>5.3598098177952927E-2</v>
      </c>
    </row>
    <row r="102" spans="4:14" x14ac:dyDescent="0.2">
      <c r="D102" s="2" t="s">
        <v>110</v>
      </c>
      <c r="E102" s="2">
        <v>122</v>
      </c>
      <c r="F102" s="32">
        <v>4.089753248815569E-2</v>
      </c>
      <c r="G102" s="3">
        <v>868</v>
      </c>
      <c r="H102" s="3">
        <v>28050</v>
      </c>
      <c r="I102" s="3">
        <v>1</v>
      </c>
      <c r="J102" s="2">
        <v>34088542632.210712</v>
      </c>
      <c r="K102" s="2">
        <f t="shared" si="34"/>
        <v>0.18328910153523967</v>
      </c>
      <c r="L102" s="2">
        <f t="shared" si="33"/>
        <v>0.18328910153523967</v>
      </c>
      <c r="M102" s="2">
        <f t="shared" si="35"/>
        <v>3.3594894741595396E-2</v>
      </c>
      <c r="N102" s="2">
        <f t="shared" si="36"/>
        <v>9.1405105258404604E-2</v>
      </c>
    </row>
    <row r="103" spans="4:14" x14ac:dyDescent="0.2">
      <c r="D103" s="2" t="s">
        <v>139</v>
      </c>
      <c r="E103" s="2">
        <v>75</v>
      </c>
      <c r="F103" s="32">
        <v>5.0260362912752645E-4</v>
      </c>
      <c r="G103" s="3">
        <v>166</v>
      </c>
      <c r="H103" s="3">
        <v>960</v>
      </c>
      <c r="J103" s="2">
        <v>418925646.51863521</v>
      </c>
      <c r="K103" s="2">
        <f t="shared" si="34"/>
        <v>2.2525018505166416E-3</v>
      </c>
      <c r="L103" s="2">
        <f t="shared" si="33"/>
        <v>0</v>
      </c>
      <c r="M103" s="2">
        <f t="shared" si="35"/>
        <v>5.0737645865808949E-6</v>
      </c>
      <c r="N103" s="2">
        <f t="shared" si="36"/>
        <v>0.12499492623541342</v>
      </c>
    </row>
    <row r="104" spans="4:14" x14ac:dyDescent="0.2">
      <c r="D104" s="2" t="s">
        <v>140</v>
      </c>
      <c r="E104" s="2">
        <v>120</v>
      </c>
      <c r="F104" s="32">
        <v>2.4294291096378887E-2</v>
      </c>
      <c r="G104" s="3">
        <v>4115</v>
      </c>
      <c r="H104" s="3">
        <v>341500</v>
      </c>
      <c r="J104" s="2">
        <v>20249558527.720245</v>
      </c>
      <c r="K104" s="2">
        <f>J104/J$105</f>
        <v>0.10887891069664056</v>
      </c>
      <c r="L104" s="2">
        <f t="shared" si="33"/>
        <v>0</v>
      </c>
      <c r="M104" s="2">
        <f t="shared" si="35"/>
        <v>1.185461719448703E-2</v>
      </c>
      <c r="N104" s="2">
        <f t="shared" si="36"/>
        <v>0.11314538280551296</v>
      </c>
    </row>
    <row r="105" spans="4:14" x14ac:dyDescent="0.2">
      <c r="I105" s="34">
        <f>COUNT(I97:I104)/8*100</f>
        <v>25</v>
      </c>
      <c r="J105" s="7">
        <f>SUM(J97:J104)</f>
        <v>185982376184.30768</v>
      </c>
      <c r="K105" s="36"/>
      <c r="L105" s="36">
        <f>SUM(L97:L104)*100</f>
        <v>45.050044452435579</v>
      </c>
      <c r="N105" s="1">
        <f>SQRT(SUM(N97:N104)/(1-(1/8)))</f>
        <v>0.96819944173057071</v>
      </c>
    </row>
    <row r="107" spans="4:14" x14ac:dyDescent="0.2">
      <c r="D107" s="1" t="s">
        <v>141</v>
      </c>
      <c r="G107" s="4"/>
      <c r="H107" s="4"/>
      <c r="I107" s="4"/>
    </row>
    <row r="108" spans="4:14" x14ac:dyDescent="0.2">
      <c r="D108" s="2" t="s">
        <v>72</v>
      </c>
      <c r="E108" s="2">
        <v>38</v>
      </c>
      <c r="F108" s="32">
        <v>6.8148713750245454E-3</v>
      </c>
      <c r="G108" s="3">
        <v>10524</v>
      </c>
      <c r="H108" s="3">
        <v>25680</v>
      </c>
      <c r="J108" s="2">
        <v>8187305239.414607</v>
      </c>
      <c r="K108" s="2">
        <f>J108/J$113</f>
        <v>1.9921879354378492E-2</v>
      </c>
      <c r="L108" s="2">
        <f t="shared" ref="L108:L112" si="37">I108*K108</f>
        <v>0</v>
      </c>
      <c r="M108" s="2">
        <f>K108^2</f>
        <v>3.9688127701041197E-4</v>
      </c>
      <c r="N108" s="2">
        <f>(1/5)-M108</f>
        <v>0.19960311872298961</v>
      </c>
    </row>
    <row r="109" spans="4:14" x14ac:dyDescent="0.2">
      <c r="D109" s="2" t="s">
        <v>73</v>
      </c>
      <c r="E109" s="2">
        <v>38</v>
      </c>
      <c r="F109" s="32">
        <v>0.12730425757675273</v>
      </c>
      <c r="G109" s="3">
        <v>48461</v>
      </c>
      <c r="H109" s="3">
        <v>569140</v>
      </c>
      <c r="I109" s="4">
        <v>1</v>
      </c>
      <c r="J109" s="2">
        <v>152941817636.90009</v>
      </c>
      <c r="K109" s="1">
        <f t="shared" ref="K109:K112" si="38">J109/J$113</f>
        <v>0.37214789849700691</v>
      </c>
      <c r="L109" s="2">
        <f t="shared" si="37"/>
        <v>0.37214789849700691</v>
      </c>
      <c r="M109" s="2">
        <f t="shared" ref="M109:M113" si="39">K109^2</f>
        <v>0.13849405835573855</v>
      </c>
      <c r="N109" s="2">
        <f t="shared" ref="N109:N112" si="40">(1/5)-M109</f>
        <v>6.1505941644261458E-2</v>
      </c>
    </row>
    <row r="110" spans="4:14" x14ac:dyDescent="0.2">
      <c r="D110" s="2" t="s">
        <v>74</v>
      </c>
      <c r="E110" s="2">
        <v>48</v>
      </c>
      <c r="F110" s="32">
        <v>1.8980531572914329E-2</v>
      </c>
      <c r="G110" s="3">
        <v>11917</v>
      </c>
      <c r="H110" s="3">
        <v>24670</v>
      </c>
      <c r="J110" s="2">
        <v>22802984391.357815</v>
      </c>
      <c r="K110" s="2">
        <f t="shared" si="38"/>
        <v>5.5485692872113704E-2</v>
      </c>
      <c r="L110" s="2">
        <f t="shared" si="37"/>
        <v>0</v>
      </c>
      <c r="M110" s="2">
        <f t="shared" si="39"/>
        <v>3.0786621134985294E-3</v>
      </c>
      <c r="N110" s="2">
        <f t="shared" si="40"/>
        <v>0.19692133788650149</v>
      </c>
    </row>
    <row r="111" spans="4:14" x14ac:dyDescent="0.2">
      <c r="D111" s="2" t="s">
        <v>75</v>
      </c>
      <c r="E111" s="2">
        <v>45</v>
      </c>
      <c r="F111" s="32">
        <v>6.3844815457437004E-2</v>
      </c>
      <c r="G111" s="3">
        <v>41487</v>
      </c>
      <c r="H111" s="3">
        <v>200520</v>
      </c>
      <c r="J111" s="2">
        <v>76702400285.911484</v>
      </c>
      <c r="K111" s="2">
        <f t="shared" si="38"/>
        <v>0.18663722922298559</v>
      </c>
      <c r="L111" s="2">
        <f t="shared" si="37"/>
        <v>0</v>
      </c>
      <c r="M111" s="2">
        <f t="shared" si="39"/>
        <v>3.4833455332033268E-2</v>
      </c>
      <c r="N111" s="2">
        <f t="shared" si="40"/>
        <v>0.16516654466796674</v>
      </c>
    </row>
    <row r="112" spans="4:14" x14ac:dyDescent="0.2">
      <c r="D112" s="2" t="s">
        <v>76</v>
      </c>
      <c r="E112" s="2">
        <v>37</v>
      </c>
      <c r="F112" s="32">
        <v>0.12513526728901775</v>
      </c>
      <c r="G112" s="3">
        <v>55572</v>
      </c>
      <c r="H112" s="3">
        <v>885800</v>
      </c>
      <c r="J112" s="2">
        <v>150336018558.71158</v>
      </c>
      <c r="K112" s="2">
        <f t="shared" si="38"/>
        <v>0.36580730005351542</v>
      </c>
      <c r="L112" s="2">
        <f t="shared" si="37"/>
        <v>0</v>
      </c>
      <c r="M112" s="2">
        <f t="shared" si="39"/>
        <v>0.13381498077244267</v>
      </c>
      <c r="N112" s="2">
        <f t="shared" si="40"/>
        <v>6.6185019227557346E-2</v>
      </c>
    </row>
    <row r="113" spans="4:14" x14ac:dyDescent="0.2">
      <c r="I113" s="34">
        <f>COUNT(I108:I112)/5*100</f>
        <v>20</v>
      </c>
      <c r="J113" s="7">
        <f>SUM(J108:J112)</f>
        <v>410970526112.29553</v>
      </c>
      <c r="K113" s="36"/>
      <c r="L113" s="36">
        <f>SUM(L108:L112)*100</f>
        <v>37.214789849700693</v>
      </c>
      <c r="M113" s="2">
        <f t="shared" si="39"/>
        <v>0</v>
      </c>
      <c r="N113" s="1">
        <f>SQRT(SUM(N108:N112)/(1-(1/5)))</f>
        <v>0.92829276237973324</v>
      </c>
    </row>
    <row r="116" spans="4:14" x14ac:dyDescent="0.2">
      <c r="D116" s="2" t="s">
        <v>73</v>
      </c>
      <c r="E116" s="2">
        <v>38</v>
      </c>
      <c r="F116" s="32">
        <v>0.12730425757675273</v>
      </c>
      <c r="G116" s="3">
        <v>48461</v>
      </c>
      <c r="H116" s="3">
        <v>569140</v>
      </c>
      <c r="I116" s="4">
        <v>1</v>
      </c>
      <c r="J116" s="2">
        <v>152941817636.90009</v>
      </c>
      <c r="K116" s="1">
        <f>J116/J$118</f>
        <v>0.87024945188597191</v>
      </c>
      <c r="L116" s="2">
        <f t="shared" ref="L116:L117" si="41">I116*K116</f>
        <v>0.87024945188597191</v>
      </c>
      <c r="M116" s="2">
        <f>K116^2</f>
        <v>0.75733410850783456</v>
      </c>
      <c r="N116" s="2">
        <f>(1/2)-M116</f>
        <v>-0.25733410850783456</v>
      </c>
    </row>
    <row r="117" spans="4:14" x14ac:dyDescent="0.2">
      <c r="D117" s="2" t="s">
        <v>74</v>
      </c>
      <c r="E117" s="2">
        <v>48</v>
      </c>
      <c r="F117" s="32">
        <v>1.8980531572914329E-2</v>
      </c>
      <c r="G117" s="3">
        <v>11917</v>
      </c>
      <c r="H117" s="3">
        <v>24670</v>
      </c>
      <c r="J117" s="2">
        <v>22802984391.357815</v>
      </c>
      <c r="K117" s="2">
        <f>J117/J$118</f>
        <v>0.12975054811402806</v>
      </c>
      <c r="L117" s="2">
        <f t="shared" si="41"/>
        <v>0</v>
      </c>
      <c r="M117" s="2">
        <f t="shared" ref="M117:M118" si="42">K117^2</f>
        <v>1.6835204735890709E-2</v>
      </c>
      <c r="N117" s="2">
        <f>(1/2)-M117</f>
        <v>0.48316479526410927</v>
      </c>
    </row>
    <row r="118" spans="4:14" x14ac:dyDescent="0.2">
      <c r="J118" s="7">
        <f>SUM(J116:J117)</f>
        <v>175744802028.2579</v>
      </c>
      <c r="K118" s="36"/>
      <c r="L118" s="36">
        <f>SUM(L116:L117)*100</f>
        <v>87.024945188597187</v>
      </c>
      <c r="M118" s="2">
        <f t="shared" si="42"/>
        <v>0</v>
      </c>
      <c r="N118" s="1">
        <f>SQRT(SUM(N116:N117)/(1-(1/2)))</f>
        <v>0.67205756711203646</v>
      </c>
    </row>
    <row r="120" spans="4:14" x14ac:dyDescent="0.2">
      <c r="D120" s="1" t="s">
        <v>386</v>
      </c>
      <c r="E120" s="2" t="s">
        <v>359</v>
      </c>
      <c r="F120" s="2" t="s">
        <v>360</v>
      </c>
      <c r="G120" s="3" t="s">
        <v>361</v>
      </c>
      <c r="I120" s="4"/>
    </row>
    <row r="121" spans="4:14" x14ac:dyDescent="0.2">
      <c r="D121" s="2" t="s">
        <v>92</v>
      </c>
      <c r="E121" s="2">
        <v>56</v>
      </c>
      <c r="F121" s="32">
        <v>1.8636445425446273E-2</v>
      </c>
      <c r="G121" s="3">
        <v>8696</v>
      </c>
      <c r="H121" s="3">
        <v>112760</v>
      </c>
      <c r="J121" s="2">
        <v>15383136311.805462</v>
      </c>
      <c r="K121" s="2">
        <f>J121/J$137</f>
        <v>1.641583946852853E-2</v>
      </c>
      <c r="L121" s="2">
        <f t="shared" ref="L121:L136" si="43">I121*K121</f>
        <v>0</v>
      </c>
      <c r="M121" s="2">
        <f>K121^2</f>
        <v>2.6947978545649904E-4</v>
      </c>
      <c r="N121" s="2">
        <f>(1/16)-M121</f>
        <v>6.2230520214543499E-2</v>
      </c>
    </row>
    <row r="122" spans="4:14" x14ac:dyDescent="0.2">
      <c r="D122" s="2" t="s">
        <v>93</v>
      </c>
      <c r="E122" s="2">
        <v>36</v>
      </c>
      <c r="F122" s="32">
        <v>2.3174553624504702E-2</v>
      </c>
      <c r="G122" s="3">
        <v>14689</v>
      </c>
      <c r="H122" s="3">
        <v>273600</v>
      </c>
      <c r="J122" s="2">
        <v>19129040395.452148</v>
      </c>
      <c r="K122" s="2">
        <f t="shared" ref="K122:K136" si="44">J122/J$137</f>
        <v>2.0413214181671951E-2</v>
      </c>
      <c r="L122" s="2">
        <f t="shared" si="43"/>
        <v>0</v>
      </c>
      <c r="M122" s="2">
        <f t="shared" ref="M122:M137" si="45">K122^2</f>
        <v>4.1669931322681284E-4</v>
      </c>
      <c r="N122" s="2">
        <f t="shared" ref="N122:N136" si="46">(1/16)-M122</f>
        <v>6.2083300686773188E-2</v>
      </c>
    </row>
    <row r="123" spans="4:14" x14ac:dyDescent="0.2">
      <c r="D123" s="2" t="s">
        <v>143</v>
      </c>
      <c r="E123" s="2">
        <v>87</v>
      </c>
      <c r="F123" s="32">
        <v>6.0640962495384358E-2</v>
      </c>
      <c r="G123" s="3">
        <v>19497</v>
      </c>
      <c r="H123" s="3">
        <v>318000</v>
      </c>
      <c r="J123" s="2">
        <v>50055049171.11853</v>
      </c>
      <c r="K123" s="2">
        <f t="shared" si="44"/>
        <v>5.3415352703583011E-2</v>
      </c>
      <c r="L123" s="2">
        <f t="shared" si="43"/>
        <v>0</v>
      </c>
      <c r="M123" s="2">
        <f t="shared" si="45"/>
        <v>2.8531999044481729E-3</v>
      </c>
      <c r="N123" s="2">
        <f t="shared" si="46"/>
        <v>5.964680009555183E-2</v>
      </c>
    </row>
    <row r="124" spans="4:14" x14ac:dyDescent="0.2">
      <c r="D124" s="2" t="s">
        <v>94</v>
      </c>
      <c r="E124" s="2">
        <v>64</v>
      </c>
      <c r="F124" s="32">
        <v>2.9763999869543954E-2</v>
      </c>
      <c r="G124" s="3">
        <v>14138</v>
      </c>
      <c r="H124" s="3">
        <v>1220190</v>
      </c>
      <c r="J124" s="2">
        <v>24568186514.397526</v>
      </c>
      <c r="K124" s="2">
        <f t="shared" si="44"/>
        <v>2.6217501924084726E-2</v>
      </c>
      <c r="L124" s="2">
        <f t="shared" si="43"/>
        <v>0</v>
      </c>
      <c r="M124" s="2">
        <f t="shared" si="45"/>
        <v>6.8735740713938632E-4</v>
      </c>
      <c r="N124" s="2">
        <f t="shared" si="46"/>
        <v>6.1812642592860616E-2</v>
      </c>
    </row>
    <row r="125" spans="4:14" x14ac:dyDescent="0.2">
      <c r="D125" s="2" t="s">
        <v>95</v>
      </c>
      <c r="E125" s="2">
        <v>53</v>
      </c>
      <c r="F125" s="32">
        <v>1.4461663143945043E-2</v>
      </c>
      <c r="G125" s="3">
        <v>15228</v>
      </c>
      <c r="H125" s="3">
        <v>1266700</v>
      </c>
      <c r="J125" s="2">
        <v>11937133415.740543</v>
      </c>
      <c r="K125" s="2">
        <f t="shared" si="44"/>
        <v>1.2738498957252336E-2</v>
      </c>
      <c r="L125" s="2">
        <f t="shared" si="43"/>
        <v>0</v>
      </c>
      <c r="M125" s="2">
        <f t="shared" si="45"/>
        <v>1.6226935568391883E-4</v>
      </c>
      <c r="N125" s="2">
        <f t="shared" si="46"/>
        <v>6.2337730644316081E-2</v>
      </c>
    </row>
    <row r="126" spans="4:14" x14ac:dyDescent="0.2">
      <c r="D126" s="2" t="s">
        <v>96</v>
      </c>
      <c r="E126" s="2">
        <v>79</v>
      </c>
      <c r="F126" s="32">
        <v>3.071957164266062E-2</v>
      </c>
      <c r="G126" s="3">
        <v>12203</v>
      </c>
      <c r="H126" s="3">
        <v>192530</v>
      </c>
      <c r="J126" s="2">
        <v>25356946951.594219</v>
      </c>
      <c r="K126" s="2">
        <f t="shared" si="44"/>
        <v>2.7059213552565225E-2</v>
      </c>
      <c r="L126" s="2">
        <f t="shared" si="43"/>
        <v>0</v>
      </c>
      <c r="M126" s="2">
        <f t="shared" si="45"/>
        <v>7.3220103808332949E-4</v>
      </c>
      <c r="N126" s="2">
        <f t="shared" si="46"/>
        <v>6.176779896191667E-2</v>
      </c>
    </row>
    <row r="127" spans="4:14" x14ac:dyDescent="0.2">
      <c r="D127" s="2" t="s">
        <v>97</v>
      </c>
      <c r="E127" s="2">
        <v>87</v>
      </c>
      <c r="F127" s="32">
        <v>8.4950280352275309E-3</v>
      </c>
      <c r="G127" s="3">
        <v>6161</v>
      </c>
      <c r="H127" s="3">
        <v>54390</v>
      </c>
      <c r="J127" s="2">
        <v>7012076136.58358</v>
      </c>
      <c r="K127" s="2">
        <f t="shared" si="44"/>
        <v>7.4828119484917875E-3</v>
      </c>
      <c r="L127" s="2">
        <f t="shared" si="43"/>
        <v>0</v>
      </c>
      <c r="M127" s="2">
        <f t="shared" si="45"/>
        <v>5.5992474656491461E-5</v>
      </c>
      <c r="N127" s="2">
        <f t="shared" si="46"/>
        <v>6.2444007525343508E-2</v>
      </c>
    </row>
    <row r="128" spans="4:14" x14ac:dyDescent="0.2">
      <c r="D128" s="2" t="s">
        <v>144</v>
      </c>
      <c r="E128" s="2">
        <v>100</v>
      </c>
      <c r="F128" s="32">
        <v>3.4016314142416046E-3</v>
      </c>
      <c r="G128" s="3">
        <v>491</v>
      </c>
      <c r="H128" s="3">
        <v>4030</v>
      </c>
      <c r="I128" s="3">
        <v>1</v>
      </c>
      <c r="J128" s="2">
        <v>2807818687.1596055</v>
      </c>
      <c r="K128" s="2">
        <f t="shared" si="44"/>
        <v>2.9963136184247259E-3</v>
      </c>
      <c r="L128" s="2">
        <f t="shared" si="43"/>
        <v>2.9963136184247259E-3</v>
      </c>
      <c r="M128" s="2">
        <f t="shared" si="45"/>
        <v>8.9778952999574742E-6</v>
      </c>
      <c r="N128" s="2">
        <f t="shared" si="46"/>
        <v>6.2491022104700041E-2</v>
      </c>
    </row>
    <row r="129" spans="1:19" x14ac:dyDescent="0.2">
      <c r="D129" s="2" t="s">
        <v>145</v>
      </c>
      <c r="E129" s="2">
        <v>56</v>
      </c>
      <c r="F129" s="32">
        <v>2.8755570104830866E-3</v>
      </c>
      <c r="G129" s="3">
        <v>1588</v>
      </c>
      <c r="H129" s="3">
        <v>10120</v>
      </c>
      <c r="J129" s="2">
        <v>2373579534.8736606</v>
      </c>
      <c r="K129" s="2">
        <f t="shared" si="44"/>
        <v>2.5329230542128333E-3</v>
      </c>
      <c r="L129" s="2">
        <f t="shared" si="43"/>
        <v>0</v>
      </c>
      <c r="M129" s="2">
        <f t="shared" si="45"/>
        <v>6.4156991985628679E-6</v>
      </c>
      <c r="N129" s="2">
        <f t="shared" si="46"/>
        <v>6.2493584300801437E-2</v>
      </c>
    </row>
    <row r="130" spans="1:19" x14ac:dyDescent="0.2">
      <c r="D130" s="2" t="s">
        <v>98</v>
      </c>
      <c r="E130" s="2">
        <v>70</v>
      </c>
      <c r="F130" s="32">
        <v>7.7149414691208909E-2</v>
      </c>
      <c r="G130" s="3">
        <v>23298</v>
      </c>
      <c r="H130" s="3">
        <v>227540</v>
      </c>
      <c r="J130" s="2">
        <v>63681669732.4916</v>
      </c>
      <c r="K130" s="2">
        <f t="shared" si="44"/>
        <v>6.7956757726587491E-2</v>
      </c>
      <c r="L130" s="2">
        <f t="shared" si="43"/>
        <v>0</v>
      </c>
      <c r="M130" s="2">
        <f t="shared" si="45"/>
        <v>4.6181209207101087E-3</v>
      </c>
      <c r="N130" s="2">
        <f t="shared" si="46"/>
        <v>5.7881879079289891E-2</v>
      </c>
    </row>
    <row r="131" spans="1:19" x14ac:dyDescent="0.2">
      <c r="D131" s="2" t="s">
        <v>99</v>
      </c>
      <c r="E131" s="2">
        <v>75</v>
      </c>
      <c r="F131" s="32">
        <v>1.4761422527291602E-2</v>
      </c>
      <c r="G131" s="3">
        <v>10323</v>
      </c>
      <c r="H131" s="3">
        <v>245720</v>
      </c>
      <c r="J131" s="2">
        <v>12184564690.830519</v>
      </c>
      <c r="K131" s="2">
        <f t="shared" si="44"/>
        <v>1.300254082810628E-2</v>
      </c>
      <c r="L131" s="2">
        <f t="shared" si="43"/>
        <v>0</v>
      </c>
      <c r="M131" s="2">
        <f t="shared" si="45"/>
        <v>1.6906606798657074E-4</v>
      </c>
      <c r="N131" s="2">
        <f t="shared" si="46"/>
        <v>6.233093393201343E-2</v>
      </c>
    </row>
    <row r="132" spans="1:19" x14ac:dyDescent="0.2">
      <c r="D132" s="2" t="s">
        <v>100</v>
      </c>
      <c r="E132" s="2">
        <v>53</v>
      </c>
      <c r="F132" s="32">
        <v>2.3384808603447433E-3</v>
      </c>
      <c r="G132" s="3">
        <v>1480</v>
      </c>
      <c r="H132" s="3">
        <v>28120</v>
      </c>
      <c r="J132" s="2">
        <v>1930259178.5080106</v>
      </c>
      <c r="K132" s="2">
        <f t="shared" si="44"/>
        <v>2.0598416450827313E-3</v>
      </c>
      <c r="L132" s="2">
        <f t="shared" si="43"/>
        <v>0</v>
      </c>
      <c r="M132" s="2">
        <f t="shared" si="45"/>
        <v>4.2429476028171328E-6</v>
      </c>
      <c r="N132" s="2">
        <f t="shared" si="46"/>
        <v>6.2495757052397183E-2</v>
      </c>
    </row>
    <row r="133" spans="1:19" x14ac:dyDescent="0.2">
      <c r="A133" s="2" t="s">
        <v>387</v>
      </c>
      <c r="D133" s="2" t="s">
        <v>101</v>
      </c>
      <c r="E133" s="2">
        <v>179</v>
      </c>
      <c r="F133" s="32">
        <v>2.8774991165847145E-3</v>
      </c>
      <c r="G133" s="3">
        <v>3662</v>
      </c>
      <c r="H133" s="3">
        <v>96320</v>
      </c>
      <c r="I133" s="3">
        <v>1</v>
      </c>
      <c r="J133" s="2">
        <v>2375182613.2618032</v>
      </c>
      <c r="K133" s="2">
        <f t="shared" si="44"/>
        <v>2.5346337507146269E-3</v>
      </c>
      <c r="L133" s="2">
        <f t="shared" si="43"/>
        <v>2.5346337507146269E-3</v>
      </c>
      <c r="M133" s="2">
        <f t="shared" si="45"/>
        <v>6.4243682502616973E-6</v>
      </c>
      <c r="N133" s="2">
        <f t="shared" si="46"/>
        <v>6.2493575631749738E-2</v>
      </c>
    </row>
    <row r="134" spans="1:19" x14ac:dyDescent="0.2">
      <c r="A134" s="2" t="s">
        <v>387</v>
      </c>
      <c r="D134" s="2" t="s">
        <v>102</v>
      </c>
      <c r="E134" s="2">
        <v>113</v>
      </c>
      <c r="F134" s="32">
        <v>1.3439300441405609E-2</v>
      </c>
      <c r="G134" s="3">
        <v>3407</v>
      </c>
      <c r="H134" s="3">
        <v>1030700</v>
      </c>
      <c r="J134" s="2">
        <v>11093241543.967829</v>
      </c>
      <c r="K134" s="2">
        <f t="shared" si="44"/>
        <v>1.1837954801949909E-2</v>
      </c>
      <c r="L134" s="2">
        <f t="shared" si="43"/>
        <v>0</v>
      </c>
      <c r="M134" s="2">
        <f t="shared" si="45"/>
        <v>1.4013717389300891E-4</v>
      </c>
      <c r="N134" s="2">
        <f t="shared" si="46"/>
        <v>6.235986282610699E-2</v>
      </c>
    </row>
    <row r="135" spans="1:19" x14ac:dyDescent="0.2">
      <c r="D135" s="2" t="s">
        <v>103</v>
      </c>
      <c r="E135" s="2">
        <v>65</v>
      </c>
      <c r="F135" s="32">
        <v>0.82423876168025778</v>
      </c>
      <c r="G135" s="3">
        <v>150347</v>
      </c>
      <c r="H135" s="3">
        <v>910770</v>
      </c>
      <c r="I135" s="4">
        <v>1</v>
      </c>
      <c r="J135" s="2">
        <v>680353840818.19983</v>
      </c>
      <c r="K135" s="1">
        <f t="shared" si="44"/>
        <v>0.72602746320965073</v>
      </c>
      <c r="L135" s="2">
        <f t="shared" si="43"/>
        <v>0.72602746320965073</v>
      </c>
      <c r="M135" s="2">
        <f t="shared" si="45"/>
        <v>0.52711587733464071</v>
      </c>
      <c r="N135" s="2">
        <f t="shared" si="46"/>
        <v>-0.46461587733464071</v>
      </c>
    </row>
    <row r="136" spans="1:19" x14ac:dyDescent="0.2">
      <c r="D136" s="2" t="s">
        <v>104</v>
      </c>
      <c r="E136" s="2">
        <v>39</v>
      </c>
      <c r="F136" s="32">
        <v>8.297861551903013E-3</v>
      </c>
      <c r="G136" s="3">
        <v>6165</v>
      </c>
      <c r="H136" s="3">
        <v>72180</v>
      </c>
      <c r="J136" s="2">
        <v>6849328422.6359911</v>
      </c>
      <c r="K136" s="2">
        <f t="shared" si="44"/>
        <v>7.3091386290931072E-3</v>
      </c>
      <c r="L136" s="2">
        <f t="shared" si="43"/>
        <v>0</v>
      </c>
      <c r="M136" s="2">
        <f t="shared" si="45"/>
        <v>5.3423507499301067E-5</v>
      </c>
      <c r="N136" s="2">
        <f t="shared" si="46"/>
        <v>6.2446576492500697E-2</v>
      </c>
    </row>
    <row r="137" spans="1:19" x14ac:dyDescent="0.2">
      <c r="I137" s="4">
        <f>COUNT(I121:I136)/16*100</f>
        <v>18.75</v>
      </c>
      <c r="J137" s="7">
        <f>SUM(J121:J136)</f>
        <v>937091054118.62085</v>
      </c>
      <c r="K137" s="1"/>
      <c r="L137" s="36">
        <f>SUM(L121:L136)*100</f>
        <v>73.155841057879016</v>
      </c>
      <c r="M137" s="2">
        <f t="shared" si="45"/>
        <v>0</v>
      </c>
      <c r="N137" s="1">
        <f>SQRT(SUM(N121:N136)/(1-(1/16)))</f>
        <v>0.70252885287839872</v>
      </c>
    </row>
    <row r="140" spans="1:19" x14ac:dyDescent="0.2">
      <c r="D140" s="1" t="s">
        <v>127</v>
      </c>
      <c r="E140" s="2" t="s">
        <v>359</v>
      </c>
      <c r="F140" s="2" t="s">
        <v>360</v>
      </c>
      <c r="G140" s="3" t="s">
        <v>361</v>
      </c>
      <c r="I140" s="4"/>
    </row>
    <row r="141" spans="1:19" x14ac:dyDescent="0.2">
      <c r="B141" s="8" t="s">
        <v>388</v>
      </c>
      <c r="D141" s="2" t="s">
        <v>78</v>
      </c>
      <c r="E141" s="2">
        <v>37</v>
      </c>
      <c r="F141" s="2">
        <v>0</v>
      </c>
      <c r="G141" s="3">
        <v>1</v>
      </c>
      <c r="H141" s="3">
        <v>1</v>
      </c>
      <c r="J141" s="8">
        <v>255000000</v>
      </c>
      <c r="K141" s="2">
        <f>J141/J$156</f>
        <v>1.0528543780575501E-2</v>
      </c>
      <c r="L141" s="2">
        <f t="shared" ref="L141:L155" si="47">I141*K141</f>
        <v>0</v>
      </c>
      <c r="M141" s="2">
        <f>K141^2</f>
        <v>1.1085023413949508E-4</v>
      </c>
      <c r="N141" s="2">
        <f>(1/16)-M141</f>
        <v>6.2389149765860505E-2</v>
      </c>
      <c r="P141" s="2" t="s">
        <v>389</v>
      </c>
      <c r="R141" s="2">
        <v>2010</v>
      </c>
      <c r="S141" s="2">
        <v>37</v>
      </c>
    </row>
    <row r="142" spans="1:19" x14ac:dyDescent="0.2">
      <c r="D142" s="2" t="s">
        <v>79</v>
      </c>
      <c r="E142" s="2">
        <v>109</v>
      </c>
      <c r="F142" s="2">
        <v>7.9339000954779405E-3</v>
      </c>
      <c r="G142" s="3">
        <v>843</v>
      </c>
      <c r="H142" s="3">
        <v>18270</v>
      </c>
      <c r="I142" s="3">
        <v>1</v>
      </c>
      <c r="J142" s="2">
        <v>5944159874.1880598</v>
      </c>
      <c r="K142" s="2">
        <f t="shared" ref="K142:K155" si="48">J142/J$156</f>
        <v>0.24542489205540843</v>
      </c>
      <c r="L142" s="2">
        <f t="shared" si="47"/>
        <v>0.24542489205540843</v>
      </c>
      <c r="M142" s="2">
        <f t="shared" ref="M142:M156" si="49">K142^2</f>
        <v>6.0233377640408883E-2</v>
      </c>
      <c r="N142" s="2">
        <f t="shared" ref="N142:N156" si="50">(1/16)-M142</f>
        <v>2.2666223595911167E-3</v>
      </c>
    </row>
    <row r="143" spans="1:19" x14ac:dyDescent="0.2">
      <c r="D143" s="2" t="s">
        <v>128</v>
      </c>
      <c r="E143" s="2">
        <v>66</v>
      </c>
      <c r="F143" s="2">
        <v>4.4672752285200416E-4</v>
      </c>
      <c r="G143" s="3">
        <v>1</v>
      </c>
      <c r="H143" s="3">
        <v>1</v>
      </c>
      <c r="J143" s="2">
        <v>326447976.59896654</v>
      </c>
      <c r="K143" s="2">
        <f t="shared" si="48"/>
        <v>1.3478516916480415E-2</v>
      </c>
      <c r="L143" s="2">
        <f t="shared" si="47"/>
        <v>0</v>
      </c>
      <c r="M143" s="2">
        <f t="shared" si="49"/>
        <v>1.8167041826784873E-4</v>
      </c>
      <c r="N143" s="2">
        <f t="shared" si="50"/>
        <v>6.2318329581732154E-2</v>
      </c>
      <c r="P143" s="2" t="s">
        <v>389</v>
      </c>
      <c r="R143" s="2">
        <v>2010</v>
      </c>
      <c r="S143" s="2">
        <v>66</v>
      </c>
    </row>
    <row r="144" spans="1:19" x14ac:dyDescent="0.2">
      <c r="B144" s="8" t="s">
        <v>388</v>
      </c>
      <c r="D144" s="2" t="s">
        <v>86</v>
      </c>
      <c r="E144" s="2">
        <v>160</v>
      </c>
      <c r="F144" s="2">
        <v>0</v>
      </c>
      <c r="G144" s="3">
        <v>1</v>
      </c>
      <c r="H144" s="3">
        <v>1</v>
      </c>
      <c r="I144" s="3">
        <v>1</v>
      </c>
      <c r="J144" s="8">
        <v>703000000</v>
      </c>
      <c r="K144" s="2">
        <f t="shared" si="48"/>
        <v>2.9025750108802262E-2</v>
      </c>
      <c r="L144" s="2">
        <f t="shared" si="47"/>
        <v>2.9025750108802262E-2</v>
      </c>
      <c r="M144" s="2">
        <f t="shared" si="49"/>
        <v>8.4249416937863455E-4</v>
      </c>
      <c r="N144" s="2">
        <f t="shared" si="50"/>
        <v>6.1657505830621365E-2</v>
      </c>
    </row>
    <row r="145" spans="2:19" x14ac:dyDescent="0.2">
      <c r="D145" s="2" t="s">
        <v>80</v>
      </c>
      <c r="E145" s="2">
        <v>103</v>
      </c>
      <c r="F145" s="2">
        <v>2.2917115073746067E-4</v>
      </c>
      <c r="G145" s="3">
        <v>1</v>
      </c>
      <c r="H145" s="3">
        <v>1</v>
      </c>
      <c r="I145" s="3">
        <v>1</v>
      </c>
      <c r="J145" s="2">
        <v>174860147.73671493</v>
      </c>
      <c r="K145" s="2">
        <f t="shared" si="48"/>
        <v>7.2196969447996208E-3</v>
      </c>
      <c r="L145" s="2">
        <f t="shared" si="47"/>
        <v>7.2196969447996208E-3</v>
      </c>
      <c r="M145" s="2">
        <f t="shared" si="49"/>
        <v>5.2124023974748975E-5</v>
      </c>
      <c r="N145" s="2">
        <f t="shared" si="50"/>
        <v>6.2447875976025254E-2</v>
      </c>
    </row>
    <row r="146" spans="2:19" x14ac:dyDescent="0.2">
      <c r="D146" s="2" t="s">
        <v>81</v>
      </c>
      <c r="E146" s="2">
        <v>111</v>
      </c>
      <c r="F146" s="2">
        <v>2.1669738788920853E-4</v>
      </c>
      <c r="G146" s="3">
        <v>1</v>
      </c>
      <c r="H146" s="3">
        <v>1</v>
      </c>
      <c r="I146" s="3">
        <v>1</v>
      </c>
      <c r="J146" s="2">
        <v>164545084.03036368</v>
      </c>
      <c r="K146" s="2">
        <f t="shared" si="48"/>
        <v>6.7938043964398381E-3</v>
      </c>
      <c r="L146" s="2">
        <f t="shared" si="47"/>
        <v>6.7938043964398381E-3</v>
      </c>
      <c r="M146" s="2">
        <f t="shared" si="49"/>
        <v>4.6155778177085271E-5</v>
      </c>
      <c r="N146" s="2">
        <f t="shared" si="50"/>
        <v>6.2453844221822916E-2</v>
      </c>
      <c r="P146" s="2" t="s">
        <v>389</v>
      </c>
      <c r="R146" s="2">
        <v>2010</v>
      </c>
      <c r="S146" s="2">
        <v>111</v>
      </c>
    </row>
    <row r="147" spans="2:19" x14ac:dyDescent="0.2">
      <c r="D147" s="2" t="s">
        <v>82</v>
      </c>
      <c r="E147" s="2">
        <v>113</v>
      </c>
      <c r="F147" s="2">
        <v>0</v>
      </c>
      <c r="G147" s="3">
        <v>1</v>
      </c>
      <c r="H147" s="3">
        <v>1</v>
      </c>
      <c r="I147" s="3">
        <v>1</v>
      </c>
      <c r="J147" s="2">
        <v>56336865.594379596</v>
      </c>
      <c r="K147" s="2">
        <f t="shared" si="48"/>
        <v>2.326059434787542E-3</v>
      </c>
      <c r="L147" s="2">
        <f t="shared" si="47"/>
        <v>2.326059434787542E-3</v>
      </c>
      <c r="M147" s="2">
        <f t="shared" si="49"/>
        <v>5.4105524941641391E-6</v>
      </c>
      <c r="N147" s="2">
        <f t="shared" si="50"/>
        <v>6.2494589447505834E-2</v>
      </c>
      <c r="P147" s="2" t="s">
        <v>389</v>
      </c>
      <c r="R147" s="2">
        <v>2010</v>
      </c>
      <c r="S147" s="2">
        <v>113</v>
      </c>
    </row>
    <row r="148" spans="2:19" x14ac:dyDescent="0.2">
      <c r="B148" s="8" t="s">
        <v>388</v>
      </c>
      <c r="D148" s="2" t="s">
        <v>83</v>
      </c>
      <c r="E148" s="2">
        <v>105</v>
      </c>
      <c r="F148" s="2">
        <v>0</v>
      </c>
      <c r="G148" s="3">
        <v>1</v>
      </c>
      <c r="H148" s="3">
        <v>1</v>
      </c>
      <c r="I148" s="3">
        <v>1</v>
      </c>
      <c r="J148" s="8">
        <v>20400000</v>
      </c>
      <c r="K148" s="2">
        <f t="shared" si="48"/>
        <v>8.4228350244604005E-4</v>
      </c>
      <c r="L148" s="2">
        <f t="shared" si="47"/>
        <v>8.4228350244604005E-4</v>
      </c>
      <c r="M148" s="2">
        <f t="shared" si="49"/>
        <v>7.0944149849276831E-7</v>
      </c>
      <c r="N148" s="2">
        <f t="shared" si="50"/>
        <v>6.2499290558501508E-2</v>
      </c>
      <c r="P148" s="2" t="s">
        <v>389</v>
      </c>
      <c r="R148" s="2">
        <v>2010</v>
      </c>
      <c r="S148" s="2">
        <v>105</v>
      </c>
    </row>
    <row r="149" spans="2:19" x14ac:dyDescent="0.2">
      <c r="D149" s="2" t="s">
        <v>84</v>
      </c>
      <c r="E149" s="2">
        <v>118</v>
      </c>
      <c r="F149" s="2">
        <v>3.6580748307616799E-4</v>
      </c>
      <c r="G149" s="3">
        <v>1</v>
      </c>
      <c r="H149" s="3">
        <v>1</v>
      </c>
      <c r="I149" s="3">
        <v>1</v>
      </c>
      <c r="J149" s="2">
        <v>238035771.86276361</v>
      </c>
      <c r="K149" s="2">
        <f t="shared" si="48"/>
        <v>9.8281178250987783E-3</v>
      </c>
      <c r="L149" s="2">
        <f t="shared" si="47"/>
        <v>9.8281178250987783E-3</v>
      </c>
      <c r="M149" s="2">
        <f t="shared" si="49"/>
        <v>9.6591899984024341E-5</v>
      </c>
      <c r="N149" s="2">
        <f t="shared" si="50"/>
        <v>6.2403408100015975E-2</v>
      </c>
    </row>
    <row r="150" spans="2:19" x14ac:dyDescent="0.2">
      <c r="D150" s="2" t="s">
        <v>85</v>
      </c>
      <c r="E150" s="2">
        <v>131</v>
      </c>
      <c r="F150" s="2">
        <v>1.4502387911842834E-2</v>
      </c>
      <c r="G150" s="3">
        <v>6787</v>
      </c>
      <c r="H150" s="3">
        <v>452860</v>
      </c>
      <c r="I150" s="4">
        <v>1</v>
      </c>
      <c r="J150" s="2">
        <v>13336410533.670525</v>
      </c>
      <c r="K150" s="2">
        <f t="shared" si="48"/>
        <v>0.55063914580187612</v>
      </c>
      <c r="L150" s="2">
        <f t="shared" si="47"/>
        <v>0.55063914580187612</v>
      </c>
      <c r="M150" s="2">
        <f t="shared" si="49"/>
        <v>0.30320346888941979</v>
      </c>
      <c r="N150" s="2">
        <f t="shared" si="50"/>
        <v>-0.24070346888941979</v>
      </c>
    </row>
    <row r="151" spans="2:19" x14ac:dyDescent="0.2">
      <c r="D151" s="2" t="s">
        <v>87</v>
      </c>
      <c r="E151" s="2">
        <v>97</v>
      </c>
      <c r="F151" s="2">
        <v>1.0259757514627672E-3</v>
      </c>
      <c r="G151" s="3">
        <v>1</v>
      </c>
      <c r="H151" s="3">
        <v>1</v>
      </c>
      <c r="J151" s="2">
        <v>852047685.69611788</v>
      </c>
      <c r="K151" s="2">
        <f t="shared" si="48"/>
        <v>3.5179691615645534E-2</v>
      </c>
      <c r="L151" s="2">
        <f t="shared" si="47"/>
        <v>0</v>
      </c>
      <c r="M151" s="2">
        <f t="shared" si="49"/>
        <v>1.2376107021719208E-3</v>
      </c>
      <c r="N151" s="2">
        <f t="shared" si="50"/>
        <v>6.1262389297828082E-2</v>
      </c>
    </row>
    <row r="152" spans="2:19" x14ac:dyDescent="0.2">
      <c r="D152" s="2" t="s">
        <v>88</v>
      </c>
      <c r="E152" s="2">
        <v>77</v>
      </c>
      <c r="F152" s="2">
        <v>6.3274226026069098E-4</v>
      </c>
      <c r="G152" s="3">
        <v>1</v>
      </c>
      <c r="H152" s="3">
        <v>1</v>
      </c>
      <c r="J152" s="2">
        <v>485033054.86194044</v>
      </c>
      <c r="K152" s="2">
        <f t="shared" si="48"/>
        <v>2.0026242169177328E-2</v>
      </c>
      <c r="L152" s="2">
        <f t="shared" si="47"/>
        <v>0</v>
      </c>
      <c r="M152" s="2">
        <f t="shared" si="49"/>
        <v>4.0105037541853623E-4</v>
      </c>
      <c r="N152" s="2">
        <f t="shared" si="50"/>
        <v>6.2098949624581463E-2</v>
      </c>
    </row>
    <row r="153" spans="2:19" x14ac:dyDescent="0.2">
      <c r="D153" s="2" t="s">
        <v>89</v>
      </c>
      <c r="E153" s="2">
        <v>51</v>
      </c>
      <c r="F153" s="2">
        <v>3.7852040618301253E-5</v>
      </c>
      <c r="G153" s="3">
        <v>1</v>
      </c>
      <c r="H153" s="3">
        <v>1</v>
      </c>
      <c r="J153" s="2">
        <v>31507017.130248223</v>
      </c>
      <c r="K153" s="2">
        <f t="shared" si="48"/>
        <v>1.3008745460829831E-3</v>
      </c>
      <c r="L153" s="2">
        <f t="shared" si="47"/>
        <v>0</v>
      </c>
      <c r="M153" s="2">
        <f t="shared" si="49"/>
        <v>1.6922745846466074E-6</v>
      </c>
      <c r="N153" s="2">
        <f t="shared" si="50"/>
        <v>6.2498307725415356E-2</v>
      </c>
      <c r="P153" s="2" t="s">
        <v>389</v>
      </c>
      <c r="Q153" s="2">
        <v>29</v>
      </c>
      <c r="R153" s="2">
        <v>2010</v>
      </c>
      <c r="S153" s="2">
        <f>16/32</f>
        <v>0.5</v>
      </c>
    </row>
    <row r="154" spans="2:19" x14ac:dyDescent="0.2">
      <c r="D154" s="2" t="s">
        <v>90</v>
      </c>
      <c r="E154" s="2">
        <v>105</v>
      </c>
      <c r="F154" s="2">
        <v>7.5632446348109124E-4</v>
      </c>
      <c r="G154" s="3">
        <v>1</v>
      </c>
      <c r="H154" s="3">
        <v>1</v>
      </c>
      <c r="I154" s="3">
        <v>1</v>
      </c>
      <c r="J154" s="2">
        <v>663470297.74968922</v>
      </c>
      <c r="K154" s="2">
        <f t="shared" si="48"/>
        <v>2.7393631674388495E-2</v>
      </c>
      <c r="L154" s="2">
        <f t="shared" si="47"/>
        <v>2.7393631674388495E-2</v>
      </c>
      <c r="M154" s="2">
        <f t="shared" si="49"/>
        <v>7.5041105631206057E-4</v>
      </c>
      <c r="N154" s="2">
        <f t="shared" si="50"/>
        <v>6.1749588943687941E-2</v>
      </c>
    </row>
    <row r="155" spans="2:19" x14ac:dyDescent="0.2">
      <c r="D155" s="2" t="s">
        <v>129</v>
      </c>
      <c r="E155" s="2">
        <v>82</v>
      </c>
      <c r="F155" s="2">
        <v>1.2492650677453205E-3</v>
      </c>
      <c r="G155" s="3">
        <v>1</v>
      </c>
      <c r="H155" s="3">
        <v>1</v>
      </c>
      <c r="J155" s="2">
        <v>968619332.89888191</v>
      </c>
      <c r="K155" s="2">
        <f t="shared" si="48"/>
        <v>3.9992749227991037E-2</v>
      </c>
      <c r="L155" s="2">
        <f t="shared" si="47"/>
        <v>0</v>
      </c>
      <c r="M155" s="2">
        <f t="shared" si="49"/>
        <v>1.5994199908129776E-3</v>
      </c>
      <c r="N155" s="2">
        <f t="shared" si="50"/>
        <v>6.0900580009187022E-2</v>
      </c>
    </row>
    <row r="156" spans="2:19" x14ac:dyDescent="0.2">
      <c r="F156" s="32"/>
      <c r="I156" s="3">
        <f>COUNT(I141:I155)/15*100</f>
        <v>60</v>
      </c>
      <c r="J156" s="7">
        <f>SUM(J141:J155)</f>
        <v>24219873642.018654</v>
      </c>
      <c r="L156" s="36">
        <f>SUM(L141:L155)*100</f>
        <v>87.949338174404701</v>
      </c>
      <c r="M156" s="2">
        <f t="shared" si="49"/>
        <v>0</v>
      </c>
      <c r="N156" s="2">
        <f t="shared" si="50"/>
        <v>6.25E-2</v>
      </c>
    </row>
    <row r="157" spans="2:19" x14ac:dyDescent="0.2">
      <c r="K157" s="1"/>
      <c r="M157" s="2">
        <f>K157^2</f>
        <v>0</v>
      </c>
      <c r="N157" s="1">
        <f>SQRT(SUM(N141:N156)/(1-(1/16)))</f>
        <v>0.82056043453432115</v>
      </c>
    </row>
    <row r="161" spans="18:18" x14ac:dyDescent="0.2">
      <c r="R161" s="2">
        <f>182/164</f>
        <v>1.1097560975609757</v>
      </c>
    </row>
  </sheetData>
  <conditionalFormatting sqref="F1:F47 F121:F139 F158:F1048576 F118:F119 F49:F115">
    <cfRule type="cellIs" dxfId="15" priority="16" operator="greaterThan">
      <formula>0.25</formula>
    </cfRule>
  </conditionalFormatting>
  <conditionalFormatting sqref="E1:E47 E121:E139 E158:E1048576 E118:E119 E49:E115">
    <cfRule type="cellIs" dxfId="14" priority="15" operator="greaterThan">
      <formula>99</formula>
    </cfRule>
  </conditionalFormatting>
  <conditionalFormatting sqref="F120">
    <cfRule type="cellIs" dxfId="13" priority="14" operator="greaterThan">
      <formula>0.25</formula>
    </cfRule>
  </conditionalFormatting>
  <conditionalFormatting sqref="E120">
    <cfRule type="cellIs" dxfId="12" priority="13" operator="greaterThan">
      <formula>99</formula>
    </cfRule>
  </conditionalFormatting>
  <conditionalFormatting sqref="F48">
    <cfRule type="cellIs" dxfId="11" priority="12" operator="greaterThan">
      <formula>0.25</formula>
    </cfRule>
  </conditionalFormatting>
  <conditionalFormatting sqref="E48">
    <cfRule type="cellIs" dxfId="10" priority="11" operator="greaterThan">
      <formula>99</formula>
    </cfRule>
  </conditionalFormatting>
  <conditionalFormatting sqref="F156:F157">
    <cfRule type="cellIs" dxfId="9" priority="10" operator="greaterThan">
      <formula>0.25</formula>
    </cfRule>
  </conditionalFormatting>
  <conditionalFormatting sqref="E141:E157">
    <cfRule type="cellIs" dxfId="8" priority="9" operator="greaterThan">
      <formula>99</formula>
    </cfRule>
  </conditionalFormatting>
  <conditionalFormatting sqref="F140">
    <cfRule type="cellIs" dxfId="7" priority="8" operator="greaterThan">
      <formula>0.25</formula>
    </cfRule>
  </conditionalFormatting>
  <conditionalFormatting sqref="E140">
    <cfRule type="cellIs" dxfId="6" priority="7" operator="greaterThan">
      <formula>99</formula>
    </cfRule>
  </conditionalFormatting>
  <conditionalFormatting sqref="G118:G1048576 G1:G115">
    <cfRule type="cellIs" dxfId="5" priority="6" operator="greaterThan">
      <formula>10000</formula>
    </cfRule>
  </conditionalFormatting>
  <conditionalFormatting sqref="H118:H1048576 H1:H115">
    <cfRule type="cellIs" dxfId="4" priority="5" operator="greaterThan">
      <formula>200000</formula>
    </cfRule>
  </conditionalFormatting>
  <conditionalFormatting sqref="F116:F117">
    <cfRule type="cellIs" dxfId="3" priority="4" operator="greaterThan">
      <formula>0.25</formula>
    </cfRule>
  </conditionalFormatting>
  <conditionalFormatting sqref="E116:E117">
    <cfRule type="cellIs" dxfId="2" priority="3" operator="greaterThan">
      <formula>99</formula>
    </cfRule>
  </conditionalFormatting>
  <conditionalFormatting sqref="G116:G117">
    <cfRule type="cellIs" dxfId="1" priority="2" operator="greaterThan">
      <formula>10000</formula>
    </cfRule>
  </conditionalFormatting>
  <conditionalFormatting sqref="H116:H117">
    <cfRule type="cellIs" dxfId="0" priority="1" operator="greaterThan">
      <formula>200000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F9AF-6B6E-3241-B972-D933DA6339BD}">
  <dimension ref="C6:O57"/>
  <sheetViews>
    <sheetView tabSelected="1" zoomScale="117" zoomScaleNormal="70" workbookViewId="0">
      <selection activeCell="H10" sqref="H10"/>
    </sheetView>
  </sheetViews>
  <sheetFormatPr baseColWidth="10" defaultRowHeight="15" x14ac:dyDescent="0.2"/>
  <cols>
    <col min="1" max="3" width="10.83203125" style="2"/>
    <col min="4" max="4" width="10.83203125" style="5"/>
    <col min="5" max="5" width="10.83203125" style="2"/>
    <col min="6" max="6" width="3.5" style="2" customWidth="1"/>
    <col min="7" max="11" width="10.83203125" style="2"/>
    <col min="12" max="12" width="9.6640625" style="2" customWidth="1"/>
    <col min="13" max="16384" width="10.83203125" style="2"/>
  </cols>
  <sheetData>
    <row r="6" spans="3:8" x14ac:dyDescent="0.2">
      <c r="E6" s="2" t="s">
        <v>390</v>
      </c>
    </row>
    <row r="7" spans="3:8" x14ac:dyDescent="0.2">
      <c r="C7" s="2" t="s">
        <v>37</v>
      </c>
      <c r="D7" s="5" t="s">
        <v>391</v>
      </c>
      <c r="E7" s="2" t="s">
        <v>392</v>
      </c>
    </row>
    <row r="8" spans="3:8" x14ac:dyDescent="0.2">
      <c r="D8" s="5" t="s">
        <v>393</v>
      </c>
      <c r="E8" s="2" t="s">
        <v>394</v>
      </c>
      <c r="G8" s="2" t="s">
        <v>395</v>
      </c>
      <c r="H8" s="2" t="s">
        <v>396</v>
      </c>
    </row>
    <row r="9" spans="3:8" x14ac:dyDescent="0.2">
      <c r="D9" s="5" t="s">
        <v>397</v>
      </c>
      <c r="E9" s="2" t="s">
        <v>398</v>
      </c>
      <c r="G9" s="2" t="s">
        <v>397</v>
      </c>
      <c r="H9" s="2" t="s">
        <v>399</v>
      </c>
    </row>
    <row r="11" spans="3:8" x14ac:dyDescent="0.2">
      <c r="C11" s="2" t="s">
        <v>46</v>
      </c>
      <c r="D11" s="5" t="s">
        <v>400</v>
      </c>
      <c r="E11" s="2" t="s">
        <v>401</v>
      </c>
      <c r="G11" s="5" t="s">
        <v>400</v>
      </c>
      <c r="H11" s="2" t="s">
        <v>402</v>
      </c>
    </row>
    <row r="12" spans="3:8" x14ac:dyDescent="0.2">
      <c r="D12" s="5" t="s">
        <v>403</v>
      </c>
      <c r="E12" s="2" t="s">
        <v>404</v>
      </c>
      <c r="G12" s="5" t="s">
        <v>403</v>
      </c>
      <c r="H12" s="2" t="s">
        <v>405</v>
      </c>
    </row>
    <row r="14" spans="3:8" x14ac:dyDescent="0.2">
      <c r="C14" s="2" t="s">
        <v>406</v>
      </c>
      <c r="D14" s="5" t="s">
        <v>407</v>
      </c>
      <c r="E14" s="2" t="s">
        <v>408</v>
      </c>
    </row>
    <row r="15" spans="3:8" x14ac:dyDescent="0.2">
      <c r="D15" s="5" t="s">
        <v>409</v>
      </c>
      <c r="E15" s="2" t="s">
        <v>410</v>
      </c>
      <c r="G15" s="2" t="s">
        <v>411</v>
      </c>
      <c r="H15" s="2" t="s">
        <v>412</v>
      </c>
    </row>
    <row r="17" spans="3:14" x14ac:dyDescent="0.2">
      <c r="C17" s="2" t="s">
        <v>413</v>
      </c>
      <c r="D17" s="5">
        <v>1999</v>
      </c>
      <c r="E17" s="2" t="s">
        <v>414</v>
      </c>
    </row>
    <row r="18" spans="3:14" x14ac:dyDescent="0.2">
      <c r="D18" s="5" t="s">
        <v>415</v>
      </c>
      <c r="E18" s="2" t="s">
        <v>416</v>
      </c>
    </row>
    <row r="19" spans="3:14" x14ac:dyDescent="0.2">
      <c r="D19" s="5">
        <v>2010</v>
      </c>
      <c r="E19" s="2" t="s">
        <v>417</v>
      </c>
      <c r="G19" s="2" t="s">
        <v>403</v>
      </c>
      <c r="H19" s="2" t="s">
        <v>418</v>
      </c>
      <c r="L19" s="1" t="s">
        <v>390</v>
      </c>
      <c r="M19" s="1" t="s">
        <v>419</v>
      </c>
    </row>
    <row r="20" spans="3:14" x14ac:dyDescent="0.2">
      <c r="J20" s="39" t="s">
        <v>420</v>
      </c>
      <c r="K20" s="2">
        <v>2012</v>
      </c>
      <c r="L20" s="2">
        <v>0.34100000000000003</v>
      </c>
      <c r="M20" s="2">
        <v>0.245</v>
      </c>
      <c r="N20" s="32">
        <f>(L20+M20)/2*100</f>
        <v>29.300000000000004</v>
      </c>
    </row>
    <row r="21" spans="3:14" x14ac:dyDescent="0.2">
      <c r="C21" s="2" t="s">
        <v>421</v>
      </c>
      <c r="D21" s="5" t="s">
        <v>422</v>
      </c>
      <c r="E21" s="2" t="s">
        <v>423</v>
      </c>
      <c r="J21" s="39" t="s">
        <v>406</v>
      </c>
      <c r="K21" s="2">
        <v>2008</v>
      </c>
      <c r="L21" s="2">
        <v>0.312</v>
      </c>
      <c r="M21" s="2">
        <v>0.33</v>
      </c>
      <c r="N21" s="32">
        <f>(L21+M21)/2*100</f>
        <v>32.1</v>
      </c>
    </row>
    <row r="22" spans="3:14" x14ac:dyDescent="0.2">
      <c r="D22" s="5" t="s">
        <v>424</v>
      </c>
      <c r="E22" s="2" t="s">
        <v>425</v>
      </c>
      <c r="G22" s="2" t="s">
        <v>426</v>
      </c>
      <c r="H22" s="2" t="s">
        <v>427</v>
      </c>
      <c r="J22" s="39" t="s">
        <v>29</v>
      </c>
      <c r="K22" s="2">
        <v>2016</v>
      </c>
      <c r="L22" s="2">
        <v>0.34499999999999997</v>
      </c>
      <c r="M22" s="2">
        <v>0.29299999999999998</v>
      </c>
      <c r="N22" s="32">
        <f>(L22+M22)/2*100</f>
        <v>31.899999999999995</v>
      </c>
    </row>
    <row r="23" spans="3:14" x14ac:dyDescent="0.2">
      <c r="J23" s="39" t="s">
        <v>421</v>
      </c>
      <c r="K23" s="2">
        <v>2009</v>
      </c>
      <c r="L23" s="2">
        <v>0.41599999999999998</v>
      </c>
      <c r="M23" s="2">
        <v>0.40600000000000003</v>
      </c>
      <c r="N23" s="32">
        <f>(L23+M23)/2*100</f>
        <v>41.1</v>
      </c>
    </row>
    <row r="24" spans="3:14" x14ac:dyDescent="0.2">
      <c r="C24" s="2" t="s">
        <v>71</v>
      </c>
      <c r="D24" s="5" t="s">
        <v>428</v>
      </c>
      <c r="E24" s="2" t="s">
        <v>429</v>
      </c>
      <c r="J24" s="12" t="s">
        <v>436</v>
      </c>
      <c r="K24" s="2">
        <v>2012</v>
      </c>
      <c r="L24" s="2">
        <v>0.33500000000000002</v>
      </c>
      <c r="M24" s="2">
        <v>0.158</v>
      </c>
      <c r="N24" s="32">
        <f>(L24+M24)/2*100</f>
        <v>24.65</v>
      </c>
    </row>
    <row r="25" spans="3:14" x14ac:dyDescent="0.2">
      <c r="D25" s="5">
        <v>2000</v>
      </c>
      <c r="E25" s="2" t="s">
        <v>430</v>
      </c>
      <c r="G25" s="2" t="s">
        <v>428</v>
      </c>
      <c r="H25" s="2" t="s">
        <v>431</v>
      </c>
      <c r="L25" s="1">
        <f>AVERAGE(L20:L24)</f>
        <v>0.3498</v>
      </c>
      <c r="M25" s="1">
        <f t="shared" ref="M25:N25" si="0">AVERAGE(M20:M24)</f>
        <v>0.28639999999999999</v>
      </c>
      <c r="N25" s="1">
        <f t="shared" si="0"/>
        <v>31.810000000000002</v>
      </c>
    </row>
    <row r="26" spans="3:14" x14ac:dyDescent="0.2">
      <c r="D26" s="5" t="s">
        <v>432</v>
      </c>
      <c r="E26" s="2" t="s">
        <v>433</v>
      </c>
      <c r="G26" s="2" t="s">
        <v>434</v>
      </c>
      <c r="H26" s="2" t="s">
        <v>435</v>
      </c>
      <c r="J26" s="12"/>
      <c r="N26" s="32"/>
    </row>
    <row r="28" spans="3:14" x14ac:dyDescent="0.2">
      <c r="C28" s="2" t="s">
        <v>437</v>
      </c>
      <c r="D28" s="5" t="s">
        <v>438</v>
      </c>
      <c r="E28" s="2" t="s">
        <v>439</v>
      </c>
      <c r="J28" s="12" t="s">
        <v>46</v>
      </c>
      <c r="K28" s="2">
        <v>2008</v>
      </c>
      <c r="L28" s="2">
        <v>0.4</v>
      </c>
      <c r="M28" s="2">
        <v>0.26300000000000001</v>
      </c>
      <c r="N28" s="32">
        <f>(L28+M28)/2*100</f>
        <v>33.15</v>
      </c>
    </row>
    <row r="29" spans="3:14" x14ac:dyDescent="0.2">
      <c r="D29" s="5" t="s">
        <v>424</v>
      </c>
      <c r="E29" s="2" t="s">
        <v>440</v>
      </c>
      <c r="G29" s="2" t="s">
        <v>441</v>
      </c>
      <c r="H29" s="2" t="s">
        <v>442</v>
      </c>
      <c r="J29" s="12" t="s">
        <v>37</v>
      </c>
      <c r="K29" s="2">
        <v>2009</v>
      </c>
      <c r="L29" s="2">
        <v>0.25</v>
      </c>
      <c r="M29" s="2">
        <v>0.13100000000000001</v>
      </c>
      <c r="N29" s="32">
        <f>(L29+M29)/2*100</f>
        <v>19.05</v>
      </c>
    </row>
    <row r="30" spans="3:14" x14ac:dyDescent="0.2">
      <c r="J30" s="12" t="s">
        <v>51</v>
      </c>
      <c r="K30" s="2">
        <v>2008</v>
      </c>
      <c r="L30" s="2">
        <v>0.17899999999999999</v>
      </c>
      <c r="M30" s="2">
        <v>0.107</v>
      </c>
      <c r="N30" s="32">
        <f t="shared" ref="N30" si="1">(L30+M30)/2*100</f>
        <v>14.299999999999999</v>
      </c>
    </row>
    <row r="31" spans="3:14" x14ac:dyDescent="0.2">
      <c r="C31" s="2" t="s">
        <v>443</v>
      </c>
      <c r="D31" s="5">
        <v>2000</v>
      </c>
      <c r="E31" s="2" t="s">
        <v>444</v>
      </c>
      <c r="J31" s="39" t="s">
        <v>421</v>
      </c>
      <c r="K31" s="2">
        <v>2009</v>
      </c>
      <c r="L31" s="2">
        <v>0.41599999999999998</v>
      </c>
      <c r="M31" s="2">
        <v>0.40600000000000003</v>
      </c>
      <c r="N31" s="32">
        <f>(L31+M31)/2*100</f>
        <v>41.1</v>
      </c>
    </row>
    <row r="32" spans="3:14" x14ac:dyDescent="0.2">
      <c r="D32" s="5">
        <v>2001</v>
      </c>
      <c r="E32" s="2" t="s">
        <v>445</v>
      </c>
      <c r="J32" s="12" t="s">
        <v>446</v>
      </c>
      <c r="K32" s="2">
        <v>2009</v>
      </c>
      <c r="L32" s="2">
        <f>AVERAGE(L38:L39)</f>
        <v>0.26300000000000001</v>
      </c>
      <c r="M32" s="2">
        <f t="shared" ref="M32" si="2">AVERAGE(M38:M39)</f>
        <v>0.2515</v>
      </c>
      <c r="N32" s="32">
        <f>AVERAGE(N38:N39)</f>
        <v>25.725000000000001</v>
      </c>
    </row>
    <row r="33" spans="3:15" x14ac:dyDescent="0.2">
      <c r="D33" s="5" t="s">
        <v>447</v>
      </c>
      <c r="E33" s="2" t="s">
        <v>448</v>
      </c>
      <c r="G33" s="2" t="s">
        <v>449</v>
      </c>
      <c r="H33" s="2" t="s">
        <v>402</v>
      </c>
      <c r="J33" s="2" t="s">
        <v>71</v>
      </c>
      <c r="K33" s="2">
        <v>2016</v>
      </c>
      <c r="L33" s="2">
        <v>0.51300000000000001</v>
      </c>
      <c r="M33" s="2">
        <v>0.22</v>
      </c>
      <c r="N33" s="32">
        <f>(L33+M33)/2*100</f>
        <v>36.65</v>
      </c>
    </row>
    <row r="34" spans="3:15" x14ac:dyDescent="0.2">
      <c r="D34" s="5" t="s">
        <v>450</v>
      </c>
      <c r="E34" s="2" t="s">
        <v>451</v>
      </c>
      <c r="G34" s="2" t="s">
        <v>452</v>
      </c>
      <c r="H34" s="2" t="s">
        <v>453</v>
      </c>
      <c r="J34" s="2" t="s">
        <v>443</v>
      </c>
      <c r="K34" s="2">
        <v>2008</v>
      </c>
      <c r="L34" s="2">
        <v>0.52200000000000002</v>
      </c>
      <c r="M34" s="2">
        <v>0.19900000000000001</v>
      </c>
      <c r="N34" s="32">
        <f>(L34+M34)/2*100</f>
        <v>36.050000000000004</v>
      </c>
    </row>
    <row r="35" spans="3:15" x14ac:dyDescent="0.2">
      <c r="D35" s="5" t="s">
        <v>454</v>
      </c>
      <c r="E35" s="2" t="s">
        <v>455</v>
      </c>
      <c r="G35" s="2" t="s">
        <v>454</v>
      </c>
      <c r="H35" s="2" t="s">
        <v>456</v>
      </c>
      <c r="J35" s="2" t="s">
        <v>457</v>
      </c>
      <c r="K35" s="2">
        <v>2009</v>
      </c>
      <c r="L35" s="2">
        <v>0.27800000000000002</v>
      </c>
      <c r="M35" s="2">
        <v>0.311</v>
      </c>
      <c r="N35" s="32">
        <f>(L35+M35)/2*100</f>
        <v>29.45</v>
      </c>
    </row>
    <row r="36" spans="3:15" x14ac:dyDescent="0.2">
      <c r="L36" s="1">
        <f>AVERAGE(L28:L35)</f>
        <v>0.35262500000000002</v>
      </c>
      <c r="M36" s="1">
        <f t="shared" ref="M36:N36" si="3">AVERAGE(M28:M35)</f>
        <v>0.23606250000000001</v>
      </c>
      <c r="N36" s="1">
        <f t="shared" si="3"/>
        <v>29.434374999999999</v>
      </c>
      <c r="O36" s="5"/>
    </row>
    <row r="37" spans="3:15" x14ac:dyDescent="0.2">
      <c r="C37" s="2" t="s">
        <v>458</v>
      </c>
      <c r="D37" s="5" t="s">
        <v>459</v>
      </c>
      <c r="E37" s="2" t="s">
        <v>460</v>
      </c>
      <c r="G37" s="2" t="s">
        <v>459</v>
      </c>
      <c r="H37" s="2" t="s">
        <v>461</v>
      </c>
      <c r="O37" s="5"/>
    </row>
    <row r="38" spans="3:15" x14ac:dyDescent="0.2">
      <c r="D38" s="5" t="s">
        <v>462</v>
      </c>
      <c r="E38" s="2" t="s">
        <v>463</v>
      </c>
      <c r="G38" s="2" t="s">
        <v>462</v>
      </c>
      <c r="H38" s="2" t="s">
        <v>408</v>
      </c>
      <c r="J38" s="12" t="s">
        <v>413</v>
      </c>
      <c r="K38" s="2">
        <v>2009</v>
      </c>
      <c r="L38" s="2">
        <v>0.46300000000000002</v>
      </c>
      <c r="M38" s="2">
        <v>0.28899999999999998</v>
      </c>
      <c r="N38" s="32">
        <f t="shared" ref="N38" si="4">(L38+M38)/2*100</f>
        <v>37.6</v>
      </c>
    </row>
    <row r="39" spans="3:15" x14ac:dyDescent="0.2">
      <c r="D39" s="5" t="s">
        <v>464</v>
      </c>
      <c r="E39" s="2" t="s">
        <v>465</v>
      </c>
      <c r="G39" s="2" t="s">
        <v>464</v>
      </c>
      <c r="H39" s="2" t="s">
        <v>466</v>
      </c>
      <c r="J39" s="2" t="s">
        <v>437</v>
      </c>
      <c r="K39" s="2">
        <v>2009</v>
      </c>
      <c r="L39" s="2">
        <v>6.3E-2</v>
      </c>
      <c r="M39" s="2">
        <v>0.214</v>
      </c>
      <c r="N39" s="32">
        <f>(L39+M39)/2*100</f>
        <v>13.850000000000001</v>
      </c>
    </row>
    <row r="40" spans="3:15" x14ac:dyDescent="0.2">
      <c r="L40" s="1"/>
      <c r="M40" s="1"/>
      <c r="N40" s="36"/>
    </row>
    <row r="41" spans="3:15" x14ac:dyDescent="0.2">
      <c r="C41" s="2" t="s">
        <v>51</v>
      </c>
      <c r="D41" s="5" t="s">
        <v>411</v>
      </c>
      <c r="E41" s="2" t="s">
        <v>402</v>
      </c>
      <c r="G41" s="2" t="s">
        <v>467</v>
      </c>
      <c r="H41" s="2" t="s">
        <v>468</v>
      </c>
    </row>
    <row r="43" spans="3:15" x14ac:dyDescent="0.2">
      <c r="C43" s="2" t="s">
        <v>469</v>
      </c>
      <c r="D43" s="5" t="s">
        <v>470</v>
      </c>
      <c r="E43" s="2" t="s">
        <v>471</v>
      </c>
      <c r="J43" s="2" t="s">
        <v>472</v>
      </c>
      <c r="K43" s="2">
        <v>2016</v>
      </c>
      <c r="L43" s="2">
        <v>0.51300000000000001</v>
      </c>
      <c r="M43" s="2">
        <v>0.22</v>
      </c>
      <c r="N43" s="32">
        <f>(L43+M43)/2*100</f>
        <v>36.65</v>
      </c>
    </row>
    <row r="44" spans="3:15" x14ac:dyDescent="0.2">
      <c r="D44" s="5" t="s">
        <v>473</v>
      </c>
      <c r="E44" s="2" t="s">
        <v>474</v>
      </c>
      <c r="G44" s="2" t="s">
        <v>475</v>
      </c>
      <c r="H44" s="2" t="s">
        <v>476</v>
      </c>
    </row>
    <row r="45" spans="3:15" x14ac:dyDescent="0.2">
      <c r="D45" s="5" t="s">
        <v>454</v>
      </c>
      <c r="E45" s="2" t="s">
        <v>477</v>
      </c>
      <c r="G45" s="2" t="s">
        <v>478</v>
      </c>
      <c r="H45" s="2" t="s">
        <v>479</v>
      </c>
    </row>
    <row r="47" spans="3:15" x14ac:dyDescent="0.2">
      <c r="C47" s="2" t="s">
        <v>480</v>
      </c>
      <c r="D47" s="5" t="s">
        <v>449</v>
      </c>
      <c r="E47" s="2" t="s">
        <v>481</v>
      </c>
    </row>
    <row r="48" spans="3:15" x14ac:dyDescent="0.2">
      <c r="D48" s="5" t="s">
        <v>482</v>
      </c>
      <c r="E48" s="2" t="s">
        <v>483</v>
      </c>
      <c r="G48" s="2" t="s">
        <v>484</v>
      </c>
      <c r="H48" s="2" t="s">
        <v>485</v>
      </c>
    </row>
    <row r="49" spans="3:8" x14ac:dyDescent="0.2">
      <c r="D49" s="5" t="s">
        <v>486</v>
      </c>
      <c r="E49" s="2" t="s">
        <v>487</v>
      </c>
      <c r="G49" s="2" t="s">
        <v>488</v>
      </c>
      <c r="H49" s="2" t="s">
        <v>489</v>
      </c>
    </row>
    <row r="50" spans="3:8" x14ac:dyDescent="0.2">
      <c r="D50" s="5" t="s">
        <v>424</v>
      </c>
      <c r="E50" s="2" t="s">
        <v>490</v>
      </c>
      <c r="G50" s="2" t="s">
        <v>424</v>
      </c>
      <c r="H50" s="2" t="s">
        <v>491</v>
      </c>
    </row>
    <row r="52" spans="3:8" x14ac:dyDescent="0.2">
      <c r="C52" s="2" t="s">
        <v>29</v>
      </c>
      <c r="D52" s="5" t="s">
        <v>492</v>
      </c>
      <c r="E52" s="2" t="s">
        <v>439</v>
      </c>
    </row>
    <row r="53" spans="3:8" x14ac:dyDescent="0.2">
      <c r="D53" s="5" t="s">
        <v>493</v>
      </c>
      <c r="E53" s="2" t="s">
        <v>494</v>
      </c>
      <c r="G53" s="2" t="s">
        <v>492</v>
      </c>
      <c r="H53" s="2" t="s">
        <v>495</v>
      </c>
    </row>
    <row r="54" spans="3:8" x14ac:dyDescent="0.2">
      <c r="D54" s="5" t="s">
        <v>409</v>
      </c>
      <c r="E54" s="2" t="s">
        <v>496</v>
      </c>
      <c r="G54" s="2" t="s">
        <v>478</v>
      </c>
      <c r="H54" s="2" t="s">
        <v>497</v>
      </c>
    </row>
    <row r="56" spans="3:8" x14ac:dyDescent="0.2">
      <c r="C56" s="2" t="s">
        <v>420</v>
      </c>
      <c r="D56" s="5" t="s">
        <v>498</v>
      </c>
      <c r="E56" s="2" t="s">
        <v>499</v>
      </c>
      <c r="G56" s="2" t="s">
        <v>500</v>
      </c>
      <c r="H56" s="2" t="s">
        <v>501</v>
      </c>
    </row>
    <row r="57" spans="3:8" x14ac:dyDescent="0.2">
      <c r="D57" s="5">
        <v>2010</v>
      </c>
      <c r="E57" s="2" t="s">
        <v>502</v>
      </c>
      <c r="G57" s="2" t="s">
        <v>503</v>
      </c>
      <c r="H57" s="2" t="s">
        <v>394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Politics</vt:lpstr>
      <vt:lpstr>Economic</vt:lpstr>
      <vt:lpstr>EcData</vt:lpstr>
      <vt:lpstr>Power</vt:lpstr>
      <vt:lpstr>Institutions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2020-01-13T09:47:20Z</dcterms:created>
  <dcterms:modified xsi:type="dcterms:W3CDTF">2020-01-15T16:42:33Z</dcterms:modified>
</cp:coreProperties>
</file>