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ynapse\tasks\templates\"/>
    </mc:Choice>
  </mc:AlternateContent>
  <bookViews>
    <workbookView xWindow="120" yWindow="60" windowWidth="23130" windowHeight="13035"/>
  </bookViews>
  <sheets>
    <sheet name="template" sheetId="22" r:id="rId1"/>
  </sheets>
  <calcPr calcId="152511"/>
</workbook>
</file>

<file path=xl/calcChain.xml><?xml version="1.0" encoding="utf-8"?>
<calcChain xmlns="http://schemas.openxmlformats.org/spreadsheetml/2006/main">
  <c r="D109" i="22" l="1"/>
  <c r="C87" i="22" l="1"/>
  <c r="D87" i="22"/>
  <c r="E87" i="22"/>
  <c r="W57" i="22" l="1"/>
  <c r="S57" i="22"/>
  <c r="G41" i="22"/>
  <c r="X18" i="22" l="1"/>
  <c r="Y18" i="22"/>
  <c r="X13" i="22" l="1"/>
  <c r="X38" i="22" l="1"/>
  <c r="Z38" i="22"/>
  <c r="U25" i="22"/>
  <c r="C109" i="22" l="1"/>
  <c r="E109" i="22" l="1"/>
  <c r="F109" i="22"/>
  <c r="G109" i="22"/>
  <c r="H109" i="22"/>
  <c r="I109" i="22"/>
  <c r="J109" i="22"/>
  <c r="K109" i="22"/>
  <c r="L109" i="22"/>
  <c r="M109" i="22"/>
  <c r="N109" i="22"/>
  <c r="O109" i="22"/>
  <c r="P109" i="22"/>
  <c r="Q109" i="22"/>
  <c r="R109" i="22"/>
  <c r="S109" i="22"/>
  <c r="T109" i="22"/>
  <c r="U109" i="22"/>
  <c r="V109" i="22"/>
  <c r="W109" i="22"/>
  <c r="AB109" i="22"/>
  <c r="X85" i="22" l="1"/>
  <c r="X84" i="22"/>
  <c r="X83" i="22"/>
  <c r="X82" i="22"/>
  <c r="X81" i="22"/>
  <c r="X79" i="22"/>
  <c r="X74" i="22"/>
  <c r="X71" i="22"/>
  <c r="X70" i="22"/>
  <c r="X69" i="22"/>
  <c r="X68" i="22"/>
  <c r="X65" i="22"/>
  <c r="X61" i="22"/>
  <c r="X57" i="22"/>
  <c r="X54" i="22"/>
  <c r="X27" i="22"/>
  <c r="X26" i="22"/>
  <c r="X24" i="22"/>
  <c r="X23" i="22"/>
  <c r="X22" i="22"/>
  <c r="X20" i="22"/>
  <c r="X19" i="22"/>
  <c r="X17" i="22"/>
  <c r="X16" i="22"/>
  <c r="X11" i="22"/>
  <c r="X9" i="22"/>
  <c r="X8" i="22"/>
  <c r="X7" i="22"/>
  <c r="F67" i="22" s="1"/>
  <c r="F66" i="22" s="1"/>
  <c r="F64" i="22" s="1"/>
  <c r="X6" i="22"/>
  <c r="F98" i="22"/>
  <c r="G98" i="22"/>
  <c r="F102" i="22"/>
  <c r="G102" i="22"/>
  <c r="F87" i="22"/>
  <c r="G87" i="22"/>
  <c r="F50" i="22"/>
  <c r="G50" i="22"/>
  <c r="F12" i="22"/>
  <c r="G12" i="22"/>
  <c r="F21" i="22"/>
  <c r="G21" i="22"/>
  <c r="F25" i="22"/>
  <c r="G25" i="22"/>
  <c r="G101" i="22" s="1"/>
  <c r="S47" i="22"/>
  <c r="R47" i="22"/>
  <c r="G47" i="22"/>
  <c r="F47" i="22"/>
  <c r="G46" i="22"/>
  <c r="F46" i="22"/>
  <c r="F41" i="22" s="1"/>
  <c r="X109" i="22" l="1"/>
  <c r="G67" i="22"/>
  <c r="G66" i="22" s="1"/>
  <c r="G64" i="22" s="1"/>
  <c r="G100" i="22"/>
  <c r="F101" i="22"/>
  <c r="X25" i="22"/>
  <c r="F100" i="22"/>
  <c r="Z54" i="22" l="1"/>
  <c r="Y54" i="22"/>
  <c r="AA54" i="22" l="1"/>
  <c r="D46" i="22" l="1"/>
  <c r="E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C46" i="22"/>
  <c r="Z61" i="22" l="1"/>
  <c r="Y61" i="22"/>
  <c r="Z57" i="22"/>
  <c r="Y57" i="22"/>
  <c r="Z53" i="22"/>
  <c r="Y53" i="22"/>
  <c r="X53" i="22"/>
  <c r="Z52" i="22"/>
  <c r="Y52" i="22"/>
  <c r="X52" i="22"/>
  <c r="Z51" i="22"/>
  <c r="Y51" i="22"/>
  <c r="X51" i="22"/>
  <c r="AA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E50" i="22"/>
  <c r="D50" i="22"/>
  <c r="C50" i="22"/>
  <c r="Z47" i="22"/>
  <c r="U47" i="22"/>
  <c r="T47" i="22"/>
  <c r="Q47" i="22"/>
  <c r="P47" i="22"/>
  <c r="N47" i="22"/>
  <c r="M47" i="22"/>
  <c r="K47" i="22"/>
  <c r="J47" i="22"/>
  <c r="I47" i="22"/>
  <c r="E47" i="22"/>
  <c r="D47" i="22"/>
  <c r="X47" i="22" l="1"/>
  <c r="Y47" i="22"/>
  <c r="X50" i="22"/>
  <c r="Z50" i="22"/>
  <c r="AA61" i="22"/>
  <c r="AA55" i="22" s="1"/>
  <c r="Y50" i="22"/>
  <c r="AA47" i="22" l="1"/>
  <c r="P10" i="22" l="1"/>
  <c r="D10" i="22"/>
  <c r="E10" i="22"/>
  <c r="H10" i="22"/>
  <c r="I10" i="22"/>
  <c r="K10" i="22"/>
  <c r="L10" i="22"/>
  <c r="M10" i="22"/>
  <c r="N10" i="22"/>
  <c r="O10" i="22"/>
  <c r="Q10" i="22"/>
  <c r="R10" i="22"/>
  <c r="S10" i="22"/>
  <c r="T10" i="22"/>
  <c r="U10" i="22"/>
  <c r="V10" i="22"/>
  <c r="W10" i="22"/>
  <c r="AB113" i="22"/>
  <c r="AB114" i="22" s="1"/>
  <c r="W102" i="22"/>
  <c r="V102" i="22"/>
  <c r="U102" i="22"/>
  <c r="T102" i="22"/>
  <c r="S102" i="22"/>
  <c r="R102" i="22"/>
  <c r="Q102" i="22"/>
  <c r="P102" i="22"/>
  <c r="O102" i="22"/>
  <c r="N102" i="22"/>
  <c r="M102" i="22"/>
  <c r="L102" i="22"/>
  <c r="K102" i="22"/>
  <c r="J102" i="22"/>
  <c r="I102" i="22"/>
  <c r="H102" i="22"/>
  <c r="E102" i="22"/>
  <c r="D102" i="22"/>
  <c r="W98" i="22"/>
  <c r="V98" i="22"/>
  <c r="U98" i="22"/>
  <c r="T98" i="22"/>
  <c r="S98" i="22"/>
  <c r="R98" i="22"/>
  <c r="Q98" i="22"/>
  <c r="P98" i="22"/>
  <c r="O98" i="22"/>
  <c r="N98" i="22"/>
  <c r="M98" i="22"/>
  <c r="L98" i="22"/>
  <c r="K98" i="22"/>
  <c r="J98" i="22"/>
  <c r="I98" i="22"/>
  <c r="H98" i="22"/>
  <c r="E98" i="22"/>
  <c r="D98" i="22"/>
  <c r="W87" i="22"/>
  <c r="V87" i="22"/>
  <c r="U87" i="22"/>
  <c r="T87" i="22"/>
  <c r="S87" i="22"/>
  <c r="R87" i="22"/>
  <c r="Q87" i="22"/>
  <c r="P87" i="22"/>
  <c r="O87" i="22"/>
  <c r="Z87" i="22" s="1"/>
  <c r="N87" i="22"/>
  <c r="M87" i="22"/>
  <c r="L87" i="22"/>
  <c r="K87" i="22"/>
  <c r="J87" i="22"/>
  <c r="I87" i="22"/>
  <c r="H87" i="22"/>
  <c r="Z85" i="22"/>
  <c r="Y85" i="22"/>
  <c r="Z84" i="22"/>
  <c r="Y84" i="22"/>
  <c r="Z83" i="22"/>
  <c r="Y83" i="22"/>
  <c r="Z82" i="22"/>
  <c r="Y82" i="22"/>
  <c r="Z81" i="22"/>
  <c r="Y81" i="22"/>
  <c r="Z79" i="22"/>
  <c r="Y79" i="22"/>
  <c r="Z74" i="22"/>
  <c r="Y74" i="22"/>
  <c r="Z71" i="22"/>
  <c r="Y71" i="22"/>
  <c r="AA71" i="22" s="1"/>
  <c r="Z70" i="22"/>
  <c r="Y70" i="22"/>
  <c r="Z69" i="22"/>
  <c r="Y69" i="22"/>
  <c r="Z68" i="22"/>
  <c r="Y68" i="22"/>
  <c r="AA67" i="22"/>
  <c r="O67" i="22"/>
  <c r="O66" i="22" s="1"/>
  <c r="Z65" i="22"/>
  <c r="Y65" i="22"/>
  <c r="AA65" i="22" s="1"/>
  <c r="W41" i="22"/>
  <c r="V41" i="22"/>
  <c r="U41" i="22"/>
  <c r="T41" i="22"/>
  <c r="S41" i="22"/>
  <c r="R41" i="22"/>
  <c r="Q41" i="22"/>
  <c r="P41" i="22"/>
  <c r="O41" i="22"/>
  <c r="Z41" i="22" s="1"/>
  <c r="N41" i="22"/>
  <c r="M41" i="22"/>
  <c r="L41" i="22"/>
  <c r="K41" i="22"/>
  <c r="J41" i="22"/>
  <c r="I41" i="22"/>
  <c r="H41" i="22"/>
  <c r="E41" i="22"/>
  <c r="D41" i="22"/>
  <c r="C41" i="22"/>
  <c r="Y38" i="22"/>
  <c r="Y37" i="22"/>
  <c r="Y36" i="22"/>
  <c r="Y35" i="22"/>
  <c r="AB34" i="22"/>
  <c r="Y34" i="22"/>
  <c r="Y33" i="22"/>
  <c r="Y32" i="22"/>
  <c r="Y31" i="22"/>
  <c r="Y30" i="22"/>
  <c r="Y29" i="22"/>
  <c r="Y28" i="22"/>
  <c r="Z27" i="22"/>
  <c r="Y27" i="22"/>
  <c r="Z26" i="22"/>
  <c r="Z25" i="22" s="1"/>
  <c r="Y26" i="22"/>
  <c r="W25" i="22"/>
  <c r="V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E25" i="22"/>
  <c r="D25" i="22"/>
  <c r="C25" i="22"/>
  <c r="Z24" i="22"/>
  <c r="Y24" i="22"/>
  <c r="Z23" i="22"/>
  <c r="Y23" i="22"/>
  <c r="Z22" i="22"/>
  <c r="Y22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E21" i="22"/>
  <c r="D21" i="22"/>
  <c r="C21" i="22"/>
  <c r="Z20" i="22"/>
  <c r="Y20" i="22"/>
  <c r="Z19" i="22"/>
  <c r="Y19" i="22"/>
  <c r="Z18" i="22"/>
  <c r="AB17" i="22"/>
  <c r="Z17" i="22"/>
  <c r="Y17" i="22"/>
  <c r="Z16" i="22"/>
  <c r="Y16" i="22"/>
  <c r="Z13" i="22"/>
  <c r="Y13" i="22"/>
  <c r="W12" i="22"/>
  <c r="V12" i="22"/>
  <c r="U12" i="22"/>
  <c r="T12" i="22"/>
  <c r="S12" i="22"/>
  <c r="R12" i="22"/>
  <c r="Q12" i="22"/>
  <c r="P12" i="22"/>
  <c r="O12" i="22"/>
  <c r="Z12" i="22" s="1"/>
  <c r="N12" i="22"/>
  <c r="M12" i="22"/>
  <c r="L12" i="22"/>
  <c r="K12" i="22"/>
  <c r="J12" i="22"/>
  <c r="I12" i="22"/>
  <c r="H12" i="22"/>
  <c r="E12" i="22"/>
  <c r="D12" i="22"/>
  <c r="C12" i="22"/>
  <c r="Z11" i="22"/>
  <c r="Y11" i="22"/>
  <c r="AB10" i="22"/>
  <c r="Z9" i="22"/>
  <c r="Z10" i="22" s="1"/>
  <c r="Y9" i="22"/>
  <c r="Y10" i="22" s="1"/>
  <c r="Z8" i="22"/>
  <c r="Y8" i="22"/>
  <c r="Z7" i="22"/>
  <c r="Y7" i="22"/>
  <c r="Z6" i="22"/>
  <c r="Y6" i="22"/>
  <c r="AA85" i="22" l="1"/>
  <c r="Y87" i="22"/>
  <c r="AA84" i="22"/>
  <c r="AA82" i="22"/>
  <c r="AA83" i="22"/>
  <c r="AA81" i="22"/>
  <c r="AA18" i="22"/>
  <c r="AA38" i="22"/>
  <c r="AA24" i="22"/>
  <c r="AA22" i="22"/>
  <c r="X87" i="22"/>
  <c r="Y109" i="22"/>
  <c r="X12" i="22"/>
  <c r="X101" i="22" s="1"/>
  <c r="X21" i="22"/>
  <c r="Z21" i="22"/>
  <c r="Z109" i="22"/>
  <c r="Y21" i="22"/>
  <c r="Y97" i="22" s="1"/>
  <c r="X41" i="22"/>
  <c r="Y25" i="22"/>
  <c r="Y12" i="22"/>
  <c r="AA27" i="22"/>
  <c r="S86" i="22" s="1"/>
  <c r="AA8" i="22"/>
  <c r="U80" i="22" s="1"/>
  <c r="U78" i="22" s="1"/>
  <c r="U77" i="22" s="1"/>
  <c r="AA16" i="22"/>
  <c r="AA68" i="22"/>
  <c r="AA70" i="22"/>
  <c r="J10" i="22"/>
  <c r="Z66" i="22"/>
  <c r="Z64" i="22" s="1"/>
  <c r="O64" i="22"/>
  <c r="AA69" i="22"/>
  <c r="AA6" i="22"/>
  <c r="N49" i="22" s="1"/>
  <c r="AA11" i="22"/>
  <c r="AA13" i="22"/>
  <c r="AA17" i="22"/>
  <c r="AA20" i="22"/>
  <c r="AA23" i="22"/>
  <c r="AA26" i="22"/>
  <c r="AA25" i="22" s="1"/>
  <c r="J73" i="22" s="1"/>
  <c r="Y41" i="22"/>
  <c r="X98" i="22"/>
  <c r="S67" i="22"/>
  <c r="S66" i="22" s="1"/>
  <c r="S64" i="22" s="1"/>
  <c r="Q67" i="22"/>
  <c r="Q66" i="22" s="1"/>
  <c r="Q64" i="22" s="1"/>
  <c r="M67" i="22"/>
  <c r="M66" i="22" s="1"/>
  <c r="M64" i="22" s="1"/>
  <c r="E67" i="22"/>
  <c r="E66" i="22" s="1"/>
  <c r="E64" i="22" s="1"/>
  <c r="C67" i="22"/>
  <c r="C66" i="22" s="1"/>
  <c r="R67" i="22"/>
  <c r="R66" i="22" s="1"/>
  <c r="R64" i="22" s="1"/>
  <c r="P67" i="22"/>
  <c r="P66" i="22" s="1"/>
  <c r="P64" i="22" s="1"/>
  <c r="D67" i="22"/>
  <c r="D66" i="22" s="1"/>
  <c r="D64" i="22" s="1"/>
  <c r="Z98" i="22"/>
  <c r="Y102" i="22"/>
  <c r="Z100" i="22"/>
  <c r="Z97" i="22"/>
  <c r="Z96" i="22"/>
  <c r="E97" i="22"/>
  <c r="E100" i="22"/>
  <c r="E96" i="22"/>
  <c r="I100" i="22"/>
  <c r="I97" i="22"/>
  <c r="I96" i="22"/>
  <c r="K97" i="22"/>
  <c r="K100" i="22"/>
  <c r="K96" i="22"/>
  <c r="M100" i="22"/>
  <c r="M97" i="22"/>
  <c r="M96" i="22"/>
  <c r="O100" i="22"/>
  <c r="O97" i="22"/>
  <c r="O96" i="22"/>
  <c r="Q100" i="22"/>
  <c r="Q97" i="22"/>
  <c r="Q96" i="22"/>
  <c r="S100" i="22"/>
  <c r="S97" i="22"/>
  <c r="S96" i="22"/>
  <c r="U100" i="22"/>
  <c r="U97" i="22"/>
  <c r="U96" i="22"/>
  <c r="W100" i="22"/>
  <c r="W97" i="22"/>
  <c r="W96" i="22"/>
  <c r="D107" i="22"/>
  <c r="D101" i="22"/>
  <c r="H107" i="22"/>
  <c r="H101" i="22"/>
  <c r="J107" i="22"/>
  <c r="J101" i="22"/>
  <c r="L101" i="22"/>
  <c r="N107" i="22"/>
  <c r="N101" i="22"/>
  <c r="P107" i="22"/>
  <c r="P101" i="22"/>
  <c r="R107" i="22"/>
  <c r="R101" i="22"/>
  <c r="T107" i="22"/>
  <c r="T101" i="22"/>
  <c r="V107" i="22"/>
  <c r="V101" i="22"/>
  <c r="Z101" i="22"/>
  <c r="Y98" i="22"/>
  <c r="W67" i="22"/>
  <c r="W66" i="22" s="1"/>
  <c r="W64" i="22" s="1"/>
  <c r="U67" i="22"/>
  <c r="U66" i="22" s="1"/>
  <c r="U64" i="22" s="1"/>
  <c r="K67" i="22"/>
  <c r="K66" i="22" s="1"/>
  <c r="K64" i="22" s="1"/>
  <c r="I67" i="22"/>
  <c r="I66" i="22" s="1"/>
  <c r="I64" i="22" s="1"/>
  <c r="V67" i="22"/>
  <c r="V66" i="22" s="1"/>
  <c r="V64" i="22" s="1"/>
  <c r="T67" i="22"/>
  <c r="T66" i="22" s="1"/>
  <c r="T64" i="22" s="1"/>
  <c r="N67" i="22"/>
  <c r="N66" i="22" s="1"/>
  <c r="N64" i="22" s="1"/>
  <c r="L67" i="22"/>
  <c r="L66" i="22" s="1"/>
  <c r="L64" i="22" s="1"/>
  <c r="J67" i="22"/>
  <c r="J66" i="22" s="1"/>
  <c r="J64" i="22" s="1"/>
  <c r="H67" i="22"/>
  <c r="H66" i="22" s="1"/>
  <c r="AA7" i="22"/>
  <c r="AA9" i="22"/>
  <c r="AA10" i="22" s="1"/>
  <c r="X102" i="22"/>
  <c r="Z102" i="22"/>
  <c r="AA19" i="22"/>
  <c r="D100" i="22"/>
  <c r="D96" i="22"/>
  <c r="D97" i="22"/>
  <c r="H100" i="22"/>
  <c r="H96" i="22"/>
  <c r="H97" i="22"/>
  <c r="J100" i="22"/>
  <c r="J96" i="22"/>
  <c r="J97" i="22"/>
  <c r="L100" i="22"/>
  <c r="N100" i="22"/>
  <c r="N97" i="22"/>
  <c r="N96" i="22"/>
  <c r="P100" i="22"/>
  <c r="P97" i="22"/>
  <c r="P96" i="22"/>
  <c r="R100" i="22"/>
  <c r="R97" i="22"/>
  <c r="R96" i="22"/>
  <c r="T100" i="22"/>
  <c r="T97" i="22"/>
  <c r="T96" i="22"/>
  <c r="V100" i="22"/>
  <c r="V97" i="22"/>
  <c r="V96" i="22"/>
  <c r="E107" i="22"/>
  <c r="E101" i="22"/>
  <c r="I107" i="22"/>
  <c r="I101" i="22"/>
  <c r="K107" i="22"/>
  <c r="K101" i="22"/>
  <c r="M107" i="22"/>
  <c r="M101" i="22"/>
  <c r="O107" i="22"/>
  <c r="O101" i="22"/>
  <c r="Q107" i="22"/>
  <c r="Q101" i="22"/>
  <c r="S107" i="22"/>
  <c r="S101" i="22"/>
  <c r="U107" i="22"/>
  <c r="U101" i="22"/>
  <c r="W107" i="22"/>
  <c r="W101" i="22"/>
  <c r="X107" i="22"/>
  <c r="Z107" i="22"/>
  <c r="AA74" i="22"/>
  <c r="AA79" i="22"/>
  <c r="AA87" i="22" l="1"/>
  <c r="AA109" i="22"/>
  <c r="J80" i="22"/>
  <c r="J78" i="22" s="1"/>
  <c r="J77" i="22" s="1"/>
  <c r="C80" i="22"/>
  <c r="C78" i="22" s="1"/>
  <c r="R80" i="22"/>
  <c r="R78" i="22" s="1"/>
  <c r="R77" i="22" s="1"/>
  <c r="M80" i="22"/>
  <c r="M78" i="22" s="1"/>
  <c r="M111" i="22" s="1"/>
  <c r="O49" i="22"/>
  <c r="Z49" i="22" s="1"/>
  <c r="AA41" i="22"/>
  <c r="X100" i="22"/>
  <c r="C86" i="22"/>
  <c r="I73" i="22"/>
  <c r="M86" i="22"/>
  <c r="H86" i="22"/>
  <c r="U86" i="22"/>
  <c r="P86" i="22"/>
  <c r="D73" i="22"/>
  <c r="V73" i="22"/>
  <c r="Y96" i="22"/>
  <c r="AA21" i="22"/>
  <c r="G14" i="22" s="1"/>
  <c r="X96" i="22"/>
  <c r="U73" i="22"/>
  <c r="X97" i="22"/>
  <c r="E86" i="22"/>
  <c r="W86" i="22"/>
  <c r="Q73" i="22"/>
  <c r="N73" i="22"/>
  <c r="L86" i="22"/>
  <c r="T86" i="22"/>
  <c r="I86" i="22"/>
  <c r="Q86" i="22"/>
  <c r="C73" i="22"/>
  <c r="R73" i="22"/>
  <c r="J86" i="22"/>
  <c r="R86" i="22"/>
  <c r="O86" i="22"/>
  <c r="Z86" i="22" s="1"/>
  <c r="Y107" i="22"/>
  <c r="M73" i="22"/>
  <c r="D86" i="22"/>
  <c r="N86" i="22"/>
  <c r="V86" i="22"/>
  <c r="K86" i="22"/>
  <c r="AA12" i="22"/>
  <c r="AA101" i="22" s="1"/>
  <c r="X66" i="22"/>
  <c r="X64" i="22" s="1"/>
  <c r="F63" i="22"/>
  <c r="F58" i="22"/>
  <c r="F59" i="22"/>
  <c r="F60" i="22"/>
  <c r="G63" i="22"/>
  <c r="G58" i="22"/>
  <c r="G59" i="22"/>
  <c r="G60" i="22"/>
  <c r="V62" i="22"/>
  <c r="T62" i="22"/>
  <c r="R62" i="22"/>
  <c r="P62" i="22"/>
  <c r="N62" i="22"/>
  <c r="L62" i="22"/>
  <c r="J62" i="22"/>
  <c r="H62" i="22"/>
  <c r="F62" i="22"/>
  <c r="D62" i="22"/>
  <c r="W62" i="22"/>
  <c r="U62" i="22"/>
  <c r="S62" i="22"/>
  <c r="Q62" i="22"/>
  <c r="AB62" i="22" s="1"/>
  <c r="O62" i="22"/>
  <c r="Z62" i="22" s="1"/>
  <c r="M62" i="22"/>
  <c r="K62" i="22"/>
  <c r="I62" i="22"/>
  <c r="G62" i="22"/>
  <c r="E62" i="22"/>
  <c r="C62" i="22"/>
  <c r="F73" i="22"/>
  <c r="G73" i="22"/>
  <c r="T49" i="22"/>
  <c r="F49" i="22"/>
  <c r="G49" i="22"/>
  <c r="T80" i="22"/>
  <c r="T78" i="22" s="1"/>
  <c r="T77" i="22" s="1"/>
  <c r="F80" i="22"/>
  <c r="F78" i="22" s="1"/>
  <c r="F77" i="22" s="1"/>
  <c r="G80" i="22"/>
  <c r="G78" i="22" s="1"/>
  <c r="G77" i="22" s="1"/>
  <c r="W73" i="22"/>
  <c r="S73" i="22"/>
  <c r="O73" i="22"/>
  <c r="Z73" i="22" s="1"/>
  <c r="K73" i="22"/>
  <c r="E73" i="22"/>
  <c r="F15" i="22"/>
  <c r="G15" i="22"/>
  <c r="T73" i="22"/>
  <c r="P73" i="22"/>
  <c r="L73" i="22"/>
  <c r="H73" i="22"/>
  <c r="I80" i="22"/>
  <c r="I78" i="22" s="1"/>
  <c r="I77" i="22" s="1"/>
  <c r="Q80" i="22"/>
  <c r="Q78" i="22" s="1"/>
  <c r="Q77" i="22" s="1"/>
  <c r="D80" i="22"/>
  <c r="D78" i="22" s="1"/>
  <c r="D77" i="22" s="1"/>
  <c r="N80" i="22"/>
  <c r="N78" i="22" s="1"/>
  <c r="N77" i="22" s="1"/>
  <c r="V80" i="22"/>
  <c r="V78" i="22" s="1"/>
  <c r="V77" i="22" s="1"/>
  <c r="E49" i="22"/>
  <c r="D49" i="22"/>
  <c r="F86" i="22"/>
  <c r="G86" i="22"/>
  <c r="Y101" i="22"/>
  <c r="Y100" i="22"/>
  <c r="AA102" i="22"/>
  <c r="E80" i="22"/>
  <c r="E78" i="22" s="1"/>
  <c r="E77" i="22" s="1"/>
  <c r="K80" i="22"/>
  <c r="K78" i="22" s="1"/>
  <c r="K77" i="22" s="1"/>
  <c r="O80" i="22"/>
  <c r="O78" i="22" s="1"/>
  <c r="S80" i="22"/>
  <c r="S78" i="22" s="1"/>
  <c r="S77" i="22" s="1"/>
  <c r="W80" i="22"/>
  <c r="W78" i="22" s="1"/>
  <c r="W77" i="22" s="1"/>
  <c r="H80" i="22"/>
  <c r="L80" i="22"/>
  <c r="L78" i="22" s="1"/>
  <c r="L77" i="22" s="1"/>
  <c r="P80" i="22"/>
  <c r="P78" i="22" s="1"/>
  <c r="P77" i="22" s="1"/>
  <c r="K49" i="22"/>
  <c r="S49" i="22"/>
  <c r="J49" i="22"/>
  <c r="R49" i="22"/>
  <c r="AA66" i="22"/>
  <c r="W63" i="22"/>
  <c r="U63" i="22"/>
  <c r="S63" i="22"/>
  <c r="Q63" i="22"/>
  <c r="O63" i="22"/>
  <c r="Z63" i="22" s="1"/>
  <c r="M63" i="22"/>
  <c r="K63" i="22"/>
  <c r="I63" i="22"/>
  <c r="E63" i="22"/>
  <c r="C63" i="22"/>
  <c r="W60" i="22"/>
  <c r="U60" i="22"/>
  <c r="S60" i="22"/>
  <c r="Q60" i="22"/>
  <c r="O60" i="22"/>
  <c r="Z60" i="22" s="1"/>
  <c r="M60" i="22"/>
  <c r="K60" i="22"/>
  <c r="I60" i="22"/>
  <c r="E60" i="22"/>
  <c r="C60" i="22"/>
  <c r="V59" i="22"/>
  <c r="T59" i="22"/>
  <c r="R59" i="22"/>
  <c r="P59" i="22"/>
  <c r="N59" i="22"/>
  <c r="L59" i="22"/>
  <c r="J59" i="22"/>
  <c r="H59" i="22"/>
  <c r="D59" i="22"/>
  <c r="W58" i="22"/>
  <c r="U58" i="22"/>
  <c r="S58" i="22"/>
  <c r="Q58" i="22"/>
  <c r="O58" i="22"/>
  <c r="M58" i="22"/>
  <c r="K58" i="22"/>
  <c r="I58" i="22"/>
  <c r="E58" i="22"/>
  <c r="C58" i="22"/>
  <c r="V63" i="22"/>
  <c r="T63" i="22"/>
  <c r="R63" i="22"/>
  <c r="P63" i="22"/>
  <c r="N63" i="22"/>
  <c r="L63" i="22"/>
  <c r="J63" i="22"/>
  <c r="H63" i="22"/>
  <c r="D63" i="22"/>
  <c r="V60" i="22"/>
  <c r="T60" i="22"/>
  <c r="R60" i="22"/>
  <c r="P60" i="22"/>
  <c r="N60" i="22"/>
  <c r="L60" i="22"/>
  <c r="J60" i="22"/>
  <c r="H60" i="22"/>
  <c r="D60" i="22"/>
  <c r="W59" i="22"/>
  <c r="U59" i="22"/>
  <c r="S59" i="22"/>
  <c r="Q59" i="22"/>
  <c r="O59" i="22"/>
  <c r="Z59" i="22" s="1"/>
  <c r="M59" i="22"/>
  <c r="K59" i="22"/>
  <c r="I59" i="22"/>
  <c r="E59" i="22"/>
  <c r="C59" i="22"/>
  <c r="V58" i="22"/>
  <c r="T58" i="22"/>
  <c r="R58" i="22"/>
  <c r="P58" i="22"/>
  <c r="N58" i="22"/>
  <c r="L58" i="22"/>
  <c r="J58" i="22"/>
  <c r="H58" i="22"/>
  <c r="D58" i="22"/>
  <c r="C49" i="22"/>
  <c r="I49" i="22"/>
  <c r="M49" i="22"/>
  <c r="Q49" i="22"/>
  <c r="U49" i="22"/>
  <c r="H49" i="22"/>
  <c r="L49" i="22"/>
  <c r="P49" i="22"/>
  <c r="AA107" i="22"/>
  <c r="AA78" i="22"/>
  <c r="AA98" i="22"/>
  <c r="C64" i="22"/>
  <c r="H78" i="22"/>
  <c r="W15" i="22"/>
  <c r="U15" i="22"/>
  <c r="S15" i="22"/>
  <c r="Q15" i="22"/>
  <c r="O15" i="22"/>
  <c r="Z15" i="22" s="1"/>
  <c r="M15" i="22"/>
  <c r="K15" i="22"/>
  <c r="I15" i="22"/>
  <c r="E15" i="22"/>
  <c r="C15" i="22"/>
  <c r="V15" i="22"/>
  <c r="T15" i="22"/>
  <c r="R15" i="22"/>
  <c r="P15" i="22"/>
  <c r="N15" i="22"/>
  <c r="L15" i="22"/>
  <c r="J15" i="22"/>
  <c r="H15" i="22"/>
  <c r="D15" i="22"/>
  <c r="Y66" i="22"/>
  <c r="H64" i="22"/>
  <c r="Y64" i="22" s="1"/>
  <c r="M77" i="22" l="1"/>
  <c r="Z80" i="22"/>
  <c r="X49" i="22"/>
  <c r="N111" i="22"/>
  <c r="Y86" i="22"/>
  <c r="X86" i="22"/>
  <c r="X73" i="22"/>
  <c r="L14" i="22"/>
  <c r="L72" i="22" s="1"/>
  <c r="I14" i="22"/>
  <c r="I72" i="22" s="1"/>
  <c r="R14" i="22"/>
  <c r="R72" i="22" s="1"/>
  <c r="O14" i="22"/>
  <c r="O72" i="22" s="1"/>
  <c r="Z72" i="22" s="1"/>
  <c r="T14" i="22"/>
  <c r="T72" i="22" s="1"/>
  <c r="Q14" i="22"/>
  <c r="Q72" i="22" s="1"/>
  <c r="J14" i="22"/>
  <c r="J72" i="22" s="1"/>
  <c r="E14" i="22"/>
  <c r="E72" i="22" s="1"/>
  <c r="W14" i="22"/>
  <c r="W72" i="22" s="1"/>
  <c r="D14" i="22"/>
  <c r="D72" i="22" s="1"/>
  <c r="N14" i="22"/>
  <c r="N72" i="22" s="1"/>
  <c r="V14" i="22"/>
  <c r="V72" i="22" s="1"/>
  <c r="K14" i="22"/>
  <c r="K72" i="22" s="1"/>
  <c r="S14" i="22"/>
  <c r="S72" i="22" s="1"/>
  <c r="AA96" i="22"/>
  <c r="F14" i="22"/>
  <c r="F72" i="22" s="1"/>
  <c r="H14" i="22"/>
  <c r="H72" i="22" s="1"/>
  <c r="P14" i="22"/>
  <c r="P72" i="22" s="1"/>
  <c r="C14" i="22"/>
  <c r="C72" i="22" s="1"/>
  <c r="M14" i="22"/>
  <c r="U14" i="22"/>
  <c r="U72" i="22" s="1"/>
  <c r="AA97" i="22"/>
  <c r="X62" i="22"/>
  <c r="X80" i="22"/>
  <c r="X59" i="22"/>
  <c r="X78" i="22"/>
  <c r="AA100" i="22"/>
  <c r="G72" i="22"/>
  <c r="C10" i="22"/>
  <c r="X58" i="22"/>
  <c r="X60" i="22"/>
  <c r="X63" i="22"/>
  <c r="Y73" i="22"/>
  <c r="X15" i="22"/>
  <c r="Y62" i="22"/>
  <c r="G55" i="22"/>
  <c r="G48" i="22" s="1"/>
  <c r="F55" i="22"/>
  <c r="F48" i="22" s="1"/>
  <c r="Y63" i="22"/>
  <c r="Y80" i="22"/>
  <c r="D55" i="22"/>
  <c r="J55" i="22"/>
  <c r="J48" i="22" s="1"/>
  <c r="N55" i="22"/>
  <c r="R55" i="22"/>
  <c r="R48" i="22" s="1"/>
  <c r="V55" i="22"/>
  <c r="V48" i="22" s="1"/>
  <c r="Y60" i="22"/>
  <c r="E55" i="22"/>
  <c r="E48" i="22" s="1"/>
  <c r="K55" i="22"/>
  <c r="K48" i="22" s="1"/>
  <c r="Z58" i="22"/>
  <c r="Z55" i="22" s="1"/>
  <c r="O55" i="22"/>
  <c r="O48" i="22" s="1"/>
  <c r="S55" i="22"/>
  <c r="S48" i="22" s="1"/>
  <c r="W55" i="22"/>
  <c r="W48" i="22" s="1"/>
  <c r="H55" i="22"/>
  <c r="Y59" i="22"/>
  <c r="L55" i="22"/>
  <c r="P55" i="22"/>
  <c r="P48" i="22" s="1"/>
  <c r="T55" i="22"/>
  <c r="T48" i="22" s="1"/>
  <c r="Y49" i="22"/>
  <c r="Y58" i="22"/>
  <c r="C55" i="22"/>
  <c r="I55" i="22"/>
  <c r="I48" i="22" s="1"/>
  <c r="M55" i="22"/>
  <c r="M48" i="22" s="1"/>
  <c r="Q55" i="22"/>
  <c r="Q48" i="22" s="1"/>
  <c r="U55" i="22"/>
  <c r="U48" i="22" s="1"/>
  <c r="C77" i="22"/>
  <c r="X77" i="22" s="1"/>
  <c r="Y15" i="22"/>
  <c r="Y78" i="22"/>
  <c r="H77" i="22"/>
  <c r="Z78" i="22"/>
  <c r="O77" i="22"/>
  <c r="X55" i="22" l="1"/>
  <c r="X48" i="22" s="1"/>
  <c r="Y55" i="22"/>
  <c r="Z14" i="22"/>
  <c r="X14" i="22"/>
  <c r="M72" i="22"/>
  <c r="X72" i="22" s="1"/>
  <c r="Y14" i="22"/>
  <c r="G40" i="22"/>
  <c r="G93" i="22" s="1"/>
  <c r="G94" i="22" s="1"/>
  <c r="Q40" i="22"/>
  <c r="Q93" i="22" s="1"/>
  <c r="Q105" i="22" s="1"/>
  <c r="P40" i="22"/>
  <c r="P93" i="22" s="1"/>
  <c r="P105" i="22" s="1"/>
  <c r="Y72" i="22"/>
  <c r="I40" i="22"/>
  <c r="I93" i="22" s="1"/>
  <c r="I105" i="22" s="1"/>
  <c r="O40" i="22"/>
  <c r="Z40" i="22" s="1"/>
  <c r="F40" i="22"/>
  <c r="F93" i="22" s="1"/>
  <c r="F94" i="22" s="1"/>
  <c r="X10" i="22"/>
  <c r="R40" i="22"/>
  <c r="R93" i="22" s="1"/>
  <c r="R104" i="22" s="1"/>
  <c r="U40" i="22"/>
  <c r="U93" i="22" s="1"/>
  <c r="U104" i="22" s="1"/>
  <c r="M40" i="22"/>
  <c r="M93" i="22" s="1"/>
  <c r="M113" i="22" s="1"/>
  <c r="M114" i="22" s="1"/>
  <c r="T40" i="22"/>
  <c r="T93" i="22" s="1"/>
  <c r="T105" i="22" s="1"/>
  <c r="E40" i="22"/>
  <c r="E93" i="22" s="1"/>
  <c r="E116" i="22" s="1"/>
  <c r="W40" i="22"/>
  <c r="W93" i="22" s="1"/>
  <c r="W104" i="22" s="1"/>
  <c r="K40" i="22"/>
  <c r="K93" i="22" s="1"/>
  <c r="K116" i="22" s="1"/>
  <c r="V40" i="22"/>
  <c r="V93" i="22" s="1"/>
  <c r="V104" i="22" s="1"/>
  <c r="J40" i="22"/>
  <c r="J93" i="22" s="1"/>
  <c r="J105" i="22" s="1"/>
  <c r="S40" i="22"/>
  <c r="S93" i="22" s="1"/>
  <c r="S105" i="22" s="1"/>
  <c r="D48" i="22"/>
  <c r="D40" i="22" s="1"/>
  <c r="D93" i="22" s="1"/>
  <c r="D116" i="22" s="1"/>
  <c r="L48" i="22"/>
  <c r="L40" i="22" s="1"/>
  <c r="L93" i="22" s="1"/>
  <c r="L105" i="22" s="1"/>
  <c r="Z48" i="22"/>
  <c r="Z77" i="22"/>
  <c r="Y77" i="22"/>
  <c r="N48" i="22"/>
  <c r="N40" i="22" s="1"/>
  <c r="N93" i="22" s="1"/>
  <c r="C48" i="22"/>
  <c r="C40" i="22" s="1"/>
  <c r="H48" i="22"/>
  <c r="I116" i="22" l="1"/>
  <c r="G105" i="22"/>
  <c r="I113" i="22"/>
  <c r="I114" i="22" s="1"/>
  <c r="I104" i="22"/>
  <c r="I94" i="22"/>
  <c r="Z93" i="22"/>
  <c r="Z94" i="22" s="1"/>
  <c r="G104" i="22"/>
  <c r="Q94" i="22"/>
  <c r="T94" i="22"/>
  <c r="V105" i="22"/>
  <c r="Q104" i="22"/>
  <c r="AA72" i="22"/>
  <c r="P104" i="22"/>
  <c r="P94" i="22"/>
  <c r="F105" i="22"/>
  <c r="F104" i="22"/>
  <c r="O93" i="22"/>
  <c r="O104" i="22" s="1"/>
  <c r="U94" i="22"/>
  <c r="U105" i="22"/>
  <c r="M104" i="22"/>
  <c r="E105" i="22"/>
  <c r="R94" i="22"/>
  <c r="M94" i="22"/>
  <c r="M116" i="22"/>
  <c r="E113" i="22"/>
  <c r="E114" i="22" s="1"/>
  <c r="J116" i="22"/>
  <c r="V94" i="22"/>
  <c r="W105" i="22"/>
  <c r="R105" i="22"/>
  <c r="X40" i="22"/>
  <c r="X93" i="22" s="1"/>
  <c r="M105" i="22"/>
  <c r="E94" i="22"/>
  <c r="E104" i="22"/>
  <c r="J104" i="22"/>
  <c r="W94" i="22"/>
  <c r="T104" i="22"/>
  <c r="K105" i="22"/>
  <c r="S94" i="22"/>
  <c r="K113" i="22"/>
  <c r="K114" i="22" s="1"/>
  <c r="L104" i="22"/>
  <c r="K94" i="22"/>
  <c r="K104" i="22"/>
  <c r="S104" i="22"/>
  <c r="L116" i="22"/>
  <c r="L94" i="22"/>
  <c r="L113" i="22"/>
  <c r="L114" i="22" s="1"/>
  <c r="J94" i="22"/>
  <c r="J113" i="22"/>
  <c r="J114" i="22" s="1"/>
  <c r="D113" i="22"/>
  <c r="D114" i="22" s="1"/>
  <c r="D94" i="22"/>
  <c r="D105" i="22"/>
  <c r="D104" i="22"/>
  <c r="Y48" i="22"/>
  <c r="AA48" i="22" s="1"/>
  <c r="H40" i="22"/>
  <c r="N105" i="22"/>
  <c r="N116" i="22"/>
  <c r="N113" i="22"/>
  <c r="N114" i="22" s="1"/>
  <c r="N104" i="22"/>
  <c r="N94" i="22"/>
  <c r="AA77" i="22"/>
  <c r="C93" i="22"/>
  <c r="Z104" i="22" l="1"/>
  <c r="Z105" i="22"/>
  <c r="O94" i="22"/>
  <c r="O105" i="22"/>
  <c r="AA40" i="22"/>
  <c r="AA93" i="22" s="1"/>
  <c r="AA113" i="22" s="1"/>
  <c r="AA114" i="22" s="1"/>
  <c r="Y40" i="22"/>
  <c r="Y93" i="22" s="1"/>
  <c r="H93" i="22"/>
  <c r="C116" i="22"/>
  <c r="C113" i="22"/>
  <c r="C114" i="22" s="1"/>
  <c r="C94" i="22"/>
  <c r="X116" i="22"/>
  <c r="X113" i="22"/>
  <c r="X114" i="22" s="1"/>
  <c r="X105" i="22"/>
  <c r="X104" i="22"/>
  <c r="X94" i="22"/>
  <c r="AA94" i="22" l="1"/>
  <c r="AA116" i="22"/>
  <c r="AA104" i="22"/>
  <c r="AA105" i="22"/>
  <c r="Y104" i="22"/>
  <c r="Y116" i="22"/>
  <c r="Y113" i="22"/>
  <c r="Y114" i="22" s="1"/>
  <c r="Y105" i="22"/>
  <c r="Y94" i="22"/>
  <c r="H105" i="22"/>
  <c r="H116" i="22"/>
  <c r="H113" i="22"/>
  <c r="H114" i="22" s="1"/>
  <c r="H104" i="22"/>
  <c r="H94" i="22"/>
</calcChain>
</file>

<file path=xl/comments1.xml><?xml version="1.0" encoding="utf-8"?>
<comments xmlns="http://schemas.openxmlformats.org/spreadsheetml/2006/main">
  <authors>
    <author>Цюх Анна Константиновна</author>
  </authors>
  <commentList>
    <comment ref="S6" authorId="0" shapeId="0">
      <text>
        <r>
          <rPr>
            <b/>
            <sz val="9"/>
            <color indexed="81"/>
            <rFont val="Tahoma"/>
            <charset val="1"/>
          </rPr>
          <t>Цюх Анна Константиновна:</t>
        </r>
        <r>
          <rPr>
            <sz val="9"/>
            <color indexed="81"/>
            <rFont val="Tahoma"/>
            <charset val="1"/>
          </rPr>
          <t xml:space="preserve">
26 мультивалютные</t>
        </r>
      </text>
    </comment>
  </commentList>
</comments>
</file>

<file path=xl/sharedStrings.xml><?xml version="1.0" encoding="utf-8"?>
<sst xmlns="http://schemas.openxmlformats.org/spreadsheetml/2006/main" count="141" uniqueCount="110">
  <si>
    <t>Генерирование Пина и печать ПИН-конверта</t>
  </si>
  <si>
    <t>Персонализация карт с контактным чипом</t>
  </si>
  <si>
    <t>Сортировка и упаковка карт и Пин-конвертов</t>
  </si>
  <si>
    <t>Операционные платы, руб</t>
  </si>
  <si>
    <t>Операционные платы, вал.</t>
  </si>
  <si>
    <t>стоимость заготовки</t>
  </si>
  <si>
    <t>упаковка,листовка вкладыш</t>
  </si>
  <si>
    <t>ИТОГО</t>
  </si>
  <si>
    <t>Расходы на выпуск</t>
  </si>
  <si>
    <t>Visa Electron</t>
  </si>
  <si>
    <t>Visa Classic</t>
  </si>
  <si>
    <t>Visa Gold</t>
  </si>
  <si>
    <t>Mastercard Gold</t>
  </si>
  <si>
    <t>Mastercard Часы</t>
  </si>
  <si>
    <t>Фиксированные платы  (постоянные платы)</t>
  </si>
  <si>
    <t>Итого Visa</t>
  </si>
  <si>
    <t>Итого Mastercard</t>
  </si>
  <si>
    <t>Курсовая разница</t>
  </si>
  <si>
    <t>Интерченж</t>
  </si>
  <si>
    <t>Годовое обслуживание</t>
  </si>
  <si>
    <t>Комиссия за выдачу наличных</t>
  </si>
  <si>
    <t xml:space="preserve">Прочие комиссии </t>
  </si>
  <si>
    <t>Ведение базы данных</t>
  </si>
  <si>
    <t>Комиссия за зачисления по ЗП проектам</t>
  </si>
  <si>
    <t>Оспаривание транзакций</t>
  </si>
  <si>
    <t>СМС-информирование</t>
  </si>
  <si>
    <t>Купил-Накопил</t>
  </si>
  <si>
    <t>Mastercard Express</t>
  </si>
  <si>
    <t>обороты по снятию от общего оборота, %</t>
  </si>
  <si>
    <t>принцип отнесения</t>
  </si>
  <si>
    <t>VISA</t>
  </si>
  <si>
    <t>Mastercard</t>
  </si>
  <si>
    <t>Объемы</t>
  </si>
  <si>
    <t>Количество карт действующих (на дату):</t>
  </si>
  <si>
    <t>прямое отнесение</t>
  </si>
  <si>
    <t>в т.ч. активных:</t>
  </si>
  <si>
    <t>в т.ч. активных (по зп проектам)</t>
  </si>
  <si>
    <t>Кол-во карт выпущенных (за период):</t>
  </si>
  <si>
    <t xml:space="preserve">Количество карт эмбоссированных (на дату): </t>
  </si>
  <si>
    <t>Средний остаток средств на СКС (средний за период)</t>
  </si>
  <si>
    <t>по общему объему транзаций (транзакции в торговых сетях и сторониих банкоматах)</t>
  </si>
  <si>
    <t>Остаток средств в банкоматах**</t>
  </si>
  <si>
    <t>по кол-ву карт</t>
  </si>
  <si>
    <t>Кол-во транзакций в банкоматах Банка</t>
  </si>
  <si>
    <t>Кол-во транзакций в сторнних банкоматах</t>
  </si>
  <si>
    <t>Кол-во транзакций в торговых сетях</t>
  </si>
  <si>
    <t>Объем транзакций в торговых сетях</t>
  </si>
  <si>
    <t>Средний чек</t>
  </si>
  <si>
    <t>Расходы</t>
  </si>
  <si>
    <t>по кол-ву активных карт</t>
  </si>
  <si>
    <t>Расчеты с платежными системами</t>
  </si>
  <si>
    <t>Трансфертные расходы</t>
  </si>
  <si>
    <t>Процентные расходы</t>
  </si>
  <si>
    <t>Доходы</t>
  </si>
  <si>
    <t>Комиссия за обслуживание пластиковых карт</t>
  </si>
  <si>
    <t>Трансферные доходы</t>
  </si>
  <si>
    <t>ФИНАНСОВЫЙ РЕЗУЛЬТАТ</t>
  </si>
  <si>
    <t>финансовый результат без учета трансфертных и процентных доходов/расходов</t>
  </si>
  <si>
    <t>доля активных карт</t>
  </si>
  <si>
    <t>доля снятий в собственных банкоматах</t>
  </si>
  <si>
    <t>финансовый результат в расчете на карту</t>
  </si>
  <si>
    <t>interchange / оборот в торговых сетях</t>
  </si>
  <si>
    <t>Кол-во карт действующих - среднее за период</t>
  </si>
  <si>
    <t>Остаток средств на СКС - средний за декабрь</t>
  </si>
  <si>
    <t>по объему транзакций в чужих банкоматах</t>
  </si>
  <si>
    <t>средний на карту оборот по снятию, руб. в мес</t>
  </si>
  <si>
    <t>средний на карту оборот по платежам, руб. в мес</t>
  </si>
  <si>
    <t>средний остаток средств на карте в мес</t>
  </si>
  <si>
    <t>финансовый результат в расчете на карту без учета фиксированных плат и процентных расходов</t>
  </si>
  <si>
    <t>финансовый результат в расчете на карту без учета фиксированных плат (доход с каждой дополнительной карты)</t>
  </si>
  <si>
    <t>средняя процентная ставка</t>
  </si>
  <si>
    <t>Сервисные платы и РКО (постоянные платы)</t>
  </si>
  <si>
    <t>Maestro/ Maestro Express</t>
  </si>
  <si>
    <t>Mastercard Standart/ PayPass</t>
  </si>
  <si>
    <t>МИР</t>
  </si>
  <si>
    <t>Итого Мир</t>
  </si>
  <si>
    <t>Карты Таврический Банк</t>
  </si>
  <si>
    <t>Карты МФК</t>
  </si>
  <si>
    <t>Visa</t>
  </si>
  <si>
    <t>Mastercard Standard</t>
  </si>
  <si>
    <t>Mastercard Platinum</t>
  </si>
  <si>
    <t>Mastercard Word Elite</t>
  </si>
  <si>
    <t>Visa Platinum</t>
  </si>
  <si>
    <t>Visa Infinite</t>
  </si>
  <si>
    <t>Объем транзакций в устройствах банка</t>
  </si>
  <si>
    <t>Объем транзакций в сторнних устройствах</t>
  </si>
  <si>
    <t>Оборот по возврату средств при оплате в торговых сетях</t>
  </si>
  <si>
    <t>Прочие платы</t>
  </si>
  <si>
    <t>Трансфертные ставки (активы)</t>
  </si>
  <si>
    <t>Трансфертные ставки (пассивы)</t>
  </si>
  <si>
    <t>Объем транзакций в торговых сетях (рубли)</t>
  </si>
  <si>
    <t>Объем транзакций в торговых сетях (валюта)</t>
  </si>
  <si>
    <t>Объем транзакций в сторнних устройствах (рубли)</t>
  </si>
  <si>
    <t>Объем транзакций в сторнних устройствах (валюта)</t>
  </si>
  <si>
    <t>Бонусы по программе лояльности</t>
  </si>
  <si>
    <t>Неснижаемый остаток РОСБАНК(ср.за период)</t>
  </si>
  <si>
    <t>Транзакц. платы(в осн-снятия в чужих банкоматах)</t>
  </si>
  <si>
    <t>Процентные доходы (овердрвфты)</t>
  </si>
  <si>
    <t>Остатки ссудной задолженности (овердрафты)</t>
  </si>
  <si>
    <t>Кол-во карт выпущенных (нарастающим итогом)</t>
  </si>
  <si>
    <t>Расходы РНКО на обслуживание карт</t>
  </si>
  <si>
    <t>Удаленный доступ к базе ПЦ</t>
  </si>
  <si>
    <t>Клиентская поддержка</t>
  </si>
  <si>
    <t>Поручительсво перед РНКО</t>
  </si>
  <si>
    <t>Поддержка мультивалютной карты</t>
  </si>
  <si>
    <t>Расходы КОКК на персонализацию</t>
  </si>
  <si>
    <t>Переменнные платы</t>
  </si>
  <si>
    <t>Поддержка услуги получения(смены) пин-кода</t>
  </si>
  <si>
    <t>Получение (смена) пин-кода</t>
  </si>
  <si>
    <t>Отчет о доходах и расходах в разрезе типов карт за ${period}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</si>
</sst>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;[Red]#,##0.00"/>
  </numFmts>
  <fonts count="34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Tahoma"/>
      <family val="2"/>
      <charset val="204"/>
    </font>
    <font>
      <b/>
      <u/>
      <sz val="8"/>
      <color theme="0" tint="-0.499984740745262"/>
      <name val="Tahoma"/>
      <family val="2"/>
      <charset val="204"/>
    </font>
    <font>
      <b/>
      <u/>
      <sz val="8"/>
      <name val="Tahoma"/>
      <family val="2"/>
      <charset val="204"/>
    </font>
    <font>
      <b/>
      <sz val="8"/>
      <color theme="0"/>
      <name val="Tahoma"/>
      <family val="2"/>
      <charset val="204"/>
    </font>
    <font>
      <b/>
      <u/>
      <sz val="8"/>
      <color theme="0"/>
      <name val="Tahoma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name val="Tahoma"/>
      <family val="2"/>
      <charset val="204"/>
    </font>
    <font>
      <sz val="8"/>
      <color indexed="55"/>
      <name val="Tahoma"/>
      <family val="2"/>
      <charset val="204"/>
    </font>
    <font>
      <sz val="8"/>
      <color theme="0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3D4FC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9" fontId="1" fillId="0" borderId="0" applyFont="0" applyFill="0" applyBorder="0" applyAlignment="0" applyProtection="0"/>
    <xf numFmtId="0" fontId="16" fillId="0" borderId="9" applyNumberFormat="0" applyFill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204">
    <xf numFmtId="0" fontId="0" fillId="0" borderId="0" xfId="0"/>
    <xf numFmtId="0" fontId="22" fillId="32" borderId="34" xfId="0" applyFont="1" applyFill="1" applyBorder="1" applyAlignment="1">
      <alignment horizontal="center"/>
    </xf>
    <xf numFmtId="0" fontId="22" fillId="32" borderId="10" xfId="0" applyFont="1" applyFill="1" applyBorder="1" applyAlignment="1">
      <alignment horizontal="center"/>
    </xf>
    <xf numFmtId="0" fontId="22" fillId="32" borderId="14" xfId="0" applyFont="1" applyFill="1" applyBorder="1" applyAlignment="1">
      <alignment horizontal="center" vertical="center"/>
    </xf>
    <xf numFmtId="0" fontId="22" fillId="32" borderId="16" xfId="0" applyFont="1" applyFill="1" applyBorder="1" applyAlignment="1">
      <alignment horizontal="center" vertical="center"/>
    </xf>
    <xf numFmtId="0" fontId="22" fillId="32" borderId="15" xfId="0" applyFont="1" applyFill="1" applyBorder="1" applyAlignment="1">
      <alignment horizontal="center" vertical="center"/>
    </xf>
    <xf numFmtId="0" fontId="23" fillId="27" borderId="0" xfId="0" applyFont="1" applyFill="1" applyBorder="1" applyAlignment="1">
      <alignment horizontal="center" vertical="center" wrapText="1"/>
    </xf>
    <xf numFmtId="0" fontId="22" fillId="32" borderId="35" xfId="0" applyFont="1" applyFill="1" applyBorder="1" applyAlignment="1">
      <alignment horizontal="center"/>
    </xf>
    <xf numFmtId="0" fontId="22" fillId="32" borderId="36" xfId="0" applyFont="1" applyFill="1" applyBorder="1" applyAlignment="1">
      <alignment horizontal="center" vertical="center" wrapText="1"/>
    </xf>
    <xf numFmtId="0" fontId="22" fillId="32" borderId="14" xfId="0" applyFont="1" applyFill="1" applyBorder="1" applyAlignment="1">
      <alignment horizontal="center" vertical="center" wrapText="1"/>
    </xf>
    <xf numFmtId="0" fontId="22" fillId="32" borderId="16" xfId="0" applyFont="1" applyFill="1" applyBorder="1" applyAlignment="1">
      <alignment horizontal="center" vertical="center" wrapText="1"/>
    </xf>
    <xf numFmtId="0" fontId="22" fillId="32" borderId="22" xfId="0" applyFont="1" applyFill="1" applyBorder="1" applyAlignment="1">
      <alignment horizontal="center" vertical="center" wrapText="1"/>
    </xf>
    <xf numFmtId="0" fontId="22" fillId="32" borderId="15" xfId="0" applyFont="1" applyFill="1" applyBorder="1" applyAlignment="1">
      <alignment horizontal="center" vertical="center" wrapText="1"/>
    </xf>
    <xf numFmtId="0" fontId="24" fillId="32" borderId="11" xfId="0" applyFont="1" applyFill="1" applyBorder="1" applyAlignment="1">
      <alignment horizontal="center" vertical="center" wrapText="1"/>
    </xf>
    <xf numFmtId="0" fontId="24" fillId="32" borderId="0" xfId="0" applyFont="1" applyFill="1" applyBorder="1" applyAlignment="1">
      <alignment horizontal="center" vertical="center" wrapText="1"/>
    </xf>
    <xf numFmtId="0" fontId="24" fillId="32" borderId="18" xfId="0" applyFont="1" applyFill="1" applyBorder="1" applyAlignment="1">
      <alignment horizontal="center" vertical="center" wrapText="1"/>
    </xf>
    <xf numFmtId="0" fontId="22" fillId="32" borderId="14" xfId="0" applyFont="1" applyFill="1" applyBorder="1" applyAlignment="1">
      <alignment horizontal="center"/>
    </xf>
    <xf numFmtId="0" fontId="22" fillId="32" borderId="16" xfId="0" applyFont="1" applyFill="1" applyBorder="1" applyAlignment="1">
      <alignment horizontal="center"/>
    </xf>
    <xf numFmtId="0" fontId="22" fillId="32" borderId="15" xfId="0" applyFont="1" applyFill="1" applyBorder="1" applyAlignment="1">
      <alignment horizontal="center"/>
    </xf>
    <xf numFmtId="0" fontId="22" fillId="32" borderId="11" xfId="0" applyFont="1" applyFill="1" applyBorder="1" applyAlignment="1">
      <alignment horizontal="center" vertical="center" wrapText="1"/>
    </xf>
    <xf numFmtId="0" fontId="24" fillId="32" borderId="13" xfId="0" applyFont="1" applyFill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4" fillId="32" borderId="20" xfId="0" applyFont="1" applyFill="1" applyBorder="1" applyAlignment="1">
      <alignment horizontal="center" vertical="center" wrapText="1"/>
    </xf>
    <xf numFmtId="0" fontId="24" fillId="32" borderId="21" xfId="0" applyFont="1" applyFill="1" applyBorder="1" applyAlignment="1">
      <alignment horizontal="center" vertical="center" wrapText="1"/>
    </xf>
    <xf numFmtId="0" fontId="22" fillId="32" borderId="15" xfId="0" applyFont="1" applyFill="1" applyBorder="1" applyAlignment="1">
      <alignment horizontal="center" vertical="center" wrapText="1"/>
    </xf>
    <xf numFmtId="0" fontId="22" fillId="32" borderId="10" xfId="0" applyFont="1" applyFill="1" applyBorder="1" applyAlignment="1">
      <alignment horizontal="center" vertical="center" wrapText="1"/>
    </xf>
    <xf numFmtId="0" fontId="22" fillId="32" borderId="12" xfId="0" applyFont="1" applyFill="1" applyBorder="1" applyAlignment="1">
      <alignment horizontal="center" vertical="center" wrapText="1"/>
    </xf>
    <xf numFmtId="0" fontId="24" fillId="32" borderId="12" xfId="0" applyFont="1" applyFill="1" applyBorder="1" applyAlignment="1">
      <alignment horizontal="center" vertical="center" wrapText="1"/>
    </xf>
    <xf numFmtId="0" fontId="25" fillId="27" borderId="37" xfId="0" applyFont="1" applyFill="1" applyBorder="1" applyAlignment="1">
      <alignment horizontal="center" vertical="center" wrapText="1"/>
    </xf>
    <xf numFmtId="0" fontId="22" fillId="24" borderId="14" xfId="0" applyFont="1" applyFill="1" applyBorder="1" applyAlignment="1">
      <alignment horizontal="left"/>
    </xf>
    <xf numFmtId="0" fontId="22" fillId="24" borderId="15" xfId="0" applyFont="1" applyFill="1" applyBorder="1" applyAlignment="1">
      <alignment horizontal="left"/>
    </xf>
    <xf numFmtId="0" fontId="25" fillId="28" borderId="10" xfId="0" applyFont="1" applyFill="1" applyBorder="1" applyAlignment="1">
      <alignment horizontal="center" vertical="center" wrapText="1"/>
    </xf>
    <xf numFmtId="0" fontId="26" fillId="28" borderId="13" xfId="0" applyFont="1" applyFill="1" applyBorder="1" applyAlignment="1">
      <alignment horizontal="center" vertical="center" wrapText="1"/>
    </xf>
    <xf numFmtId="0" fontId="22" fillId="24" borderId="24" xfId="0" applyFont="1" applyFill="1" applyBorder="1" applyAlignment="1">
      <alignment horizontal="center"/>
    </xf>
    <xf numFmtId="0" fontId="27" fillId="29" borderId="14" xfId="0" applyFont="1" applyFill="1" applyBorder="1" applyAlignment="1">
      <alignment horizontal="left" vertical="center" wrapText="1"/>
    </xf>
    <xf numFmtId="0" fontId="27" fillId="29" borderId="15" xfId="0" applyFont="1" applyFill="1" applyBorder="1" applyAlignment="1">
      <alignment horizontal="left" vertical="center" wrapText="1"/>
    </xf>
    <xf numFmtId="3" fontId="27" fillId="0" borderId="10" xfId="0" applyNumberFormat="1" applyFont="1" applyBorder="1" applyAlignment="1">
      <alignment horizontal="right" wrapText="1"/>
    </xf>
    <xf numFmtId="0" fontId="27" fillId="0" borderId="10" xfId="0" applyFont="1" applyFill="1" applyBorder="1" applyAlignment="1">
      <alignment horizontal="right" vertical="center" wrapText="1"/>
    </xf>
    <xf numFmtId="3" fontId="27" fillId="29" borderId="10" xfId="0" applyNumberFormat="1" applyFont="1" applyFill="1" applyBorder="1" applyAlignment="1">
      <alignment horizontal="right" wrapText="1"/>
    </xf>
    <xf numFmtId="3" fontId="27" fillId="29" borderId="25" xfId="0" applyNumberFormat="1" applyFont="1" applyFill="1" applyBorder="1" applyAlignment="1">
      <alignment horizontal="center" wrapText="1"/>
    </xf>
    <xf numFmtId="0" fontId="28" fillId="29" borderId="14" xfId="36" applyFont="1" applyFill="1" applyBorder="1" applyAlignment="1">
      <alignment horizontal="left" wrapText="1"/>
    </xf>
    <xf numFmtId="0" fontId="28" fillId="29" borderId="15" xfId="36" applyFont="1" applyFill="1" applyBorder="1" applyAlignment="1">
      <alignment horizontal="left" wrapText="1"/>
    </xf>
    <xf numFmtId="0" fontId="27" fillId="0" borderId="31" xfId="0" applyFont="1" applyBorder="1" applyAlignment="1">
      <alignment horizontal="right" wrapText="1"/>
    </xf>
    <xf numFmtId="0" fontId="27" fillId="0" borderId="27" xfId="0" applyFont="1" applyBorder="1" applyAlignment="1">
      <alignment horizontal="right" wrapText="1"/>
    </xf>
    <xf numFmtId="0" fontId="27" fillId="0" borderId="27" xfId="0" applyFont="1" applyFill="1" applyBorder="1" applyAlignment="1">
      <alignment horizontal="right" wrapText="1"/>
    </xf>
    <xf numFmtId="3" fontId="27" fillId="29" borderId="18" xfId="0" applyNumberFormat="1" applyFont="1" applyFill="1" applyBorder="1" applyAlignment="1">
      <alignment horizontal="center" wrapText="1"/>
    </xf>
    <xf numFmtId="0" fontId="27" fillId="0" borderId="32" xfId="0" applyFont="1" applyBorder="1" applyAlignment="1">
      <alignment horizontal="right" wrapText="1"/>
    </xf>
    <xf numFmtId="0" fontId="27" fillId="0" borderId="28" xfId="0" applyFont="1" applyBorder="1" applyAlignment="1">
      <alignment horizontal="right" wrapText="1"/>
    </xf>
    <xf numFmtId="0" fontId="27" fillId="0" borderId="28" xfId="0" applyFont="1" applyFill="1" applyBorder="1" applyAlignment="1">
      <alignment horizontal="right" wrapText="1"/>
    </xf>
    <xf numFmtId="0" fontId="29" fillId="0" borderId="16" xfId="0" applyFont="1" applyBorder="1" applyAlignment="1">
      <alignment horizontal="left"/>
    </xf>
    <xf numFmtId="0" fontId="29" fillId="0" borderId="15" xfId="0" applyFont="1" applyBorder="1" applyAlignment="1">
      <alignment horizontal="left"/>
    </xf>
    <xf numFmtId="3" fontId="29" fillId="29" borderId="10" xfId="0" applyNumberFormat="1" applyFont="1" applyFill="1" applyBorder="1" applyAlignment="1">
      <alignment horizontal="right"/>
    </xf>
    <xf numFmtId="0" fontId="27" fillId="0" borderId="14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7" fillId="0" borderId="33" xfId="0" applyFont="1" applyFill="1" applyBorder="1" applyAlignment="1">
      <alignment horizontal="right" wrapText="1"/>
    </xf>
    <xf numFmtId="0" fontId="27" fillId="0" borderId="29" xfId="0" applyFont="1" applyFill="1" applyBorder="1" applyAlignment="1">
      <alignment horizontal="right" wrapText="1"/>
    </xf>
    <xf numFmtId="0" fontId="27" fillId="0" borderId="30" xfId="0" applyFont="1" applyFill="1" applyBorder="1" applyAlignment="1">
      <alignment horizontal="right" wrapText="1"/>
    </xf>
    <xf numFmtId="3" fontId="27" fillId="0" borderId="10" xfId="0" applyNumberFormat="1" applyFont="1" applyFill="1" applyBorder="1" applyAlignment="1">
      <alignment horizontal="right" wrapText="1"/>
    </xf>
    <xf numFmtId="3" fontId="27" fillId="0" borderId="18" xfId="0" applyNumberFormat="1" applyFont="1" applyFill="1" applyBorder="1" applyAlignment="1">
      <alignment horizontal="center" wrapText="1"/>
    </xf>
    <xf numFmtId="3" fontId="27" fillId="0" borderId="14" xfId="0" applyNumberFormat="1" applyFont="1" applyFill="1" applyBorder="1" applyAlignment="1">
      <alignment horizontal="left" vertical="center" wrapText="1"/>
    </xf>
    <xf numFmtId="3" fontId="27" fillId="0" borderId="15" xfId="0" applyNumberFormat="1" applyFont="1" applyFill="1" applyBorder="1" applyAlignment="1">
      <alignment horizontal="left" vertical="center" wrapText="1"/>
    </xf>
    <xf numFmtId="0" fontId="27" fillId="0" borderId="0" xfId="0" applyFont="1" applyFill="1"/>
    <xf numFmtId="3" fontId="27" fillId="0" borderId="32" xfId="0" applyNumberFormat="1" applyFont="1" applyFill="1" applyBorder="1" applyAlignment="1">
      <alignment horizontal="right" wrapText="1"/>
    </xf>
    <xf numFmtId="3" fontId="27" fillId="0" borderId="28" xfId="0" applyNumberFormat="1" applyFont="1" applyFill="1" applyBorder="1" applyAlignment="1">
      <alignment horizontal="right" wrapText="1"/>
    </xf>
    <xf numFmtId="3" fontId="27" fillId="0" borderId="28" xfId="0" applyNumberFormat="1" applyFont="1" applyFill="1" applyBorder="1" applyAlignment="1">
      <alignment horizontal="right"/>
    </xf>
    <xf numFmtId="3" fontId="29" fillId="0" borderId="10" xfId="0" applyNumberFormat="1" applyFont="1" applyFill="1" applyBorder="1" applyAlignment="1">
      <alignment horizontal="right" wrapText="1"/>
    </xf>
    <xf numFmtId="3" fontId="27" fillId="0" borderId="18" xfId="0" applyNumberFormat="1" applyFont="1" applyFill="1" applyBorder="1" applyAlignment="1">
      <alignment horizontal="center" vertical="center" wrapText="1"/>
    </xf>
    <xf numFmtId="3" fontId="27" fillId="29" borderId="15" xfId="0" applyNumberFormat="1" applyFont="1" applyFill="1" applyBorder="1" applyAlignment="1">
      <alignment horizontal="right" vertical="center"/>
    </xf>
    <xf numFmtId="3" fontId="29" fillId="29" borderId="10" xfId="0" applyNumberFormat="1" applyFont="1" applyFill="1" applyBorder="1" applyAlignment="1">
      <alignment horizontal="right" wrapText="1"/>
    </xf>
    <xf numFmtId="0" fontId="27" fillId="29" borderId="18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left" wrapText="1"/>
    </xf>
    <xf numFmtId="0" fontId="27" fillId="0" borderId="15" xfId="0" applyFont="1" applyFill="1" applyBorder="1" applyAlignment="1">
      <alignment horizontal="left" wrapText="1"/>
    </xf>
    <xf numFmtId="3" fontId="27" fillId="29" borderId="15" xfId="0" applyNumberFormat="1" applyFont="1" applyFill="1" applyBorder="1" applyAlignment="1">
      <alignment horizontal="right"/>
    </xf>
    <xf numFmtId="3" fontId="27" fillId="29" borderId="10" xfId="0" applyNumberFormat="1" applyFont="1" applyFill="1" applyBorder="1" applyAlignment="1">
      <alignment horizontal="right"/>
    </xf>
    <xf numFmtId="0" fontId="27" fillId="29" borderId="18" xfId="0" applyFont="1" applyFill="1" applyBorder="1" applyAlignment="1">
      <alignment horizontal="center" wrapText="1"/>
    </xf>
    <xf numFmtId="3" fontId="27" fillId="0" borderId="15" xfId="0" applyNumberFormat="1" applyFont="1" applyFill="1" applyBorder="1" applyAlignment="1">
      <alignment horizontal="right"/>
    </xf>
    <xf numFmtId="3" fontId="27" fillId="0" borderId="10" xfId="0" applyNumberFormat="1" applyFont="1" applyFill="1" applyBorder="1" applyAlignment="1">
      <alignment horizontal="right"/>
    </xf>
    <xf numFmtId="0" fontId="27" fillId="0" borderId="18" xfId="0" applyFont="1" applyFill="1" applyBorder="1" applyAlignment="1">
      <alignment horizontal="center" wrapText="1"/>
    </xf>
    <xf numFmtId="0" fontId="27" fillId="28" borderId="14" xfId="0" applyFont="1" applyFill="1" applyBorder="1" applyAlignment="1">
      <alignment horizontal="left" wrapText="1"/>
    </xf>
    <xf numFmtId="0" fontId="27" fillId="28" borderId="15" xfId="0" applyFont="1" applyFill="1" applyBorder="1" applyAlignment="1">
      <alignment horizontal="left" wrapText="1"/>
    </xf>
    <xf numFmtId="3" fontId="27" fillId="28" borderId="15" xfId="0" applyNumberFormat="1" applyFont="1" applyFill="1" applyBorder="1" applyAlignment="1">
      <alignment horizontal="right"/>
    </xf>
    <xf numFmtId="3" fontId="27" fillId="28" borderId="10" xfId="0" applyNumberFormat="1" applyFont="1" applyFill="1" applyBorder="1" applyAlignment="1">
      <alignment horizontal="right"/>
    </xf>
    <xf numFmtId="3" fontId="27" fillId="28" borderId="10" xfId="0" applyNumberFormat="1" applyFont="1" applyFill="1" applyBorder="1" applyAlignment="1">
      <alignment horizontal="right" wrapText="1"/>
    </xf>
    <xf numFmtId="0" fontId="27" fillId="28" borderId="14" xfId="42" applyFont="1" applyFill="1" applyBorder="1" applyAlignment="1">
      <alignment horizontal="left" wrapText="1"/>
    </xf>
    <xf numFmtId="0" fontId="27" fillId="28" borderId="15" xfId="42" applyFont="1" applyFill="1" applyBorder="1" applyAlignment="1">
      <alignment horizontal="left" wrapText="1"/>
    </xf>
    <xf numFmtId="0" fontId="27" fillId="0" borderId="18" xfId="42" applyFont="1" applyFill="1" applyBorder="1" applyAlignment="1">
      <alignment horizontal="center" wrapText="1"/>
    </xf>
    <xf numFmtId="0" fontId="27" fillId="0" borderId="14" xfId="42" applyFont="1" applyFill="1" applyBorder="1" applyAlignment="1">
      <alignment horizontal="left" wrapText="1"/>
    </xf>
    <xf numFmtId="0" fontId="27" fillId="0" borderId="15" xfId="42" applyFont="1" applyFill="1" applyBorder="1" applyAlignment="1">
      <alignment horizontal="left" wrapText="1"/>
    </xf>
    <xf numFmtId="0" fontId="27" fillId="29" borderId="18" xfId="42" applyFont="1" applyFill="1" applyBorder="1" applyAlignment="1">
      <alignment horizontal="center" wrapText="1"/>
    </xf>
    <xf numFmtId="0" fontId="27" fillId="31" borderId="14" xfId="42" applyFont="1" applyFill="1" applyBorder="1" applyAlignment="1">
      <alignment horizontal="left" wrapText="1"/>
    </xf>
    <xf numFmtId="0" fontId="27" fillId="31" borderId="15" xfId="42" applyFont="1" applyFill="1" applyBorder="1" applyAlignment="1">
      <alignment horizontal="left" wrapText="1"/>
    </xf>
    <xf numFmtId="3" fontId="27" fillId="31" borderId="10" xfId="0" applyNumberFormat="1" applyFont="1" applyFill="1" applyBorder="1" applyAlignment="1">
      <alignment horizontal="right" wrapText="1"/>
    </xf>
    <xf numFmtId="3" fontId="27" fillId="31" borderId="12" xfId="0" applyNumberFormat="1" applyFont="1" applyFill="1" applyBorder="1" applyAlignment="1">
      <alignment horizontal="right" wrapText="1"/>
    </xf>
    <xf numFmtId="3" fontId="27" fillId="31" borderId="13" xfId="0" applyNumberFormat="1" applyFont="1" applyFill="1" applyBorder="1" applyAlignment="1">
      <alignment horizontal="right" vertical="center" wrapText="1"/>
    </xf>
    <xf numFmtId="0" fontId="27" fillId="31" borderId="14" xfId="0" applyFont="1" applyFill="1" applyBorder="1" applyAlignment="1">
      <alignment horizontal="left"/>
    </xf>
    <xf numFmtId="0" fontId="27" fillId="31" borderId="15" xfId="0" applyFont="1" applyFill="1" applyBorder="1" applyAlignment="1">
      <alignment horizontal="left"/>
    </xf>
    <xf numFmtId="3" fontId="27" fillId="31" borderId="13" xfId="0" applyNumberFormat="1" applyFont="1" applyFill="1" applyBorder="1" applyAlignment="1">
      <alignment horizontal="right" wrapText="1"/>
    </xf>
    <xf numFmtId="0" fontId="27" fillId="0" borderId="18" xfId="0" applyFont="1" applyBorder="1" applyAlignment="1">
      <alignment horizontal="center"/>
    </xf>
    <xf numFmtId="165" fontId="27" fillId="0" borderId="0" xfId="0" applyNumberFormat="1" applyFont="1"/>
    <xf numFmtId="0" fontId="27" fillId="0" borderId="0" xfId="0" applyFont="1"/>
    <xf numFmtId="165" fontId="29" fillId="0" borderId="0" xfId="0" applyNumberFormat="1" applyFont="1"/>
    <xf numFmtId="0" fontId="29" fillId="0" borderId="0" xfId="0" applyFont="1"/>
    <xf numFmtId="165" fontId="27" fillId="0" borderId="0" xfId="0" applyNumberFormat="1" applyFont="1" applyFill="1"/>
    <xf numFmtId="0" fontId="27" fillId="0" borderId="14" xfId="0" applyFont="1" applyBorder="1" applyAlignment="1">
      <alignment horizontal="left"/>
    </xf>
    <xf numFmtId="0" fontId="27" fillId="0" borderId="15" xfId="0" applyFont="1" applyBorder="1" applyAlignment="1">
      <alignment horizontal="left"/>
    </xf>
    <xf numFmtId="3" fontId="27" fillId="29" borderId="20" xfId="0" applyNumberFormat="1" applyFont="1" applyFill="1" applyBorder="1" applyAlignment="1">
      <alignment vertical="center" wrapText="1"/>
    </xf>
    <xf numFmtId="3" fontId="27" fillId="29" borderId="19" xfId="0" applyNumberFormat="1" applyFont="1" applyFill="1" applyBorder="1" applyAlignment="1">
      <alignment vertical="center" wrapText="1"/>
    </xf>
    <xf numFmtId="3" fontId="27" fillId="29" borderId="21" xfId="0" applyNumberFormat="1" applyFont="1" applyFill="1" applyBorder="1" applyAlignment="1">
      <alignment vertical="center" wrapText="1"/>
    </xf>
    <xf numFmtId="3" fontId="27" fillId="29" borderId="12" xfId="0" applyNumberFormat="1" applyFont="1" applyFill="1" applyBorder="1" applyAlignment="1">
      <alignment vertical="center" wrapText="1"/>
    </xf>
    <xf numFmtId="0" fontId="22" fillId="30" borderId="14" xfId="0" applyFont="1" applyFill="1" applyBorder="1" applyAlignment="1">
      <alignment horizontal="left"/>
    </xf>
    <xf numFmtId="0" fontId="22" fillId="30" borderId="15" xfId="0" applyFont="1" applyFill="1" applyBorder="1" applyAlignment="1">
      <alignment horizontal="left"/>
    </xf>
    <xf numFmtId="3" fontId="22" fillId="30" borderId="10" xfId="0" applyNumberFormat="1" applyFont="1" applyFill="1" applyBorder="1" applyAlignment="1">
      <alignment horizontal="right" vertical="center" wrapText="1"/>
    </xf>
    <xf numFmtId="3" fontId="22" fillId="30" borderId="10" xfId="0" applyNumberFormat="1" applyFont="1" applyFill="1" applyBorder="1" applyAlignment="1">
      <alignment horizontal="right" wrapText="1"/>
    </xf>
    <xf numFmtId="0" fontId="22" fillId="30" borderId="15" xfId="0" applyFont="1" applyFill="1" applyBorder="1" applyAlignment="1">
      <alignment horizontal="center"/>
    </xf>
    <xf numFmtId="3" fontId="27" fillId="29" borderId="23" xfId="0" applyNumberFormat="1" applyFont="1" applyFill="1" applyBorder="1" applyAlignment="1">
      <alignment horizontal="center" wrapText="1"/>
    </xf>
    <xf numFmtId="0" fontId="30" fillId="0" borderId="14" xfId="0" applyFont="1" applyFill="1" applyBorder="1" applyAlignment="1">
      <alignment horizontal="left" wrapText="1"/>
    </xf>
    <xf numFmtId="0" fontId="30" fillId="0" borderId="15" xfId="0" applyFont="1" applyFill="1" applyBorder="1" applyAlignment="1">
      <alignment horizontal="left" wrapText="1"/>
    </xf>
    <xf numFmtId="3" fontId="27" fillId="0" borderId="14" xfId="0" applyNumberFormat="1" applyFont="1" applyFill="1" applyBorder="1" applyAlignment="1">
      <alignment horizontal="right" wrapText="1"/>
    </xf>
    <xf numFmtId="3" fontId="27" fillId="29" borderId="26" xfId="0" applyNumberFormat="1" applyFont="1" applyFill="1" applyBorder="1" applyAlignment="1">
      <alignment horizontal="right" wrapText="1"/>
    </xf>
    <xf numFmtId="3" fontId="27" fillId="29" borderId="22" xfId="0" applyNumberFormat="1" applyFont="1" applyFill="1" applyBorder="1" applyAlignment="1">
      <alignment horizontal="right" wrapText="1"/>
    </xf>
    <xf numFmtId="3" fontId="27" fillId="29" borderId="23" xfId="0" applyNumberFormat="1" applyFont="1" applyFill="1" applyBorder="1" applyAlignment="1">
      <alignment horizontal="right" wrapText="1"/>
    </xf>
    <xf numFmtId="3" fontId="27" fillId="29" borderId="18" xfId="0" applyNumberFormat="1" applyFont="1" applyFill="1" applyBorder="1" applyAlignment="1">
      <alignment horizontal="right" wrapText="1"/>
    </xf>
    <xf numFmtId="3" fontId="27" fillId="29" borderId="17" xfId="0" applyNumberFormat="1" applyFont="1" applyFill="1" applyBorder="1" applyAlignment="1">
      <alignment horizontal="right" wrapText="1"/>
    </xf>
    <xf numFmtId="3" fontId="27" fillId="29" borderId="0" xfId="0" applyNumberFormat="1" applyFont="1" applyFill="1" applyBorder="1" applyAlignment="1">
      <alignment horizontal="right" wrapText="1"/>
    </xf>
    <xf numFmtId="3" fontId="27" fillId="0" borderId="17" xfId="0" applyNumberFormat="1" applyFont="1" applyFill="1" applyBorder="1" applyAlignment="1">
      <alignment horizontal="right" wrapText="1"/>
    </xf>
    <xf numFmtId="3" fontId="27" fillId="0" borderId="0" xfId="0" applyNumberFormat="1" applyFont="1" applyFill="1" applyBorder="1" applyAlignment="1">
      <alignment horizontal="right" wrapText="1"/>
    </xf>
    <xf numFmtId="3" fontId="27" fillId="0" borderId="18" xfId="0" applyNumberFormat="1" applyFont="1" applyFill="1" applyBorder="1" applyAlignment="1">
      <alignment horizontal="right" wrapText="1"/>
    </xf>
    <xf numFmtId="3" fontId="27" fillId="0" borderId="19" xfId="0" applyNumberFormat="1" applyFont="1" applyFill="1" applyBorder="1" applyAlignment="1">
      <alignment horizontal="right" wrapText="1"/>
    </xf>
    <xf numFmtId="3" fontId="27" fillId="0" borderId="20" xfId="0" applyNumberFormat="1" applyFont="1" applyFill="1" applyBorder="1" applyAlignment="1">
      <alignment horizontal="right" wrapText="1"/>
    </xf>
    <xf numFmtId="3" fontId="27" fillId="0" borderId="21" xfId="0" applyNumberFormat="1" applyFont="1" applyFill="1" applyBorder="1" applyAlignment="1">
      <alignment horizontal="right" wrapText="1"/>
    </xf>
    <xf numFmtId="0" fontId="30" fillId="0" borderId="18" xfId="0" applyFont="1" applyFill="1" applyBorder="1" applyAlignment="1">
      <alignment horizontal="center" wrapText="1"/>
    </xf>
    <xf numFmtId="164" fontId="29" fillId="0" borderId="10" xfId="0" applyNumberFormat="1" applyFont="1" applyFill="1" applyBorder="1" applyAlignment="1">
      <alignment horizontal="right" wrapText="1"/>
    </xf>
    <xf numFmtId="164" fontId="27" fillId="0" borderId="10" xfId="0" applyNumberFormat="1" applyFont="1" applyFill="1" applyBorder="1" applyAlignment="1">
      <alignment horizontal="right" wrapText="1"/>
    </xf>
    <xf numFmtId="165" fontId="22" fillId="0" borderId="0" xfId="0" applyNumberFormat="1" applyFont="1" applyFill="1"/>
    <xf numFmtId="0" fontId="22" fillId="0" borderId="0" xfId="0" applyFont="1" applyFill="1"/>
    <xf numFmtId="0" fontId="30" fillId="30" borderId="14" xfId="0" applyFont="1" applyFill="1" applyBorder="1" applyAlignment="1">
      <alignment horizontal="left" wrapText="1"/>
    </xf>
    <xf numFmtId="0" fontId="30" fillId="30" borderId="15" xfId="0" applyFont="1" applyFill="1" applyBorder="1" applyAlignment="1">
      <alignment horizontal="left" wrapText="1"/>
    </xf>
    <xf numFmtId="3" fontId="27" fillId="30" borderId="10" xfId="0" applyNumberFormat="1" applyFont="1" applyFill="1" applyBorder="1" applyAlignment="1">
      <alignment horizontal="right" wrapText="1"/>
    </xf>
    <xf numFmtId="0" fontId="30" fillId="25" borderId="18" xfId="0" applyFont="1" applyFill="1" applyBorder="1" applyAlignment="1">
      <alignment horizontal="center" wrapText="1"/>
    </xf>
    <xf numFmtId="165" fontId="27" fillId="0" borderId="0" xfId="0" applyNumberFormat="1" applyFont="1" applyFill="1" applyBorder="1" applyAlignment="1">
      <alignment horizontal="right" wrapText="1"/>
    </xf>
    <xf numFmtId="0" fontId="27" fillId="0" borderId="14" xfId="0" applyFont="1" applyFill="1" applyBorder="1" applyAlignment="1">
      <alignment horizontal="left" vertical="top" wrapText="1"/>
    </xf>
    <xf numFmtId="0" fontId="27" fillId="0" borderId="15" xfId="0" applyFont="1" applyFill="1" applyBorder="1" applyAlignment="1">
      <alignment horizontal="left" vertical="top" wrapText="1"/>
    </xf>
    <xf numFmtId="3" fontId="27" fillId="0" borderId="10" xfId="0" applyNumberFormat="1" applyFont="1" applyFill="1" applyBorder="1" applyAlignment="1">
      <alignment horizontal="right" vertical="center"/>
    </xf>
    <xf numFmtId="3" fontId="27" fillId="0" borderId="10" xfId="0" applyNumberFormat="1" applyFont="1" applyFill="1" applyBorder="1" applyAlignment="1">
      <alignment horizontal="right" vertical="center" wrapText="1"/>
    </xf>
    <xf numFmtId="3" fontId="27" fillId="0" borderId="13" xfId="0" applyNumberFormat="1" applyFont="1" applyFill="1" applyBorder="1" applyAlignment="1">
      <alignment horizontal="right"/>
    </xf>
    <xf numFmtId="0" fontId="27" fillId="0" borderId="18" xfId="0" applyFont="1" applyFill="1" applyBorder="1" applyAlignment="1">
      <alignment horizontal="center" vertical="center" wrapText="1"/>
    </xf>
    <xf numFmtId="3" fontId="27" fillId="0" borderId="14" xfId="0" applyNumberFormat="1" applyFont="1" applyFill="1" applyBorder="1" applyAlignment="1">
      <alignment horizontal="left" wrapText="1"/>
    </xf>
    <xf numFmtId="3" fontId="27" fillId="0" borderId="15" xfId="0" applyNumberFormat="1" applyFont="1" applyFill="1" applyBorder="1" applyAlignment="1">
      <alignment horizontal="left" wrapText="1"/>
    </xf>
    <xf numFmtId="0" fontId="27" fillId="29" borderId="14" xfId="0" applyFont="1" applyFill="1" applyBorder="1" applyAlignment="1">
      <alignment horizontal="left" wrapText="1"/>
    </xf>
    <xf numFmtId="0" fontId="27" fillId="29" borderId="15" xfId="0" applyFont="1" applyFill="1" applyBorder="1" applyAlignment="1">
      <alignment horizontal="left" wrapText="1"/>
    </xf>
    <xf numFmtId="3" fontId="22" fillId="29" borderId="14" xfId="0" applyNumberFormat="1" applyFont="1" applyFill="1" applyBorder="1" applyAlignment="1">
      <alignment horizontal="left" wrapText="1"/>
    </xf>
    <xf numFmtId="3" fontId="22" fillId="29" borderId="15" xfId="0" applyNumberFormat="1" applyFont="1" applyFill="1" applyBorder="1" applyAlignment="1">
      <alignment horizontal="left" wrapText="1"/>
    </xf>
    <xf numFmtId="3" fontId="22" fillId="24" borderId="18" xfId="0" applyNumberFormat="1" applyFont="1" applyFill="1" applyBorder="1" applyAlignment="1">
      <alignment horizontal="center" wrapText="1"/>
    </xf>
    <xf numFmtId="0" fontId="27" fillId="0" borderId="14" xfId="0" applyFont="1" applyFill="1" applyBorder="1" applyAlignment="1">
      <alignment horizontal="left"/>
    </xf>
    <xf numFmtId="0" fontId="27" fillId="0" borderId="15" xfId="0" applyFont="1" applyFill="1" applyBorder="1" applyAlignment="1">
      <alignment horizontal="left"/>
    </xf>
    <xf numFmtId="3" fontId="31" fillId="29" borderId="10" xfId="0" applyNumberFormat="1" applyFont="1" applyFill="1" applyBorder="1" applyAlignment="1">
      <alignment horizontal="right"/>
    </xf>
    <xf numFmtId="3" fontId="31" fillId="0" borderId="10" xfId="0" applyNumberFormat="1" applyFont="1" applyFill="1" applyBorder="1" applyAlignment="1">
      <alignment horizontal="right"/>
    </xf>
    <xf numFmtId="3" fontId="25" fillId="29" borderId="18" xfId="0" applyNumberFormat="1" applyFont="1" applyFill="1" applyBorder="1" applyAlignment="1">
      <alignment horizontal="center" wrapText="1"/>
    </xf>
    <xf numFmtId="3" fontId="22" fillId="26" borderId="0" xfId="0" applyNumberFormat="1" applyFont="1" applyFill="1" applyBorder="1" applyAlignment="1">
      <alignment wrapText="1"/>
    </xf>
    <xf numFmtId="3" fontId="22" fillId="26" borderId="18" xfId="0" applyNumberFormat="1" applyFont="1" applyFill="1" applyBorder="1" applyAlignment="1">
      <alignment wrapText="1"/>
    </xf>
    <xf numFmtId="3" fontId="22" fillId="26" borderId="17" xfId="0" applyNumberFormat="1" applyFont="1" applyFill="1" applyBorder="1" applyAlignment="1">
      <alignment wrapText="1"/>
    </xf>
    <xf numFmtId="3" fontId="22" fillId="26" borderId="13" xfId="0" applyNumberFormat="1" applyFont="1" applyFill="1" applyBorder="1" applyAlignment="1">
      <alignment wrapText="1"/>
    </xf>
    <xf numFmtId="3" fontId="22" fillId="30" borderId="16" xfId="0" applyNumberFormat="1" applyFont="1" applyFill="1" applyBorder="1" applyAlignment="1">
      <alignment horizontal="right"/>
    </xf>
    <xf numFmtId="3" fontId="22" fillId="30" borderId="15" xfId="0" applyNumberFormat="1" applyFont="1" applyFill="1" applyBorder="1" applyAlignment="1">
      <alignment horizontal="right"/>
    </xf>
    <xf numFmtId="3" fontId="22" fillId="30" borderId="15" xfId="0" applyNumberFormat="1" applyFont="1" applyFill="1" applyBorder="1" applyAlignment="1">
      <alignment horizontal="right" vertical="center" wrapText="1"/>
    </xf>
    <xf numFmtId="3" fontId="22" fillId="30" borderId="14" xfId="0" applyNumberFormat="1" applyFont="1" applyFill="1" applyBorder="1" applyAlignment="1">
      <alignment horizontal="right"/>
    </xf>
    <xf numFmtId="0" fontId="27" fillId="29" borderId="23" xfId="0" applyFont="1" applyFill="1" applyBorder="1" applyAlignment="1">
      <alignment horizontal="center" wrapText="1"/>
    </xf>
    <xf numFmtId="3" fontId="32" fillId="29" borderId="10" xfId="0" applyNumberFormat="1" applyFont="1" applyFill="1" applyBorder="1" applyAlignment="1">
      <alignment horizontal="right"/>
    </xf>
    <xf numFmtId="3" fontId="33" fillId="29" borderId="10" xfId="0" applyNumberFormat="1" applyFont="1" applyFill="1" applyBorder="1" applyAlignment="1">
      <alignment horizontal="right" vertical="center" wrapText="1"/>
    </xf>
    <xf numFmtId="3" fontId="33" fillId="29" borderId="10" xfId="0" applyNumberFormat="1" applyFont="1" applyFill="1" applyBorder="1" applyAlignment="1">
      <alignment horizontal="right"/>
    </xf>
    <xf numFmtId="3" fontId="32" fillId="29" borderId="18" xfId="36" applyNumberFormat="1" applyFont="1" applyFill="1" applyBorder="1" applyAlignment="1">
      <alignment horizontal="center" wrapText="1"/>
    </xf>
    <xf numFmtId="3" fontId="22" fillId="29" borderId="10" xfId="0" applyNumberFormat="1" applyFont="1" applyFill="1" applyBorder="1" applyAlignment="1">
      <alignment horizontal="right"/>
    </xf>
    <xf numFmtId="3" fontId="27" fillId="29" borderId="10" xfId="0" applyNumberFormat="1" applyFont="1" applyFill="1" applyBorder="1" applyAlignment="1">
      <alignment horizontal="right" vertical="center" wrapText="1"/>
    </xf>
    <xf numFmtId="3" fontId="22" fillId="29" borderId="18" xfId="36" applyNumberFormat="1" applyFont="1" applyFill="1" applyBorder="1" applyAlignment="1">
      <alignment horizontal="center" wrapText="1"/>
    </xf>
    <xf numFmtId="3" fontId="22" fillId="29" borderId="10" xfId="36" applyNumberFormat="1" applyFont="1" applyFill="1" applyBorder="1" applyAlignment="1">
      <alignment wrapText="1"/>
    </xf>
    <xf numFmtId="3" fontId="22" fillId="29" borderId="18" xfId="0" applyNumberFormat="1" applyFont="1" applyFill="1" applyBorder="1" applyAlignment="1">
      <alignment horizontal="center" wrapText="1"/>
    </xf>
    <xf numFmtId="0" fontId="27" fillId="29" borderId="10" xfId="0" applyFont="1" applyFill="1" applyBorder="1"/>
    <xf numFmtId="0" fontId="27" fillId="29" borderId="18" xfId="0" applyFont="1" applyFill="1" applyBorder="1" applyAlignment="1">
      <alignment horizontal="center"/>
    </xf>
    <xf numFmtId="3" fontId="22" fillId="30" borderId="14" xfId="0" applyNumberFormat="1" applyFont="1" applyFill="1" applyBorder="1" applyAlignment="1">
      <alignment horizontal="left" wrapText="1"/>
    </xf>
    <xf numFmtId="3" fontId="22" fillId="30" borderId="15" xfId="0" applyNumberFormat="1" applyFont="1" applyFill="1" applyBorder="1" applyAlignment="1">
      <alignment horizontal="left" wrapText="1"/>
    </xf>
    <xf numFmtId="3" fontId="22" fillId="30" borderId="10" xfId="0" applyNumberFormat="1" applyFont="1" applyFill="1" applyBorder="1" applyAlignment="1">
      <alignment horizontal="right"/>
    </xf>
    <xf numFmtId="3" fontId="22" fillId="30" borderId="15" xfId="0" applyNumberFormat="1" applyFont="1" applyFill="1" applyBorder="1" applyAlignment="1">
      <alignment horizontal="center" wrapText="1"/>
    </xf>
    <xf numFmtId="0" fontId="27" fillId="25" borderId="26" xfId="0" applyFont="1" applyFill="1" applyBorder="1" applyAlignment="1">
      <alignment horizontal="left" wrapText="1"/>
    </xf>
    <xf numFmtId="0" fontId="27" fillId="25" borderId="23" xfId="0" applyFont="1" applyFill="1" applyBorder="1" applyAlignment="1">
      <alignment horizontal="left" wrapText="1"/>
    </xf>
    <xf numFmtId="3" fontId="27" fillId="29" borderId="0" xfId="0" applyNumberFormat="1" applyFont="1" applyFill="1" applyBorder="1" applyAlignment="1">
      <alignment horizontal="right"/>
    </xf>
    <xf numFmtId="3" fontId="27" fillId="29" borderId="23" xfId="0" applyNumberFormat="1" applyFont="1" applyFill="1" applyBorder="1" applyAlignment="1">
      <alignment horizontal="right"/>
    </xf>
    <xf numFmtId="3" fontId="27" fillId="29" borderId="18" xfId="0" applyNumberFormat="1" applyFont="1" applyFill="1" applyBorder="1" applyAlignment="1">
      <alignment horizontal="right"/>
    </xf>
    <xf numFmtId="0" fontId="27" fillId="0" borderId="17" xfId="0" applyFont="1" applyBorder="1" applyAlignment="1">
      <alignment horizontal="left"/>
    </xf>
    <xf numFmtId="0" fontId="27" fillId="0" borderId="18" xfId="0" applyFont="1" applyBorder="1" applyAlignment="1">
      <alignment horizontal="left"/>
    </xf>
    <xf numFmtId="0" fontId="27" fillId="25" borderId="17" xfId="0" applyFont="1" applyFill="1" applyBorder="1" applyAlignment="1">
      <alignment horizontal="left" wrapText="1"/>
    </xf>
    <xf numFmtId="0" fontId="27" fillId="25" borderId="18" xfId="0" applyFont="1" applyFill="1" applyBorder="1" applyAlignment="1">
      <alignment horizontal="left" wrapText="1"/>
    </xf>
    <xf numFmtId="9" fontId="27" fillId="29" borderId="0" xfId="40" applyFont="1" applyFill="1" applyBorder="1" applyAlignment="1">
      <alignment horizontal="right"/>
    </xf>
    <xf numFmtId="9" fontId="27" fillId="29" borderId="18" xfId="40" applyFont="1" applyFill="1" applyBorder="1" applyAlignment="1">
      <alignment horizontal="right"/>
    </xf>
    <xf numFmtId="0" fontId="27" fillId="29" borderId="17" xfId="0" applyFont="1" applyFill="1" applyBorder="1" applyAlignment="1">
      <alignment horizontal="left" wrapText="1"/>
    </xf>
    <xf numFmtId="0" fontId="27" fillId="29" borderId="18" xfId="0" applyFont="1" applyFill="1" applyBorder="1" applyAlignment="1">
      <alignment horizontal="left" wrapText="1"/>
    </xf>
    <xf numFmtId="10" fontId="27" fillId="29" borderId="0" xfId="40" applyNumberFormat="1" applyFont="1" applyFill="1" applyBorder="1" applyAlignment="1">
      <alignment horizontal="right"/>
    </xf>
    <xf numFmtId="10" fontId="27" fillId="29" borderId="18" xfId="40" applyNumberFormat="1" applyFont="1" applyFill="1" applyBorder="1" applyAlignment="1">
      <alignment horizontal="right"/>
    </xf>
    <xf numFmtId="0" fontId="27" fillId="29" borderId="19" xfId="0" applyFont="1" applyFill="1" applyBorder="1" applyAlignment="1">
      <alignment horizontal="left" wrapText="1"/>
    </xf>
    <xf numFmtId="0" fontId="27" fillId="29" borderId="21" xfId="0" applyFont="1" applyFill="1" applyBorder="1" applyAlignment="1">
      <alignment horizontal="left" wrapText="1"/>
    </xf>
    <xf numFmtId="10" fontId="27" fillId="29" borderId="20" xfId="40" applyNumberFormat="1" applyFont="1" applyFill="1" applyBorder="1" applyAlignment="1">
      <alignment horizontal="right"/>
    </xf>
    <xf numFmtId="4" fontId="27" fillId="0" borderId="0" xfId="0" applyNumberFormat="1" applyFont="1"/>
    <xf numFmtId="0" fontId="27" fillId="0" borderId="0" xfId="0" applyFont="1" applyAlignment="1">
      <alignment horizontal="center"/>
    </xf>
    <xf numFmtId="3" fontId="27" fillId="0" borderId="0" xfId="0" applyNumberFormat="1" applyFont="1"/>
    <xf numFmtId="0" fontId="27" fillId="29" borderId="13" xfId="0" applyFont="1" applyFill="1" applyBorder="1" applyAlignment="1">
      <alignment horizontal="left" wrapText="1"/>
    </xf>
  </cellXfs>
  <cellStyles count="45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Лист1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Процентный" xfId="40" builtinId="5"/>
    <cellStyle name="Связанная ячейка" xfId="41" builtinId="24" customBuiltin="1"/>
    <cellStyle name="Стиль 1" xfId="42"/>
    <cellStyle name="Текст предупреждения" xfId="43" builtinId="11" customBuiltin="1"/>
    <cellStyle name="Хороший" xfId="44" builtinId="26" customBuiltin="1"/>
  </cellStyles>
  <dxfs count="0"/>
  <tableStyles count="0" defaultTableStyle="TableStyleMedium2" defaultPivotStyle="PivotStyleLight16"/>
  <colors>
    <mruColors>
      <color rgb="FFB3D4FC"/>
      <color rgb="FF00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7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ColWidth="9.140625" defaultRowHeight="10.5" outlineLevelRow="2" outlineLevelCol="1" x14ac:dyDescent="0.15"/>
  <cols>
    <col min="1" max="1" width="33" style="99" customWidth="1"/>
    <col min="2" max="2" width="7.28515625" style="99" customWidth="1"/>
    <col min="3" max="3" width="11" style="99" bestFit="1" customWidth="1"/>
    <col min="4" max="4" width="10.28515625" style="99" bestFit="1" customWidth="1"/>
    <col min="5" max="5" width="9.7109375" style="99" bestFit="1" customWidth="1"/>
    <col min="6" max="7" width="9.5703125" style="99" customWidth="1"/>
    <col min="8" max="8" width="9.7109375" style="99" bestFit="1" customWidth="1"/>
    <col min="9" max="11" width="9.42578125" style="99" bestFit="1" customWidth="1"/>
    <col min="12" max="12" width="9" style="99" customWidth="1"/>
    <col min="13" max="14" width="9.7109375" style="99" bestFit="1" customWidth="1"/>
    <col min="15" max="17" width="9.42578125" style="99" bestFit="1" customWidth="1"/>
    <col min="18" max="18" width="9.7109375" style="99" bestFit="1" customWidth="1"/>
    <col min="19" max="23" width="9.42578125" style="99" bestFit="1" customWidth="1"/>
    <col min="24" max="24" width="10.5703125" style="99" customWidth="1"/>
    <col min="25" max="25" width="9.85546875" style="99" customWidth="1"/>
    <col min="26" max="27" width="10.5703125" style="99" customWidth="1"/>
    <col min="28" max="28" width="30.42578125" style="201" hidden="1" customWidth="1" outlineLevel="1"/>
    <col min="29" max="29" width="11.7109375" style="98" bestFit="1" customWidth="1" collapsed="1"/>
    <col min="30" max="16384" width="9.140625" style="99"/>
  </cols>
  <sheetData>
    <row r="1" spans="1:29" ht="12" customHeight="1" x14ac:dyDescent="0.15">
      <c r="A1" s="1" t="s">
        <v>88</v>
      </c>
      <c r="B1" s="2">
        <v>10.07</v>
      </c>
      <c r="C1" s="3" t="s">
        <v>109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6" t="s">
        <v>29</v>
      </c>
    </row>
    <row r="2" spans="1:29" ht="12" customHeight="1" thickBot="1" x14ac:dyDescent="0.2">
      <c r="A2" s="7" t="s">
        <v>89</v>
      </c>
      <c r="B2" s="8">
        <v>9.3800000000000008</v>
      </c>
      <c r="C2" s="9" t="s">
        <v>76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0" t="s">
        <v>77</v>
      </c>
      <c r="Q2" s="10"/>
      <c r="R2" s="10"/>
      <c r="S2" s="10"/>
      <c r="T2" s="10"/>
      <c r="U2" s="10"/>
      <c r="V2" s="10"/>
      <c r="W2" s="12"/>
      <c r="X2" s="13" t="s">
        <v>15</v>
      </c>
      <c r="Y2" s="13" t="s">
        <v>16</v>
      </c>
      <c r="Z2" s="13" t="s">
        <v>75</v>
      </c>
      <c r="AA2" s="13" t="s">
        <v>7</v>
      </c>
      <c r="AB2" s="6"/>
    </row>
    <row r="3" spans="1:29" ht="12" customHeight="1" x14ac:dyDescent="0.15">
      <c r="A3" s="14"/>
      <c r="B3" s="15"/>
      <c r="C3" s="16" t="s">
        <v>30</v>
      </c>
      <c r="D3" s="17"/>
      <c r="E3" s="17"/>
      <c r="F3" s="17"/>
      <c r="G3" s="18"/>
      <c r="H3" s="16" t="s">
        <v>31</v>
      </c>
      <c r="I3" s="17"/>
      <c r="J3" s="17"/>
      <c r="K3" s="17"/>
      <c r="L3" s="18"/>
      <c r="M3" s="9" t="s">
        <v>26</v>
      </c>
      <c r="N3" s="12"/>
      <c r="O3" s="19" t="s">
        <v>74</v>
      </c>
      <c r="P3" s="9" t="s">
        <v>78</v>
      </c>
      <c r="Q3" s="10"/>
      <c r="R3" s="10"/>
      <c r="S3" s="12"/>
      <c r="T3" s="9" t="s">
        <v>31</v>
      </c>
      <c r="U3" s="10"/>
      <c r="V3" s="10"/>
      <c r="W3" s="12"/>
      <c r="X3" s="20"/>
      <c r="Y3" s="20"/>
      <c r="Z3" s="20"/>
      <c r="AA3" s="20"/>
      <c r="AB3" s="21" t="s">
        <v>29</v>
      </c>
    </row>
    <row r="4" spans="1:29" ht="42" x14ac:dyDescent="0.15">
      <c r="A4" s="22"/>
      <c r="B4" s="23"/>
      <c r="C4" s="24" t="s">
        <v>9</v>
      </c>
      <c r="D4" s="25" t="s">
        <v>10</v>
      </c>
      <c r="E4" s="25" t="s">
        <v>11</v>
      </c>
      <c r="F4" s="25" t="s">
        <v>82</v>
      </c>
      <c r="G4" s="25" t="s">
        <v>83</v>
      </c>
      <c r="H4" s="25" t="s">
        <v>72</v>
      </c>
      <c r="I4" s="25" t="s">
        <v>27</v>
      </c>
      <c r="J4" s="25" t="s">
        <v>73</v>
      </c>
      <c r="K4" s="25" t="s">
        <v>12</v>
      </c>
      <c r="L4" s="25" t="s">
        <v>13</v>
      </c>
      <c r="M4" s="25" t="s">
        <v>11</v>
      </c>
      <c r="N4" s="25" t="s">
        <v>12</v>
      </c>
      <c r="O4" s="26"/>
      <c r="P4" s="25" t="s">
        <v>10</v>
      </c>
      <c r="Q4" s="25" t="s">
        <v>11</v>
      </c>
      <c r="R4" s="25" t="s">
        <v>82</v>
      </c>
      <c r="S4" s="25" t="s">
        <v>83</v>
      </c>
      <c r="T4" s="25" t="s">
        <v>79</v>
      </c>
      <c r="U4" s="25" t="s">
        <v>12</v>
      </c>
      <c r="V4" s="25" t="s">
        <v>80</v>
      </c>
      <c r="W4" s="25" t="s">
        <v>81</v>
      </c>
      <c r="X4" s="27"/>
      <c r="Y4" s="27"/>
      <c r="Z4" s="27"/>
      <c r="AA4" s="27"/>
      <c r="AB4" s="28"/>
    </row>
    <row r="5" spans="1:29" ht="12.75" customHeight="1" x14ac:dyDescent="0.15">
      <c r="A5" s="29" t="s">
        <v>32</v>
      </c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2"/>
      <c r="Y5" s="32"/>
      <c r="Z5" s="32"/>
      <c r="AA5" s="32"/>
      <c r="AB5" s="33"/>
    </row>
    <row r="6" spans="1:29" x14ac:dyDescent="0.15">
      <c r="A6" s="34" t="s">
        <v>33</v>
      </c>
      <c r="B6" s="35"/>
      <c r="C6" s="36">
        <v>0</v>
      </c>
      <c r="D6" s="37">
        <v>688</v>
      </c>
      <c r="E6" s="37">
        <v>363</v>
      </c>
      <c r="F6" s="37">
        <v>5</v>
      </c>
      <c r="G6" s="37">
        <v>3</v>
      </c>
      <c r="H6" s="37">
        <v>843</v>
      </c>
      <c r="I6" s="37">
        <v>9103</v>
      </c>
      <c r="J6" s="37">
        <v>2119</v>
      </c>
      <c r="K6" s="37">
        <v>268</v>
      </c>
      <c r="L6" s="37">
        <v>128</v>
      </c>
      <c r="M6" s="37">
        <v>5893</v>
      </c>
      <c r="N6" s="37">
        <v>5184</v>
      </c>
      <c r="O6" s="37">
        <v>2616</v>
      </c>
      <c r="P6" s="37">
        <v>130</v>
      </c>
      <c r="Q6" s="37">
        <v>67</v>
      </c>
      <c r="R6" s="37">
        <v>54</v>
      </c>
      <c r="S6" s="37">
        <v>108</v>
      </c>
      <c r="T6" s="37">
        <v>145</v>
      </c>
      <c r="U6" s="37">
        <v>60</v>
      </c>
      <c r="V6" s="37">
        <v>23</v>
      </c>
      <c r="W6" s="37">
        <v>52</v>
      </c>
      <c r="X6" s="38">
        <f>C6+D6+E6+M6+P6+Q6+R6+S6+F6+G6</f>
        <v>7311</v>
      </c>
      <c r="Y6" s="38">
        <f t="shared" ref="Y6:Y17" si="0">H6+I6+J6+K6+L6+N6+T6+U6+V6+W6</f>
        <v>17925</v>
      </c>
      <c r="Z6" s="38">
        <f t="shared" ref="Z6:Z24" si="1">O6</f>
        <v>2616</v>
      </c>
      <c r="AA6" s="38">
        <f>X6+Y6+Z6</f>
        <v>27852</v>
      </c>
      <c r="AB6" s="39" t="s">
        <v>34</v>
      </c>
    </row>
    <row r="7" spans="1:29" x14ac:dyDescent="0.15">
      <c r="A7" s="40" t="s">
        <v>35</v>
      </c>
      <c r="B7" s="41"/>
      <c r="C7" s="42">
        <v>0</v>
      </c>
      <c r="D7" s="43">
        <v>261</v>
      </c>
      <c r="E7" s="43">
        <v>101</v>
      </c>
      <c r="F7" s="43">
        <v>0</v>
      </c>
      <c r="G7" s="43">
        <v>1</v>
      </c>
      <c r="H7" s="43">
        <v>205</v>
      </c>
      <c r="I7" s="43">
        <v>1298</v>
      </c>
      <c r="J7" s="44">
        <v>1199</v>
      </c>
      <c r="K7" s="44">
        <v>150</v>
      </c>
      <c r="L7" s="44">
        <v>7</v>
      </c>
      <c r="M7" s="44">
        <v>2097</v>
      </c>
      <c r="N7" s="44">
        <v>2032</v>
      </c>
      <c r="O7" s="44">
        <v>1024</v>
      </c>
      <c r="P7" s="44">
        <v>44</v>
      </c>
      <c r="Q7" s="44">
        <v>29</v>
      </c>
      <c r="R7" s="44">
        <v>25</v>
      </c>
      <c r="S7" s="44">
        <v>57</v>
      </c>
      <c r="T7" s="44">
        <v>44</v>
      </c>
      <c r="U7" s="44">
        <v>22</v>
      </c>
      <c r="V7" s="44">
        <v>4</v>
      </c>
      <c r="W7" s="44">
        <v>19</v>
      </c>
      <c r="X7" s="38">
        <f t="shared" ref="X7:X12" si="2">C7+D7+E7+M7+P7+Q7+R7+S7+F7+G7</f>
        <v>2615</v>
      </c>
      <c r="Y7" s="38">
        <f t="shared" si="0"/>
        <v>4980</v>
      </c>
      <c r="Z7" s="38">
        <f t="shared" si="1"/>
        <v>1024</v>
      </c>
      <c r="AA7" s="38">
        <f t="shared" ref="AA7:AA24" si="3">X7+Y7+Z7</f>
        <v>8619</v>
      </c>
      <c r="AB7" s="45" t="s">
        <v>34</v>
      </c>
    </row>
    <row r="8" spans="1:29" x14ac:dyDescent="0.15">
      <c r="A8" s="40" t="s">
        <v>36</v>
      </c>
      <c r="B8" s="41"/>
      <c r="C8" s="46">
        <v>0</v>
      </c>
      <c r="D8" s="47">
        <v>174</v>
      </c>
      <c r="E8" s="47">
        <v>49</v>
      </c>
      <c r="F8" s="47">
        <v>0</v>
      </c>
      <c r="G8" s="47">
        <v>1</v>
      </c>
      <c r="H8" s="47">
        <v>7</v>
      </c>
      <c r="I8" s="47">
        <v>0</v>
      </c>
      <c r="J8" s="48">
        <v>1120</v>
      </c>
      <c r="K8" s="48">
        <v>136</v>
      </c>
      <c r="L8" s="48">
        <v>0</v>
      </c>
      <c r="M8" s="48">
        <v>29</v>
      </c>
      <c r="N8" s="48">
        <v>40</v>
      </c>
      <c r="O8" s="48">
        <v>8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38">
        <f t="shared" si="2"/>
        <v>253</v>
      </c>
      <c r="Y8" s="38">
        <f t="shared" si="0"/>
        <v>1303</v>
      </c>
      <c r="Z8" s="38">
        <f t="shared" si="1"/>
        <v>8</v>
      </c>
      <c r="AA8" s="38">
        <f t="shared" si="3"/>
        <v>1564</v>
      </c>
      <c r="AB8" s="45" t="s">
        <v>34</v>
      </c>
    </row>
    <row r="9" spans="1:29" x14ac:dyDescent="0.15">
      <c r="A9" s="34" t="s">
        <v>37</v>
      </c>
      <c r="B9" s="35"/>
      <c r="C9" s="46">
        <v>0</v>
      </c>
      <c r="D9" s="47">
        <v>33</v>
      </c>
      <c r="E9" s="47">
        <v>20</v>
      </c>
      <c r="F9" s="47">
        <v>1</v>
      </c>
      <c r="G9" s="47">
        <v>0</v>
      </c>
      <c r="H9" s="47">
        <v>0</v>
      </c>
      <c r="I9" s="47">
        <v>0</v>
      </c>
      <c r="J9" s="47">
        <v>166</v>
      </c>
      <c r="K9" s="47">
        <v>11</v>
      </c>
      <c r="L9" s="47">
        <v>0</v>
      </c>
      <c r="M9" s="47">
        <v>309</v>
      </c>
      <c r="N9" s="47">
        <v>155</v>
      </c>
      <c r="O9" s="47">
        <v>66</v>
      </c>
      <c r="P9" s="43">
        <v>7</v>
      </c>
      <c r="Q9" s="43">
        <v>4</v>
      </c>
      <c r="R9" s="43">
        <v>1</v>
      </c>
      <c r="S9" s="43">
        <v>2</v>
      </c>
      <c r="T9" s="43">
        <v>5</v>
      </c>
      <c r="U9" s="43">
        <v>1</v>
      </c>
      <c r="V9" s="43">
        <v>2</v>
      </c>
      <c r="W9" s="43">
        <v>1</v>
      </c>
      <c r="X9" s="38">
        <f t="shared" si="2"/>
        <v>377</v>
      </c>
      <c r="Y9" s="38">
        <f t="shared" si="0"/>
        <v>341</v>
      </c>
      <c r="Z9" s="38">
        <f t="shared" si="1"/>
        <v>66</v>
      </c>
      <c r="AA9" s="38">
        <f t="shared" si="3"/>
        <v>784</v>
      </c>
      <c r="AB9" s="45" t="s">
        <v>34</v>
      </c>
    </row>
    <row r="10" spans="1:29" s="101" customFormat="1" ht="11.25" hidden="1" outlineLevel="2" x14ac:dyDescent="0.15">
      <c r="A10" s="49" t="s">
        <v>99</v>
      </c>
      <c r="B10" s="50"/>
      <c r="C10" s="51" t="e">
        <f>C9+#REF!</f>
        <v>#REF!</v>
      </c>
      <c r="D10" s="51" t="e">
        <f>D9+#REF!</f>
        <v>#REF!</v>
      </c>
      <c r="E10" s="51" t="e">
        <f>E9+#REF!</f>
        <v>#REF!</v>
      </c>
      <c r="F10" s="51"/>
      <c r="G10" s="51"/>
      <c r="H10" s="51" t="e">
        <f>H9+#REF!</f>
        <v>#REF!</v>
      </c>
      <c r="I10" s="51" t="e">
        <f>I9+#REF!</f>
        <v>#REF!</v>
      </c>
      <c r="J10" s="51" t="e">
        <f>J9+#REF!</f>
        <v>#REF!</v>
      </c>
      <c r="K10" s="51" t="e">
        <f>K9+#REF!</f>
        <v>#REF!</v>
      </c>
      <c r="L10" s="51" t="e">
        <f>L9+#REF!</f>
        <v>#REF!</v>
      </c>
      <c r="M10" s="51" t="e">
        <f>M9+#REF!</f>
        <v>#REF!</v>
      </c>
      <c r="N10" s="51" t="e">
        <f>N9+#REF!</f>
        <v>#REF!</v>
      </c>
      <c r="O10" s="51" t="e">
        <f>O9+#REF!</f>
        <v>#REF!</v>
      </c>
      <c r="P10" s="51" t="e">
        <f>P9+#REF!</f>
        <v>#REF!</v>
      </c>
      <c r="Q10" s="51" t="e">
        <f>Q9+#REF!</f>
        <v>#REF!</v>
      </c>
      <c r="R10" s="51" t="e">
        <f>R9+#REF!</f>
        <v>#REF!</v>
      </c>
      <c r="S10" s="51" t="e">
        <f>S9+#REF!</f>
        <v>#REF!</v>
      </c>
      <c r="T10" s="51" t="e">
        <f>T9+#REF!</f>
        <v>#REF!</v>
      </c>
      <c r="U10" s="51" t="e">
        <f>U9+#REF!</f>
        <v>#REF!</v>
      </c>
      <c r="V10" s="51" t="e">
        <f>V9+#REF!</f>
        <v>#REF!</v>
      </c>
      <c r="W10" s="51" t="e">
        <f>W9+#REF!</f>
        <v>#REF!</v>
      </c>
      <c r="X10" s="38" t="e">
        <f t="shared" si="2"/>
        <v>#REF!</v>
      </c>
      <c r="Y10" s="51">
        <f t="shared" ref="Y10:AA10" si="4">Y9</f>
        <v>341</v>
      </c>
      <c r="Z10" s="51">
        <f t="shared" si="4"/>
        <v>66</v>
      </c>
      <c r="AA10" s="51">
        <f t="shared" si="4"/>
        <v>784</v>
      </c>
      <c r="AB10" s="51" t="e">
        <f>#REF!+AB9</f>
        <v>#REF!</v>
      </c>
      <c r="AC10" s="100"/>
    </row>
    <row r="11" spans="1:29" s="61" customFormat="1" collapsed="1" x14ac:dyDescent="0.15">
      <c r="A11" s="52" t="s">
        <v>38</v>
      </c>
      <c r="B11" s="53"/>
      <c r="C11" s="54">
        <v>0</v>
      </c>
      <c r="D11" s="55">
        <v>2</v>
      </c>
      <c r="E11" s="55">
        <v>40</v>
      </c>
      <c r="F11" s="55">
        <v>4</v>
      </c>
      <c r="G11" s="55">
        <v>0</v>
      </c>
      <c r="H11" s="55">
        <v>0</v>
      </c>
      <c r="I11" s="55">
        <v>1554</v>
      </c>
      <c r="J11" s="55">
        <v>221</v>
      </c>
      <c r="K11" s="55">
        <v>28</v>
      </c>
      <c r="L11" s="55">
        <v>30</v>
      </c>
      <c r="M11" s="55">
        <v>1081</v>
      </c>
      <c r="N11" s="55">
        <v>558</v>
      </c>
      <c r="O11" s="55">
        <v>563</v>
      </c>
      <c r="P11" s="56">
        <v>8</v>
      </c>
      <c r="Q11" s="56">
        <v>5</v>
      </c>
      <c r="R11" s="56">
        <v>4</v>
      </c>
      <c r="S11" s="56">
        <v>8</v>
      </c>
      <c r="T11" s="56">
        <v>10</v>
      </c>
      <c r="U11" s="56">
        <v>4</v>
      </c>
      <c r="V11" s="56">
        <v>0</v>
      </c>
      <c r="W11" s="56">
        <v>0</v>
      </c>
      <c r="X11" s="57">
        <f t="shared" si="2"/>
        <v>1152</v>
      </c>
      <c r="Y11" s="57">
        <f t="shared" si="0"/>
        <v>2405</v>
      </c>
      <c r="Z11" s="57">
        <f t="shared" si="1"/>
        <v>563</v>
      </c>
      <c r="AA11" s="57">
        <f t="shared" si="3"/>
        <v>4120</v>
      </c>
      <c r="AB11" s="58"/>
      <c r="AC11" s="102"/>
    </row>
    <row r="12" spans="1:29" ht="12" customHeight="1" x14ac:dyDescent="0.15">
      <c r="A12" s="34" t="s">
        <v>62</v>
      </c>
      <c r="B12" s="35"/>
      <c r="C12" s="38">
        <f>C6</f>
        <v>0</v>
      </c>
      <c r="D12" s="38">
        <f t="shared" ref="D12:W12" si="5">D6</f>
        <v>688</v>
      </c>
      <c r="E12" s="38">
        <f t="shared" si="5"/>
        <v>363</v>
      </c>
      <c r="F12" s="38">
        <f t="shared" ref="F12:G12" si="6">F6</f>
        <v>5</v>
      </c>
      <c r="G12" s="38">
        <f t="shared" si="6"/>
        <v>3</v>
      </c>
      <c r="H12" s="38">
        <f t="shared" si="5"/>
        <v>843</v>
      </c>
      <c r="I12" s="38">
        <f t="shared" si="5"/>
        <v>9103</v>
      </c>
      <c r="J12" s="38">
        <f t="shared" si="5"/>
        <v>2119</v>
      </c>
      <c r="K12" s="38">
        <f t="shared" si="5"/>
        <v>268</v>
      </c>
      <c r="L12" s="38">
        <f t="shared" si="5"/>
        <v>128</v>
      </c>
      <c r="M12" s="38">
        <f t="shared" si="5"/>
        <v>5893</v>
      </c>
      <c r="N12" s="38">
        <f t="shared" si="5"/>
        <v>5184</v>
      </c>
      <c r="O12" s="38">
        <f t="shared" si="5"/>
        <v>2616</v>
      </c>
      <c r="P12" s="38">
        <f t="shared" si="5"/>
        <v>130</v>
      </c>
      <c r="Q12" s="38">
        <f t="shared" si="5"/>
        <v>67</v>
      </c>
      <c r="R12" s="38">
        <f t="shared" si="5"/>
        <v>54</v>
      </c>
      <c r="S12" s="38">
        <f t="shared" si="5"/>
        <v>108</v>
      </c>
      <c r="T12" s="38">
        <f t="shared" si="5"/>
        <v>145</v>
      </c>
      <c r="U12" s="38">
        <f t="shared" si="5"/>
        <v>60</v>
      </c>
      <c r="V12" s="38">
        <f t="shared" si="5"/>
        <v>23</v>
      </c>
      <c r="W12" s="38">
        <f t="shared" si="5"/>
        <v>52</v>
      </c>
      <c r="X12" s="38">
        <f t="shared" si="2"/>
        <v>7311</v>
      </c>
      <c r="Y12" s="38">
        <f t="shared" si="0"/>
        <v>17925</v>
      </c>
      <c r="Z12" s="38">
        <f t="shared" si="1"/>
        <v>2616</v>
      </c>
      <c r="AA12" s="38">
        <f t="shared" si="3"/>
        <v>27852</v>
      </c>
      <c r="AB12" s="45"/>
    </row>
    <row r="13" spans="1:29" s="61" customFormat="1" ht="12" customHeight="1" x14ac:dyDescent="0.15">
      <c r="A13" s="59" t="s">
        <v>39</v>
      </c>
      <c r="B13" s="60"/>
      <c r="C13" s="61">
        <v>0</v>
      </c>
      <c r="D13" s="62">
        <v>37614465.460000001</v>
      </c>
      <c r="E13" s="63">
        <v>53266095.960000001</v>
      </c>
      <c r="F13" s="63">
        <v>103434.33</v>
      </c>
      <c r="G13" s="63">
        <v>1063.1099999999999</v>
      </c>
      <c r="H13" s="63">
        <v>2925803.17</v>
      </c>
      <c r="I13" s="63">
        <v>17250352.23</v>
      </c>
      <c r="J13" s="63">
        <v>48716062.159999996</v>
      </c>
      <c r="K13" s="63">
        <v>13716728.810000001</v>
      </c>
      <c r="L13" s="63">
        <v>168647.34</v>
      </c>
      <c r="M13" s="64">
        <v>277904267.74000001</v>
      </c>
      <c r="N13" s="63">
        <v>307464292.41000003</v>
      </c>
      <c r="O13" s="63">
        <v>45431688.119999997</v>
      </c>
      <c r="P13" s="63">
        <v>24609283.859999999</v>
      </c>
      <c r="Q13" s="63">
        <v>16038134.279999999</v>
      </c>
      <c r="R13" s="63">
        <v>27626574.670000002</v>
      </c>
      <c r="S13" s="63">
        <v>39296845.93</v>
      </c>
      <c r="T13" s="63">
        <v>13593735.68</v>
      </c>
      <c r="U13" s="63">
        <v>26320544.539999999</v>
      </c>
      <c r="V13" s="63">
        <v>9257201.7699999996</v>
      </c>
      <c r="W13" s="63">
        <v>2855477.25</v>
      </c>
      <c r="X13" s="65">
        <f>D13+E13+M13+P13+Q13+R13+S13+F13+G13</f>
        <v>476460165.34000003</v>
      </c>
      <c r="Y13" s="57">
        <f t="shared" si="0"/>
        <v>442268845.36000001</v>
      </c>
      <c r="Z13" s="57">
        <f t="shared" si="1"/>
        <v>45431688.119999997</v>
      </c>
      <c r="AA13" s="57">
        <f t="shared" si="3"/>
        <v>964160698.82000005</v>
      </c>
      <c r="AB13" s="66" t="s">
        <v>34</v>
      </c>
      <c r="AC13" s="102"/>
    </row>
    <row r="14" spans="1:29" ht="12.75" customHeight="1" x14ac:dyDescent="0.15">
      <c r="A14" s="52" t="s">
        <v>95</v>
      </c>
      <c r="B14" s="53"/>
      <c r="C14" s="67">
        <f>(C21+C25)*$AA$14/($AA$21+$AA$25)</f>
        <v>0</v>
      </c>
      <c r="D14" s="67">
        <f>(D21+D25)*$AA$14/($AA$21+$AA$25)</f>
        <v>4703623.0086741094</v>
      </c>
      <c r="E14" s="67">
        <f>(E21+E25)*$AA$14/($AA$21+$AA$25)</f>
        <v>8487281.7413163111</v>
      </c>
      <c r="F14" s="67">
        <f t="shared" ref="F14:G14" si="7">(F21+F25)*$AA$14/($AA$21+$AA$25)</f>
        <v>0</v>
      </c>
      <c r="G14" s="67">
        <f t="shared" si="7"/>
        <v>0</v>
      </c>
      <c r="H14" s="67">
        <f t="shared" ref="H14:W14" si="8">(H21+H25)*$AA$14/($AA$21+$AA$25)</f>
        <v>343277.50462982204</v>
      </c>
      <c r="I14" s="67">
        <f t="shared" si="8"/>
        <v>1663901.8069453463</v>
      </c>
      <c r="J14" s="67">
        <f t="shared" si="8"/>
        <v>15110041.75192889</v>
      </c>
      <c r="K14" s="67">
        <f t="shared" si="8"/>
        <v>2877734.2058680281</v>
      </c>
      <c r="L14" s="67">
        <f t="shared" si="8"/>
        <v>0</v>
      </c>
      <c r="M14" s="67">
        <f t="shared" si="8"/>
        <v>15218251.455883572</v>
      </c>
      <c r="N14" s="67">
        <f t="shared" si="8"/>
        <v>13981198.440645309</v>
      </c>
      <c r="O14" s="67">
        <f t="shared" si="8"/>
        <v>3649283.8768284698</v>
      </c>
      <c r="P14" s="67">
        <f t="shared" si="8"/>
        <v>3468580.251148269</v>
      </c>
      <c r="Q14" s="67">
        <f t="shared" si="8"/>
        <v>10008768.033546751</v>
      </c>
      <c r="R14" s="67">
        <f t="shared" si="8"/>
        <v>6680096.4313149694</v>
      </c>
      <c r="S14" s="67">
        <f t="shared" si="8"/>
        <v>22438464.128364127</v>
      </c>
      <c r="T14" s="67">
        <f t="shared" si="8"/>
        <v>2534067.1006720862</v>
      </c>
      <c r="U14" s="67">
        <f t="shared" si="8"/>
        <v>7616306.2662460385</v>
      </c>
      <c r="V14" s="67">
        <f t="shared" si="8"/>
        <v>195956.95510410838</v>
      </c>
      <c r="W14" s="67">
        <f t="shared" si="8"/>
        <v>5278187.4108837908</v>
      </c>
      <c r="X14" s="68">
        <f>C14+D14+E14+M14+P14+Q14+R14+S14+F14+G14</f>
        <v>71005065.050248101</v>
      </c>
      <c r="Y14" s="38">
        <f t="shared" si="0"/>
        <v>49600671.442923419</v>
      </c>
      <c r="Z14" s="38">
        <f t="shared" si="1"/>
        <v>3649283.8768284698</v>
      </c>
      <c r="AA14" s="38">
        <v>124255020.37</v>
      </c>
      <c r="AB14" s="69" t="s">
        <v>40</v>
      </c>
    </row>
    <row r="15" spans="1:29" ht="11.25" x14ac:dyDescent="0.15">
      <c r="A15" s="70" t="s">
        <v>41</v>
      </c>
      <c r="B15" s="71"/>
      <c r="C15" s="72">
        <f>C19*$AA$15/$AA$19</f>
        <v>0</v>
      </c>
      <c r="D15" s="73">
        <f>D19*$AA$15/$AA$19</f>
        <v>4352584.7794671962</v>
      </c>
      <c r="E15" s="73">
        <f>E19*$AA$15/$AA$19</f>
        <v>3493707.0500471815</v>
      </c>
      <c r="F15" s="73">
        <f t="shared" ref="F15:G15" si="9">F19*$AA$15/$AA$19</f>
        <v>0</v>
      </c>
      <c r="G15" s="73">
        <f t="shared" si="9"/>
        <v>0</v>
      </c>
      <c r="H15" s="73">
        <f t="shared" ref="H15:W15" si="10">H19*$AA$15/$AA$19</f>
        <v>468293.0066944143</v>
      </c>
      <c r="I15" s="73">
        <f t="shared" si="10"/>
        <v>3287815.6350646755</v>
      </c>
      <c r="J15" s="73">
        <f t="shared" si="10"/>
        <v>10241931.163491096</v>
      </c>
      <c r="K15" s="73">
        <f t="shared" si="10"/>
        <v>2958366.0751938471</v>
      </c>
      <c r="L15" s="73">
        <f t="shared" si="10"/>
        <v>0</v>
      </c>
      <c r="M15" s="73">
        <f t="shared" si="10"/>
        <v>9659062.9459066261</v>
      </c>
      <c r="N15" s="73">
        <f t="shared" si="10"/>
        <v>8598367.0424344912</v>
      </c>
      <c r="O15" s="73">
        <f t="shared" si="10"/>
        <v>2924637.4270231235</v>
      </c>
      <c r="P15" s="73">
        <f t="shared" si="10"/>
        <v>329175.83284790051</v>
      </c>
      <c r="Q15" s="73">
        <f t="shared" si="10"/>
        <v>559162.57121094631</v>
      </c>
      <c r="R15" s="73">
        <f t="shared" si="10"/>
        <v>454107.78510464734</v>
      </c>
      <c r="S15" s="73">
        <f t="shared" si="10"/>
        <v>1858156.5292551636</v>
      </c>
      <c r="T15" s="73">
        <f t="shared" si="10"/>
        <v>1001476.5035996924</v>
      </c>
      <c r="U15" s="73">
        <f t="shared" si="10"/>
        <v>164359.90729533878</v>
      </c>
      <c r="V15" s="73">
        <f t="shared" si="10"/>
        <v>552410.25955556566</v>
      </c>
      <c r="W15" s="73">
        <f t="shared" si="10"/>
        <v>973593.5358080921</v>
      </c>
      <c r="X15" s="68">
        <f>C15+D15+E15+M15+P15+Q15+R15+S15+F15+G15</f>
        <v>20705957.493839663</v>
      </c>
      <c r="Y15" s="38">
        <f t="shared" si="0"/>
        <v>28246613.129137218</v>
      </c>
      <c r="Z15" s="38">
        <f t="shared" si="1"/>
        <v>2924637.4270231235</v>
      </c>
      <c r="AA15" s="38">
        <v>51877208.049999997</v>
      </c>
      <c r="AB15" s="74" t="s">
        <v>42</v>
      </c>
    </row>
    <row r="16" spans="1:29" s="61" customFormat="1" ht="12" customHeight="1" x14ac:dyDescent="0.15">
      <c r="A16" s="70" t="s">
        <v>98</v>
      </c>
      <c r="B16" s="71"/>
      <c r="C16" s="75">
        <v>0</v>
      </c>
      <c r="D16" s="76">
        <v>0</v>
      </c>
      <c r="E16" s="76">
        <v>3230311.27</v>
      </c>
      <c r="F16" s="76">
        <v>0</v>
      </c>
      <c r="G16" s="76">
        <v>0</v>
      </c>
      <c r="H16" s="76">
        <v>66.12</v>
      </c>
      <c r="I16" s="76">
        <v>1836.31</v>
      </c>
      <c r="J16" s="76">
        <v>137495.17000000001</v>
      </c>
      <c r="K16" s="76">
        <v>9110.68</v>
      </c>
      <c r="L16" s="76">
        <v>0</v>
      </c>
      <c r="M16" s="76">
        <v>229478.67</v>
      </c>
      <c r="N16" s="76">
        <v>199691.24</v>
      </c>
      <c r="O16" s="76">
        <v>0</v>
      </c>
      <c r="P16" s="76">
        <v>0</v>
      </c>
      <c r="Q16" s="76">
        <v>803403.94</v>
      </c>
      <c r="R16" s="76">
        <v>2367589.39</v>
      </c>
      <c r="S16" s="76">
        <v>25040898.719999999</v>
      </c>
      <c r="T16" s="76">
        <v>0</v>
      </c>
      <c r="U16" s="76">
        <v>598472.78</v>
      </c>
      <c r="V16" s="76">
        <v>83526.47</v>
      </c>
      <c r="W16" s="76">
        <v>4334921.53</v>
      </c>
      <c r="X16" s="65">
        <f>C16+D16+E16+M16+P16+Q16+R16+S16+F16+G16</f>
        <v>31671681.989999998</v>
      </c>
      <c r="Y16" s="57">
        <f t="shared" si="0"/>
        <v>5365120.3000000007</v>
      </c>
      <c r="Z16" s="57">
        <f t="shared" si="1"/>
        <v>0</v>
      </c>
      <c r="AA16" s="57">
        <f t="shared" ref="AA16" si="11">X16+Y16+Z16</f>
        <v>37036802.289999999</v>
      </c>
      <c r="AB16" s="77"/>
      <c r="AC16" s="102"/>
    </row>
    <row r="17" spans="1:29" s="61" customFormat="1" ht="11.25" hidden="1" customHeight="1" outlineLevel="1" x14ac:dyDescent="0.15">
      <c r="A17" s="78" t="s">
        <v>63</v>
      </c>
      <c r="B17" s="79"/>
      <c r="C17" s="80"/>
      <c r="D17" s="81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>
        <f t="shared" ref="X17" si="12">C17+D17+E17+M17+P17+Q17+R17+S17</f>
        <v>0</v>
      </c>
      <c r="Y17" s="82">
        <f t="shared" si="0"/>
        <v>0</v>
      </c>
      <c r="Z17" s="82">
        <f t="shared" si="1"/>
        <v>0</v>
      </c>
      <c r="AA17" s="82">
        <f t="shared" si="3"/>
        <v>0</v>
      </c>
      <c r="AB17" s="77" t="e">
        <f>#REF!</f>
        <v>#REF!</v>
      </c>
      <c r="AC17" s="102"/>
    </row>
    <row r="18" spans="1:29" s="61" customFormat="1" hidden="1" outlineLevel="1" collapsed="1" x14ac:dyDescent="0.15">
      <c r="A18" s="83" t="s">
        <v>43</v>
      </c>
      <c r="B18" s="84"/>
      <c r="C18" s="81">
        <v>0</v>
      </c>
      <c r="D18" s="81">
        <v>26</v>
      </c>
      <c r="E18" s="82">
        <v>117</v>
      </c>
      <c r="F18" s="82">
        <v>0</v>
      </c>
      <c r="G18" s="82">
        <v>0</v>
      </c>
      <c r="H18" s="81">
        <v>76</v>
      </c>
      <c r="I18" s="81">
        <v>499</v>
      </c>
      <c r="J18" s="81">
        <v>1627</v>
      </c>
      <c r="K18" s="81">
        <v>397</v>
      </c>
      <c r="L18" s="81">
        <v>0</v>
      </c>
      <c r="M18" s="82">
        <v>669</v>
      </c>
      <c r="N18" s="82">
        <v>573</v>
      </c>
      <c r="O18" s="82">
        <v>352</v>
      </c>
      <c r="P18" s="82">
        <v>7</v>
      </c>
      <c r="Q18" s="82">
        <v>8</v>
      </c>
      <c r="R18" s="82">
        <v>14</v>
      </c>
      <c r="S18" s="82">
        <v>26</v>
      </c>
      <c r="T18" s="82">
        <v>15</v>
      </c>
      <c r="U18" s="82">
        <v>6</v>
      </c>
      <c r="V18" s="82">
        <v>6</v>
      </c>
      <c r="W18" s="82">
        <v>18</v>
      </c>
      <c r="X18" s="82">
        <f>C18+D18+E18+M18+P18+Q18+R18+S18</f>
        <v>867</v>
      </c>
      <c r="Y18" s="82">
        <f>H18+I18+J18+K18+L18+N18+T18+U18+V18+W18</f>
        <v>3217</v>
      </c>
      <c r="Z18" s="82">
        <f t="shared" si="1"/>
        <v>352</v>
      </c>
      <c r="AA18" s="82">
        <f t="shared" si="3"/>
        <v>4436</v>
      </c>
      <c r="AB18" s="85" t="s">
        <v>34</v>
      </c>
      <c r="AC18" s="102"/>
    </row>
    <row r="19" spans="1:29" ht="11.25" collapsed="1" x14ac:dyDescent="0.15">
      <c r="A19" s="86" t="s">
        <v>84</v>
      </c>
      <c r="B19" s="87"/>
      <c r="C19" s="57">
        <v>0</v>
      </c>
      <c r="D19" s="57">
        <v>10275029.49</v>
      </c>
      <c r="E19" s="57">
        <v>8247500</v>
      </c>
      <c r="F19" s="57">
        <v>0</v>
      </c>
      <c r="G19" s="57">
        <v>0</v>
      </c>
      <c r="H19" s="57">
        <v>1105486.67</v>
      </c>
      <c r="I19" s="57">
        <v>7761457.6900000004</v>
      </c>
      <c r="J19" s="57">
        <v>24177850.649999999</v>
      </c>
      <c r="K19" s="57">
        <v>6983735</v>
      </c>
      <c r="L19" s="57">
        <v>0</v>
      </c>
      <c r="M19" s="57">
        <v>22801889.370000001</v>
      </c>
      <c r="N19" s="57">
        <v>20297933.16</v>
      </c>
      <c r="O19" s="57">
        <v>6904112.6900000004</v>
      </c>
      <c r="P19" s="57">
        <v>777076.51</v>
      </c>
      <c r="Q19" s="57">
        <v>1320000</v>
      </c>
      <c r="R19" s="57">
        <v>1072000</v>
      </c>
      <c r="S19" s="57">
        <v>4386500</v>
      </c>
      <c r="T19" s="57">
        <v>2364158.5699999998</v>
      </c>
      <c r="U19" s="57">
        <v>388000</v>
      </c>
      <c r="V19" s="57">
        <v>1304060</v>
      </c>
      <c r="W19" s="57">
        <v>2298336</v>
      </c>
      <c r="X19" s="65">
        <f>C19+D19+E19+M19+P19+Q19+R19+S19+F19+G19</f>
        <v>48879995.369999997</v>
      </c>
      <c r="Y19" s="38">
        <f>H19+I19+J19+K19+L19+N19+T19+U19+V19+W19</f>
        <v>66681017.740000002</v>
      </c>
      <c r="Z19" s="38">
        <f t="shared" si="1"/>
        <v>6904112.6900000004</v>
      </c>
      <c r="AA19" s="57">
        <f t="shared" si="3"/>
        <v>122465125.8</v>
      </c>
      <c r="AB19" s="88" t="s">
        <v>34</v>
      </c>
    </row>
    <row r="20" spans="1:29" hidden="1" outlineLevel="1" x14ac:dyDescent="0.15">
      <c r="A20" s="86" t="s">
        <v>44</v>
      </c>
      <c r="B20" s="87"/>
      <c r="C20" s="57">
        <v>0</v>
      </c>
      <c r="D20" s="57">
        <v>280</v>
      </c>
      <c r="E20" s="57">
        <v>96</v>
      </c>
      <c r="F20" s="57">
        <v>0</v>
      </c>
      <c r="G20" s="57">
        <v>0</v>
      </c>
      <c r="H20" s="57">
        <v>31</v>
      </c>
      <c r="I20" s="57">
        <v>261</v>
      </c>
      <c r="J20" s="57">
        <v>2052</v>
      </c>
      <c r="K20" s="57">
        <v>198</v>
      </c>
      <c r="L20" s="57">
        <v>0</v>
      </c>
      <c r="M20" s="57">
        <v>749</v>
      </c>
      <c r="N20" s="57">
        <v>752</v>
      </c>
      <c r="O20" s="57">
        <v>746</v>
      </c>
      <c r="P20" s="57">
        <v>67</v>
      </c>
      <c r="Q20" s="57">
        <v>105</v>
      </c>
      <c r="R20" s="57">
        <v>57</v>
      </c>
      <c r="S20" s="57">
        <v>135</v>
      </c>
      <c r="T20" s="57">
        <v>32</v>
      </c>
      <c r="U20" s="57">
        <v>61</v>
      </c>
      <c r="V20" s="57">
        <v>0</v>
      </c>
      <c r="W20" s="57">
        <v>35</v>
      </c>
      <c r="X20" s="38">
        <f t="shared" ref="X20:X24" si="13">C20+D20+E20+M20+T20+U20+V20+W20</f>
        <v>1253</v>
      </c>
      <c r="Y20" s="38">
        <f t="shared" ref="Y20:Y37" si="14">H20+I20+J20+K20+L20+N20+T20+U20+V20+W20</f>
        <v>3422</v>
      </c>
      <c r="Z20" s="38">
        <f t="shared" si="1"/>
        <v>746</v>
      </c>
      <c r="AA20" s="57">
        <f t="shared" si="3"/>
        <v>5421</v>
      </c>
      <c r="AB20" s="88" t="s">
        <v>34</v>
      </c>
      <c r="AC20" s="102"/>
    </row>
    <row r="21" spans="1:29" ht="11.25" collapsed="1" x14ac:dyDescent="0.15">
      <c r="A21" s="86" t="s">
        <v>85</v>
      </c>
      <c r="B21" s="87"/>
      <c r="C21" s="57">
        <f>C22+C23</f>
        <v>0</v>
      </c>
      <c r="D21" s="57">
        <f t="shared" ref="D21:AA21" si="15">D22+D23</f>
        <v>1938109.85</v>
      </c>
      <c r="E21" s="57">
        <f t="shared" si="15"/>
        <v>2505634.25</v>
      </c>
      <c r="F21" s="57">
        <f t="shared" ref="F21:G21" si="16">F22+F23</f>
        <v>0</v>
      </c>
      <c r="G21" s="57">
        <f t="shared" si="16"/>
        <v>0</v>
      </c>
      <c r="H21" s="57">
        <f>H22+H23</f>
        <v>170800</v>
      </c>
      <c r="I21" s="57">
        <f>I22+I23</f>
        <v>1094088.23</v>
      </c>
      <c r="J21" s="57">
        <f t="shared" si="15"/>
        <v>11644744.310000001</v>
      </c>
      <c r="K21" s="57">
        <f t="shared" si="15"/>
        <v>1390157.33</v>
      </c>
      <c r="L21" s="57">
        <f t="shared" si="15"/>
        <v>0</v>
      </c>
      <c r="M21" s="57">
        <f t="shared" si="15"/>
        <v>4584196.41</v>
      </c>
      <c r="N21" s="57">
        <f t="shared" si="15"/>
        <v>3895217.79</v>
      </c>
      <c r="O21" s="57">
        <f t="shared" si="15"/>
        <v>3738750</v>
      </c>
      <c r="P21" s="57">
        <f t="shared" si="15"/>
        <v>1915992.13</v>
      </c>
      <c r="Q21" s="57">
        <f t="shared" si="15"/>
        <v>13564377.449999999</v>
      </c>
      <c r="R21" s="57">
        <f t="shared" si="15"/>
        <v>1732100.49</v>
      </c>
      <c r="S21" s="57">
        <f t="shared" si="15"/>
        <v>8358553.5899999999</v>
      </c>
      <c r="T21" s="57">
        <f t="shared" si="15"/>
        <v>303107.56</v>
      </c>
      <c r="U21" s="57">
        <f t="shared" si="15"/>
        <v>7819955.4299999997</v>
      </c>
      <c r="V21" s="57">
        <f t="shared" si="15"/>
        <v>0</v>
      </c>
      <c r="W21" s="57">
        <f t="shared" si="15"/>
        <v>2858349.67</v>
      </c>
      <c r="X21" s="65">
        <f>C21+D21+E21+M21+P21+Q21+R21+S21+F21+G21</f>
        <v>34598964.170000002</v>
      </c>
      <c r="Y21" s="57">
        <f t="shared" si="15"/>
        <v>29176420.32</v>
      </c>
      <c r="Z21" s="57">
        <f t="shared" si="15"/>
        <v>3738750</v>
      </c>
      <c r="AA21" s="57">
        <f t="shared" si="15"/>
        <v>67514134.489999995</v>
      </c>
      <c r="AB21" s="88" t="s">
        <v>34</v>
      </c>
      <c r="AC21" s="102"/>
    </row>
    <row r="22" spans="1:29" ht="11.25" x14ac:dyDescent="0.15">
      <c r="A22" s="86" t="s">
        <v>92</v>
      </c>
      <c r="B22" s="87"/>
      <c r="C22" s="57">
        <v>0</v>
      </c>
      <c r="D22" s="57">
        <v>1409380</v>
      </c>
      <c r="E22" s="57">
        <v>2330600</v>
      </c>
      <c r="F22" s="57">
        <v>0</v>
      </c>
      <c r="G22" s="57">
        <v>0</v>
      </c>
      <c r="H22" s="57">
        <v>170800</v>
      </c>
      <c r="I22" s="57">
        <v>1001500</v>
      </c>
      <c r="J22" s="57">
        <v>11311800</v>
      </c>
      <c r="K22" s="57">
        <v>1223400</v>
      </c>
      <c r="L22" s="57">
        <v>0</v>
      </c>
      <c r="M22" s="57">
        <v>4345950</v>
      </c>
      <c r="N22" s="57">
        <v>3786170</v>
      </c>
      <c r="O22" s="57">
        <v>3738750</v>
      </c>
      <c r="P22" s="57">
        <v>180500</v>
      </c>
      <c r="Q22" s="57">
        <v>74800</v>
      </c>
      <c r="R22" s="57">
        <v>67000</v>
      </c>
      <c r="S22" s="57">
        <v>6462000</v>
      </c>
      <c r="T22" s="57">
        <v>215700</v>
      </c>
      <c r="U22" s="57">
        <v>0</v>
      </c>
      <c r="V22" s="57">
        <v>0</v>
      </c>
      <c r="W22" s="57">
        <v>2836300</v>
      </c>
      <c r="X22" s="65">
        <f>C22+D22+E22+M22+P22+Q22+R22+S22+F22+G22</f>
        <v>14870230</v>
      </c>
      <c r="Y22" s="38">
        <f>H22+I22+J22+K22+L22+N22+T22+U22+V22+W22</f>
        <v>20545670</v>
      </c>
      <c r="Z22" s="38">
        <f t="shared" ref="Z22:Z23" si="17">O22</f>
        <v>3738750</v>
      </c>
      <c r="AA22" s="57">
        <f t="shared" ref="AA22:AA23" si="18">X22+Y22+Z22</f>
        <v>39154650</v>
      </c>
      <c r="AB22" s="88"/>
      <c r="AC22" s="102"/>
    </row>
    <row r="23" spans="1:29" ht="11.25" x14ac:dyDescent="0.15">
      <c r="A23" s="86" t="s">
        <v>93</v>
      </c>
      <c r="B23" s="87"/>
      <c r="C23" s="57">
        <v>0</v>
      </c>
      <c r="D23" s="57">
        <v>528729.85</v>
      </c>
      <c r="E23" s="57">
        <v>175034.25</v>
      </c>
      <c r="F23" s="57">
        <v>0</v>
      </c>
      <c r="G23" s="57">
        <v>0</v>
      </c>
      <c r="H23" s="57">
        <v>0</v>
      </c>
      <c r="I23" s="57">
        <v>92588.23</v>
      </c>
      <c r="J23" s="57">
        <v>332944.31</v>
      </c>
      <c r="K23" s="57">
        <v>166757.32999999999</v>
      </c>
      <c r="L23" s="57">
        <v>0</v>
      </c>
      <c r="M23" s="57">
        <v>238246.41</v>
      </c>
      <c r="N23" s="57">
        <v>109047.79</v>
      </c>
      <c r="O23" s="57">
        <v>0</v>
      </c>
      <c r="P23" s="57">
        <v>1735492.13</v>
      </c>
      <c r="Q23" s="57">
        <v>13489577.449999999</v>
      </c>
      <c r="R23" s="57">
        <v>1665100.49</v>
      </c>
      <c r="S23" s="57">
        <v>1896553.59</v>
      </c>
      <c r="T23" s="57">
        <v>87407.56</v>
      </c>
      <c r="U23" s="57">
        <v>7819955.4299999997</v>
      </c>
      <c r="V23" s="57">
        <v>0</v>
      </c>
      <c r="W23" s="57">
        <v>22049.67</v>
      </c>
      <c r="X23" s="65">
        <f>C23+D23+E23+M23+P23+Q23+R23+S23+F23+G23</f>
        <v>19728734.169999998</v>
      </c>
      <c r="Y23" s="38">
        <f t="shared" ref="Y23" si="19">H23+I23+J23+K23+L23+N23+T23+U23+V23+W23</f>
        <v>8630750.3200000003</v>
      </c>
      <c r="Z23" s="38">
        <f t="shared" si="17"/>
        <v>0</v>
      </c>
      <c r="AA23" s="57">
        <f t="shared" si="18"/>
        <v>28359484.489999998</v>
      </c>
      <c r="AB23" s="88"/>
      <c r="AC23" s="102"/>
    </row>
    <row r="24" spans="1:29" hidden="1" outlineLevel="1" x14ac:dyDescent="0.15">
      <c r="A24" s="86" t="s">
        <v>45</v>
      </c>
      <c r="B24" s="87"/>
      <c r="C24" s="73"/>
      <c r="D24" s="73">
        <v>3991</v>
      </c>
      <c r="E24" s="38">
        <v>1777</v>
      </c>
      <c r="F24" s="38">
        <v>0</v>
      </c>
      <c r="G24" s="38">
        <v>0</v>
      </c>
      <c r="H24" s="38">
        <v>667</v>
      </c>
      <c r="I24" s="38">
        <v>3001</v>
      </c>
      <c r="J24" s="38">
        <v>21188</v>
      </c>
      <c r="K24" s="38">
        <v>3115</v>
      </c>
      <c r="L24" s="38">
        <v>0</v>
      </c>
      <c r="M24" s="38">
        <v>24951</v>
      </c>
      <c r="N24" s="38">
        <v>22574</v>
      </c>
      <c r="O24" s="38">
        <v>4728</v>
      </c>
      <c r="P24" s="38">
        <v>876</v>
      </c>
      <c r="Q24" s="38">
        <v>312</v>
      </c>
      <c r="R24" s="38">
        <v>567</v>
      </c>
      <c r="S24" s="38">
        <v>1825</v>
      </c>
      <c r="T24" s="38">
        <v>1057</v>
      </c>
      <c r="U24" s="38">
        <v>296</v>
      </c>
      <c r="V24" s="38">
        <v>47</v>
      </c>
      <c r="W24" s="38">
        <v>300</v>
      </c>
      <c r="X24" s="38">
        <f t="shared" si="13"/>
        <v>32419</v>
      </c>
      <c r="Y24" s="38">
        <f t="shared" si="14"/>
        <v>52245</v>
      </c>
      <c r="Z24" s="38">
        <f t="shared" si="1"/>
        <v>4728</v>
      </c>
      <c r="AA24" s="57">
        <f t="shared" si="3"/>
        <v>89392</v>
      </c>
      <c r="AB24" s="88" t="s">
        <v>34</v>
      </c>
      <c r="AC24" s="102"/>
    </row>
    <row r="25" spans="1:29" collapsed="1" x14ac:dyDescent="0.15">
      <c r="A25" s="86" t="s">
        <v>46</v>
      </c>
      <c r="B25" s="87"/>
      <c r="C25" s="57">
        <f>C26+C27</f>
        <v>0</v>
      </c>
      <c r="D25" s="57">
        <f t="shared" ref="D25:AA25" si="20">D26+D27</f>
        <v>7166936.8899999997</v>
      </c>
      <c r="E25" s="57">
        <f t="shared" si="20"/>
        <v>13923636.720000001</v>
      </c>
      <c r="F25" s="57">
        <f t="shared" ref="F25:G25" si="21">F26+F27</f>
        <v>0</v>
      </c>
      <c r="G25" s="57">
        <f t="shared" si="21"/>
        <v>0</v>
      </c>
      <c r="H25" s="57">
        <f t="shared" si="20"/>
        <v>493700.05</v>
      </c>
      <c r="I25" s="57">
        <f t="shared" si="20"/>
        <v>2126812.6999999997</v>
      </c>
      <c r="J25" s="57">
        <f t="shared" si="20"/>
        <v>17604546.32</v>
      </c>
      <c r="K25" s="57">
        <f t="shared" si="20"/>
        <v>4180421.86</v>
      </c>
      <c r="L25" s="57">
        <f t="shared" si="20"/>
        <v>0</v>
      </c>
      <c r="M25" s="57">
        <f t="shared" si="20"/>
        <v>24874561.350000001</v>
      </c>
      <c r="N25" s="57">
        <f t="shared" si="20"/>
        <v>23168912.359999999</v>
      </c>
      <c r="O25" s="57">
        <f t="shared" si="20"/>
        <v>3325357.86</v>
      </c>
      <c r="P25" s="57">
        <f t="shared" si="20"/>
        <v>4798318.3599999994</v>
      </c>
      <c r="Q25" s="57">
        <f t="shared" si="20"/>
        <v>5810113.3599999994</v>
      </c>
      <c r="R25" s="57">
        <f t="shared" si="20"/>
        <v>11198908.25</v>
      </c>
      <c r="S25" s="57">
        <f t="shared" si="20"/>
        <v>35076743.899999999</v>
      </c>
      <c r="T25" s="57">
        <f t="shared" si="20"/>
        <v>4602217.41</v>
      </c>
      <c r="U25" s="57">
        <f t="shared" si="20"/>
        <v>6923323.1899999995</v>
      </c>
      <c r="V25" s="57">
        <f t="shared" si="20"/>
        <v>379324.03</v>
      </c>
      <c r="W25" s="57">
        <f t="shared" si="20"/>
        <v>7358911.1500000004</v>
      </c>
      <c r="X25" s="57">
        <f t="shared" si="20"/>
        <v>102849218.83000001</v>
      </c>
      <c r="Y25" s="57">
        <f t="shared" si="20"/>
        <v>66838169.070000008</v>
      </c>
      <c r="Z25" s="57">
        <f t="shared" si="20"/>
        <v>3325357.86</v>
      </c>
      <c r="AA25" s="57">
        <f t="shared" si="20"/>
        <v>173012745.76000002</v>
      </c>
      <c r="AB25" s="88" t="s">
        <v>34</v>
      </c>
      <c r="AC25" s="102"/>
    </row>
    <row r="26" spans="1:29" ht="11.25" x14ac:dyDescent="0.15">
      <c r="A26" s="86" t="s">
        <v>90</v>
      </c>
      <c r="B26" s="87"/>
      <c r="C26" s="57">
        <v>0</v>
      </c>
      <c r="D26" s="57">
        <v>4699318.5999999996</v>
      </c>
      <c r="E26" s="57">
        <v>4239160</v>
      </c>
      <c r="F26" s="57">
        <v>0</v>
      </c>
      <c r="G26" s="57">
        <v>0</v>
      </c>
      <c r="H26" s="57">
        <v>471074.74</v>
      </c>
      <c r="I26" s="57">
        <v>2023822.65</v>
      </c>
      <c r="J26" s="57">
        <v>12142678.609999999</v>
      </c>
      <c r="K26" s="57">
        <v>2326952.0699999998</v>
      </c>
      <c r="L26" s="57">
        <v>0</v>
      </c>
      <c r="M26" s="57">
        <v>22997526.16</v>
      </c>
      <c r="N26" s="57">
        <v>19845382.239999998</v>
      </c>
      <c r="O26" s="57">
        <v>3325357.86</v>
      </c>
      <c r="P26" s="57">
        <v>1542403.6</v>
      </c>
      <c r="Q26" s="57">
        <v>1766894.71</v>
      </c>
      <c r="R26" s="57">
        <v>1684391.59</v>
      </c>
      <c r="S26" s="57">
        <v>17831032.16</v>
      </c>
      <c r="T26" s="57">
        <v>1533030.21</v>
      </c>
      <c r="U26" s="57">
        <v>523991.43</v>
      </c>
      <c r="V26" s="57">
        <v>0</v>
      </c>
      <c r="W26" s="57">
        <v>3383830.21</v>
      </c>
      <c r="X26" s="65">
        <f>C26+D26+E26+M26+P26+Q26+R26+S26+F26+G26</f>
        <v>54760726.820000008</v>
      </c>
      <c r="Y26" s="38">
        <f>H26+I26+J26+K26+L26+N26+T26+U26+V26+W26</f>
        <v>42250762.160000004</v>
      </c>
      <c r="Z26" s="38">
        <f t="shared" ref="Z26:Z27" si="22">O26</f>
        <v>3325357.86</v>
      </c>
      <c r="AA26" s="57">
        <f t="shared" ref="AA26:AA27" si="23">X26+Y26+Z26</f>
        <v>100336846.84000002</v>
      </c>
      <c r="AB26" s="88"/>
      <c r="AC26" s="102"/>
    </row>
    <row r="27" spans="1:29" ht="11.25" x14ac:dyDescent="0.15">
      <c r="A27" s="86" t="s">
        <v>91</v>
      </c>
      <c r="B27" s="87"/>
      <c r="C27" s="57">
        <v>0</v>
      </c>
      <c r="D27" s="57">
        <v>2467618.29</v>
      </c>
      <c r="E27" s="57">
        <v>9684476.7200000007</v>
      </c>
      <c r="F27" s="57">
        <v>0</v>
      </c>
      <c r="G27" s="57">
        <v>0</v>
      </c>
      <c r="H27" s="57">
        <v>22625.31</v>
      </c>
      <c r="I27" s="57">
        <v>102990.05</v>
      </c>
      <c r="J27" s="57">
        <v>5461867.71</v>
      </c>
      <c r="K27" s="57">
        <v>1853469.79</v>
      </c>
      <c r="L27" s="57">
        <v>0</v>
      </c>
      <c r="M27" s="57">
        <v>1877035.19</v>
      </c>
      <c r="N27" s="57">
        <v>3323530.12</v>
      </c>
      <c r="O27" s="57">
        <v>0</v>
      </c>
      <c r="P27" s="57">
        <v>3255914.76</v>
      </c>
      <c r="Q27" s="57">
        <v>4043218.65</v>
      </c>
      <c r="R27" s="57">
        <v>9514516.6600000001</v>
      </c>
      <c r="S27" s="57">
        <v>17245711.739999998</v>
      </c>
      <c r="T27" s="57">
        <v>3069187.2</v>
      </c>
      <c r="U27" s="57">
        <v>6399331.7599999998</v>
      </c>
      <c r="V27" s="57">
        <v>379324.03</v>
      </c>
      <c r="W27" s="57">
        <v>3975080.94</v>
      </c>
      <c r="X27" s="65">
        <f>C27+D27+E27+M27+P27+Q27+R27+S27+F27+G27</f>
        <v>48088492.009999998</v>
      </c>
      <c r="Y27" s="38">
        <f>H27+I27+J27+K27+L27+N27+T27+U27+V27+W27</f>
        <v>24587406.91</v>
      </c>
      <c r="Z27" s="38">
        <f t="shared" si="22"/>
        <v>0</v>
      </c>
      <c r="AA27" s="57">
        <f t="shared" si="23"/>
        <v>72675898.920000002</v>
      </c>
      <c r="AB27" s="88"/>
      <c r="AC27" s="102"/>
    </row>
    <row r="28" spans="1:29" s="61" customFormat="1" hidden="1" outlineLevel="1" x14ac:dyDescent="0.15">
      <c r="A28" s="89" t="s">
        <v>47</v>
      </c>
      <c r="B28" s="90"/>
      <c r="C28" s="91"/>
      <c r="D28" s="91"/>
      <c r="E28" s="91"/>
      <c r="F28" s="91"/>
      <c r="G28" s="91"/>
      <c r="H28" s="91"/>
      <c r="I28" s="91"/>
      <c r="J28" s="91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3"/>
      <c r="Y28" s="92">
        <f t="shared" si="14"/>
        <v>0</v>
      </c>
      <c r="Z28" s="93"/>
      <c r="AA28" s="93"/>
      <c r="AB28" s="85"/>
      <c r="AC28" s="102"/>
    </row>
    <row r="29" spans="1:29" s="61" customFormat="1" hidden="1" outlineLevel="1" x14ac:dyDescent="0.15">
      <c r="A29" s="94"/>
      <c r="B29" s="95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3"/>
      <c r="Y29" s="91">
        <f t="shared" si="14"/>
        <v>0</v>
      </c>
      <c r="Z29" s="93"/>
      <c r="AA29" s="93"/>
      <c r="AB29" s="66"/>
      <c r="AC29" s="102"/>
    </row>
    <row r="30" spans="1:29" s="61" customFormat="1" hidden="1" outlineLevel="1" x14ac:dyDescent="0.15">
      <c r="A30" s="94"/>
      <c r="B30" s="95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3"/>
      <c r="Y30" s="91">
        <f t="shared" si="14"/>
        <v>0</v>
      </c>
      <c r="Z30" s="93"/>
      <c r="AA30" s="93"/>
      <c r="AB30" s="66"/>
      <c r="AC30" s="102"/>
    </row>
    <row r="31" spans="1:29" s="61" customFormat="1" hidden="1" outlineLevel="1" x14ac:dyDescent="0.15">
      <c r="A31" s="94"/>
      <c r="B31" s="95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3"/>
      <c r="Y31" s="91">
        <f t="shared" si="14"/>
        <v>0</v>
      </c>
      <c r="Z31" s="93"/>
      <c r="AA31" s="93"/>
      <c r="AB31" s="66"/>
      <c r="AC31" s="102"/>
    </row>
    <row r="32" spans="1:29" s="61" customFormat="1" hidden="1" outlineLevel="1" x14ac:dyDescent="0.15">
      <c r="A32" s="94"/>
      <c r="B32" s="95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3"/>
      <c r="Y32" s="91">
        <f t="shared" si="14"/>
        <v>0</v>
      </c>
      <c r="Z32" s="93"/>
      <c r="AA32" s="93"/>
      <c r="AB32" s="66"/>
      <c r="AC32" s="102"/>
    </row>
    <row r="33" spans="1:29" s="61" customFormat="1" hidden="1" outlineLevel="1" x14ac:dyDescent="0.15">
      <c r="A33" s="94"/>
      <c r="B33" s="95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6"/>
      <c r="Y33" s="91">
        <f t="shared" si="14"/>
        <v>0</v>
      </c>
      <c r="Z33" s="96"/>
      <c r="AA33" s="96"/>
      <c r="AB33" s="66"/>
      <c r="AC33" s="102"/>
    </row>
    <row r="34" spans="1:29" s="61" customFormat="1" hidden="1" outlineLevel="1" x14ac:dyDescent="0.15">
      <c r="A34" s="94"/>
      <c r="B34" s="95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3"/>
      <c r="Y34" s="91">
        <f t="shared" si="14"/>
        <v>0</v>
      </c>
      <c r="Z34" s="93"/>
      <c r="AA34" s="93"/>
      <c r="AB34" s="66">
        <f>E34+M34</f>
        <v>0</v>
      </c>
      <c r="AC34" s="102"/>
    </row>
    <row r="35" spans="1:29" s="61" customFormat="1" hidden="1" outlineLevel="1" x14ac:dyDescent="0.15">
      <c r="A35" s="94"/>
      <c r="B35" s="95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3"/>
      <c r="Y35" s="91">
        <f t="shared" si="14"/>
        <v>0</v>
      </c>
      <c r="Z35" s="93"/>
      <c r="AA35" s="93"/>
      <c r="AB35" s="66"/>
      <c r="AC35" s="102"/>
    </row>
    <row r="36" spans="1:29" s="61" customFormat="1" hidden="1" outlineLevel="1" x14ac:dyDescent="0.15">
      <c r="A36" s="94"/>
      <c r="B36" s="95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3"/>
      <c r="Y36" s="91">
        <f t="shared" si="14"/>
        <v>0</v>
      </c>
      <c r="Z36" s="93"/>
      <c r="AA36" s="93"/>
      <c r="AB36" s="66"/>
      <c r="AC36" s="102"/>
    </row>
    <row r="37" spans="1:29" s="61" customFormat="1" hidden="1" outlineLevel="1" x14ac:dyDescent="0.15">
      <c r="A37" s="94"/>
      <c r="B37" s="95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3"/>
      <c r="Y37" s="91">
        <f t="shared" si="14"/>
        <v>0</v>
      </c>
      <c r="Z37" s="93"/>
      <c r="AA37" s="93"/>
      <c r="AB37" s="66"/>
      <c r="AC37" s="102"/>
    </row>
    <row r="38" spans="1:29" collapsed="1" x14ac:dyDescent="0.15">
      <c r="A38" s="59" t="s">
        <v>86</v>
      </c>
      <c r="B38" s="60"/>
      <c r="C38" s="57">
        <v>0</v>
      </c>
      <c r="D38" s="57">
        <v>275750.53000000003</v>
      </c>
      <c r="E38" s="57">
        <v>118042.54</v>
      </c>
      <c r="F38" s="57">
        <v>0</v>
      </c>
      <c r="G38" s="57">
        <v>0</v>
      </c>
      <c r="H38" s="57">
        <v>653.9</v>
      </c>
      <c r="I38" s="57">
        <v>19538.89</v>
      </c>
      <c r="J38" s="57">
        <v>147502.79</v>
      </c>
      <c r="K38" s="57">
        <v>18590.41</v>
      </c>
      <c r="L38" s="57">
        <v>0</v>
      </c>
      <c r="M38" s="57">
        <v>279366.21999999997</v>
      </c>
      <c r="N38" s="57">
        <v>280299.65000000002</v>
      </c>
      <c r="O38" s="57">
        <v>30986.21</v>
      </c>
      <c r="P38" s="57">
        <v>1507328.94</v>
      </c>
      <c r="Q38" s="57">
        <v>86789.27</v>
      </c>
      <c r="R38" s="57">
        <v>386713.08</v>
      </c>
      <c r="S38" s="57">
        <v>790520.31999999995</v>
      </c>
      <c r="T38" s="57">
        <v>5209.53</v>
      </c>
      <c r="U38" s="57">
        <v>0</v>
      </c>
      <c r="V38" s="57">
        <v>0</v>
      </c>
      <c r="W38" s="57">
        <v>0</v>
      </c>
      <c r="X38" s="57">
        <f>C38+D38+E38+M38+P38+Q38+R38+S38+F38+G38</f>
        <v>3444510.9</v>
      </c>
      <c r="Y38" s="38">
        <f>H38+I38+J38+K38+L38+N38+T38+U38+V38+W38</f>
        <v>471795.17000000004</v>
      </c>
      <c r="Z38" s="38">
        <f>SUM(O38)</f>
        <v>30986.21</v>
      </c>
      <c r="AA38" s="38">
        <f t="shared" ref="AA38" si="24">X38+Y38+Z38</f>
        <v>3947292.28</v>
      </c>
      <c r="AB38" s="97"/>
      <c r="AC38" s="102"/>
    </row>
    <row r="39" spans="1:29" x14ac:dyDescent="0.15">
      <c r="A39" s="103"/>
      <c r="B39" s="104"/>
      <c r="C39" s="105"/>
      <c r="D39" s="105"/>
      <c r="E39" s="105"/>
      <c r="F39" s="105"/>
      <c r="G39" s="105"/>
      <c r="H39" s="106"/>
      <c r="I39" s="105"/>
      <c r="J39" s="105"/>
      <c r="K39" s="105"/>
      <c r="L39" s="105"/>
      <c r="M39" s="105"/>
      <c r="N39" s="107"/>
      <c r="O39" s="105"/>
      <c r="P39" s="105"/>
      <c r="Q39" s="105"/>
      <c r="R39" s="105"/>
      <c r="S39" s="105"/>
      <c r="T39" s="105"/>
      <c r="U39" s="105"/>
      <c r="V39" s="105"/>
      <c r="W39" s="105"/>
      <c r="X39" s="106"/>
      <c r="Y39" s="106"/>
      <c r="Z39" s="106"/>
      <c r="AA39" s="108"/>
      <c r="AB39" s="97"/>
    </row>
    <row r="40" spans="1:29" x14ac:dyDescent="0.15">
      <c r="A40" s="109" t="s">
        <v>48</v>
      </c>
      <c r="B40" s="110"/>
      <c r="C40" s="111">
        <f>C41+C48+C64+C72+C74+C71</f>
        <v>261.10000000000002</v>
      </c>
      <c r="D40" s="111">
        <f t="shared" ref="D40:W40" si="25">D41+D48+D64+D72+D74+D71</f>
        <v>286044.41232324269</v>
      </c>
      <c r="E40" s="111">
        <f t="shared" si="25"/>
        <v>275336.5270570385</v>
      </c>
      <c r="F40" s="111">
        <f t="shared" si="25"/>
        <v>298.98150654862076</v>
      </c>
      <c r="G40" s="111">
        <f t="shared" si="25"/>
        <v>2586.9289039291725</v>
      </c>
      <c r="H40" s="111">
        <f t="shared" si="25"/>
        <v>81082.666068626655</v>
      </c>
      <c r="I40" s="111">
        <f t="shared" si="25"/>
        <v>263057.20272470306</v>
      </c>
      <c r="J40" s="111">
        <f t="shared" si="25"/>
        <v>608580.87215878826</v>
      </c>
      <c r="K40" s="111">
        <f t="shared" si="25"/>
        <v>121959.31073258365</v>
      </c>
      <c r="L40" s="111">
        <f t="shared" si="25"/>
        <v>1281.6065676446917</v>
      </c>
      <c r="M40" s="111">
        <f t="shared" si="25"/>
        <v>2583648.4821456438</v>
      </c>
      <c r="N40" s="111">
        <f t="shared" si="25"/>
        <v>2334692.5153241213</v>
      </c>
      <c r="O40" s="111">
        <f t="shared" si="25"/>
        <v>357622.78050105966</v>
      </c>
      <c r="P40" s="111">
        <f t="shared" si="25"/>
        <v>113562.51217749293</v>
      </c>
      <c r="Q40" s="111">
        <f t="shared" si="25"/>
        <v>300674.10987571394</v>
      </c>
      <c r="R40" s="111">
        <f t="shared" si="25"/>
        <v>188398.62920018384</v>
      </c>
      <c r="S40" s="111">
        <f t="shared" si="25"/>
        <v>680730.06764326489</v>
      </c>
      <c r="T40" s="111">
        <f t="shared" si="25"/>
        <v>150234.15724656684</v>
      </c>
      <c r="U40" s="111">
        <f t="shared" si="25"/>
        <v>221853.66776358895</v>
      </c>
      <c r="V40" s="111">
        <f t="shared" si="25"/>
        <v>18740.464503769097</v>
      </c>
      <c r="W40" s="111">
        <f t="shared" si="25"/>
        <v>181567.35495023942</v>
      </c>
      <c r="X40" s="112">
        <f>C40+D40+E40+M40+P40+Q40+R40+S40+F40+G40</f>
        <v>4431541.7508330587</v>
      </c>
      <c r="Y40" s="112">
        <f>H40+I40+J40+K40+L40+N40+T40+U40+V40+W40</f>
        <v>3983049.8180406322</v>
      </c>
      <c r="Z40" s="112">
        <f t="shared" ref="Z40:Z41" si="26">O40</f>
        <v>357622.78050105966</v>
      </c>
      <c r="AA40" s="111">
        <f>AA41+AA48+AA64+AA72+AA74+AA71</f>
        <v>5813531.3568999842</v>
      </c>
      <c r="AB40" s="113"/>
    </row>
    <row r="41" spans="1:29" ht="11.25" x14ac:dyDescent="0.15">
      <c r="A41" s="70" t="s">
        <v>8</v>
      </c>
      <c r="B41" s="71"/>
      <c r="C41" s="57">
        <f t="shared" ref="C41:W41" si="27">(SUM(C42:C45)+C46)*C9</f>
        <v>0</v>
      </c>
      <c r="D41" s="57">
        <f>(SUM(D42:D45)+D46)*D9</f>
        <v>7186.74</v>
      </c>
      <c r="E41" s="57">
        <f t="shared" si="27"/>
        <v>3273.8</v>
      </c>
      <c r="F41" s="57">
        <f t="shared" si="27"/>
        <v>290.75</v>
      </c>
      <c r="G41" s="57">
        <f>(SUM(G42:G45)+G46)*G9+220</f>
        <v>220</v>
      </c>
      <c r="H41" s="57">
        <f t="shared" si="27"/>
        <v>0</v>
      </c>
      <c r="I41" s="57">
        <f t="shared" si="27"/>
        <v>0</v>
      </c>
      <c r="J41" s="57">
        <f t="shared" si="27"/>
        <v>25588.9</v>
      </c>
      <c r="K41" s="57">
        <f>(SUM(K42:K45)+K46)*K9</f>
        <v>1859.22</v>
      </c>
      <c r="L41" s="57">
        <f t="shared" si="27"/>
        <v>0</v>
      </c>
      <c r="M41" s="57">
        <f t="shared" si="27"/>
        <v>52699.950000000004</v>
      </c>
      <c r="N41" s="57">
        <f>(SUM(N42:N45)+N46)*N9</f>
        <v>27912.400000000001</v>
      </c>
      <c r="O41" s="57">
        <f t="shared" si="27"/>
        <v>11545.380000000001</v>
      </c>
      <c r="P41" s="57">
        <f>(SUM(P42:P45)+P46)*P9</f>
        <v>1524.46</v>
      </c>
      <c r="Q41" s="57">
        <f t="shared" si="27"/>
        <v>1154.2</v>
      </c>
      <c r="R41" s="57">
        <f t="shared" si="27"/>
        <v>290.75</v>
      </c>
      <c r="S41" s="57">
        <f>(SUM(S42:S45)+S46)*S9</f>
        <v>654.52</v>
      </c>
      <c r="T41" s="57">
        <f t="shared" si="27"/>
        <v>770.75</v>
      </c>
      <c r="U41" s="57">
        <f t="shared" si="27"/>
        <v>294.67</v>
      </c>
      <c r="V41" s="57">
        <f t="shared" si="27"/>
        <v>588.43999999999994</v>
      </c>
      <c r="W41" s="57">
        <f t="shared" si="27"/>
        <v>256.51</v>
      </c>
      <c r="X41" s="65">
        <f>C41+D41+E41+M41+P41+Q41+R41+S41+F41+G41</f>
        <v>67295.170000000013</v>
      </c>
      <c r="Y41" s="38">
        <f>H41+I41+J41+K41+L41+N41+T41+U41+V41+W41</f>
        <v>57270.890000000007</v>
      </c>
      <c r="Z41" s="38">
        <f t="shared" si="26"/>
        <v>11545.380000000001</v>
      </c>
      <c r="AA41" s="38">
        <f t="shared" ref="AA41" si="28">X41+Y41+Z41</f>
        <v>136111.44000000003</v>
      </c>
      <c r="AB41" s="114" t="s">
        <v>42</v>
      </c>
    </row>
    <row r="42" spans="1:29" hidden="1" outlineLevel="1" x14ac:dyDescent="0.15">
      <c r="A42" s="115" t="s">
        <v>5</v>
      </c>
      <c r="B42" s="116"/>
      <c r="C42" s="76">
        <v>0</v>
      </c>
      <c r="D42" s="76">
        <v>159.97999999999999</v>
      </c>
      <c r="E42" s="57">
        <v>105.89</v>
      </c>
      <c r="F42" s="57">
        <v>232.95</v>
      </c>
      <c r="G42" s="117">
        <v>269.45999999999998</v>
      </c>
      <c r="H42" s="57">
        <v>0</v>
      </c>
      <c r="I42" s="57">
        <v>69.44</v>
      </c>
      <c r="J42" s="57">
        <v>96.35</v>
      </c>
      <c r="K42" s="57">
        <v>111.22</v>
      </c>
      <c r="L42" s="57">
        <v>213.83</v>
      </c>
      <c r="M42" s="57">
        <v>112.75</v>
      </c>
      <c r="N42" s="57">
        <v>122.28</v>
      </c>
      <c r="O42" s="57">
        <v>117.13</v>
      </c>
      <c r="P42" s="76">
        <v>159.97999999999999</v>
      </c>
      <c r="Q42" s="57">
        <v>230.75</v>
      </c>
      <c r="R42" s="57">
        <v>232.95</v>
      </c>
      <c r="S42" s="117">
        <v>269.45999999999998</v>
      </c>
      <c r="T42" s="57">
        <v>96.35</v>
      </c>
      <c r="U42" s="57">
        <v>236.87</v>
      </c>
      <c r="V42" s="57">
        <v>236.42</v>
      </c>
      <c r="W42" s="57">
        <v>198.71</v>
      </c>
      <c r="X42" s="118"/>
      <c r="Y42" s="119"/>
      <c r="Z42" s="119"/>
      <c r="AA42" s="120"/>
      <c r="AB42" s="121"/>
    </row>
    <row r="43" spans="1:29" hidden="1" outlineLevel="1" x14ac:dyDescent="0.15">
      <c r="A43" s="115" t="s">
        <v>6</v>
      </c>
      <c r="B43" s="116"/>
      <c r="C43" s="73">
        <v>0</v>
      </c>
      <c r="D43" s="76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122"/>
      <c r="Y43" s="123"/>
      <c r="Z43" s="123"/>
      <c r="AA43" s="121"/>
      <c r="AB43" s="121"/>
    </row>
    <row r="44" spans="1:29" s="61" customFormat="1" hidden="1" outlineLevel="1" x14ac:dyDescent="0.15">
      <c r="A44" s="115" t="s">
        <v>0</v>
      </c>
      <c r="B44" s="116"/>
      <c r="C44" s="76">
        <v>5</v>
      </c>
      <c r="D44" s="76">
        <v>5</v>
      </c>
      <c r="E44" s="57">
        <v>5</v>
      </c>
      <c r="F44" s="57">
        <v>5</v>
      </c>
      <c r="G44" s="57">
        <v>5</v>
      </c>
      <c r="H44" s="57">
        <v>5</v>
      </c>
      <c r="I44" s="57">
        <v>5</v>
      </c>
      <c r="J44" s="57">
        <v>5</v>
      </c>
      <c r="K44" s="57">
        <v>5</v>
      </c>
      <c r="L44" s="57">
        <v>5</v>
      </c>
      <c r="M44" s="57">
        <v>5</v>
      </c>
      <c r="N44" s="57">
        <v>5</v>
      </c>
      <c r="O44" s="57">
        <v>5</v>
      </c>
      <c r="P44" s="57">
        <v>5</v>
      </c>
      <c r="Q44" s="57">
        <v>5</v>
      </c>
      <c r="R44" s="57">
        <v>5</v>
      </c>
      <c r="S44" s="57">
        <v>5</v>
      </c>
      <c r="T44" s="57">
        <v>5</v>
      </c>
      <c r="U44" s="57">
        <v>5</v>
      </c>
      <c r="V44" s="57">
        <v>5</v>
      </c>
      <c r="W44" s="57">
        <v>5</v>
      </c>
      <c r="X44" s="124"/>
      <c r="Y44" s="125"/>
      <c r="Z44" s="125"/>
      <c r="AA44" s="126"/>
      <c r="AB44" s="126"/>
      <c r="AC44" s="102"/>
    </row>
    <row r="45" spans="1:29" hidden="1" outlineLevel="1" x14ac:dyDescent="0.15">
      <c r="A45" s="115" t="s">
        <v>1</v>
      </c>
      <c r="B45" s="116"/>
      <c r="C45" s="73">
        <v>42</v>
      </c>
      <c r="D45" s="76">
        <v>46</v>
      </c>
      <c r="E45" s="38">
        <v>46</v>
      </c>
      <c r="F45" s="38">
        <v>46</v>
      </c>
      <c r="G45" s="38">
        <v>46</v>
      </c>
      <c r="H45" s="38">
        <v>42</v>
      </c>
      <c r="I45" s="38">
        <v>42</v>
      </c>
      <c r="J45" s="38">
        <v>46</v>
      </c>
      <c r="K45" s="38">
        <v>46</v>
      </c>
      <c r="L45" s="38">
        <v>46</v>
      </c>
      <c r="M45" s="38">
        <v>46</v>
      </c>
      <c r="N45" s="38">
        <v>46</v>
      </c>
      <c r="O45" s="38">
        <v>46</v>
      </c>
      <c r="P45" s="38">
        <v>46</v>
      </c>
      <c r="Q45" s="38">
        <v>46</v>
      </c>
      <c r="R45" s="38">
        <v>46</v>
      </c>
      <c r="S45" s="38">
        <v>46</v>
      </c>
      <c r="T45" s="38">
        <v>46</v>
      </c>
      <c r="U45" s="38">
        <v>46</v>
      </c>
      <c r="V45" s="38">
        <v>46</v>
      </c>
      <c r="W45" s="38">
        <v>46</v>
      </c>
      <c r="X45" s="122"/>
      <c r="Y45" s="123"/>
      <c r="Z45" s="123"/>
      <c r="AA45" s="121"/>
      <c r="AB45" s="121"/>
    </row>
    <row r="46" spans="1:29" s="61" customFormat="1" hidden="1" outlineLevel="1" x14ac:dyDescent="0.15">
      <c r="A46" s="115" t="s">
        <v>2</v>
      </c>
      <c r="B46" s="116"/>
      <c r="C46" s="76">
        <f>3.4*2</f>
        <v>6.8</v>
      </c>
      <c r="D46" s="76">
        <f t="shared" ref="D46:W46" si="29">3.4*2</f>
        <v>6.8</v>
      </c>
      <c r="E46" s="76">
        <f t="shared" si="29"/>
        <v>6.8</v>
      </c>
      <c r="F46" s="76">
        <f t="shared" si="29"/>
        <v>6.8</v>
      </c>
      <c r="G46" s="76">
        <f t="shared" si="29"/>
        <v>6.8</v>
      </c>
      <c r="H46" s="76">
        <f t="shared" si="29"/>
        <v>6.8</v>
      </c>
      <c r="I46" s="76">
        <f t="shared" si="29"/>
        <v>6.8</v>
      </c>
      <c r="J46" s="76">
        <f t="shared" si="29"/>
        <v>6.8</v>
      </c>
      <c r="K46" s="76">
        <f t="shared" si="29"/>
        <v>6.8</v>
      </c>
      <c r="L46" s="76">
        <f t="shared" si="29"/>
        <v>6.8</v>
      </c>
      <c r="M46" s="76">
        <f t="shared" si="29"/>
        <v>6.8</v>
      </c>
      <c r="N46" s="76">
        <f t="shared" si="29"/>
        <v>6.8</v>
      </c>
      <c r="O46" s="76">
        <f t="shared" si="29"/>
        <v>6.8</v>
      </c>
      <c r="P46" s="76">
        <f t="shared" si="29"/>
        <v>6.8</v>
      </c>
      <c r="Q46" s="76">
        <f t="shared" si="29"/>
        <v>6.8</v>
      </c>
      <c r="R46" s="76">
        <f t="shared" si="29"/>
        <v>6.8</v>
      </c>
      <c r="S46" s="76">
        <f t="shared" si="29"/>
        <v>6.8</v>
      </c>
      <c r="T46" s="76">
        <f t="shared" si="29"/>
        <v>6.8</v>
      </c>
      <c r="U46" s="76">
        <f t="shared" si="29"/>
        <v>6.8</v>
      </c>
      <c r="V46" s="76">
        <f t="shared" si="29"/>
        <v>6.8</v>
      </c>
      <c r="W46" s="76">
        <f t="shared" si="29"/>
        <v>6.8</v>
      </c>
      <c r="X46" s="127"/>
      <c r="Y46" s="128"/>
      <c r="Z46" s="128"/>
      <c r="AA46" s="129"/>
      <c r="AB46" s="126"/>
      <c r="AC46" s="102"/>
    </row>
    <row r="47" spans="1:29" ht="11.25" collapsed="1" x14ac:dyDescent="0.15">
      <c r="A47" s="70" t="s">
        <v>105</v>
      </c>
      <c r="B47" s="71"/>
      <c r="C47" s="73">
        <v>0</v>
      </c>
      <c r="D47" s="76">
        <f>D6*3000/(D6+P6)</f>
        <v>2523.2273838630808</v>
      </c>
      <c r="E47" s="76">
        <f>E6*3000/(E6+M6+Q6)</f>
        <v>172.22837260793926</v>
      </c>
      <c r="F47" s="76">
        <f>F6*3000/(F6+R6)</f>
        <v>254.23728813559322</v>
      </c>
      <c r="G47" s="76">
        <f>G6*3000/(G6+S6)</f>
        <v>81.081081081081081</v>
      </c>
      <c r="H47" s="38">
        <v>0</v>
      </c>
      <c r="I47" s="38">
        <f>I6*3000/(I6+J6+T6)</f>
        <v>2402.4808656637633</v>
      </c>
      <c r="J47" s="38">
        <f>J6*3000/(J6+I6+T6)</f>
        <v>559.25046186328848</v>
      </c>
      <c r="K47" s="38">
        <f>K6*3000/(K6+N6+U6)</f>
        <v>145.86357039187229</v>
      </c>
      <c r="L47" s="38">
        <v>0</v>
      </c>
      <c r="M47" s="76">
        <f>M6*3000/(M6+Q6+E6)</f>
        <v>2795.9829195002371</v>
      </c>
      <c r="N47" s="38">
        <f>N6*3000/(N6+U6+K6)</f>
        <v>2821.480406386067</v>
      </c>
      <c r="O47" s="38">
        <v>3000</v>
      </c>
      <c r="P47" s="38">
        <f>P6*3000/(P6+D6)</f>
        <v>476.77261613691934</v>
      </c>
      <c r="Q47" s="76">
        <f>Q6*3000/(Q6+M6+E6)</f>
        <v>31.788707891823503</v>
      </c>
      <c r="R47" s="76">
        <f>R6*3000/(R6+F6)</f>
        <v>2745.7627118644068</v>
      </c>
      <c r="S47" s="76">
        <f>S6*3000/(S6+G6)</f>
        <v>2918.9189189189187</v>
      </c>
      <c r="T47" s="38">
        <f>T6*3000/(T6+I6+J6)</f>
        <v>38.268672472948005</v>
      </c>
      <c r="U47" s="38">
        <f>U6*3000/(U6+K6+N6)</f>
        <v>32.656023222060959</v>
      </c>
      <c r="V47" s="38">
        <v>3000</v>
      </c>
      <c r="W47" s="38">
        <v>3000</v>
      </c>
      <c r="X47" s="68">
        <f>C47+D47+E47+M47+P47+Q47+R47+S47+F47+G47</f>
        <v>12000.000000000002</v>
      </c>
      <c r="Y47" s="38">
        <f>H47+I47+J47+K47+L47+N47+T47+U47+V47+W47</f>
        <v>12000</v>
      </c>
      <c r="Z47" s="38">
        <f t="shared" ref="Z47" si="30">O47</f>
        <v>3000</v>
      </c>
      <c r="AA47" s="38">
        <f t="shared" ref="AA47" si="31">X47+Y47+Z47</f>
        <v>27000</v>
      </c>
      <c r="AB47" s="121"/>
    </row>
    <row r="48" spans="1:29" x14ac:dyDescent="0.15">
      <c r="A48" s="70" t="s">
        <v>100</v>
      </c>
      <c r="B48" s="71"/>
      <c r="C48" s="73">
        <f>C49+C50+C55</f>
        <v>0</v>
      </c>
      <c r="D48" s="76">
        <f t="shared" ref="D48:W48" si="32">D49+D50+D55</f>
        <v>1132.6553010902173</v>
      </c>
      <c r="E48" s="73">
        <f t="shared" si="32"/>
        <v>597.6073754298676</v>
      </c>
      <c r="F48" s="73">
        <f t="shared" ref="F48:G48" si="33">F49+F50+F55</f>
        <v>8.2315065486207661</v>
      </c>
      <c r="G48" s="73">
        <f t="shared" si="33"/>
        <v>4.9389039291724588</v>
      </c>
      <c r="H48" s="73">
        <f t="shared" si="32"/>
        <v>1387.8320040974611</v>
      </c>
      <c r="I48" s="73">
        <f t="shared" si="32"/>
        <v>14986.280822418965</v>
      </c>
      <c r="J48" s="73">
        <f>J49+J50+J55</f>
        <v>3988.5124753054802</v>
      </c>
      <c r="K48" s="73">
        <f t="shared" si="32"/>
        <v>441.20875100607304</v>
      </c>
      <c r="L48" s="73">
        <f t="shared" si="32"/>
        <v>210.72656764469158</v>
      </c>
      <c r="M48" s="73">
        <f t="shared" si="32"/>
        <v>12201.653618204435</v>
      </c>
      <c r="N48" s="73">
        <f t="shared" si="32"/>
        <v>9034.4259896100102</v>
      </c>
      <c r="O48" s="73">
        <f t="shared" si="32"/>
        <v>4306.7242262383843</v>
      </c>
      <c r="P48" s="73">
        <f t="shared" si="32"/>
        <v>549.38903929172454</v>
      </c>
      <c r="Q48" s="73">
        <f t="shared" si="32"/>
        <v>26.340820955586448</v>
      </c>
      <c r="R48" s="73">
        <f t="shared" si="32"/>
        <v>24.694519645862297</v>
      </c>
      <c r="S48" s="73">
        <f t="shared" si="32"/>
        <v>8374.4908660764377</v>
      </c>
      <c r="T48" s="73">
        <f t="shared" si="32"/>
        <v>42.80383405282798</v>
      </c>
      <c r="U48" s="73">
        <f t="shared" si="32"/>
        <v>14.816711787517377</v>
      </c>
      <c r="V48" s="73">
        <f t="shared" si="32"/>
        <v>0</v>
      </c>
      <c r="W48" s="73">
        <f t="shared" si="32"/>
        <v>16666.666666666668</v>
      </c>
      <c r="X48" s="73">
        <f>X49+X50+X55</f>
        <v>25953.996614125863</v>
      </c>
      <c r="Y48" s="38">
        <f t="shared" ref="Y48:Y74" si="34">H48+I48+J48+K48+L48+N48+T48+U48+V48+W48</f>
        <v>46773.273822589697</v>
      </c>
      <c r="Z48" s="73">
        <f t="shared" ref="Z48" si="35">Z49+Z50+Z55</f>
        <v>5494.7970885193918</v>
      </c>
      <c r="AA48" s="38">
        <f t="shared" ref="AA48" si="36">X48+Y48+Z48</f>
        <v>78222.067525234961</v>
      </c>
      <c r="AB48" s="74"/>
    </row>
    <row r="49" spans="1:29" s="61" customFormat="1" ht="11.25" x14ac:dyDescent="0.15">
      <c r="A49" s="70" t="s">
        <v>22</v>
      </c>
      <c r="B49" s="71"/>
      <c r="C49" s="76">
        <f>C6*$AA$49/($AA$6-$P$6-$Q$6-$R$6-$S$6-$T$6-$U$6-$V$6-$W$6+121)</f>
        <v>0</v>
      </c>
      <c r="D49" s="76">
        <f>D6*$AA$49/($AA$6-$P$6-$Q$6-$R$6-$S$6-$T$6-$U$6-$V$6-$W$6+121)</f>
        <v>1132.6553010902173</v>
      </c>
      <c r="E49" s="76">
        <f>E6*$AA$49/($AA$6-$P$6-$Q$6-$R$6-$S$6-$T$6-$U$6-$V$6-$W$6+121)</f>
        <v>597.6073754298676</v>
      </c>
      <c r="F49" s="76">
        <f t="shared" ref="F49:G49" si="37">F6*$AA$49/($AA$6-$P$6-$Q$6-$R$6-$S$6-$T$6-$U$6-$V$6-$W$6+121)</f>
        <v>8.2315065486207661</v>
      </c>
      <c r="G49" s="76">
        <f t="shared" si="37"/>
        <v>4.9389039291724588</v>
      </c>
      <c r="H49" s="76">
        <f t="shared" ref="H49:O49" si="38">H6*$AA$49/($AA$6-$P$6-$Q$6-$R$6-$S$6-$T$6-$U$6-$V$6-$W$6+121)</f>
        <v>1387.8320040974611</v>
      </c>
      <c r="I49" s="76">
        <f t="shared" si="38"/>
        <v>14986.280822418965</v>
      </c>
      <c r="J49" s="76">
        <f t="shared" si="38"/>
        <v>3488.5124753054802</v>
      </c>
      <c r="K49" s="76">
        <f t="shared" si="38"/>
        <v>441.20875100607304</v>
      </c>
      <c r="L49" s="76">
        <f t="shared" si="38"/>
        <v>210.72656764469158</v>
      </c>
      <c r="M49" s="76">
        <f t="shared" si="38"/>
        <v>9701.6536182044347</v>
      </c>
      <c r="N49" s="76">
        <f t="shared" si="38"/>
        <v>8534.4259896100102</v>
      </c>
      <c r="O49" s="76">
        <f t="shared" si="38"/>
        <v>4306.7242262383843</v>
      </c>
      <c r="P49" s="76">
        <f>30*$AA$49/($AA$6-$P$6-$Q$6-$R$6-$S$6-$T$6-$U$6-$V$6-$W$6+121)</f>
        <v>49.389039291724593</v>
      </c>
      <c r="Q49" s="76">
        <f>16*$AA$49/($AA$6-$P$6-$Q$6-$R$6-$S$6-$T$6-$U$6-$V$6-$W$6+121)</f>
        <v>26.340820955586448</v>
      </c>
      <c r="R49" s="76">
        <f>15*$AA$49/($AA$6-$P$6-$Q$6-$R$6-$S$6-$T$6-$U$6-$V$6-$W$6+121)</f>
        <v>24.694519645862297</v>
      </c>
      <c r="S49" s="76">
        <f>25*$AA$49/($AA$6-$P$6-$Q$6-$R$6-$S$6-$T$6-$U$6-$V$6-$W$6+121)</f>
        <v>41.157532743103829</v>
      </c>
      <c r="T49" s="76">
        <f>26*$AA$49/($AA$6-$P$6-$Q$6-$R$6-$S$6-$T$6-$U$6-$V$6-$W$6+121)</f>
        <v>42.80383405282798</v>
      </c>
      <c r="U49" s="76">
        <f>9*$AA$49/($AA$6-$P$6-$Q$6-$R$6-$S$6-$T$6-$U$6-$V$6-$W$6+121)</f>
        <v>14.816711787517377</v>
      </c>
      <c r="V49" s="57">
        <v>0</v>
      </c>
      <c r="W49" s="57">
        <v>0</v>
      </c>
      <c r="X49" s="65">
        <f>C49+D49+E49+M49+P49+Q49+R49+S49+F49+G49</f>
        <v>11586.66861783859</v>
      </c>
      <c r="Y49" s="57">
        <f>H49+I49+J49+K49+L49+N49+T49+U49+V49+W49</f>
        <v>29106.607155923029</v>
      </c>
      <c r="Z49" s="57">
        <f t="shared" ref="Z49" si="39">O49</f>
        <v>4306.7242262383843</v>
      </c>
      <c r="AA49" s="57">
        <v>45000</v>
      </c>
      <c r="AB49" s="77" t="s">
        <v>42</v>
      </c>
      <c r="AC49" s="102"/>
    </row>
    <row r="50" spans="1:29" ht="11.25" customHeight="1" x14ac:dyDescent="0.15">
      <c r="A50" s="70" t="s">
        <v>106</v>
      </c>
      <c r="B50" s="71"/>
      <c r="C50" s="73">
        <f>C51+C52+C53</f>
        <v>0</v>
      </c>
      <c r="D50" s="73">
        <f t="shared" ref="D50:W50" si="40">D51+D52+D53</f>
        <v>0</v>
      </c>
      <c r="E50" s="73">
        <f t="shared" si="40"/>
        <v>0</v>
      </c>
      <c r="F50" s="73">
        <f t="shared" ref="F50:G50" si="41">F51+F52+F53</f>
        <v>0</v>
      </c>
      <c r="G50" s="73">
        <f t="shared" si="41"/>
        <v>0</v>
      </c>
      <c r="H50" s="73">
        <f t="shared" si="40"/>
        <v>0</v>
      </c>
      <c r="I50" s="73">
        <f t="shared" si="40"/>
        <v>0</v>
      </c>
      <c r="J50" s="73">
        <f t="shared" si="40"/>
        <v>0</v>
      </c>
      <c r="K50" s="73">
        <f t="shared" si="40"/>
        <v>0</v>
      </c>
      <c r="L50" s="73">
        <f t="shared" si="40"/>
        <v>0</v>
      </c>
      <c r="M50" s="73">
        <f t="shared" si="40"/>
        <v>0</v>
      </c>
      <c r="N50" s="73">
        <f t="shared" si="40"/>
        <v>0</v>
      </c>
      <c r="O50" s="73">
        <f t="shared" si="40"/>
        <v>0</v>
      </c>
      <c r="P50" s="73">
        <f t="shared" si="40"/>
        <v>0</v>
      </c>
      <c r="Q50" s="73">
        <f t="shared" si="40"/>
        <v>0</v>
      </c>
      <c r="R50" s="73">
        <f t="shared" si="40"/>
        <v>0</v>
      </c>
      <c r="S50" s="73">
        <f t="shared" si="40"/>
        <v>0</v>
      </c>
      <c r="T50" s="73">
        <f t="shared" si="40"/>
        <v>0</v>
      </c>
      <c r="U50" s="73">
        <f t="shared" si="40"/>
        <v>0</v>
      </c>
      <c r="V50" s="73">
        <f t="shared" si="40"/>
        <v>0</v>
      </c>
      <c r="W50" s="73">
        <f t="shared" si="40"/>
        <v>0</v>
      </c>
      <c r="X50" s="73">
        <f>SUM(X51:X53)</f>
        <v>0</v>
      </c>
      <c r="Y50" s="73">
        <f t="shared" ref="Y50:Z50" si="42">SUM(Y51:Y53)</f>
        <v>0</v>
      </c>
      <c r="Z50" s="73">
        <f t="shared" si="42"/>
        <v>0</v>
      </c>
      <c r="AA50" s="73">
        <f>SUM(AA51:AA53)</f>
        <v>0</v>
      </c>
      <c r="AB50" s="74" t="s">
        <v>49</v>
      </c>
    </row>
    <row r="51" spans="1:29" s="61" customFormat="1" hidden="1" outlineLevel="1" x14ac:dyDescent="0.15">
      <c r="A51" s="115"/>
      <c r="B51" s="116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>
        <f>C51+D51+E51+M51+P51+Q51+R51+S51</f>
        <v>0</v>
      </c>
      <c r="Y51" s="57">
        <f>H51+I51+J51+K51+L51+N51+T51+U51+V51+W51</f>
        <v>0</v>
      </c>
      <c r="Z51" s="57">
        <f t="shared" ref="Z51:Z54" si="43">O51</f>
        <v>0</v>
      </c>
      <c r="AA51" s="57"/>
      <c r="AB51" s="130"/>
      <c r="AC51" s="102"/>
    </row>
    <row r="52" spans="1:29" s="61" customFormat="1" ht="12" hidden="1" customHeight="1" outlineLevel="1" x14ac:dyDescent="0.15">
      <c r="A52" s="115"/>
      <c r="B52" s="116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2">
        <f>C52+D52+E52+M52+P52+Q52+R52+S52</f>
        <v>0</v>
      </c>
      <c r="Y52" s="132">
        <f>H52+I52+J52+K52+L52+N52+T52+U52+V52+W52</f>
        <v>0</v>
      </c>
      <c r="Z52" s="132">
        <f t="shared" si="43"/>
        <v>0</v>
      </c>
      <c r="AA52" s="132"/>
      <c r="AB52" s="130"/>
      <c r="AC52" s="102"/>
    </row>
    <row r="53" spans="1:29" s="134" customFormat="1" hidden="1" outlineLevel="1" x14ac:dyDescent="0.15">
      <c r="A53" s="115"/>
      <c r="B53" s="116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>
        <f>C53+D53+E53+M53+P53+Q53+R53+S53</f>
        <v>0</v>
      </c>
      <c r="Y53" s="57">
        <f>H53+I53+J53+K53+L53+N53+T53+U53+V53+W53</f>
        <v>0</v>
      </c>
      <c r="Z53" s="57">
        <f t="shared" si="43"/>
        <v>0</v>
      </c>
      <c r="AA53" s="57"/>
      <c r="AB53" s="130"/>
      <c r="AC53" s="133"/>
    </row>
    <row r="54" spans="1:29" s="134" customFormat="1" ht="11.25" hidden="1" outlineLevel="1" x14ac:dyDescent="0.15">
      <c r="A54" s="115" t="s">
        <v>108</v>
      </c>
      <c r="B54" s="116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65">
        <f>C54+D54+E54+M54+P54+Q54+R54+S54+F54+G54</f>
        <v>0</v>
      </c>
      <c r="Y54" s="57">
        <f t="shared" ref="Y54" si="44">H54+I54+J54+K54+L54+N54+T54+U54+V54+W54</f>
        <v>0</v>
      </c>
      <c r="Z54" s="57">
        <f t="shared" si="43"/>
        <v>0</v>
      </c>
      <c r="AA54" s="57">
        <f t="shared" ref="AA54" si="45">X54+Y54+Z54</f>
        <v>0</v>
      </c>
      <c r="AB54" s="130"/>
      <c r="AC54" s="133"/>
    </row>
    <row r="55" spans="1:29" collapsed="1" x14ac:dyDescent="0.15">
      <c r="A55" s="70" t="s">
        <v>14</v>
      </c>
      <c r="B55" s="71"/>
      <c r="C55" s="73">
        <f>C56+C57+C58+C59+C60+C61+C63</f>
        <v>0</v>
      </c>
      <c r="D55" s="73">
        <f t="shared" ref="D55:N55" si="46">D56+D57+D58+D59+D60+D61+D63</f>
        <v>0</v>
      </c>
      <c r="E55" s="73">
        <f t="shared" si="46"/>
        <v>0</v>
      </c>
      <c r="F55" s="73">
        <f t="shared" si="46"/>
        <v>0</v>
      </c>
      <c r="G55" s="73">
        <f t="shared" si="46"/>
        <v>0</v>
      </c>
      <c r="H55" s="73">
        <f t="shared" si="46"/>
        <v>0</v>
      </c>
      <c r="I55" s="73">
        <f t="shared" si="46"/>
        <v>0</v>
      </c>
      <c r="J55" s="73">
        <f t="shared" si="46"/>
        <v>500</v>
      </c>
      <c r="K55" s="73">
        <f t="shared" si="46"/>
        <v>0</v>
      </c>
      <c r="L55" s="73">
        <f t="shared" si="46"/>
        <v>0</v>
      </c>
      <c r="M55" s="73">
        <f t="shared" si="46"/>
        <v>2500</v>
      </c>
      <c r="N55" s="73">
        <f t="shared" si="46"/>
        <v>500</v>
      </c>
      <c r="O55" s="73">
        <f>O56+O57+O58+O59+O60+O61+O63</f>
        <v>0</v>
      </c>
      <c r="P55" s="73">
        <f t="shared" ref="P55:W55" si="47">P56+P57+P58+P59+P60+P61+P63</f>
        <v>500</v>
      </c>
      <c r="Q55" s="73">
        <f t="shared" si="47"/>
        <v>0</v>
      </c>
      <c r="R55" s="73">
        <f t="shared" si="47"/>
        <v>0</v>
      </c>
      <c r="S55" s="73">
        <f t="shared" si="47"/>
        <v>8333.3333333333339</v>
      </c>
      <c r="T55" s="73">
        <f t="shared" si="47"/>
        <v>0</v>
      </c>
      <c r="U55" s="73">
        <f t="shared" si="47"/>
        <v>0</v>
      </c>
      <c r="V55" s="73">
        <f t="shared" si="47"/>
        <v>0</v>
      </c>
      <c r="W55" s="73">
        <f t="shared" si="47"/>
        <v>16666.666666666668</v>
      </c>
      <c r="X55" s="73">
        <f>SUM(X56:X63)</f>
        <v>14367.327996287273</v>
      </c>
      <c r="Y55" s="73">
        <f t="shared" ref="Y55:Z55" si="48">SUM(Y56:Y63)</f>
        <v>23444.599141431721</v>
      </c>
      <c r="Z55" s="73">
        <f t="shared" si="48"/>
        <v>1188.072862281007</v>
      </c>
      <c r="AA55" s="73">
        <f>SUM(AA56:AA63)</f>
        <v>39000</v>
      </c>
      <c r="AB55" s="74" t="s">
        <v>49</v>
      </c>
    </row>
    <row r="56" spans="1:29" ht="11.25" hidden="1" customHeight="1" outlineLevel="1" x14ac:dyDescent="0.15">
      <c r="A56" s="135"/>
      <c r="B56" s="136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8"/>
    </row>
    <row r="57" spans="1:29" s="61" customFormat="1" ht="11.25" hidden="1" outlineLevel="1" x14ac:dyDescent="0.15">
      <c r="A57" s="115" t="s">
        <v>104</v>
      </c>
      <c r="B57" s="116"/>
      <c r="C57" s="57">
        <v>0</v>
      </c>
      <c r="D57" s="57">
        <v>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f>26*25000/(26+W6)</f>
        <v>8333.3333333333339</v>
      </c>
      <c r="T57" s="57">
        <v>0</v>
      </c>
      <c r="U57" s="57">
        <v>0</v>
      </c>
      <c r="V57" s="57">
        <v>0</v>
      </c>
      <c r="W57" s="57">
        <f>W6*25000/(26+W6)</f>
        <v>16666.666666666668</v>
      </c>
      <c r="X57" s="65">
        <f t="shared" ref="X57:X63" si="49">C57+D57+E57+M57+P57+Q57+R57+S57+F57+G57</f>
        <v>8333.3333333333339</v>
      </c>
      <c r="Y57" s="57">
        <f t="shared" ref="Y57:Y63" si="50">H57+I57+J57+K57+L57+N57+T57+U57+V57+W57</f>
        <v>16666.666666666668</v>
      </c>
      <c r="Z57" s="57">
        <f t="shared" ref="Z57:Z63" si="51">O57</f>
        <v>0</v>
      </c>
      <c r="AA57" s="57">
        <v>25000</v>
      </c>
      <c r="AB57" s="130"/>
      <c r="AC57" s="102"/>
    </row>
    <row r="58" spans="1:29" s="61" customFormat="1" ht="11.25" hidden="1" outlineLevel="1" x14ac:dyDescent="0.15">
      <c r="A58" s="115" t="s">
        <v>103</v>
      </c>
      <c r="B58" s="116"/>
      <c r="C58" s="57">
        <f>C7*$AA$58/$AA$7</f>
        <v>0</v>
      </c>
      <c r="D58" s="57">
        <f>D7*$AA$58/$AA$7</f>
        <v>0</v>
      </c>
      <c r="E58" s="57">
        <f>E7*$AA$58/$AA$7</f>
        <v>0</v>
      </c>
      <c r="F58" s="57">
        <f t="shared" ref="F58:G58" si="52">F7*$AA$58/$AA$7</f>
        <v>0</v>
      </c>
      <c r="G58" s="57">
        <f t="shared" si="52"/>
        <v>0</v>
      </c>
      <c r="H58" s="57">
        <f t="shared" ref="H58:W58" si="53">H7*$AA$58/$AA$7</f>
        <v>0</v>
      </c>
      <c r="I58" s="57">
        <f t="shared" si="53"/>
        <v>0</v>
      </c>
      <c r="J58" s="57">
        <f t="shared" si="53"/>
        <v>0</v>
      </c>
      <c r="K58" s="57">
        <f t="shared" si="53"/>
        <v>0</v>
      </c>
      <c r="L58" s="57">
        <f t="shared" si="53"/>
        <v>0</v>
      </c>
      <c r="M58" s="57">
        <f t="shared" si="53"/>
        <v>0</v>
      </c>
      <c r="N58" s="57">
        <f t="shared" si="53"/>
        <v>0</v>
      </c>
      <c r="O58" s="57">
        <f t="shared" si="53"/>
        <v>0</v>
      </c>
      <c r="P58" s="57">
        <f t="shared" si="53"/>
        <v>0</v>
      </c>
      <c r="Q58" s="57">
        <f t="shared" si="53"/>
        <v>0</v>
      </c>
      <c r="R58" s="57">
        <f t="shared" si="53"/>
        <v>0</v>
      </c>
      <c r="S58" s="57">
        <f t="shared" si="53"/>
        <v>0</v>
      </c>
      <c r="T58" s="57">
        <f t="shared" si="53"/>
        <v>0</v>
      </c>
      <c r="U58" s="57">
        <f t="shared" si="53"/>
        <v>0</v>
      </c>
      <c r="V58" s="57">
        <f t="shared" si="53"/>
        <v>0</v>
      </c>
      <c r="W58" s="57">
        <f t="shared" si="53"/>
        <v>0</v>
      </c>
      <c r="X58" s="65">
        <f t="shared" si="49"/>
        <v>0</v>
      </c>
      <c r="Y58" s="57">
        <f t="shared" si="50"/>
        <v>0</v>
      </c>
      <c r="Z58" s="57">
        <f t="shared" si="51"/>
        <v>0</v>
      </c>
      <c r="AA58" s="57">
        <v>0</v>
      </c>
      <c r="AB58" s="130"/>
      <c r="AC58" s="102"/>
    </row>
    <row r="59" spans="1:29" s="61" customFormat="1" ht="11.25" hidden="1" outlineLevel="1" x14ac:dyDescent="0.15">
      <c r="A59" s="115" t="s">
        <v>102</v>
      </c>
      <c r="B59" s="116"/>
      <c r="C59" s="57">
        <f>C7*$AA$59/$AA$7</f>
        <v>0</v>
      </c>
      <c r="D59" s="57">
        <f>D7*$AA$59/$AA$7</f>
        <v>0</v>
      </c>
      <c r="E59" s="57">
        <f>E7*$AA$59/$AA$7</f>
        <v>0</v>
      </c>
      <c r="F59" s="57">
        <f t="shared" ref="F59:G59" si="54">F7*$AA$59/$AA$7</f>
        <v>0</v>
      </c>
      <c r="G59" s="57">
        <f t="shared" si="54"/>
        <v>0</v>
      </c>
      <c r="H59" s="57">
        <f t="shared" ref="H59:W59" si="55">H7*$AA$59/$AA$7</f>
        <v>0</v>
      </c>
      <c r="I59" s="57">
        <f t="shared" si="55"/>
        <v>0</v>
      </c>
      <c r="J59" s="57">
        <f t="shared" si="55"/>
        <v>0</v>
      </c>
      <c r="K59" s="57">
        <f t="shared" si="55"/>
        <v>0</v>
      </c>
      <c r="L59" s="57">
        <f t="shared" si="55"/>
        <v>0</v>
      </c>
      <c r="M59" s="57">
        <f t="shared" si="55"/>
        <v>0</v>
      </c>
      <c r="N59" s="57">
        <f t="shared" si="55"/>
        <v>0</v>
      </c>
      <c r="O59" s="57">
        <f t="shared" si="55"/>
        <v>0</v>
      </c>
      <c r="P59" s="57">
        <f t="shared" si="55"/>
        <v>0</v>
      </c>
      <c r="Q59" s="57">
        <f t="shared" si="55"/>
        <v>0</v>
      </c>
      <c r="R59" s="57">
        <f t="shared" si="55"/>
        <v>0</v>
      </c>
      <c r="S59" s="57">
        <f t="shared" si="55"/>
        <v>0</v>
      </c>
      <c r="T59" s="57">
        <f t="shared" si="55"/>
        <v>0</v>
      </c>
      <c r="U59" s="57">
        <f t="shared" si="55"/>
        <v>0</v>
      </c>
      <c r="V59" s="57">
        <f t="shared" si="55"/>
        <v>0</v>
      </c>
      <c r="W59" s="57">
        <f t="shared" si="55"/>
        <v>0</v>
      </c>
      <c r="X59" s="65">
        <f t="shared" si="49"/>
        <v>0</v>
      </c>
      <c r="Y59" s="57">
        <f t="shared" si="50"/>
        <v>0</v>
      </c>
      <c r="Z59" s="57">
        <f t="shared" si="51"/>
        <v>0</v>
      </c>
      <c r="AA59" s="57">
        <v>0</v>
      </c>
      <c r="AB59" s="130"/>
      <c r="AC59" s="102"/>
    </row>
    <row r="60" spans="1:29" s="61" customFormat="1" ht="11.25" hidden="1" outlineLevel="1" x14ac:dyDescent="0.15">
      <c r="A60" s="115" t="s">
        <v>101</v>
      </c>
      <c r="B60" s="116"/>
      <c r="C60" s="57">
        <f>C7*$AA$60/$AA$7</f>
        <v>0</v>
      </c>
      <c r="D60" s="57">
        <f>D7*$AA$60/$AA$7</f>
        <v>0</v>
      </c>
      <c r="E60" s="57">
        <f>E7*$AA$60/$AA$7</f>
        <v>0</v>
      </c>
      <c r="F60" s="57">
        <f t="shared" ref="F60:G60" si="56">F7*$AA$60/$AA$7</f>
        <v>0</v>
      </c>
      <c r="G60" s="57">
        <f t="shared" si="56"/>
        <v>0</v>
      </c>
      <c r="H60" s="57">
        <f t="shared" ref="H60:W60" si="57">H7*$AA$60/$AA$7</f>
        <v>0</v>
      </c>
      <c r="I60" s="57">
        <f t="shared" si="57"/>
        <v>0</v>
      </c>
      <c r="J60" s="57">
        <f t="shared" si="57"/>
        <v>0</v>
      </c>
      <c r="K60" s="57">
        <f t="shared" si="57"/>
        <v>0</v>
      </c>
      <c r="L60" s="57">
        <f t="shared" si="57"/>
        <v>0</v>
      </c>
      <c r="M60" s="57">
        <f t="shared" si="57"/>
        <v>0</v>
      </c>
      <c r="N60" s="57">
        <f t="shared" si="57"/>
        <v>0</v>
      </c>
      <c r="O60" s="57">
        <f t="shared" si="57"/>
        <v>0</v>
      </c>
      <c r="P60" s="57">
        <f t="shared" si="57"/>
        <v>0</v>
      </c>
      <c r="Q60" s="57">
        <f t="shared" si="57"/>
        <v>0</v>
      </c>
      <c r="R60" s="57">
        <f t="shared" si="57"/>
        <v>0</v>
      </c>
      <c r="S60" s="57">
        <f t="shared" si="57"/>
        <v>0</v>
      </c>
      <c r="T60" s="57">
        <f t="shared" si="57"/>
        <v>0</v>
      </c>
      <c r="U60" s="57">
        <f t="shared" si="57"/>
        <v>0</v>
      </c>
      <c r="V60" s="57">
        <f t="shared" si="57"/>
        <v>0</v>
      </c>
      <c r="W60" s="57">
        <f t="shared" si="57"/>
        <v>0</v>
      </c>
      <c r="X60" s="65">
        <f t="shared" si="49"/>
        <v>0</v>
      </c>
      <c r="Y60" s="57">
        <f t="shared" si="50"/>
        <v>0</v>
      </c>
      <c r="Z60" s="57">
        <f t="shared" si="51"/>
        <v>0</v>
      </c>
      <c r="AA60" s="57"/>
      <c r="AB60" s="130"/>
      <c r="AC60" s="102"/>
    </row>
    <row r="61" spans="1:29" s="61" customFormat="1" ht="11.25" hidden="1" outlineLevel="1" x14ac:dyDescent="0.15">
      <c r="A61" s="115" t="s">
        <v>24</v>
      </c>
      <c r="B61" s="116"/>
      <c r="C61" s="57">
        <v>0</v>
      </c>
      <c r="D61" s="57">
        <v>0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 s="57">
        <v>500</v>
      </c>
      <c r="K61" s="57">
        <v>0</v>
      </c>
      <c r="L61" s="57">
        <v>0</v>
      </c>
      <c r="M61" s="57">
        <v>2500</v>
      </c>
      <c r="N61" s="57">
        <v>500</v>
      </c>
      <c r="O61" s="57">
        <v>0</v>
      </c>
      <c r="P61" s="57">
        <v>500</v>
      </c>
      <c r="Q61" s="57">
        <v>0</v>
      </c>
      <c r="R61" s="57">
        <v>0</v>
      </c>
      <c r="S61" s="57">
        <v>0</v>
      </c>
      <c r="T61" s="57">
        <v>0</v>
      </c>
      <c r="U61" s="57">
        <v>0</v>
      </c>
      <c r="V61" s="57">
        <v>0</v>
      </c>
      <c r="W61" s="57">
        <v>0</v>
      </c>
      <c r="X61" s="65">
        <f t="shared" si="49"/>
        <v>3000</v>
      </c>
      <c r="Y61" s="57">
        <f t="shared" si="50"/>
        <v>1000</v>
      </c>
      <c r="Z61" s="57">
        <f t="shared" si="51"/>
        <v>0</v>
      </c>
      <c r="AA61" s="57">
        <f t="shared" ref="AA61" si="58">X61+Y61+Z61</f>
        <v>4000</v>
      </c>
      <c r="AB61" s="130"/>
      <c r="AC61" s="102"/>
    </row>
    <row r="62" spans="1:29" s="61" customFormat="1" ht="11.25" hidden="1" customHeight="1" outlineLevel="1" x14ac:dyDescent="0.15">
      <c r="A62" s="115" t="s">
        <v>107</v>
      </c>
      <c r="B62" s="116"/>
      <c r="C62" s="57">
        <f>C7*$AA$62/$AA$7</f>
        <v>0</v>
      </c>
      <c r="D62" s="57">
        <f t="shared" ref="D62:W62" si="59">D7*$AA$62/$AA$7</f>
        <v>302.81935259310825</v>
      </c>
      <c r="E62" s="57">
        <f t="shared" si="59"/>
        <v>117.18296786170089</v>
      </c>
      <c r="F62" s="57">
        <f t="shared" si="59"/>
        <v>0</v>
      </c>
      <c r="G62" s="57">
        <f t="shared" si="59"/>
        <v>1.1602274045712959</v>
      </c>
      <c r="H62" s="57">
        <f t="shared" si="59"/>
        <v>237.84661793711567</v>
      </c>
      <c r="I62" s="57">
        <f t="shared" si="59"/>
        <v>1505.9751711335421</v>
      </c>
      <c r="J62" s="57">
        <f t="shared" si="59"/>
        <v>1391.1126580809839</v>
      </c>
      <c r="K62" s="57">
        <f t="shared" si="59"/>
        <v>174.0341106856944</v>
      </c>
      <c r="L62" s="57">
        <f t="shared" si="59"/>
        <v>8.121591831999071</v>
      </c>
      <c r="M62" s="57">
        <f t="shared" si="59"/>
        <v>2432.9968673860076</v>
      </c>
      <c r="N62" s="57">
        <f t="shared" si="59"/>
        <v>2357.5820860888734</v>
      </c>
      <c r="O62" s="57">
        <f t="shared" si="59"/>
        <v>1188.072862281007</v>
      </c>
      <c r="P62" s="57">
        <f t="shared" si="59"/>
        <v>51.050005801137026</v>
      </c>
      <c r="Q62" s="57">
        <f t="shared" si="59"/>
        <v>33.646594732567586</v>
      </c>
      <c r="R62" s="57">
        <f t="shared" si="59"/>
        <v>29.0056851142824</v>
      </c>
      <c r="S62" s="57">
        <f t="shared" si="59"/>
        <v>66.132962060563869</v>
      </c>
      <c r="T62" s="57">
        <f t="shared" si="59"/>
        <v>51.050005801137026</v>
      </c>
      <c r="U62" s="57">
        <f t="shared" si="59"/>
        <v>25.525002900568513</v>
      </c>
      <c r="V62" s="57">
        <f t="shared" si="59"/>
        <v>4.6409096182851837</v>
      </c>
      <c r="W62" s="57">
        <f t="shared" si="59"/>
        <v>22.044320686854622</v>
      </c>
      <c r="X62" s="65">
        <f t="shared" si="49"/>
        <v>3033.994662953939</v>
      </c>
      <c r="Y62" s="57">
        <f t="shared" si="50"/>
        <v>5777.9324747650535</v>
      </c>
      <c r="Z62" s="57">
        <f t="shared" si="51"/>
        <v>1188.072862281007</v>
      </c>
      <c r="AA62" s="57">
        <v>10000</v>
      </c>
      <c r="AB62" s="117">
        <f t="shared" ref="AB62" si="60">Q62</f>
        <v>33.646594732567586</v>
      </c>
      <c r="AC62" s="139"/>
    </row>
    <row r="63" spans="1:29" s="61" customFormat="1" ht="11.25" hidden="1" outlineLevel="1" x14ac:dyDescent="0.15">
      <c r="A63" s="115" t="s">
        <v>87</v>
      </c>
      <c r="B63" s="116"/>
      <c r="C63" s="57">
        <f>C7*$AA$63/$AA$7</f>
        <v>0</v>
      </c>
      <c r="D63" s="57">
        <f>D7*$AA$63/$AA$7</f>
        <v>0</v>
      </c>
      <c r="E63" s="57">
        <f>E7*$AA$63/$AA$7</f>
        <v>0</v>
      </c>
      <c r="F63" s="57">
        <f t="shared" ref="F63:G63" si="61">F7*$AA$63/$AA$7</f>
        <v>0</v>
      </c>
      <c r="G63" s="57">
        <f t="shared" si="61"/>
        <v>0</v>
      </c>
      <c r="H63" s="57">
        <f t="shared" ref="H63:W63" si="62">H7*$AA$63/$AA$7</f>
        <v>0</v>
      </c>
      <c r="I63" s="57">
        <f t="shared" si="62"/>
        <v>0</v>
      </c>
      <c r="J63" s="57">
        <f t="shared" si="62"/>
        <v>0</v>
      </c>
      <c r="K63" s="57">
        <f t="shared" si="62"/>
        <v>0</v>
      </c>
      <c r="L63" s="57">
        <f t="shared" si="62"/>
        <v>0</v>
      </c>
      <c r="M63" s="57">
        <f t="shared" si="62"/>
        <v>0</v>
      </c>
      <c r="N63" s="57">
        <f t="shared" si="62"/>
        <v>0</v>
      </c>
      <c r="O63" s="57">
        <f t="shared" si="62"/>
        <v>0</v>
      </c>
      <c r="P63" s="57">
        <f t="shared" si="62"/>
        <v>0</v>
      </c>
      <c r="Q63" s="57">
        <f t="shared" si="62"/>
        <v>0</v>
      </c>
      <c r="R63" s="57">
        <f t="shared" si="62"/>
        <v>0</v>
      </c>
      <c r="S63" s="57">
        <f t="shared" si="62"/>
        <v>0</v>
      </c>
      <c r="T63" s="57">
        <f t="shared" si="62"/>
        <v>0</v>
      </c>
      <c r="U63" s="57">
        <f t="shared" si="62"/>
        <v>0</v>
      </c>
      <c r="V63" s="57">
        <f t="shared" si="62"/>
        <v>0</v>
      </c>
      <c r="W63" s="57">
        <f t="shared" si="62"/>
        <v>0</v>
      </c>
      <c r="X63" s="65">
        <f t="shared" si="49"/>
        <v>0</v>
      </c>
      <c r="Y63" s="57">
        <f t="shared" si="50"/>
        <v>0</v>
      </c>
      <c r="Z63" s="57">
        <f t="shared" si="51"/>
        <v>0</v>
      </c>
      <c r="AA63" s="57">
        <v>0</v>
      </c>
      <c r="AB63" s="130"/>
      <c r="AC63" s="102"/>
    </row>
    <row r="64" spans="1:29" collapsed="1" x14ac:dyDescent="0.15">
      <c r="A64" s="34" t="s">
        <v>50</v>
      </c>
      <c r="B64" s="35"/>
      <c r="C64" s="73">
        <f>C65+C66</f>
        <v>261.10000000000002</v>
      </c>
      <c r="D64" s="76">
        <f t="shared" ref="D64:W64" si="63">D65+D66</f>
        <v>123290.35</v>
      </c>
      <c r="E64" s="73">
        <f t="shared" si="63"/>
        <v>119345.16</v>
      </c>
      <c r="F64" s="73">
        <f t="shared" ref="F64:G64" si="64">F65+F66</f>
        <v>0</v>
      </c>
      <c r="G64" s="73">
        <f t="shared" si="64"/>
        <v>2347.3200000000002</v>
      </c>
      <c r="H64" s="73">
        <f t="shared" si="63"/>
        <v>72385.809999999983</v>
      </c>
      <c r="I64" s="73">
        <f t="shared" si="63"/>
        <v>206502.35</v>
      </c>
      <c r="J64" s="73">
        <f t="shared" si="63"/>
        <v>265805.21999999997</v>
      </c>
      <c r="K64" s="73">
        <f t="shared" si="63"/>
        <v>38819.520000000004</v>
      </c>
      <c r="L64" s="73">
        <f t="shared" si="63"/>
        <v>1070.8800000000001</v>
      </c>
      <c r="M64" s="73">
        <f t="shared" si="63"/>
        <v>725237.07</v>
      </c>
      <c r="N64" s="73">
        <f>N65+N66</f>
        <v>351068.62</v>
      </c>
      <c r="O64" s="73">
        <f>O65+O66</f>
        <v>49103.729999999996</v>
      </c>
      <c r="P64" s="73">
        <f t="shared" si="63"/>
        <v>79619.16</v>
      </c>
      <c r="Q64" s="73">
        <f t="shared" si="63"/>
        <v>204069.12</v>
      </c>
      <c r="R64" s="73">
        <f t="shared" si="63"/>
        <v>108347.3</v>
      </c>
      <c r="S64" s="73">
        <f t="shared" si="63"/>
        <v>257676.59999999998</v>
      </c>
      <c r="T64" s="73">
        <f t="shared" si="63"/>
        <v>119751.50000000001</v>
      </c>
      <c r="U64" s="73">
        <f t="shared" si="63"/>
        <v>151229.1</v>
      </c>
      <c r="V64" s="73">
        <f t="shared" si="63"/>
        <v>11171.05</v>
      </c>
      <c r="W64" s="73">
        <f t="shared" si="63"/>
        <v>75804.100000000006</v>
      </c>
      <c r="X64" s="73">
        <f>X65+X66</f>
        <v>1620193.1800000002</v>
      </c>
      <c r="Y64" s="38">
        <f t="shared" si="34"/>
        <v>1293608.1500000001</v>
      </c>
      <c r="Z64" s="73">
        <f t="shared" ref="Z64" si="65">Z65+Z66</f>
        <v>49103.729999999996</v>
      </c>
      <c r="AA64" s="73"/>
      <c r="AB64" s="69"/>
    </row>
    <row r="65" spans="1:29" s="61" customFormat="1" ht="12.75" customHeight="1" x14ac:dyDescent="0.15">
      <c r="A65" s="140" t="s">
        <v>96</v>
      </c>
      <c r="B65" s="141"/>
      <c r="C65" s="142">
        <v>0</v>
      </c>
      <c r="D65" s="143">
        <v>33078.83</v>
      </c>
      <c r="E65" s="143">
        <v>86530.37</v>
      </c>
      <c r="F65" s="143">
        <v>0</v>
      </c>
      <c r="G65" s="143">
        <v>0</v>
      </c>
      <c r="H65" s="143">
        <v>1166.3699999999999</v>
      </c>
      <c r="I65" s="143">
        <v>7930.78</v>
      </c>
      <c r="J65" s="143">
        <v>82378.929999999993</v>
      </c>
      <c r="K65" s="143">
        <v>15872.12</v>
      </c>
      <c r="L65" s="143">
        <v>0</v>
      </c>
      <c r="M65" s="143">
        <v>43924.21</v>
      </c>
      <c r="N65" s="143">
        <v>40571.72</v>
      </c>
      <c r="O65" s="143">
        <v>17978.36</v>
      </c>
      <c r="P65" s="143">
        <v>61252.27</v>
      </c>
      <c r="Q65" s="143">
        <v>192937</v>
      </c>
      <c r="R65" s="143">
        <v>89945.5</v>
      </c>
      <c r="S65" s="57">
        <v>123878.95</v>
      </c>
      <c r="T65" s="144">
        <v>15708.77</v>
      </c>
      <c r="U65" s="144">
        <v>99207.73</v>
      </c>
      <c r="V65" s="144">
        <v>1712.62</v>
      </c>
      <c r="W65" s="144">
        <v>30876.560000000001</v>
      </c>
      <c r="X65" s="65">
        <f>C65+D65+E65+M65+P65+Q65+R65+S65+F65+G65</f>
        <v>631547.13</v>
      </c>
      <c r="Y65" s="57">
        <f>H65+I65+J65+K65+L65+N65+T65+U65+V65+W65</f>
        <v>295425.59999999998</v>
      </c>
      <c r="Z65" s="57">
        <f>O65</f>
        <v>17978.36</v>
      </c>
      <c r="AA65" s="57">
        <f t="shared" ref="AA65" si="66">X65+Y65+Z65</f>
        <v>944951.09</v>
      </c>
      <c r="AB65" s="145" t="s">
        <v>64</v>
      </c>
      <c r="AC65" s="102"/>
    </row>
    <row r="66" spans="1:29" s="61" customFormat="1" ht="11.25" x14ac:dyDescent="0.15">
      <c r="A66" s="70" t="s">
        <v>71</v>
      </c>
      <c r="B66" s="71"/>
      <c r="C66" s="73">
        <f>SUM(C67:C70)</f>
        <v>261.10000000000002</v>
      </c>
      <c r="D66" s="73">
        <f t="shared" ref="D66:W66" si="67">SUM(D67:D70)</f>
        <v>90211.520000000004</v>
      </c>
      <c r="E66" s="73">
        <f t="shared" si="67"/>
        <v>32814.79</v>
      </c>
      <c r="F66" s="73">
        <f t="shared" ref="F66:G66" si="68">SUM(F67:F70)</f>
        <v>0</v>
      </c>
      <c r="G66" s="73">
        <f t="shared" si="68"/>
        <v>2347.3200000000002</v>
      </c>
      <c r="H66" s="73">
        <f t="shared" si="67"/>
        <v>71219.439999999988</v>
      </c>
      <c r="I66" s="73">
        <f t="shared" si="67"/>
        <v>198571.57</v>
      </c>
      <c r="J66" s="73">
        <f t="shared" si="67"/>
        <v>183426.29</v>
      </c>
      <c r="K66" s="73">
        <f t="shared" si="67"/>
        <v>22947.4</v>
      </c>
      <c r="L66" s="73">
        <f t="shared" si="67"/>
        <v>1070.8800000000001</v>
      </c>
      <c r="M66" s="73">
        <f t="shared" si="67"/>
        <v>681312.86</v>
      </c>
      <c r="N66" s="73">
        <f t="shared" si="67"/>
        <v>310496.89999999997</v>
      </c>
      <c r="O66" s="73">
        <f t="shared" si="67"/>
        <v>31125.37</v>
      </c>
      <c r="P66" s="73">
        <f t="shared" si="67"/>
        <v>18366.89</v>
      </c>
      <c r="Q66" s="73">
        <f t="shared" si="67"/>
        <v>11132.119999999999</v>
      </c>
      <c r="R66" s="73">
        <f t="shared" si="67"/>
        <v>18401.8</v>
      </c>
      <c r="S66" s="73">
        <f t="shared" si="67"/>
        <v>133797.65</v>
      </c>
      <c r="T66" s="73">
        <f t="shared" si="67"/>
        <v>104042.73000000001</v>
      </c>
      <c r="U66" s="73">
        <f t="shared" si="67"/>
        <v>52021.37</v>
      </c>
      <c r="V66" s="73">
        <f t="shared" si="67"/>
        <v>9458.43</v>
      </c>
      <c r="W66" s="73">
        <f t="shared" si="67"/>
        <v>44927.54</v>
      </c>
      <c r="X66" s="68">
        <f>C66+D66+E66+M66+P66+Q66+R66+S66+F66+G66</f>
        <v>988646.05</v>
      </c>
      <c r="Y66" s="38">
        <f>H66+I66+J66+K66+L66+N66+T66+U66+V66+W66</f>
        <v>998182.55</v>
      </c>
      <c r="Z66" s="38">
        <f>O66</f>
        <v>31125.37</v>
      </c>
      <c r="AA66" s="73">
        <f t="shared" ref="AA66" si="69">SUM(AA67:AA70)</f>
        <v>2017953.9700000002</v>
      </c>
      <c r="AB66" s="69" t="s">
        <v>42</v>
      </c>
      <c r="AC66" s="102"/>
    </row>
    <row r="67" spans="1:29" s="61" customFormat="1" hidden="1" outlineLevel="2" x14ac:dyDescent="0.15">
      <c r="A67" s="146" t="s">
        <v>3</v>
      </c>
      <c r="B67" s="147"/>
      <c r="C67" s="76">
        <f>C7*$X$67/$X$7</f>
        <v>0</v>
      </c>
      <c r="D67" s="76">
        <f>D7*$X$67/$X$7</f>
        <v>0</v>
      </c>
      <c r="E67" s="76">
        <f>E7*$X$67/$X$7</f>
        <v>0</v>
      </c>
      <c r="F67" s="76">
        <f t="shared" ref="F67:G67" si="70">F7*$X$67/$X$7</f>
        <v>0</v>
      </c>
      <c r="G67" s="76">
        <f t="shared" si="70"/>
        <v>0</v>
      </c>
      <c r="H67" s="76">
        <f>H7*$Y$67/$Y$7</f>
        <v>0</v>
      </c>
      <c r="I67" s="76">
        <f>I7*$Y$67/$Y$7</f>
        <v>0</v>
      </c>
      <c r="J67" s="76">
        <f>J7*$Y$67/$Y$7</f>
        <v>0</v>
      </c>
      <c r="K67" s="76">
        <f>K7*$Y$67/$Y$7</f>
        <v>0</v>
      </c>
      <c r="L67" s="76">
        <f>L7*$Y$67/$Y$7</f>
        <v>0</v>
      </c>
      <c r="M67" s="76">
        <f>M7*$X$67/$X$7</f>
        <v>0</v>
      </c>
      <c r="N67" s="76">
        <f>N7*$Y$67/$Y$7</f>
        <v>0</v>
      </c>
      <c r="O67" s="76">
        <f>Z67</f>
        <v>0</v>
      </c>
      <c r="P67" s="76">
        <f>P7*$X$67/$X$7</f>
        <v>0</v>
      </c>
      <c r="Q67" s="76">
        <f>Q7*$X$67/$X$7</f>
        <v>0</v>
      </c>
      <c r="R67" s="76">
        <f>R7*$X$67/$X$7</f>
        <v>0</v>
      </c>
      <c r="S67" s="76">
        <f>S7*$X$67/$X$7</f>
        <v>0</v>
      </c>
      <c r="T67" s="76">
        <f>T7*$Y$67/$Y$7</f>
        <v>0</v>
      </c>
      <c r="U67" s="76">
        <f>U7*$Y$67/$Y$7</f>
        <v>0</v>
      </c>
      <c r="V67" s="76">
        <f>V7*$Y$67/$Y$7</f>
        <v>0</v>
      </c>
      <c r="W67" s="76">
        <f>W7*$Y$67/$Y$7</f>
        <v>0</v>
      </c>
      <c r="X67" s="57">
        <v>0</v>
      </c>
      <c r="Y67" s="57">
        <v>0</v>
      </c>
      <c r="Z67" s="57">
        <v>0</v>
      </c>
      <c r="AA67" s="57">
        <f t="shared" ref="AA67:AA74" si="71">X67+Y67+Z67</f>
        <v>0</v>
      </c>
      <c r="AB67" s="145"/>
      <c r="AC67" s="102"/>
    </row>
    <row r="68" spans="1:29" s="61" customFormat="1" ht="11.25" hidden="1" outlineLevel="2" x14ac:dyDescent="0.15">
      <c r="A68" s="146" t="s">
        <v>3</v>
      </c>
      <c r="B68" s="147"/>
      <c r="C68" s="76">
        <v>0</v>
      </c>
      <c r="D68" s="76">
        <v>8579.7800000000007</v>
      </c>
      <c r="E68" s="76">
        <v>2628.83</v>
      </c>
      <c r="F68" s="76">
        <v>0</v>
      </c>
      <c r="G68" s="76">
        <v>37.39</v>
      </c>
      <c r="H68" s="76">
        <v>2596.5100000000002</v>
      </c>
      <c r="I68" s="76">
        <v>16440.330000000002</v>
      </c>
      <c r="J68" s="76">
        <v>15186.41</v>
      </c>
      <c r="K68" s="76">
        <v>1899.88</v>
      </c>
      <c r="L68" s="76">
        <v>88.66</v>
      </c>
      <c r="M68" s="76">
        <v>54580.76</v>
      </c>
      <c r="N68" s="57">
        <v>25373.1</v>
      </c>
      <c r="O68" s="57">
        <v>31125.37</v>
      </c>
      <c r="P68" s="76">
        <v>1740.12</v>
      </c>
      <c r="Q68" s="76">
        <v>1150.94</v>
      </c>
      <c r="R68" s="76">
        <v>906.43</v>
      </c>
      <c r="S68" s="76">
        <v>2131.52</v>
      </c>
      <c r="T68" s="57">
        <v>557.29999999999995</v>
      </c>
      <c r="U68" s="57">
        <v>278.64999999999998</v>
      </c>
      <c r="V68" s="57">
        <v>50.66</v>
      </c>
      <c r="W68" s="57">
        <v>240.65</v>
      </c>
      <c r="X68" s="65">
        <f>C68+D68+E68+M68+P68+Q68+R68+S68+F68+G68</f>
        <v>71755.76999999999</v>
      </c>
      <c r="Y68" s="57">
        <f t="shared" si="34"/>
        <v>62712.150000000009</v>
      </c>
      <c r="Z68" s="57">
        <f t="shared" ref="Z68:Z74" si="72">O68</f>
        <v>31125.37</v>
      </c>
      <c r="AA68" s="57">
        <f t="shared" si="71"/>
        <v>165593.28999999998</v>
      </c>
      <c r="AB68" s="145"/>
      <c r="AC68" s="102"/>
    </row>
    <row r="69" spans="1:29" s="61" customFormat="1" ht="11.25" hidden="1" outlineLevel="2" x14ac:dyDescent="0.15">
      <c r="A69" s="146" t="s">
        <v>4</v>
      </c>
      <c r="B69" s="147"/>
      <c r="C69" s="76">
        <v>0</v>
      </c>
      <c r="D69" s="76">
        <v>24095.200000000001</v>
      </c>
      <c r="E69" s="76">
        <v>12000.68</v>
      </c>
      <c r="F69" s="76">
        <v>0</v>
      </c>
      <c r="G69" s="76">
        <v>1739.59</v>
      </c>
      <c r="H69" s="76">
        <v>68622.929999999993</v>
      </c>
      <c r="I69" s="76">
        <v>182131.24</v>
      </c>
      <c r="J69" s="76">
        <v>168239.88</v>
      </c>
      <c r="K69" s="76">
        <v>21047.52</v>
      </c>
      <c r="L69" s="76">
        <v>982.22</v>
      </c>
      <c r="M69" s="76">
        <v>249162.54</v>
      </c>
      <c r="N69" s="76">
        <v>285123.8</v>
      </c>
      <c r="O69" s="76">
        <v>0</v>
      </c>
      <c r="P69" s="76">
        <v>4062.03</v>
      </c>
      <c r="Q69" s="76">
        <v>3445.74</v>
      </c>
      <c r="R69" s="76">
        <v>5556.38</v>
      </c>
      <c r="S69" s="76">
        <v>99156.42</v>
      </c>
      <c r="T69" s="76">
        <v>6173.94</v>
      </c>
      <c r="U69" s="76">
        <v>3086.97</v>
      </c>
      <c r="V69" s="76">
        <v>561.27</v>
      </c>
      <c r="W69" s="76">
        <v>2666.02</v>
      </c>
      <c r="X69" s="65">
        <f>C69+D69+E69+M69+P69+Q69+R69+S69+F69+G69</f>
        <v>399218.58000000007</v>
      </c>
      <c r="Y69" s="57">
        <f t="shared" si="34"/>
        <v>738635.78999999992</v>
      </c>
      <c r="Z69" s="57">
        <f t="shared" si="72"/>
        <v>0</v>
      </c>
      <c r="AA69" s="57">
        <f t="shared" si="71"/>
        <v>1137854.3700000001</v>
      </c>
      <c r="AB69" s="145"/>
      <c r="AC69" s="102"/>
    </row>
    <row r="70" spans="1:29" s="61" customFormat="1" ht="11.25" hidden="1" outlineLevel="2" x14ac:dyDescent="0.15">
      <c r="A70" s="146" t="s">
        <v>4</v>
      </c>
      <c r="B70" s="147"/>
      <c r="C70" s="76">
        <v>261.10000000000002</v>
      </c>
      <c r="D70" s="76">
        <v>57536.54</v>
      </c>
      <c r="E70" s="57">
        <v>18185.28</v>
      </c>
      <c r="F70" s="57">
        <v>0</v>
      </c>
      <c r="G70" s="57">
        <v>570.34</v>
      </c>
      <c r="H70" s="76">
        <v>0</v>
      </c>
      <c r="I70" s="76">
        <v>0</v>
      </c>
      <c r="J70" s="76">
        <v>0</v>
      </c>
      <c r="K70" s="76">
        <v>0</v>
      </c>
      <c r="L70" s="76">
        <v>0</v>
      </c>
      <c r="M70" s="57">
        <v>377569.56</v>
      </c>
      <c r="N70" s="57">
        <v>0</v>
      </c>
      <c r="O70" s="76">
        <v>0</v>
      </c>
      <c r="P70" s="57">
        <v>12564.74</v>
      </c>
      <c r="Q70" s="57">
        <v>6535.44</v>
      </c>
      <c r="R70" s="57">
        <v>11938.99</v>
      </c>
      <c r="S70" s="57">
        <v>32509.71</v>
      </c>
      <c r="T70" s="57">
        <v>97311.49</v>
      </c>
      <c r="U70" s="57">
        <v>48655.75</v>
      </c>
      <c r="V70" s="57">
        <v>8846.5</v>
      </c>
      <c r="W70" s="57">
        <v>42020.87</v>
      </c>
      <c r="X70" s="65">
        <f>C70+D70+E70+M70+P70+Q70+R70+S70+F70+G70</f>
        <v>517671.7</v>
      </c>
      <c r="Y70" s="57">
        <f t="shared" si="34"/>
        <v>196834.61</v>
      </c>
      <c r="Z70" s="57">
        <f t="shared" si="72"/>
        <v>0</v>
      </c>
      <c r="AA70" s="57">
        <f t="shared" si="71"/>
        <v>714506.31</v>
      </c>
      <c r="AB70" s="145"/>
      <c r="AC70" s="102"/>
    </row>
    <row r="71" spans="1:29" ht="11.25" collapsed="1" x14ac:dyDescent="0.15">
      <c r="A71" s="146" t="s">
        <v>94</v>
      </c>
      <c r="B71" s="147"/>
      <c r="C71" s="73">
        <v>0</v>
      </c>
      <c r="D71" s="76">
        <v>8263.77</v>
      </c>
      <c r="E71" s="38">
        <v>7736.61</v>
      </c>
      <c r="F71" s="38">
        <v>0</v>
      </c>
      <c r="G71" s="38">
        <v>11.51</v>
      </c>
      <c r="H71" s="73">
        <v>0</v>
      </c>
      <c r="I71" s="73">
        <v>0</v>
      </c>
      <c r="J71" s="73">
        <v>20230.580000000002</v>
      </c>
      <c r="K71" s="73">
        <v>7854.85</v>
      </c>
      <c r="L71" s="73">
        <v>0</v>
      </c>
      <c r="M71" s="38">
        <v>352.01</v>
      </c>
      <c r="N71" s="38">
        <v>17.5</v>
      </c>
      <c r="O71" s="73">
        <v>27259.42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68">
        <f>C71+D71+E71+M71+P71+Q71+R71+S71+F71+G71</f>
        <v>16363.900000000001</v>
      </c>
      <c r="Y71" s="38">
        <f t="shared" si="34"/>
        <v>28102.93</v>
      </c>
      <c r="Z71" s="38">
        <f t="shared" si="72"/>
        <v>27259.42</v>
      </c>
      <c r="AA71" s="38">
        <f t="shared" si="71"/>
        <v>71726.25</v>
      </c>
      <c r="AB71" s="69"/>
    </row>
    <row r="72" spans="1:29" ht="11.25" x14ac:dyDescent="0.15">
      <c r="A72" s="148" t="s">
        <v>51</v>
      </c>
      <c r="B72" s="149"/>
      <c r="C72" s="73">
        <f t="shared" ref="C72:H72" si="73">(C14+C15+C16)*$B$1/100/12</f>
        <v>0</v>
      </c>
      <c r="D72" s="73">
        <f t="shared" si="73"/>
        <v>75996.677022152464</v>
      </c>
      <c r="E72" s="73">
        <f t="shared" si="73"/>
        <v>127648.15968160865</v>
      </c>
      <c r="F72" s="73">
        <f t="shared" ref="F72:G72" si="74">(F14+F15+F16)*$B$1/100/12</f>
        <v>0</v>
      </c>
      <c r="G72" s="73">
        <f t="shared" si="74"/>
        <v>0</v>
      </c>
      <c r="H72" s="73">
        <f t="shared" si="73"/>
        <v>6810.9840645292179</v>
      </c>
      <c r="I72" s="73">
        <f>(I14+I15+I16)*$B$1/100/12</f>
        <v>41568.571902284093</v>
      </c>
      <c r="J72" s="73">
        <f t="shared" ref="J72:W72" si="75">(J14+J15+J16)*$B$1/100/12</f>
        <v>213899.11968348277</v>
      </c>
      <c r="K72" s="73">
        <f t="shared" si="75"/>
        <v>49051.061981577564</v>
      </c>
      <c r="L72" s="73">
        <f t="shared" si="75"/>
        <v>0</v>
      </c>
      <c r="M72" s="73">
        <f t="shared" si="75"/>
        <v>210687.83852743942</v>
      </c>
      <c r="N72" s="73">
        <f t="shared" si="75"/>
        <v>191155.92933451131</v>
      </c>
      <c r="O72" s="73">
        <f t="shared" si="75"/>
        <v>55166.156274821289</v>
      </c>
      <c r="P72" s="73">
        <f t="shared" si="75"/>
        <v>31869.503138201195</v>
      </c>
      <c r="Q72" s="73">
        <f t="shared" si="75"/>
        <v>95424.449054758355</v>
      </c>
      <c r="R72" s="73">
        <f t="shared" si="75"/>
        <v>79735.884680537958</v>
      </c>
      <c r="S72" s="73">
        <f t="shared" si="75"/>
        <v>414024.01677718852</v>
      </c>
      <c r="T72" s="73">
        <f t="shared" si="75"/>
        <v>29669.103412514014</v>
      </c>
      <c r="U72" s="73">
        <f>(U14+U15+U16)*$B$1/100/12</f>
        <v>70314.94105180139</v>
      </c>
      <c r="V72" s="73">
        <f t="shared" si="75"/>
        <v>6980.9745037690982</v>
      </c>
      <c r="W72" s="73">
        <f t="shared" si="75"/>
        <v>88840.07828357273</v>
      </c>
      <c r="X72" s="68">
        <f>C72+D72+E72+M72+P72+Q72+R72+S72+F72+G72</f>
        <v>1035386.5288818865</v>
      </c>
      <c r="Y72" s="38">
        <f t="shared" si="34"/>
        <v>698290.76421804214</v>
      </c>
      <c r="Z72" s="38">
        <f t="shared" si="72"/>
        <v>55166.156274821289</v>
      </c>
      <c r="AA72" s="38">
        <f t="shared" si="71"/>
        <v>1788843.44937475</v>
      </c>
      <c r="AB72" s="74" t="s">
        <v>34</v>
      </c>
    </row>
    <row r="73" spans="1:29" hidden="1" outlineLevel="2" x14ac:dyDescent="0.15">
      <c r="A73" s="150" t="s">
        <v>17</v>
      </c>
      <c r="B73" s="151"/>
      <c r="C73" s="73">
        <f>C25*$AA73/$AA25</f>
        <v>0</v>
      </c>
      <c r="D73" s="76">
        <f>D25*$AA73/$AA25</f>
        <v>0</v>
      </c>
      <c r="E73" s="73">
        <f>E25*$AA73/$AA25</f>
        <v>0</v>
      </c>
      <c r="F73" s="73">
        <f t="shared" ref="F73:G73" si="76">F25*$AA73/$AA25</f>
        <v>0</v>
      </c>
      <c r="G73" s="73">
        <f t="shared" si="76"/>
        <v>0</v>
      </c>
      <c r="H73" s="73">
        <f t="shared" ref="H73:W73" si="77">H25*$AA73/$AA25</f>
        <v>0</v>
      </c>
      <c r="I73" s="73">
        <f t="shared" si="77"/>
        <v>0</v>
      </c>
      <c r="J73" s="73">
        <f t="shared" si="77"/>
        <v>0</v>
      </c>
      <c r="K73" s="73">
        <f t="shared" si="77"/>
        <v>0</v>
      </c>
      <c r="L73" s="73">
        <f t="shared" si="77"/>
        <v>0</v>
      </c>
      <c r="M73" s="73">
        <f t="shared" si="77"/>
        <v>0</v>
      </c>
      <c r="N73" s="73">
        <f t="shared" si="77"/>
        <v>0</v>
      </c>
      <c r="O73" s="73">
        <f t="shared" si="77"/>
        <v>0</v>
      </c>
      <c r="P73" s="73">
        <f t="shared" si="77"/>
        <v>0</v>
      </c>
      <c r="Q73" s="73">
        <f t="shared" si="77"/>
        <v>0</v>
      </c>
      <c r="R73" s="73">
        <f t="shared" si="77"/>
        <v>0</v>
      </c>
      <c r="S73" s="73">
        <f t="shared" si="77"/>
        <v>0</v>
      </c>
      <c r="T73" s="73">
        <f t="shared" si="77"/>
        <v>0</v>
      </c>
      <c r="U73" s="73">
        <f t="shared" si="77"/>
        <v>0</v>
      </c>
      <c r="V73" s="73">
        <f t="shared" si="77"/>
        <v>0</v>
      </c>
      <c r="W73" s="73">
        <f t="shared" si="77"/>
        <v>0</v>
      </c>
      <c r="X73" s="38">
        <f t="shared" ref="X73" si="78">C73+D73+E73+M73+P73+Q73+R73+S73</f>
        <v>0</v>
      </c>
      <c r="Y73" s="38">
        <f t="shared" si="34"/>
        <v>0</v>
      </c>
      <c r="Z73" s="38">
        <f t="shared" si="72"/>
        <v>0</v>
      </c>
      <c r="AA73" s="38"/>
      <c r="AB73" s="152"/>
    </row>
    <row r="74" spans="1:29" s="61" customFormat="1" ht="12.75" customHeight="1" collapsed="1" x14ac:dyDescent="0.15">
      <c r="A74" s="70" t="s">
        <v>52</v>
      </c>
      <c r="B74" s="71"/>
      <c r="C74" s="76">
        <v>0</v>
      </c>
      <c r="D74" s="76">
        <v>70174.22</v>
      </c>
      <c r="E74" s="57">
        <v>16735.189999999999</v>
      </c>
      <c r="F74" s="57">
        <v>0</v>
      </c>
      <c r="G74" s="57">
        <v>3.16</v>
      </c>
      <c r="H74" s="57">
        <v>498.04</v>
      </c>
      <c r="I74" s="57">
        <v>0</v>
      </c>
      <c r="J74" s="57">
        <v>79068.539999999994</v>
      </c>
      <c r="K74" s="57">
        <v>23933.45</v>
      </c>
      <c r="L74" s="57">
        <v>0</v>
      </c>
      <c r="M74" s="57">
        <v>1582469.96</v>
      </c>
      <c r="N74" s="57">
        <v>1755503.64</v>
      </c>
      <c r="O74" s="57">
        <v>210241.37</v>
      </c>
      <c r="P74" s="57">
        <v>0</v>
      </c>
      <c r="Q74" s="57">
        <v>0</v>
      </c>
      <c r="R74" s="57">
        <v>0</v>
      </c>
      <c r="S74" s="57">
        <v>0.44</v>
      </c>
      <c r="T74" s="57">
        <v>0</v>
      </c>
      <c r="U74" s="57">
        <v>0.14000000000000001</v>
      </c>
      <c r="V74" s="57">
        <v>0</v>
      </c>
      <c r="W74" s="57">
        <v>0</v>
      </c>
      <c r="X74" s="65">
        <f>C74+D74+E74+M74+P74+Q74+R74+S74+F74+G74</f>
        <v>1669382.9699999997</v>
      </c>
      <c r="Y74" s="57">
        <f t="shared" si="34"/>
        <v>1859003.8099999998</v>
      </c>
      <c r="Z74" s="57">
        <f t="shared" si="72"/>
        <v>210241.37</v>
      </c>
      <c r="AA74" s="57">
        <f t="shared" si="71"/>
        <v>3738628.1499999994</v>
      </c>
      <c r="AB74" s="77" t="s">
        <v>34</v>
      </c>
      <c r="AC74" s="102"/>
    </row>
    <row r="75" spans="1:29" s="61" customFormat="1" x14ac:dyDescent="0.15">
      <c r="A75" s="153"/>
      <c r="B75" s="154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6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7"/>
      <c r="AC75" s="102"/>
    </row>
    <row r="76" spans="1:29" x14ac:dyDescent="0.15">
      <c r="A76" s="103"/>
      <c r="B76" s="104"/>
      <c r="C76" s="158"/>
      <c r="D76" s="158"/>
      <c r="E76" s="159"/>
      <c r="F76" s="158"/>
      <c r="G76" s="158"/>
      <c r="H76" s="160"/>
      <c r="I76" s="158"/>
      <c r="J76" s="158"/>
      <c r="K76" s="158"/>
      <c r="L76" s="159"/>
      <c r="M76" s="158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61"/>
      <c r="Y76" s="161"/>
      <c r="Z76" s="161"/>
      <c r="AA76" s="161"/>
      <c r="AB76" s="159"/>
    </row>
    <row r="77" spans="1:29" ht="12.75" customHeight="1" x14ac:dyDescent="0.15">
      <c r="A77" s="109" t="s">
        <v>53</v>
      </c>
      <c r="B77" s="110"/>
      <c r="C77" s="162">
        <f t="shared" ref="C77:W77" si="79">C78+C87</f>
        <v>7387.91</v>
      </c>
      <c r="D77" s="162">
        <f t="shared" si="79"/>
        <v>454429.43379323703</v>
      </c>
      <c r="E77" s="163">
        <f t="shared" si="79"/>
        <v>761034.03294325829</v>
      </c>
      <c r="F77" s="163">
        <f t="shared" ref="F77:G77" si="80">F78+F87</f>
        <v>808.51167950000001</v>
      </c>
      <c r="G77" s="163">
        <f t="shared" si="80"/>
        <v>25.059490566496166</v>
      </c>
      <c r="H77" s="111">
        <f t="shared" si="79"/>
        <v>48356.184710632137</v>
      </c>
      <c r="I77" s="162">
        <f t="shared" si="79"/>
        <v>204175.41326450004</v>
      </c>
      <c r="J77" s="162">
        <f t="shared" si="79"/>
        <v>732166.20497180906</v>
      </c>
      <c r="K77" s="162">
        <f t="shared" si="79"/>
        <v>435630.4807778768</v>
      </c>
      <c r="L77" s="164">
        <f t="shared" si="79"/>
        <v>1408.260041</v>
      </c>
      <c r="M77" s="165">
        <f t="shared" si="79"/>
        <v>2677593.4920755955</v>
      </c>
      <c r="N77" s="163">
        <f t="shared" si="79"/>
        <v>2886315.0862341607</v>
      </c>
      <c r="O77" s="163">
        <f t="shared" si="79"/>
        <v>390288.038250532</v>
      </c>
      <c r="P77" s="163">
        <f t="shared" si="79"/>
        <v>321221.988839</v>
      </c>
      <c r="Q77" s="163">
        <f t="shared" si="79"/>
        <v>774101.82962199999</v>
      </c>
      <c r="R77" s="163">
        <f t="shared" si="79"/>
        <v>454937.96533716668</v>
      </c>
      <c r="S77" s="163">
        <f t="shared" si="79"/>
        <v>1119084.2056861666</v>
      </c>
      <c r="T77" s="163">
        <f t="shared" si="79"/>
        <v>194400.19056533335</v>
      </c>
      <c r="U77" s="163">
        <f t="shared" si="79"/>
        <v>342882.57315433334</v>
      </c>
      <c r="V77" s="163">
        <f t="shared" si="79"/>
        <v>90151.70050216667</v>
      </c>
      <c r="W77" s="163">
        <f t="shared" si="79"/>
        <v>235110.17383749998</v>
      </c>
      <c r="X77" s="112">
        <f t="shared" ref="X77:X85" si="81">C77+D77+E77+M77+P77+Q77+R77+S77+F77+G77</f>
        <v>6570624.4294664906</v>
      </c>
      <c r="Y77" s="112">
        <f t="shared" ref="Y77:Y87" si="82">H77+I77+J77+K77+L77+N77+T77+U77+V77+W77</f>
        <v>5170596.2680593114</v>
      </c>
      <c r="Z77" s="112">
        <f t="shared" ref="Z77:Z87" si="83">O77</f>
        <v>390288.038250532</v>
      </c>
      <c r="AA77" s="137">
        <f>X77+Y77+Z77</f>
        <v>12131508.735776335</v>
      </c>
      <c r="AB77" s="164"/>
    </row>
    <row r="78" spans="1:29" s="61" customFormat="1" ht="12.75" customHeight="1" x14ac:dyDescent="0.15">
      <c r="A78" s="148" t="s">
        <v>54</v>
      </c>
      <c r="B78" s="149"/>
      <c r="C78" s="76">
        <f t="shared" ref="C78:H78" si="84">C79+C80+C81+C82+C83+C84+C85</f>
        <v>7387.91</v>
      </c>
      <c r="D78" s="76">
        <f t="shared" si="84"/>
        <v>160409.69544757035</v>
      </c>
      <c r="E78" s="76">
        <f t="shared" si="84"/>
        <v>344670.71618925832</v>
      </c>
      <c r="F78" s="76">
        <f t="shared" ref="F78:G78" si="85">F79+F80+F81+F82+F83+F84+F85</f>
        <v>0</v>
      </c>
      <c r="G78" s="76">
        <f t="shared" si="85"/>
        <v>16.749514066496165</v>
      </c>
      <c r="H78" s="76">
        <f t="shared" si="84"/>
        <v>25486.156598465474</v>
      </c>
      <c r="I78" s="76">
        <f>I79+I80+I81+I82+I83+I84+I85</f>
        <v>69335.16</v>
      </c>
      <c r="J78" s="76">
        <f t="shared" ref="J78:W78" si="86">J79+J80+J81+J82+J83+J84+J85</f>
        <v>351368.98575447575</v>
      </c>
      <c r="K78" s="76">
        <f t="shared" si="86"/>
        <v>328411.38391304348</v>
      </c>
      <c r="L78" s="76">
        <f t="shared" si="86"/>
        <v>90</v>
      </c>
      <c r="M78" s="76">
        <f t="shared" si="86"/>
        <v>505308.46590792836</v>
      </c>
      <c r="N78" s="76">
        <f t="shared" si="86"/>
        <v>482969.20056265988</v>
      </c>
      <c r="O78" s="76">
        <f t="shared" si="86"/>
        <v>35163.676112531968</v>
      </c>
      <c r="P78" s="76">
        <f t="shared" si="86"/>
        <v>128859.41999999998</v>
      </c>
      <c r="Q78" s="76">
        <f t="shared" si="86"/>
        <v>648737.07999999996</v>
      </c>
      <c r="R78" s="76">
        <f t="shared" si="86"/>
        <v>238990.24</v>
      </c>
      <c r="S78" s="76">
        <f t="shared" si="86"/>
        <v>811913.86</v>
      </c>
      <c r="T78" s="76">
        <f t="shared" si="86"/>
        <v>88142.49</v>
      </c>
      <c r="U78" s="76">
        <f t="shared" si="86"/>
        <v>137143.65</v>
      </c>
      <c r="V78" s="76">
        <f t="shared" si="86"/>
        <v>17791.240000000002</v>
      </c>
      <c r="W78" s="76">
        <f t="shared" si="86"/>
        <v>212789.86</v>
      </c>
      <c r="X78" s="68">
        <f t="shared" si="81"/>
        <v>2846294.1370588238</v>
      </c>
      <c r="Y78" s="38">
        <f t="shared" si="82"/>
        <v>1713528.1268286444</v>
      </c>
      <c r="Z78" s="38">
        <f t="shared" si="83"/>
        <v>35163.676112531968</v>
      </c>
      <c r="AA78" s="73">
        <f t="shared" ref="AA78" si="87">AA79+AA80+AA81+AA82+AA83+AA84</f>
        <v>4470341.57</v>
      </c>
      <c r="AB78" s="166"/>
      <c r="AC78" s="102"/>
    </row>
    <row r="79" spans="1:29" s="61" customFormat="1" ht="12.75" customHeight="1" x14ac:dyDescent="0.15">
      <c r="A79" s="70" t="s">
        <v>18</v>
      </c>
      <c r="B79" s="71"/>
      <c r="C79" s="144">
        <v>0</v>
      </c>
      <c r="D79" s="144">
        <v>109390.12</v>
      </c>
      <c r="E79" s="144">
        <v>274747.28000000003</v>
      </c>
      <c r="F79" s="144">
        <v>0</v>
      </c>
      <c r="G79" s="144">
        <v>0</v>
      </c>
      <c r="H79" s="144">
        <v>4364.5</v>
      </c>
      <c r="I79" s="144">
        <v>31562.7</v>
      </c>
      <c r="J79" s="144">
        <v>263018.58</v>
      </c>
      <c r="K79" s="144">
        <v>70399.89</v>
      </c>
      <c r="L79" s="144">
        <v>0</v>
      </c>
      <c r="M79" s="144">
        <v>353114.42</v>
      </c>
      <c r="N79" s="144">
        <v>390173.25</v>
      </c>
      <c r="O79" s="144">
        <v>28327.5</v>
      </c>
      <c r="P79" s="144">
        <v>95292.62</v>
      </c>
      <c r="Q79" s="144">
        <v>233884.86</v>
      </c>
      <c r="R79" s="144">
        <v>201047.2</v>
      </c>
      <c r="S79" s="144">
        <v>686398.88</v>
      </c>
      <c r="T79" s="144">
        <v>68758.87</v>
      </c>
      <c r="U79" s="144">
        <v>116591.38</v>
      </c>
      <c r="V79" s="144">
        <v>7298.34</v>
      </c>
      <c r="W79" s="144">
        <v>150418.93</v>
      </c>
      <c r="X79" s="65">
        <f t="shared" si="81"/>
        <v>1953875.38</v>
      </c>
      <c r="Y79" s="57">
        <f t="shared" si="82"/>
        <v>1102586.44</v>
      </c>
      <c r="Z79" s="57">
        <f t="shared" si="83"/>
        <v>28327.5</v>
      </c>
      <c r="AA79" s="57">
        <f t="shared" ref="AA79:AA87" si="88">X79+Y79+Z79</f>
        <v>3084789.32</v>
      </c>
      <c r="AB79" s="77" t="s">
        <v>34</v>
      </c>
      <c r="AC79" s="102"/>
    </row>
    <row r="80" spans="1:29" s="61" customFormat="1" ht="12.75" customHeight="1" x14ac:dyDescent="0.15">
      <c r="A80" s="70" t="s">
        <v>23</v>
      </c>
      <c r="B80" s="71"/>
      <c r="C80" s="76">
        <f>C8*$AA80/$AA8</f>
        <v>0</v>
      </c>
      <c r="D80" s="76">
        <f>D8*$AA80/$AA8</f>
        <v>2914.4154475703331</v>
      </c>
      <c r="E80" s="76">
        <f>E8*$AA80/$AA8</f>
        <v>820.72618925831205</v>
      </c>
      <c r="F80" s="76">
        <f t="shared" ref="F80:G80" si="89">F8*$AA80/$AA8</f>
        <v>0</v>
      </c>
      <c r="G80" s="76">
        <f t="shared" si="89"/>
        <v>16.749514066496165</v>
      </c>
      <c r="H80" s="76">
        <f t="shared" ref="H80:W80" si="90">H8*$AA80/$AA8</f>
        <v>117.24659846547316</v>
      </c>
      <c r="I80" s="76">
        <f t="shared" si="90"/>
        <v>0</v>
      </c>
      <c r="J80" s="76">
        <f t="shared" si="90"/>
        <v>18759.455754475704</v>
      </c>
      <c r="K80" s="76">
        <f t="shared" si="90"/>
        <v>2277.9339130434782</v>
      </c>
      <c r="L80" s="76">
        <f t="shared" si="90"/>
        <v>0</v>
      </c>
      <c r="M80" s="76">
        <f t="shared" si="90"/>
        <v>485.73590792838877</v>
      </c>
      <c r="N80" s="76">
        <f t="shared" si="90"/>
        <v>669.98056265984656</v>
      </c>
      <c r="O80" s="76">
        <f t="shared" si="90"/>
        <v>133.99611253196932</v>
      </c>
      <c r="P80" s="76">
        <f t="shared" si="90"/>
        <v>0</v>
      </c>
      <c r="Q80" s="76">
        <f t="shared" si="90"/>
        <v>0</v>
      </c>
      <c r="R80" s="76">
        <f t="shared" si="90"/>
        <v>0</v>
      </c>
      <c r="S80" s="76">
        <f t="shared" si="90"/>
        <v>0</v>
      </c>
      <c r="T80" s="76">
        <f t="shared" si="90"/>
        <v>0</v>
      </c>
      <c r="U80" s="76">
        <f t="shared" si="90"/>
        <v>0</v>
      </c>
      <c r="V80" s="76">
        <f t="shared" si="90"/>
        <v>0</v>
      </c>
      <c r="W80" s="76">
        <f t="shared" si="90"/>
        <v>0</v>
      </c>
      <c r="X80" s="65">
        <f t="shared" si="81"/>
        <v>4237.6270588235293</v>
      </c>
      <c r="Y80" s="57">
        <f t="shared" si="82"/>
        <v>21824.616828644503</v>
      </c>
      <c r="Z80" s="57">
        <f t="shared" si="83"/>
        <v>133.99611253196932</v>
      </c>
      <c r="AA80" s="57">
        <v>26196.240000000002</v>
      </c>
      <c r="AB80" s="77" t="s">
        <v>34</v>
      </c>
      <c r="AC80" s="102"/>
    </row>
    <row r="81" spans="1:29" s="61" customFormat="1" ht="12.75" customHeight="1" x14ac:dyDescent="0.15">
      <c r="A81" s="70" t="s">
        <v>19</v>
      </c>
      <c r="B81" s="71"/>
      <c r="C81" s="76">
        <v>5802.91</v>
      </c>
      <c r="D81" s="76">
        <v>34228.76</v>
      </c>
      <c r="E81" s="76">
        <v>41775.160000000003</v>
      </c>
      <c r="F81" s="76">
        <v>0</v>
      </c>
      <c r="G81" s="76">
        <v>0</v>
      </c>
      <c r="H81" s="76">
        <v>15080.9</v>
      </c>
      <c r="I81" s="76">
        <v>1745.11</v>
      </c>
      <c r="J81" s="76">
        <v>34435.26</v>
      </c>
      <c r="K81" s="76">
        <v>21901.32</v>
      </c>
      <c r="L81" s="76">
        <v>0</v>
      </c>
      <c r="M81" s="76">
        <v>751.35</v>
      </c>
      <c r="N81" s="76">
        <v>0</v>
      </c>
      <c r="O81" s="76">
        <v>1624.82</v>
      </c>
      <c r="P81" s="76">
        <v>9394.2800000000007</v>
      </c>
      <c r="Q81" s="76">
        <v>19713.7</v>
      </c>
      <c r="R81" s="76">
        <v>20262.8</v>
      </c>
      <c r="S81" s="76">
        <v>30146.52</v>
      </c>
      <c r="T81" s="76">
        <v>8304.36</v>
      </c>
      <c r="U81" s="76">
        <v>17651.419999999998</v>
      </c>
      <c r="V81" s="76">
        <v>9681.91</v>
      </c>
      <c r="W81" s="76">
        <v>30402.54</v>
      </c>
      <c r="X81" s="65">
        <f t="shared" si="81"/>
        <v>162075.47999999998</v>
      </c>
      <c r="Y81" s="57">
        <f t="shared" si="82"/>
        <v>139202.82</v>
      </c>
      <c r="Z81" s="57">
        <f t="shared" si="83"/>
        <v>1624.82</v>
      </c>
      <c r="AA81" s="57">
        <f t="shared" si="88"/>
        <v>302903.12</v>
      </c>
      <c r="AB81" s="77" t="s">
        <v>34</v>
      </c>
      <c r="AC81" s="102"/>
    </row>
    <row r="82" spans="1:29" s="61" customFormat="1" ht="12.75" customHeight="1" x14ac:dyDescent="0.15">
      <c r="A82" s="70" t="s">
        <v>25</v>
      </c>
      <c r="B82" s="71"/>
      <c r="C82" s="76">
        <v>1170</v>
      </c>
      <c r="D82" s="76">
        <v>4874.51</v>
      </c>
      <c r="E82" s="76">
        <v>1729.66</v>
      </c>
      <c r="F82" s="76">
        <v>0</v>
      </c>
      <c r="G82" s="76">
        <v>0</v>
      </c>
      <c r="H82" s="76">
        <v>1809.47</v>
      </c>
      <c r="I82" s="76">
        <v>20028.04</v>
      </c>
      <c r="J82" s="76">
        <v>23562.9</v>
      </c>
      <c r="K82" s="76">
        <v>1387.97</v>
      </c>
      <c r="L82" s="76">
        <v>90</v>
      </c>
      <c r="M82" s="76">
        <v>55170</v>
      </c>
      <c r="N82" s="76">
        <v>49920</v>
      </c>
      <c r="O82" s="76">
        <v>510</v>
      </c>
      <c r="P82" s="76">
        <v>1159.51</v>
      </c>
      <c r="Q82" s="76">
        <v>716.67</v>
      </c>
      <c r="R82" s="76">
        <v>0</v>
      </c>
      <c r="S82" s="76">
        <v>2664.32</v>
      </c>
      <c r="T82" s="76">
        <v>1443.49</v>
      </c>
      <c r="U82" s="76">
        <v>724.13</v>
      </c>
      <c r="V82" s="76">
        <v>0</v>
      </c>
      <c r="W82" s="76">
        <v>600</v>
      </c>
      <c r="X82" s="68">
        <f t="shared" si="81"/>
        <v>67484.67</v>
      </c>
      <c r="Y82" s="38">
        <f t="shared" si="82"/>
        <v>99566.000000000015</v>
      </c>
      <c r="Z82" s="38">
        <f t="shared" si="83"/>
        <v>510</v>
      </c>
      <c r="AA82" s="38">
        <f t="shared" si="88"/>
        <v>167560.67000000001</v>
      </c>
      <c r="AB82" s="74"/>
      <c r="AC82" s="102"/>
    </row>
    <row r="83" spans="1:29" s="61" customFormat="1" ht="12.75" customHeight="1" x14ac:dyDescent="0.15">
      <c r="A83" s="70" t="s">
        <v>20</v>
      </c>
      <c r="B83" s="71"/>
      <c r="C83" s="76">
        <v>415</v>
      </c>
      <c r="D83" s="76">
        <v>8101.89</v>
      </c>
      <c r="E83" s="76">
        <v>25215.32</v>
      </c>
      <c r="F83" s="76">
        <v>0</v>
      </c>
      <c r="G83" s="76">
        <v>0</v>
      </c>
      <c r="H83" s="76">
        <v>4110</v>
      </c>
      <c r="I83" s="76">
        <v>15320.46</v>
      </c>
      <c r="J83" s="76">
        <v>6064.57</v>
      </c>
      <c r="K83" s="76">
        <v>231849.77</v>
      </c>
      <c r="L83" s="76">
        <v>0</v>
      </c>
      <c r="M83" s="76">
        <v>31410.33</v>
      </c>
      <c r="N83" s="76">
        <v>24869</v>
      </c>
      <c r="O83" s="76">
        <v>4430</v>
      </c>
      <c r="P83" s="76">
        <v>23013.01</v>
      </c>
      <c r="Q83" s="76">
        <v>393338.26</v>
      </c>
      <c r="R83" s="76">
        <v>17680.240000000002</v>
      </c>
      <c r="S83" s="76">
        <v>0</v>
      </c>
      <c r="T83" s="76">
        <v>9635.77</v>
      </c>
      <c r="U83" s="76">
        <v>2114.33</v>
      </c>
      <c r="V83" s="76">
        <v>810.99</v>
      </c>
      <c r="W83" s="76">
        <v>31206.53</v>
      </c>
      <c r="X83" s="68">
        <f t="shared" si="81"/>
        <v>499174.05</v>
      </c>
      <c r="Y83" s="38">
        <f t="shared" si="82"/>
        <v>325981.42000000004</v>
      </c>
      <c r="Z83" s="38">
        <f t="shared" si="83"/>
        <v>4430</v>
      </c>
      <c r="AA83" s="38">
        <f t="shared" si="88"/>
        <v>829585.47</v>
      </c>
      <c r="AB83" s="74"/>
      <c r="AC83" s="102"/>
    </row>
    <row r="84" spans="1:29" s="61" customFormat="1" ht="12.75" customHeight="1" x14ac:dyDescent="0.15">
      <c r="A84" s="70" t="s">
        <v>21</v>
      </c>
      <c r="B84" s="71"/>
      <c r="C84" s="76">
        <v>0</v>
      </c>
      <c r="D84" s="76">
        <v>900</v>
      </c>
      <c r="E84" s="76">
        <v>0</v>
      </c>
      <c r="F84" s="76">
        <v>0</v>
      </c>
      <c r="G84" s="76">
        <v>0</v>
      </c>
      <c r="H84" s="76">
        <v>0</v>
      </c>
      <c r="I84" s="76">
        <v>566.54999999999995</v>
      </c>
      <c r="J84" s="76">
        <v>2500</v>
      </c>
      <c r="K84" s="76">
        <v>0</v>
      </c>
      <c r="L84" s="76">
        <v>0</v>
      </c>
      <c r="M84" s="76">
        <v>50427.87</v>
      </c>
      <c r="N84" s="76">
        <v>4912.33</v>
      </c>
      <c r="O84" s="76">
        <v>0</v>
      </c>
      <c r="P84" s="76">
        <v>0</v>
      </c>
      <c r="Q84" s="76">
        <v>0</v>
      </c>
      <c r="R84" s="76">
        <v>0</v>
      </c>
      <c r="S84" s="76">
        <v>0</v>
      </c>
      <c r="T84" s="76">
        <v>0</v>
      </c>
      <c r="U84" s="76">
        <v>0</v>
      </c>
      <c r="V84" s="76">
        <v>0</v>
      </c>
      <c r="W84" s="76">
        <v>0</v>
      </c>
      <c r="X84" s="68">
        <f t="shared" si="81"/>
        <v>51327.87</v>
      </c>
      <c r="Y84" s="38">
        <f t="shared" si="82"/>
        <v>7978.88</v>
      </c>
      <c r="Z84" s="38">
        <f t="shared" si="83"/>
        <v>0</v>
      </c>
      <c r="AA84" s="38">
        <f t="shared" si="88"/>
        <v>59306.75</v>
      </c>
      <c r="AB84" s="74"/>
      <c r="AC84" s="102"/>
    </row>
    <row r="85" spans="1:29" s="61" customFormat="1" ht="11.25" x14ac:dyDescent="0.15">
      <c r="A85" s="70" t="s">
        <v>97</v>
      </c>
      <c r="B85" s="71"/>
      <c r="C85" s="76">
        <v>0</v>
      </c>
      <c r="D85" s="76">
        <v>0</v>
      </c>
      <c r="E85" s="57">
        <v>382.57</v>
      </c>
      <c r="F85" s="57">
        <v>0</v>
      </c>
      <c r="G85" s="57">
        <v>0</v>
      </c>
      <c r="H85" s="57">
        <v>4.04</v>
      </c>
      <c r="I85" s="57">
        <v>112.3</v>
      </c>
      <c r="J85" s="57">
        <v>3028.22</v>
      </c>
      <c r="K85" s="57">
        <v>594.5</v>
      </c>
      <c r="L85" s="57">
        <v>0</v>
      </c>
      <c r="M85" s="57">
        <v>13948.76</v>
      </c>
      <c r="N85" s="76">
        <v>12424.64</v>
      </c>
      <c r="O85" s="76">
        <v>137.36000000000001</v>
      </c>
      <c r="P85" s="76">
        <v>0</v>
      </c>
      <c r="Q85" s="76">
        <v>1083.5899999999999</v>
      </c>
      <c r="R85" s="76">
        <v>0</v>
      </c>
      <c r="S85" s="76">
        <v>92704.14</v>
      </c>
      <c r="T85" s="76">
        <v>0</v>
      </c>
      <c r="U85" s="76">
        <v>62.39</v>
      </c>
      <c r="V85" s="76">
        <v>0</v>
      </c>
      <c r="W85" s="76">
        <v>161.86000000000001</v>
      </c>
      <c r="X85" s="65">
        <f t="shared" si="81"/>
        <v>108119.06</v>
      </c>
      <c r="Y85" s="57">
        <f t="shared" si="82"/>
        <v>16387.949999999997</v>
      </c>
      <c r="Z85" s="57">
        <f t="shared" si="83"/>
        <v>137.36000000000001</v>
      </c>
      <c r="AA85" s="57">
        <f t="shared" si="88"/>
        <v>124644.37</v>
      </c>
      <c r="AB85" s="77"/>
      <c r="AC85" s="102"/>
    </row>
    <row r="86" spans="1:29" s="61" customFormat="1" hidden="1" outlineLevel="2" x14ac:dyDescent="0.15">
      <c r="A86" s="148" t="s">
        <v>17</v>
      </c>
      <c r="B86" s="149"/>
      <c r="C86" s="76">
        <f>C27*$AA86/$AA27</f>
        <v>0</v>
      </c>
      <c r="D86" s="76">
        <f>D27*$AA86/$AA27</f>
        <v>0</v>
      </c>
      <c r="E86" s="76">
        <f>E27*$AA86/$AA27</f>
        <v>0</v>
      </c>
      <c r="F86" s="76">
        <f t="shared" ref="F86:G86" si="91">F27*$AA86/$AA27</f>
        <v>0</v>
      </c>
      <c r="G86" s="76">
        <f t="shared" si="91"/>
        <v>0</v>
      </c>
      <c r="H86" s="76">
        <f t="shared" ref="H86:W86" si="92">H27*$AA86/$AA27</f>
        <v>0</v>
      </c>
      <c r="I86" s="76">
        <f t="shared" si="92"/>
        <v>0</v>
      </c>
      <c r="J86" s="76">
        <f t="shared" si="92"/>
        <v>0</v>
      </c>
      <c r="K86" s="76">
        <f t="shared" si="92"/>
        <v>0</v>
      </c>
      <c r="L86" s="76">
        <f t="shared" si="92"/>
        <v>0</v>
      </c>
      <c r="M86" s="76">
        <f t="shared" si="92"/>
        <v>0</v>
      </c>
      <c r="N86" s="76">
        <f t="shared" si="92"/>
        <v>0</v>
      </c>
      <c r="O86" s="76">
        <f t="shared" si="92"/>
        <v>0</v>
      </c>
      <c r="P86" s="76">
        <f t="shared" si="92"/>
        <v>0</v>
      </c>
      <c r="Q86" s="76">
        <f t="shared" si="92"/>
        <v>0</v>
      </c>
      <c r="R86" s="76">
        <f t="shared" si="92"/>
        <v>0</v>
      </c>
      <c r="S86" s="76">
        <f t="shared" si="92"/>
        <v>0</v>
      </c>
      <c r="T86" s="76">
        <f t="shared" si="92"/>
        <v>0</v>
      </c>
      <c r="U86" s="76">
        <f>U27*$AA86/$AA27</f>
        <v>0</v>
      </c>
      <c r="V86" s="76">
        <f t="shared" si="92"/>
        <v>0</v>
      </c>
      <c r="W86" s="76">
        <f t="shared" si="92"/>
        <v>0</v>
      </c>
      <c r="X86" s="38">
        <f t="shared" ref="X86" si="93">C86+D86+E86+M86+P86+Q86+R86+S86</f>
        <v>0</v>
      </c>
      <c r="Y86" s="38">
        <f t="shared" si="82"/>
        <v>0</v>
      </c>
      <c r="Z86" s="38">
        <f t="shared" si="83"/>
        <v>0</v>
      </c>
      <c r="AA86" s="38"/>
      <c r="AB86" s="74"/>
      <c r="AC86" s="102"/>
    </row>
    <row r="87" spans="1:29" ht="11.25" collapsed="1" x14ac:dyDescent="0.15">
      <c r="A87" s="148" t="s">
        <v>55</v>
      </c>
      <c r="B87" s="149"/>
      <c r="C87" s="76">
        <f t="shared" ref="C87:D87" si="94">C13*$B$2/100/12</f>
        <v>0</v>
      </c>
      <c r="D87" s="76">
        <f t="shared" si="94"/>
        <v>294019.73834566667</v>
      </c>
      <c r="E87" s="76">
        <f>E13*$B$2/100/12</f>
        <v>416363.31675400003</v>
      </c>
      <c r="F87" s="76">
        <f t="shared" ref="F87:G87" si="95">F13*$B$2/100/12</f>
        <v>808.51167950000001</v>
      </c>
      <c r="G87" s="76">
        <f t="shared" si="95"/>
        <v>8.3099764999999994</v>
      </c>
      <c r="H87" s="76">
        <f t="shared" ref="H87:W87" si="96">H13*$B$2/100/12</f>
        <v>22870.028112166667</v>
      </c>
      <c r="I87" s="76">
        <f t="shared" si="96"/>
        <v>134840.25326450003</v>
      </c>
      <c r="J87" s="76">
        <f t="shared" si="96"/>
        <v>380797.2192173333</v>
      </c>
      <c r="K87" s="76">
        <f t="shared" si="96"/>
        <v>107219.09686483334</v>
      </c>
      <c r="L87" s="76">
        <f t="shared" si="96"/>
        <v>1318.260041</v>
      </c>
      <c r="M87" s="76">
        <f t="shared" si="96"/>
        <v>2172285.026167667</v>
      </c>
      <c r="N87" s="76">
        <f t="shared" si="96"/>
        <v>2403345.8856715006</v>
      </c>
      <c r="O87" s="76">
        <f t="shared" si="96"/>
        <v>355124.36213800003</v>
      </c>
      <c r="P87" s="76">
        <f t="shared" si="96"/>
        <v>192362.56883900004</v>
      </c>
      <c r="Q87" s="76">
        <f t="shared" si="96"/>
        <v>125364.74962200002</v>
      </c>
      <c r="R87" s="76">
        <f t="shared" si="96"/>
        <v>215947.72533716669</v>
      </c>
      <c r="S87" s="76">
        <f t="shared" si="96"/>
        <v>307170.34568616672</v>
      </c>
      <c r="T87" s="76">
        <f t="shared" si="96"/>
        <v>106257.70056533335</v>
      </c>
      <c r="U87" s="76">
        <f t="shared" si="96"/>
        <v>205738.92315433334</v>
      </c>
      <c r="V87" s="76">
        <f t="shared" si="96"/>
        <v>72360.460502166665</v>
      </c>
      <c r="W87" s="76">
        <f t="shared" si="96"/>
        <v>22320.313837499998</v>
      </c>
      <c r="X87" s="68">
        <f>C87+D87+E87+M87+P87+Q87+R87+S87+F87+G87</f>
        <v>3724330.2924076668</v>
      </c>
      <c r="Y87" s="38">
        <f t="shared" si="82"/>
        <v>3457068.141230667</v>
      </c>
      <c r="Z87" s="38">
        <f t="shared" si="83"/>
        <v>355124.36213800003</v>
      </c>
      <c r="AA87" s="38">
        <f t="shared" si="88"/>
        <v>7536522.7957763346</v>
      </c>
      <c r="AB87" s="74"/>
    </row>
    <row r="88" spans="1:29" x14ac:dyDescent="0.15">
      <c r="A88" s="103"/>
      <c r="B88" s="104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8"/>
      <c r="Y88" s="168"/>
      <c r="Z88" s="168"/>
      <c r="AA88" s="169"/>
      <c r="AB88" s="170"/>
    </row>
    <row r="89" spans="1:29" x14ac:dyDescent="0.15">
      <c r="A89" s="103"/>
      <c r="B89" s="104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2"/>
      <c r="Y89" s="172"/>
      <c r="Z89" s="172"/>
      <c r="AA89" s="171"/>
      <c r="AB89" s="173"/>
    </row>
    <row r="90" spans="1:29" x14ac:dyDescent="0.15">
      <c r="A90" s="103"/>
      <c r="B90" s="104"/>
      <c r="C90" s="174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  <c r="AA90" s="174"/>
      <c r="AB90" s="97"/>
    </row>
    <row r="91" spans="1:29" x14ac:dyDescent="0.15">
      <c r="A91" s="103"/>
      <c r="B91" s="104"/>
      <c r="C91" s="171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1"/>
      <c r="AB91" s="175"/>
    </row>
    <row r="92" spans="1:29" x14ac:dyDescent="0.15">
      <c r="A92" s="103"/>
      <c r="B92" s="104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  <c r="AB92" s="177"/>
    </row>
    <row r="93" spans="1:29" x14ac:dyDescent="0.15">
      <c r="A93" s="178" t="s">
        <v>56</v>
      </c>
      <c r="B93" s="179"/>
      <c r="C93" s="162">
        <f t="shared" ref="C93:AA93" si="97">C77-C40</f>
        <v>7126.8099999999995</v>
      </c>
      <c r="D93" s="162">
        <f t="shared" si="97"/>
        <v>168385.02146999433</v>
      </c>
      <c r="E93" s="163">
        <f t="shared" si="97"/>
        <v>485697.50588621979</v>
      </c>
      <c r="F93" s="163">
        <f t="shared" ref="F93:G93" si="98">F77-F40</f>
        <v>509.53017295137926</v>
      </c>
      <c r="G93" s="163">
        <f t="shared" si="98"/>
        <v>-2561.8694133626764</v>
      </c>
      <c r="H93" s="165">
        <f t="shared" si="97"/>
        <v>-32726.481357994518</v>
      </c>
      <c r="I93" s="162">
        <f t="shared" si="97"/>
        <v>-58881.789460203028</v>
      </c>
      <c r="J93" s="162">
        <f t="shared" si="97"/>
        <v>123585.3328130208</v>
      </c>
      <c r="K93" s="162">
        <f t="shared" si="97"/>
        <v>313671.17004529317</v>
      </c>
      <c r="L93" s="163">
        <f t="shared" si="97"/>
        <v>126.65347335530828</v>
      </c>
      <c r="M93" s="165">
        <f t="shared" si="97"/>
        <v>93945.009929951746</v>
      </c>
      <c r="N93" s="163">
        <f t="shared" si="97"/>
        <v>551622.57091003936</v>
      </c>
      <c r="O93" s="163">
        <f t="shared" si="97"/>
        <v>32665.257749472337</v>
      </c>
      <c r="P93" s="163">
        <f t="shared" si="97"/>
        <v>207659.47666150707</v>
      </c>
      <c r="Q93" s="163">
        <f t="shared" si="97"/>
        <v>473427.71974628605</v>
      </c>
      <c r="R93" s="163">
        <f t="shared" si="97"/>
        <v>266539.33613698283</v>
      </c>
      <c r="S93" s="163">
        <f t="shared" si="97"/>
        <v>438354.13804290176</v>
      </c>
      <c r="T93" s="163">
        <f t="shared" si="97"/>
        <v>44166.033318766509</v>
      </c>
      <c r="U93" s="163">
        <f t="shared" si="97"/>
        <v>121028.90539074439</v>
      </c>
      <c r="V93" s="163">
        <f t="shared" si="97"/>
        <v>71411.235998397577</v>
      </c>
      <c r="W93" s="163">
        <f>W77-W40</f>
        <v>53542.818887260568</v>
      </c>
      <c r="X93" s="180">
        <f t="shared" si="97"/>
        <v>2139082.6786334319</v>
      </c>
      <c r="Y93" s="180">
        <f t="shared" si="97"/>
        <v>1187546.4500186793</v>
      </c>
      <c r="Z93" s="180">
        <f t="shared" si="97"/>
        <v>32665.257749472337</v>
      </c>
      <c r="AA93" s="180">
        <f t="shared" si="97"/>
        <v>6317977.3788763508</v>
      </c>
      <c r="AB93" s="181"/>
    </row>
    <row r="94" spans="1:29" x14ac:dyDescent="0.15">
      <c r="A94" s="182" t="s">
        <v>57</v>
      </c>
      <c r="B94" s="183"/>
      <c r="C94" s="184">
        <f t="shared" ref="C94:AA94" si="99">C93-C87+C72+C74</f>
        <v>7126.8099999999995</v>
      </c>
      <c r="D94" s="184">
        <f t="shared" si="99"/>
        <v>20536.180146480125</v>
      </c>
      <c r="E94" s="185">
        <f t="shared" si="99"/>
        <v>213717.53881382843</v>
      </c>
      <c r="F94" s="185">
        <f t="shared" ref="F94:G94" si="100">F93-F87+F72+F74</f>
        <v>-298.98150654862076</v>
      </c>
      <c r="G94" s="185">
        <f t="shared" si="100"/>
        <v>-2567.0193898626767</v>
      </c>
      <c r="H94" s="184">
        <f t="shared" si="99"/>
        <v>-48287.48540563196</v>
      </c>
      <c r="I94" s="184">
        <f t="shared" si="99"/>
        <v>-152153.47082241898</v>
      </c>
      <c r="J94" s="184">
        <f t="shared" si="99"/>
        <v>35755.773279170258</v>
      </c>
      <c r="K94" s="184">
        <f t="shared" si="99"/>
        <v>279436.5851620374</v>
      </c>
      <c r="L94" s="185">
        <f t="shared" si="99"/>
        <v>-1191.6065676446917</v>
      </c>
      <c r="M94" s="184">
        <f t="shared" si="99"/>
        <v>-285182.2177102759</v>
      </c>
      <c r="N94" s="186">
        <f t="shared" si="99"/>
        <v>94936.254573049955</v>
      </c>
      <c r="O94" s="186">
        <f t="shared" si="99"/>
        <v>-57051.578113706433</v>
      </c>
      <c r="P94" s="186">
        <f t="shared" si="99"/>
        <v>47166.410960708221</v>
      </c>
      <c r="Q94" s="186">
        <f t="shared" si="99"/>
        <v>443487.41917904437</v>
      </c>
      <c r="R94" s="186">
        <f t="shared" si="99"/>
        <v>130327.4954803541</v>
      </c>
      <c r="S94" s="186">
        <f t="shared" si="99"/>
        <v>545208.24913392356</v>
      </c>
      <c r="T94" s="186">
        <f t="shared" si="99"/>
        <v>-32422.563834052824</v>
      </c>
      <c r="U94" s="186">
        <f t="shared" si="99"/>
        <v>-14394.936711787566</v>
      </c>
      <c r="V94" s="186">
        <f t="shared" si="99"/>
        <v>6031.75000000001</v>
      </c>
      <c r="W94" s="186">
        <f>W93-W87+W72+W74</f>
        <v>120062.5833333333</v>
      </c>
      <c r="X94" s="186">
        <f t="shared" si="99"/>
        <v>1119521.8851076514</v>
      </c>
      <c r="Y94" s="186">
        <f t="shared" si="99"/>
        <v>287772.88300605421</v>
      </c>
      <c r="Z94" s="186">
        <f t="shared" si="99"/>
        <v>-57051.578113706433</v>
      </c>
      <c r="AA94" s="186">
        <f t="shared" si="99"/>
        <v>4308926.1824747659</v>
      </c>
      <c r="AB94" s="166"/>
    </row>
    <row r="95" spans="1:29" x14ac:dyDescent="0.15">
      <c r="A95" s="187"/>
      <c r="B95" s="188"/>
      <c r="C95" s="184"/>
      <c r="D95" s="184"/>
      <c r="E95" s="186"/>
      <c r="F95" s="186"/>
      <c r="G95" s="186"/>
      <c r="H95" s="184"/>
      <c r="I95" s="184"/>
      <c r="J95" s="184"/>
      <c r="K95" s="184"/>
      <c r="L95" s="186"/>
      <c r="M95" s="184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74"/>
    </row>
    <row r="96" spans="1:29" x14ac:dyDescent="0.15">
      <c r="A96" s="189" t="s">
        <v>28</v>
      </c>
      <c r="B96" s="190"/>
      <c r="C96" s="191">
        <v>0</v>
      </c>
      <c r="D96" s="191">
        <f t="shared" ref="D96:AA96" si="101">(D19+D21)/(D19+D21+D25)</f>
        <v>0.63019046958619729</v>
      </c>
      <c r="E96" s="192">
        <f t="shared" si="101"/>
        <v>0.43575937318025854</v>
      </c>
      <c r="F96" s="192">
        <v>0</v>
      </c>
      <c r="G96" s="192">
        <v>0</v>
      </c>
      <c r="H96" s="191">
        <f t="shared" si="101"/>
        <v>0.72107132532610185</v>
      </c>
      <c r="I96" s="191">
        <f t="shared" si="101"/>
        <v>0.80634281090340143</v>
      </c>
      <c r="J96" s="191">
        <f t="shared" si="101"/>
        <v>0.67049432370453044</v>
      </c>
      <c r="K96" s="191">
        <f t="shared" si="101"/>
        <v>0.66701312419519754</v>
      </c>
      <c r="L96" s="192">
        <v>0</v>
      </c>
      <c r="M96" s="191">
        <f t="shared" si="101"/>
        <v>0.52402883018031243</v>
      </c>
      <c r="N96" s="192">
        <f t="shared" si="101"/>
        <v>0.51081285863008141</v>
      </c>
      <c r="O96" s="192">
        <f t="shared" si="101"/>
        <v>0.76193403819071293</v>
      </c>
      <c r="P96" s="192">
        <f t="shared" si="101"/>
        <v>0.35948865543857234</v>
      </c>
      <c r="Q96" s="192">
        <f t="shared" si="101"/>
        <v>0.71924347337928052</v>
      </c>
      <c r="R96" s="192">
        <f t="shared" si="101"/>
        <v>0.2002498564462083</v>
      </c>
      <c r="S96" s="192">
        <f t="shared" si="101"/>
        <v>0.2665113872531687</v>
      </c>
      <c r="T96" s="192">
        <f t="shared" si="101"/>
        <v>0.36691274081899905</v>
      </c>
      <c r="U96" s="192">
        <f t="shared" si="101"/>
        <v>0.5424495600227075</v>
      </c>
      <c r="V96" s="192">
        <f t="shared" si="101"/>
        <v>0.77466577843203133</v>
      </c>
      <c r="W96" s="192">
        <f t="shared" si="101"/>
        <v>0.41202075651395104</v>
      </c>
      <c r="X96" s="192">
        <f t="shared" si="101"/>
        <v>0.448021122034651</v>
      </c>
      <c r="Y96" s="192">
        <f t="shared" si="101"/>
        <v>0.58918270598053857</v>
      </c>
      <c r="Z96" s="192">
        <f t="shared" si="101"/>
        <v>0.76193403819071293</v>
      </c>
      <c r="AA96" s="192">
        <f t="shared" si="101"/>
        <v>0.52337036938447468</v>
      </c>
      <c r="AB96" s="74"/>
    </row>
    <row r="97" spans="1:28" x14ac:dyDescent="0.15">
      <c r="A97" s="189" t="s">
        <v>59</v>
      </c>
      <c r="B97" s="190"/>
      <c r="C97" s="191">
        <v>0</v>
      </c>
      <c r="D97" s="191">
        <f t="shared" ref="D97:K97" si="102">D19/(D21+D19)</f>
        <v>0.84130944583163991</v>
      </c>
      <c r="E97" s="192">
        <f t="shared" si="102"/>
        <v>0.76698568140726042</v>
      </c>
      <c r="F97" s="192">
        <v>0</v>
      </c>
      <c r="G97" s="192">
        <v>0</v>
      </c>
      <c r="H97" s="191">
        <f t="shared" si="102"/>
        <v>0.86617426631902372</v>
      </c>
      <c r="I97" s="191">
        <f t="shared" si="102"/>
        <v>0.87645163382541647</v>
      </c>
      <c r="J97" s="191">
        <f t="shared" si="102"/>
        <v>0.67493297671476105</v>
      </c>
      <c r="K97" s="191">
        <f t="shared" si="102"/>
        <v>0.83398910862279974</v>
      </c>
      <c r="L97" s="192"/>
      <c r="M97" s="191">
        <f t="shared" ref="M97:AA97" si="103">M19/(M21+M19)</f>
        <v>0.83260855724961513</v>
      </c>
      <c r="N97" s="192">
        <f t="shared" si="103"/>
        <v>0.83899501978678803</v>
      </c>
      <c r="O97" s="192">
        <f t="shared" si="103"/>
        <v>0.64870823678737133</v>
      </c>
      <c r="P97" s="192">
        <f t="shared" si="103"/>
        <v>0.28854686377395866</v>
      </c>
      <c r="Q97" s="192">
        <f t="shared" si="103"/>
        <v>8.8683588173854064E-2</v>
      </c>
      <c r="R97" s="192">
        <f t="shared" si="103"/>
        <v>0.38229728350427267</v>
      </c>
      <c r="S97" s="192">
        <f t="shared" si="103"/>
        <v>0.34417273878249732</v>
      </c>
      <c r="T97" s="192">
        <f t="shared" si="103"/>
        <v>0.88636021108249885</v>
      </c>
      <c r="U97" s="192">
        <f t="shared" si="103"/>
        <v>4.7271211851597494E-2</v>
      </c>
      <c r="V97" s="192">
        <f t="shared" si="103"/>
        <v>1</v>
      </c>
      <c r="W97" s="192">
        <f t="shared" si="103"/>
        <v>0.44570023210276455</v>
      </c>
      <c r="X97" s="192">
        <f t="shared" si="103"/>
        <v>0.58553671055972534</v>
      </c>
      <c r="Y97" s="192">
        <f t="shared" si="103"/>
        <v>0.69562695487712056</v>
      </c>
      <c r="Z97" s="192">
        <f t="shared" si="103"/>
        <v>0.64870823678737133</v>
      </c>
      <c r="AA97" s="192">
        <f t="shared" si="103"/>
        <v>0.6446236584617665</v>
      </c>
      <c r="AB97" s="74"/>
    </row>
    <row r="98" spans="1:28" x14ac:dyDescent="0.15">
      <c r="A98" s="189" t="s">
        <v>58</v>
      </c>
      <c r="B98" s="190"/>
      <c r="C98" s="191">
        <v>0</v>
      </c>
      <c r="D98" s="191">
        <f t="shared" ref="D98:AA98" si="104">D7/D6</f>
        <v>0.37936046511627908</v>
      </c>
      <c r="E98" s="192">
        <f t="shared" si="104"/>
        <v>0.27823691460055094</v>
      </c>
      <c r="F98" s="192">
        <f t="shared" ref="F98:G98" si="105">F7/F6</f>
        <v>0</v>
      </c>
      <c r="G98" s="192">
        <f t="shared" si="105"/>
        <v>0.33333333333333331</v>
      </c>
      <c r="H98" s="191">
        <f t="shared" si="104"/>
        <v>0.2431791221826809</v>
      </c>
      <c r="I98" s="191">
        <f t="shared" si="104"/>
        <v>0.14259035482807866</v>
      </c>
      <c r="J98" s="191">
        <f t="shared" si="104"/>
        <v>0.56583294006606888</v>
      </c>
      <c r="K98" s="191">
        <f t="shared" si="104"/>
        <v>0.55970149253731338</v>
      </c>
      <c r="L98" s="192">
        <f t="shared" si="104"/>
        <v>5.46875E-2</v>
      </c>
      <c r="M98" s="191">
        <f t="shared" si="104"/>
        <v>0.35584591888681488</v>
      </c>
      <c r="N98" s="192">
        <f t="shared" si="104"/>
        <v>0.39197530864197533</v>
      </c>
      <c r="O98" s="192">
        <f t="shared" si="104"/>
        <v>0.39143730886850153</v>
      </c>
      <c r="P98" s="192">
        <f t="shared" si="104"/>
        <v>0.33846153846153848</v>
      </c>
      <c r="Q98" s="192">
        <f t="shared" si="104"/>
        <v>0.43283582089552236</v>
      </c>
      <c r="R98" s="192">
        <f t="shared" si="104"/>
        <v>0.46296296296296297</v>
      </c>
      <c r="S98" s="192">
        <f t="shared" si="104"/>
        <v>0.52777777777777779</v>
      </c>
      <c r="T98" s="192">
        <f t="shared" si="104"/>
        <v>0.30344827586206896</v>
      </c>
      <c r="U98" s="192">
        <f t="shared" si="104"/>
        <v>0.36666666666666664</v>
      </c>
      <c r="V98" s="192">
        <f t="shared" si="104"/>
        <v>0.17391304347826086</v>
      </c>
      <c r="W98" s="192">
        <f t="shared" si="104"/>
        <v>0.36538461538461536</v>
      </c>
      <c r="X98" s="192">
        <f t="shared" si="104"/>
        <v>0.35768020790589522</v>
      </c>
      <c r="Y98" s="192">
        <f t="shared" si="104"/>
        <v>0.2778242677824268</v>
      </c>
      <c r="Z98" s="192">
        <f t="shared" si="104"/>
        <v>0.39143730886850153</v>
      </c>
      <c r="AA98" s="192">
        <f t="shared" si="104"/>
        <v>0.30945713054717794</v>
      </c>
      <c r="AB98" s="74"/>
    </row>
    <row r="99" spans="1:28" x14ac:dyDescent="0.15">
      <c r="A99" s="187"/>
      <c r="B99" s="188"/>
      <c r="C99" s="191"/>
      <c r="D99" s="191"/>
      <c r="E99" s="192"/>
      <c r="F99" s="192"/>
      <c r="G99" s="192"/>
      <c r="H99" s="191"/>
      <c r="I99" s="191"/>
      <c r="J99" s="191"/>
      <c r="K99" s="191"/>
      <c r="L99" s="192"/>
      <c r="M99" s="191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  <c r="AA99" s="192"/>
      <c r="AB99" s="74"/>
    </row>
    <row r="100" spans="1:28" x14ac:dyDescent="0.15">
      <c r="A100" s="189" t="s">
        <v>65</v>
      </c>
      <c r="B100" s="190"/>
      <c r="C100" s="184">
        <v>0</v>
      </c>
      <c r="D100" s="184">
        <f t="shared" ref="D100:W100" si="106">(D19+D21)/D12</f>
        <v>17751.656017441859</v>
      </c>
      <c r="E100" s="186">
        <f t="shared" si="106"/>
        <v>29622.959366391184</v>
      </c>
      <c r="F100" s="186">
        <f t="shared" ref="F100:G100" si="107">(F19+F21)/F12</f>
        <v>0</v>
      </c>
      <c r="G100" s="186">
        <f t="shared" si="107"/>
        <v>0</v>
      </c>
      <c r="H100" s="184">
        <f t="shared" si="106"/>
        <v>1513.9818149466191</v>
      </c>
      <c r="I100" s="184">
        <f t="shared" si="106"/>
        <v>972.81620564649018</v>
      </c>
      <c r="J100" s="184">
        <f t="shared" si="106"/>
        <v>16905.424709768758</v>
      </c>
      <c r="K100" s="184">
        <f t="shared" si="106"/>
        <v>31245.866902985075</v>
      </c>
      <c r="L100" s="186">
        <f t="shared" si="106"/>
        <v>0</v>
      </c>
      <c r="M100" s="184">
        <f t="shared" si="106"/>
        <v>4647.2231087731207</v>
      </c>
      <c r="N100" s="186">
        <f t="shared" si="106"/>
        <v>4666.8886863425923</v>
      </c>
      <c r="O100" s="186">
        <f t="shared" si="106"/>
        <v>4068.3725879204899</v>
      </c>
      <c r="P100" s="186">
        <f t="shared" si="106"/>
        <v>20715.912615384612</v>
      </c>
      <c r="Q100" s="186">
        <f t="shared" si="106"/>
        <v>222154.88731343282</v>
      </c>
      <c r="R100" s="186">
        <f t="shared" si="106"/>
        <v>51927.786851851859</v>
      </c>
      <c r="S100" s="186">
        <f t="shared" si="106"/>
        <v>118009.75546296296</v>
      </c>
      <c r="T100" s="186">
        <f t="shared" si="106"/>
        <v>18394.938827586207</v>
      </c>
      <c r="U100" s="186">
        <f t="shared" si="106"/>
        <v>136799.25716666665</v>
      </c>
      <c r="V100" s="186">
        <f t="shared" si="106"/>
        <v>56698.260869565216</v>
      </c>
      <c r="W100" s="186">
        <f t="shared" si="106"/>
        <v>99167.032115384616</v>
      </c>
      <c r="X100" s="186">
        <f>(X19+X21)/X12/12</f>
        <v>951.52235831851533</v>
      </c>
      <c r="Y100" s="186">
        <f>(Y19+Y21)/Y12/12</f>
        <v>445.6412741050674</v>
      </c>
      <c r="Z100" s="186">
        <f>(Z19+Z21)/Z12/12</f>
        <v>339.03104899337416</v>
      </c>
      <c r="AA100" s="186">
        <f>(AA19+AA21)/AA12/12</f>
        <v>568.418965394466</v>
      </c>
      <c r="AB100" s="74"/>
    </row>
    <row r="101" spans="1:28" x14ac:dyDescent="0.15">
      <c r="A101" s="189" t="s">
        <v>66</v>
      </c>
      <c r="B101" s="190"/>
      <c r="C101" s="184">
        <v>0</v>
      </c>
      <c r="D101" s="184">
        <f t="shared" ref="D101:W101" si="108">D25/D12</f>
        <v>10417.059433139535</v>
      </c>
      <c r="E101" s="186">
        <f t="shared" si="108"/>
        <v>38357.125950413225</v>
      </c>
      <c r="F101" s="186">
        <f t="shared" ref="F101:G101" si="109">F25/F12</f>
        <v>0</v>
      </c>
      <c r="G101" s="186">
        <f t="shared" si="109"/>
        <v>0</v>
      </c>
      <c r="H101" s="184">
        <f t="shared" si="108"/>
        <v>585.64655990510084</v>
      </c>
      <c r="I101" s="184">
        <f t="shared" si="108"/>
        <v>233.63865758541138</v>
      </c>
      <c r="J101" s="184">
        <f t="shared" si="108"/>
        <v>8307.9501274185932</v>
      </c>
      <c r="K101" s="184">
        <f t="shared" si="108"/>
        <v>15598.589029850746</v>
      </c>
      <c r="L101" s="186">
        <f t="shared" si="108"/>
        <v>0</v>
      </c>
      <c r="M101" s="184">
        <f t="shared" si="108"/>
        <v>4221.0353555065331</v>
      </c>
      <c r="N101" s="186">
        <f t="shared" si="108"/>
        <v>4469.3117978395057</v>
      </c>
      <c r="O101" s="186">
        <f t="shared" si="108"/>
        <v>1271.16126146789</v>
      </c>
      <c r="P101" s="186">
        <f t="shared" si="108"/>
        <v>36910.141230769223</v>
      </c>
      <c r="Q101" s="186">
        <f t="shared" si="108"/>
        <v>86718.109850746259</v>
      </c>
      <c r="R101" s="186">
        <f t="shared" si="108"/>
        <v>207387.1898148148</v>
      </c>
      <c r="S101" s="186">
        <f t="shared" si="108"/>
        <v>324784.66574074072</v>
      </c>
      <c r="T101" s="186">
        <f t="shared" si="108"/>
        <v>31739.430413793103</v>
      </c>
      <c r="U101" s="186">
        <f t="shared" si="108"/>
        <v>115388.71983333332</v>
      </c>
      <c r="V101" s="186">
        <f t="shared" si="108"/>
        <v>16492.349130434784</v>
      </c>
      <c r="W101" s="186">
        <f t="shared" si="108"/>
        <v>141517.52211538464</v>
      </c>
      <c r="X101" s="186">
        <f>X25/X12/12</f>
        <v>1172.3113439793919</v>
      </c>
      <c r="Y101" s="186">
        <f>Y25/Y12/12</f>
        <v>310.73067907949797</v>
      </c>
      <c r="Z101" s="186">
        <f>Z25/Z12/12</f>
        <v>105.93010512232416</v>
      </c>
      <c r="AA101" s="186">
        <f>AA25/AA12/12</f>
        <v>517.65506295179284</v>
      </c>
      <c r="AB101" s="74"/>
    </row>
    <row r="102" spans="1:28" x14ac:dyDescent="0.15">
      <c r="A102" s="193" t="s">
        <v>67</v>
      </c>
      <c r="B102" s="194"/>
      <c r="C102" s="184">
        <v>0</v>
      </c>
      <c r="D102" s="184">
        <f t="shared" ref="D102:AA102" si="110">D17/D6</f>
        <v>0</v>
      </c>
      <c r="E102" s="186">
        <f t="shared" si="110"/>
        <v>0</v>
      </c>
      <c r="F102" s="186">
        <f t="shared" ref="F102:G102" si="111">F17/F6</f>
        <v>0</v>
      </c>
      <c r="G102" s="186">
        <f t="shared" si="111"/>
        <v>0</v>
      </c>
      <c r="H102" s="184">
        <f t="shared" si="110"/>
        <v>0</v>
      </c>
      <c r="I102" s="184">
        <f t="shared" si="110"/>
        <v>0</v>
      </c>
      <c r="J102" s="184">
        <f t="shared" si="110"/>
        <v>0</v>
      </c>
      <c r="K102" s="184">
        <f t="shared" si="110"/>
        <v>0</v>
      </c>
      <c r="L102" s="186">
        <f t="shared" si="110"/>
        <v>0</v>
      </c>
      <c r="M102" s="184">
        <f t="shared" si="110"/>
        <v>0</v>
      </c>
      <c r="N102" s="186">
        <f t="shared" si="110"/>
        <v>0</v>
      </c>
      <c r="O102" s="186">
        <f t="shared" si="110"/>
        <v>0</v>
      </c>
      <c r="P102" s="186">
        <f t="shared" si="110"/>
        <v>0</v>
      </c>
      <c r="Q102" s="186">
        <f t="shared" si="110"/>
        <v>0</v>
      </c>
      <c r="R102" s="186">
        <f t="shared" si="110"/>
        <v>0</v>
      </c>
      <c r="S102" s="186">
        <f t="shared" si="110"/>
        <v>0</v>
      </c>
      <c r="T102" s="186">
        <f t="shared" si="110"/>
        <v>0</v>
      </c>
      <c r="U102" s="186">
        <f t="shared" si="110"/>
        <v>0</v>
      </c>
      <c r="V102" s="186">
        <f t="shared" si="110"/>
        <v>0</v>
      </c>
      <c r="W102" s="186">
        <f t="shared" si="110"/>
        <v>0</v>
      </c>
      <c r="X102" s="186">
        <f t="shared" si="110"/>
        <v>0</v>
      </c>
      <c r="Y102" s="186">
        <f t="shared" si="110"/>
        <v>0</v>
      </c>
      <c r="Z102" s="186">
        <f t="shared" si="110"/>
        <v>0</v>
      </c>
      <c r="AA102" s="186">
        <f t="shared" si="110"/>
        <v>0</v>
      </c>
      <c r="AB102" s="74"/>
    </row>
    <row r="103" spans="1:28" x14ac:dyDescent="0.15">
      <c r="A103" s="187"/>
      <c r="B103" s="188"/>
      <c r="C103" s="184"/>
      <c r="D103" s="184"/>
      <c r="E103" s="186"/>
      <c r="F103" s="186"/>
      <c r="G103" s="186"/>
      <c r="H103" s="184"/>
      <c r="I103" s="184"/>
      <c r="J103" s="184"/>
      <c r="K103" s="184"/>
      <c r="L103" s="186"/>
      <c r="M103" s="184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74"/>
    </row>
    <row r="104" spans="1:28" x14ac:dyDescent="0.15">
      <c r="A104" s="193" t="s">
        <v>60</v>
      </c>
      <c r="B104" s="194"/>
      <c r="C104" s="184">
        <v>0</v>
      </c>
      <c r="D104" s="184">
        <f t="shared" ref="D104:AA104" si="112">D93/D12</f>
        <v>244.74567074127083</v>
      </c>
      <c r="E104" s="186">
        <f t="shared" si="112"/>
        <v>1338.0096580887598</v>
      </c>
      <c r="F104" s="186">
        <f t="shared" ref="F104:G104" si="113">F93/F12</f>
        <v>101.90603459027585</v>
      </c>
      <c r="G104" s="186">
        <f t="shared" si="113"/>
        <v>-853.95647112089216</v>
      </c>
      <c r="H104" s="184">
        <f t="shared" si="112"/>
        <v>-38.821448823243792</v>
      </c>
      <c r="I104" s="184">
        <f t="shared" si="112"/>
        <v>-6.4683938767662337</v>
      </c>
      <c r="J104" s="184">
        <f t="shared" si="112"/>
        <v>58.322478911288719</v>
      </c>
      <c r="K104" s="184">
        <f t="shared" si="112"/>
        <v>1170.4148136018403</v>
      </c>
      <c r="L104" s="186">
        <f t="shared" si="112"/>
        <v>0.98948026058834593</v>
      </c>
      <c r="M104" s="184">
        <f t="shared" si="112"/>
        <v>15.941797035457618</v>
      </c>
      <c r="N104" s="186">
        <f t="shared" si="112"/>
        <v>106.40867494406623</v>
      </c>
      <c r="O104" s="186">
        <f t="shared" si="112"/>
        <v>12.486719323192789</v>
      </c>
      <c r="P104" s="186">
        <f t="shared" si="112"/>
        <v>1597.3805897039006</v>
      </c>
      <c r="Q104" s="186">
        <f t="shared" si="112"/>
        <v>7066.0853693475528</v>
      </c>
      <c r="R104" s="186">
        <f t="shared" si="112"/>
        <v>4935.9136321663491</v>
      </c>
      <c r="S104" s="186">
        <f t="shared" si="112"/>
        <v>4058.8346115083496</v>
      </c>
      <c r="T104" s="186">
        <f t="shared" si="112"/>
        <v>304.59333323287245</v>
      </c>
      <c r="U104" s="186">
        <f t="shared" si="112"/>
        <v>2017.1484231790732</v>
      </c>
      <c r="V104" s="186">
        <f t="shared" si="112"/>
        <v>3104.8363477564162</v>
      </c>
      <c r="W104" s="186">
        <f t="shared" si="112"/>
        <v>1029.6695939857802</v>
      </c>
      <c r="X104" s="186">
        <f t="shared" si="112"/>
        <v>292.58414425296564</v>
      </c>
      <c r="Y104" s="186">
        <f t="shared" si="112"/>
        <v>66.250847978726881</v>
      </c>
      <c r="Z104" s="186">
        <f t="shared" si="112"/>
        <v>12.486719323192789</v>
      </c>
      <c r="AA104" s="186">
        <f t="shared" si="112"/>
        <v>226.84106631036732</v>
      </c>
      <c r="AB104" s="74"/>
    </row>
    <row r="105" spans="1:28" x14ac:dyDescent="0.15">
      <c r="A105" s="193" t="s">
        <v>69</v>
      </c>
      <c r="B105" s="194"/>
      <c r="C105" s="184">
        <v>0</v>
      </c>
      <c r="D105" s="184">
        <f t="shared" ref="D105:AA105" si="114">(D93+D55+D49+D66)/D12</f>
        <v>377.51336739983219</v>
      </c>
      <c r="E105" s="186">
        <f t="shared" si="114"/>
        <v>1430.0548299218999</v>
      </c>
      <c r="F105" s="186">
        <f t="shared" ref="F105:G105" si="115">(F93+F55+F49+F66)/F12</f>
        <v>103.5523359</v>
      </c>
      <c r="G105" s="186">
        <f t="shared" si="115"/>
        <v>-69.870169811167969</v>
      </c>
      <c r="H105" s="184">
        <f t="shared" si="114"/>
        <v>47.30817395741748</v>
      </c>
      <c r="I105" s="184">
        <f t="shared" si="114"/>
        <v>16.991767698804345</v>
      </c>
      <c r="J105" s="184">
        <f t="shared" si="114"/>
        <v>146.76740693172547</v>
      </c>
      <c r="K105" s="184">
        <f t="shared" si="114"/>
        <v>1257.685741777236</v>
      </c>
      <c r="L105" s="186">
        <f t="shared" si="114"/>
        <v>11.0020315703125</v>
      </c>
      <c r="M105" s="184">
        <f t="shared" si="114"/>
        <v>133.62625548076636</v>
      </c>
      <c r="N105" s="186">
        <f t="shared" si="114"/>
        <v>168.04666221058051</v>
      </c>
      <c r="O105" s="186">
        <f t="shared" si="114"/>
        <v>26.031097850042322</v>
      </c>
      <c r="P105" s="186">
        <f t="shared" si="114"/>
        <v>1742.8904284676833</v>
      </c>
      <c r="Q105" s="186">
        <f t="shared" si="114"/>
        <v>7232.6295607050988</v>
      </c>
      <c r="R105" s="186">
        <f t="shared" si="114"/>
        <v>5277.1450121597909</v>
      </c>
      <c r="S105" s="186">
        <f t="shared" si="114"/>
        <v>5375.2433232312796</v>
      </c>
      <c r="T105" s="186">
        <f t="shared" si="114"/>
        <v>1022.4246010539266</v>
      </c>
      <c r="U105" s="186">
        <f t="shared" si="114"/>
        <v>2884.4182017088651</v>
      </c>
      <c r="V105" s="186">
        <f t="shared" si="114"/>
        <v>3516.0724347129376</v>
      </c>
      <c r="W105" s="186">
        <f t="shared" si="114"/>
        <v>2214.1735683447546</v>
      </c>
      <c r="X105" s="186">
        <f t="shared" si="114"/>
        <v>431.36133569245771</v>
      </c>
      <c r="Y105" s="186">
        <f t="shared" si="114"/>
        <v>124.86918863687778</v>
      </c>
      <c r="Z105" s="186">
        <f t="shared" si="114"/>
        <v>26.4852541429632</v>
      </c>
      <c r="AA105" s="186">
        <f t="shared" si="114"/>
        <v>302.30975688914089</v>
      </c>
      <c r="AB105" s="74"/>
    </row>
    <row r="106" spans="1:28" x14ac:dyDescent="0.15">
      <c r="A106" s="187"/>
      <c r="B106" s="188"/>
      <c r="C106" s="184"/>
      <c r="D106" s="184"/>
      <c r="E106" s="186"/>
      <c r="F106" s="186"/>
      <c r="G106" s="186"/>
      <c r="H106" s="184"/>
      <c r="I106" s="184"/>
      <c r="J106" s="184"/>
      <c r="K106" s="184"/>
      <c r="L106" s="186"/>
      <c r="M106" s="184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74"/>
    </row>
    <row r="107" spans="1:28" x14ac:dyDescent="0.15">
      <c r="A107" s="193" t="s">
        <v>61</v>
      </c>
      <c r="B107" s="194"/>
      <c r="C107" s="195">
        <v>0</v>
      </c>
      <c r="D107" s="195">
        <f t="shared" ref="D107:AA107" si="116">D79/D25</f>
        <v>1.5263162168015128E-2</v>
      </c>
      <c r="E107" s="196">
        <f t="shared" si="116"/>
        <v>1.9732436684831864E-2</v>
      </c>
      <c r="F107" s="196">
        <v>0</v>
      </c>
      <c r="G107" s="196">
        <v>0</v>
      </c>
      <c r="H107" s="195">
        <f t="shared" si="116"/>
        <v>8.8403880048219564E-3</v>
      </c>
      <c r="I107" s="195">
        <f t="shared" si="116"/>
        <v>1.4840375929671665E-2</v>
      </c>
      <c r="J107" s="195">
        <f t="shared" si="116"/>
        <v>1.4940378196579394E-2</v>
      </c>
      <c r="K107" s="195">
        <f t="shared" si="116"/>
        <v>1.6840379358268882E-2</v>
      </c>
      <c r="L107" s="196">
        <v>0</v>
      </c>
      <c r="M107" s="195">
        <f t="shared" si="116"/>
        <v>1.4195804904113414E-2</v>
      </c>
      <c r="N107" s="196">
        <f t="shared" si="116"/>
        <v>1.6840378345666977E-2</v>
      </c>
      <c r="O107" s="196">
        <f t="shared" si="116"/>
        <v>8.518632036793778E-3</v>
      </c>
      <c r="P107" s="196">
        <f t="shared" si="116"/>
        <v>1.9859586807408087E-2</v>
      </c>
      <c r="Q107" s="196">
        <f t="shared" si="116"/>
        <v>4.0254784288752676E-2</v>
      </c>
      <c r="R107" s="196">
        <f t="shared" si="116"/>
        <v>1.7952392814719241E-2</v>
      </c>
      <c r="S107" s="196">
        <f t="shared" si="116"/>
        <v>1.9568489080880738E-2</v>
      </c>
      <c r="T107" s="196">
        <f t="shared" si="116"/>
        <v>1.494037849028953E-2</v>
      </c>
      <c r="U107" s="196">
        <f t="shared" si="116"/>
        <v>1.6840378067053664E-2</v>
      </c>
      <c r="V107" s="196">
        <f t="shared" si="116"/>
        <v>1.9240384006254493E-2</v>
      </c>
      <c r="W107" s="196">
        <f t="shared" si="116"/>
        <v>2.0440378601391321E-2</v>
      </c>
      <c r="X107" s="196">
        <f t="shared" si="116"/>
        <v>1.8997474188205261E-2</v>
      </c>
      <c r="Y107" s="196">
        <f t="shared" si="116"/>
        <v>1.649635912146628E-2</v>
      </c>
      <c r="Z107" s="196">
        <f t="shared" si="116"/>
        <v>8.518632036793778E-3</v>
      </c>
      <c r="AA107" s="196">
        <f t="shared" si="116"/>
        <v>1.7829838526920789E-2</v>
      </c>
      <c r="AB107" s="74"/>
    </row>
    <row r="108" spans="1:28" x14ac:dyDescent="0.15">
      <c r="A108" s="187"/>
      <c r="B108" s="188"/>
      <c r="C108" s="195"/>
      <c r="D108" s="195"/>
      <c r="E108" s="196"/>
      <c r="F108" s="196"/>
      <c r="G108" s="196"/>
      <c r="H108" s="195"/>
      <c r="I108" s="195"/>
      <c r="J108" s="195"/>
      <c r="K108" s="195"/>
      <c r="L108" s="196"/>
      <c r="M108" s="195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74"/>
    </row>
    <row r="109" spans="1:28" x14ac:dyDescent="0.15">
      <c r="A109" s="197" t="s">
        <v>70</v>
      </c>
      <c r="B109" s="198"/>
      <c r="C109" s="199">
        <f>C74/D13*12</f>
        <v>0</v>
      </c>
      <c r="D109" s="199">
        <f>D74/D13*12</f>
        <v>2.2387414780505033E-2</v>
      </c>
      <c r="E109" s="199">
        <f t="shared" ref="E109:AB109" si="117">E74/E13*12</f>
        <v>3.7701708071642198E-3</v>
      </c>
      <c r="F109" s="199">
        <f t="shared" si="117"/>
        <v>0</v>
      </c>
      <c r="G109" s="199">
        <f t="shared" si="117"/>
        <v>3.5668933600474087E-2</v>
      </c>
      <c r="H109" s="199">
        <f t="shared" si="117"/>
        <v>2.0426801301196215E-3</v>
      </c>
      <c r="I109" s="199">
        <f t="shared" si="117"/>
        <v>0</v>
      </c>
      <c r="J109" s="199">
        <f t="shared" si="117"/>
        <v>1.9476584065513065E-2</v>
      </c>
      <c r="K109" s="199">
        <f t="shared" si="117"/>
        <v>2.0938038797604544E-2</v>
      </c>
      <c r="L109" s="199">
        <f t="shared" si="117"/>
        <v>0</v>
      </c>
      <c r="M109" s="199">
        <f t="shared" si="117"/>
        <v>6.8331586536721389E-2</v>
      </c>
      <c r="N109" s="199">
        <f t="shared" si="117"/>
        <v>6.8515415285716086E-2</v>
      </c>
      <c r="O109" s="199">
        <f t="shared" si="117"/>
        <v>5.553164639923136E-2</v>
      </c>
      <c r="P109" s="199">
        <f t="shared" si="117"/>
        <v>0</v>
      </c>
      <c r="Q109" s="199">
        <f t="shared" si="117"/>
        <v>0</v>
      </c>
      <c r="R109" s="199">
        <f t="shared" si="117"/>
        <v>0</v>
      </c>
      <c r="S109" s="199">
        <f t="shared" si="117"/>
        <v>1.3436192842054895E-7</v>
      </c>
      <c r="T109" s="199">
        <f t="shared" si="117"/>
        <v>0</v>
      </c>
      <c r="U109" s="199">
        <f t="shared" si="117"/>
        <v>6.382846667350904E-8</v>
      </c>
      <c r="V109" s="199">
        <f t="shared" si="117"/>
        <v>0</v>
      </c>
      <c r="W109" s="199">
        <f t="shared" si="117"/>
        <v>0</v>
      </c>
      <c r="X109" s="199">
        <f t="shared" si="117"/>
        <v>4.2044638979850113E-2</v>
      </c>
      <c r="Y109" s="199">
        <f t="shared" si="117"/>
        <v>5.0440011667205714E-2</v>
      </c>
      <c r="Z109" s="199">
        <f t="shared" si="117"/>
        <v>5.553164639923136E-2</v>
      </c>
      <c r="AA109" s="199">
        <f t="shared" si="117"/>
        <v>4.6531182877404965E-2</v>
      </c>
      <c r="AB109" s="199" t="e">
        <f t="shared" si="117"/>
        <v>#VALUE!</v>
      </c>
    </row>
    <row r="110" spans="1:28" x14ac:dyDescent="0.15">
      <c r="H110" s="200"/>
    </row>
    <row r="111" spans="1:28" hidden="1" outlineLevel="2" x14ac:dyDescent="0.15">
      <c r="M111" s="195">
        <f>M78/(M21+M25)</f>
        <v>1.7153081267875171E-2</v>
      </c>
      <c r="N111" s="195">
        <f>N78/(N21+N25)</f>
        <v>1.7845362030327803E-2</v>
      </c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spans="1:28" hidden="1" outlineLevel="2" x14ac:dyDescent="0.15"/>
    <row r="113" spans="2:28" hidden="1" outlineLevel="2" x14ac:dyDescent="0.15">
      <c r="C113" s="202">
        <f t="shared" ref="C113:N113" si="118">C93+C66</f>
        <v>7387.91</v>
      </c>
      <c r="D113" s="202">
        <f t="shared" si="118"/>
        <v>258596.54146999435</v>
      </c>
      <c r="E113" s="202">
        <f t="shared" si="118"/>
        <v>518512.29588621977</v>
      </c>
      <c r="F113" s="202"/>
      <c r="G113" s="202"/>
      <c r="H113" s="202">
        <f t="shared" si="118"/>
        <v>38492.958642005469</v>
      </c>
      <c r="I113" s="202">
        <f t="shared" si="118"/>
        <v>139689.78053979698</v>
      </c>
      <c r="J113" s="202">
        <f t="shared" si="118"/>
        <v>307011.62281302083</v>
      </c>
      <c r="K113" s="202">
        <f t="shared" si="118"/>
        <v>336618.57004529319</v>
      </c>
      <c r="L113" s="202">
        <f t="shared" si="118"/>
        <v>1197.5334733553084</v>
      </c>
      <c r="M113" s="202">
        <f t="shared" si="118"/>
        <v>775257.86992995173</v>
      </c>
      <c r="N113" s="202">
        <f t="shared" si="118"/>
        <v>862119.47091003926</v>
      </c>
      <c r="O113" s="202"/>
      <c r="P113" s="202"/>
      <c r="Q113" s="202"/>
      <c r="R113" s="202"/>
      <c r="S113" s="202"/>
      <c r="T113" s="202"/>
      <c r="U113" s="202"/>
      <c r="V113" s="202"/>
      <c r="W113" s="202"/>
      <c r="X113" s="202">
        <f>X93+X66</f>
        <v>3127728.7286334317</v>
      </c>
      <c r="Y113" s="202">
        <f>Y93+Y66</f>
        <v>2185729.0000186795</v>
      </c>
      <c r="Z113" s="202"/>
      <c r="AA113" s="202">
        <f>AA93+AA66</f>
        <v>8335931.3488763515</v>
      </c>
      <c r="AB113" s="202" t="e">
        <f>AB93+AB66</f>
        <v>#VALUE!</v>
      </c>
    </row>
    <row r="114" spans="2:28" hidden="1" outlineLevel="2" x14ac:dyDescent="0.15">
      <c r="C114" s="184" t="e">
        <f t="shared" ref="C114:N114" si="119">C113/C12</f>
        <v>#DIV/0!</v>
      </c>
      <c r="D114" s="184">
        <f t="shared" si="119"/>
        <v>375.86706609010804</v>
      </c>
      <c r="E114" s="184">
        <f t="shared" si="119"/>
        <v>1428.4085286121756</v>
      </c>
      <c r="F114" s="184"/>
      <c r="G114" s="184"/>
      <c r="H114" s="184">
        <f t="shared" si="119"/>
        <v>45.661872647693322</v>
      </c>
      <c r="I114" s="184">
        <f t="shared" si="119"/>
        <v>15.34546638908019</v>
      </c>
      <c r="J114" s="184">
        <f t="shared" si="119"/>
        <v>144.8851452633416</v>
      </c>
      <c r="K114" s="184">
        <f t="shared" si="119"/>
        <v>1256.0394404675119</v>
      </c>
      <c r="L114" s="184">
        <f t="shared" si="119"/>
        <v>9.3557302605883468</v>
      </c>
      <c r="M114" s="184">
        <f t="shared" si="119"/>
        <v>131.55572203121528</v>
      </c>
      <c r="N114" s="184">
        <f t="shared" si="119"/>
        <v>166.30391028357238</v>
      </c>
      <c r="O114" s="184"/>
      <c r="P114" s="184"/>
      <c r="Q114" s="184"/>
      <c r="R114" s="184"/>
      <c r="S114" s="184"/>
      <c r="T114" s="184"/>
      <c r="U114" s="184"/>
      <c r="V114" s="184"/>
      <c r="W114" s="184"/>
      <c r="X114" s="184">
        <f>X113/X12</f>
        <v>427.81134299458785</v>
      </c>
      <c r="Y114" s="184">
        <f>Y113/Y12</f>
        <v>121.93746164678826</v>
      </c>
      <c r="Z114" s="184"/>
      <c r="AA114" s="184">
        <f>AA113/AA12</f>
        <v>299.29381548457388</v>
      </c>
      <c r="AB114" s="184" t="e">
        <f>AB113/AB12</f>
        <v>#VALUE!</v>
      </c>
    </row>
    <row r="115" spans="2:28" hidden="1" outlineLevel="2" x14ac:dyDescent="0.15"/>
    <row r="116" spans="2:28" ht="168" hidden="1" outlineLevel="2" x14ac:dyDescent="0.15">
      <c r="B116" s="203" t="s">
        <v>68</v>
      </c>
      <c r="C116" s="184" t="e">
        <f t="shared" ref="C116:N116" si="120">(C93+C55+C49+C66+C74-C87)/C12</f>
        <v>#DIV/0!</v>
      </c>
      <c r="D116" s="184">
        <f t="shared" si="120"/>
        <v>52.156509339270151</v>
      </c>
      <c r="E116" s="186">
        <f t="shared" si="120"/>
        <v>329.15089947010898</v>
      </c>
      <c r="F116" s="184"/>
      <c r="G116" s="184"/>
      <c r="H116" s="184">
        <f t="shared" si="120"/>
        <v>20.769635271573271</v>
      </c>
      <c r="I116" s="184">
        <f t="shared" si="120"/>
        <v>2.1790407665292681</v>
      </c>
      <c r="J116" s="184">
        <f t="shared" si="120"/>
        <v>4.3753921996191503</v>
      </c>
      <c r="K116" s="184">
        <f t="shared" si="120"/>
        <v>946.91840272935053</v>
      </c>
      <c r="L116" s="186">
        <f t="shared" si="120"/>
        <v>0.703125</v>
      </c>
      <c r="M116" s="184">
        <f t="shared" si="120"/>
        <v>33.538852431781599</v>
      </c>
      <c r="N116" s="186">
        <f t="shared" si="120"/>
        <v>43.077093215306512</v>
      </c>
      <c r="O116" s="186"/>
      <c r="P116" s="186"/>
      <c r="Q116" s="186"/>
      <c r="R116" s="186"/>
      <c r="S116" s="186"/>
      <c r="T116" s="186"/>
      <c r="U116" s="186"/>
      <c r="V116" s="186"/>
      <c r="W116" s="186"/>
      <c r="X116" s="186">
        <f>(X93+X55+X49+X66+X74-X87)/X12</f>
        <v>150.28524180548368</v>
      </c>
      <c r="Y116" s="186">
        <f>(Y93+Y55+Y49+Y66+Y74-Y87)/Y12</f>
        <v>35.716366810899132</v>
      </c>
      <c r="Z116" s="186"/>
      <c r="AA116" s="186">
        <f>(AA93+AA55+AA49+AA66+AA74-AA87)/AA12</f>
        <v>165.94990317032949</v>
      </c>
    </row>
    <row r="117" spans="2:28" collapsed="1" x14ac:dyDescent="0.15"/>
  </sheetData>
  <mergeCells count="120">
    <mergeCell ref="A47:B47"/>
    <mergeCell ref="A108:B108"/>
    <mergeCell ref="A109:B109"/>
    <mergeCell ref="A10:B10"/>
    <mergeCell ref="C1:AA1"/>
    <mergeCell ref="C2:N2"/>
    <mergeCell ref="P2:W2"/>
    <mergeCell ref="X2:X4"/>
    <mergeCell ref="Y2:Y4"/>
    <mergeCell ref="Z2:Z4"/>
    <mergeCell ref="AA2:AA4"/>
    <mergeCell ref="T3:W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B3:AB4"/>
    <mergeCell ref="O3:O4"/>
    <mergeCell ref="P3:S3"/>
    <mergeCell ref="A5:B5"/>
    <mergeCell ref="A6:B6"/>
    <mergeCell ref="A7:B7"/>
    <mergeCell ref="A8:B8"/>
    <mergeCell ref="A9:B9"/>
    <mergeCell ref="A3:B4"/>
    <mergeCell ref="H3:L3"/>
    <mergeCell ref="M3:N3"/>
    <mergeCell ref="C3:G3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29:B2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5:B55"/>
    <mergeCell ref="A56:B56"/>
    <mergeCell ref="A57:B57"/>
    <mergeCell ref="A58:B58"/>
    <mergeCell ref="A59:B59"/>
    <mergeCell ref="A60:B60"/>
    <mergeCell ref="A48:B48"/>
    <mergeCell ref="A49:B49"/>
    <mergeCell ref="A50:B50"/>
    <mergeCell ref="A51:B51"/>
    <mergeCell ref="A52:B52"/>
    <mergeCell ref="A53:B53"/>
    <mergeCell ref="A54:B54"/>
    <mergeCell ref="A68:B68"/>
    <mergeCell ref="A69:B69"/>
    <mergeCell ref="A71:B71"/>
    <mergeCell ref="A72:B72"/>
    <mergeCell ref="A73:B73"/>
    <mergeCell ref="A74:B74"/>
    <mergeCell ref="A61:B61"/>
    <mergeCell ref="A63:B63"/>
    <mergeCell ref="A64:B64"/>
    <mergeCell ref="A65:B65"/>
    <mergeCell ref="A66:B66"/>
    <mergeCell ref="A67:B67"/>
    <mergeCell ref="A70:B70"/>
    <mergeCell ref="A62:B6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105:B105"/>
    <mergeCell ref="A106:B106"/>
    <mergeCell ref="A107:B107"/>
    <mergeCell ref="A99:B99"/>
    <mergeCell ref="A100:B100"/>
    <mergeCell ref="A101:B101"/>
    <mergeCell ref="A102:B102"/>
    <mergeCell ref="A103:B103"/>
    <mergeCell ref="A104:B10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>АКБ Таврический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Лукина</dc:creator>
  <cp:lastModifiedBy>Богачев Денис Игоревич</cp:lastModifiedBy>
  <cp:lastPrinted>2019-09-12T14:45:53Z</cp:lastPrinted>
  <dcterms:created xsi:type="dcterms:W3CDTF">2016-05-20T08:04:37Z</dcterms:created>
  <dcterms:modified xsi:type="dcterms:W3CDTF">2019-10-08T11:05:05Z</dcterms:modified>
</cp:coreProperties>
</file>