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\\192.168.0.70\★공유폴더-행크\★★행크에듀 업무공유\7. 강의계획서\4.강의자료\경매초급반\"/>
    </mc:Choice>
  </mc:AlternateContent>
  <xr:revisionPtr revIDLastSave="0" documentId="13_ncr:1_{E3880FFD-5507-4D7F-8E11-91CB746E792D}" xr6:coauthVersionLast="45" xr6:coauthVersionMax="45" xr10:uidLastSave="{00000000-0000-0000-0000-000000000000}"/>
  <bookViews>
    <workbookView xWindow="50550" yWindow="890" windowWidth="21800" windowHeight="16690" xr2:uid="{00000000-000D-0000-FFFF-FFFF00000000}"/>
  </bookViews>
  <sheets>
    <sheet name="매도산정식" sheetId="3" r:id="rId1"/>
    <sheet name="입찰가" sheetId="2" r:id="rId2"/>
    <sheet name="세금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B8" i="3" s="1"/>
  <c r="B9" i="3"/>
  <c r="B24" i="3"/>
  <c r="B13" i="3" s="1"/>
  <c r="B25" i="3"/>
  <c r="B26" i="3" s="1"/>
  <c r="B14" i="3" l="1"/>
  <c r="B16" i="3" s="1"/>
  <c r="V37" i="2"/>
  <c r="R37" i="2"/>
  <c r="P37" i="2"/>
  <c r="K37" i="2"/>
  <c r="H37" i="2"/>
  <c r="U36" i="2"/>
  <c r="Q36" i="2"/>
  <c r="O36" i="2"/>
  <c r="J36" i="2"/>
  <c r="G36" i="2"/>
  <c r="U34" i="2"/>
  <c r="Q34" i="2"/>
  <c r="O34" i="2"/>
  <c r="J34" i="2"/>
  <c r="G34" i="2"/>
  <c r="V33" i="2"/>
  <c r="R33" i="2"/>
  <c r="P33" i="2"/>
  <c r="K33" i="2"/>
  <c r="H33" i="2"/>
  <c r="C33" i="2"/>
  <c r="C35" i="2" s="1"/>
  <c r="C31" i="2"/>
  <c r="U30" i="2"/>
  <c r="Q30" i="2"/>
  <c r="O30" i="2"/>
  <c r="J30" i="2"/>
  <c r="G30" i="2"/>
  <c r="V27" i="2"/>
  <c r="T27" i="2"/>
  <c r="R27" i="2"/>
  <c r="P27" i="2"/>
  <c r="M27" i="2"/>
  <c r="K27" i="2"/>
  <c r="H27" i="2"/>
  <c r="F27" i="2"/>
  <c r="C27" i="2"/>
  <c r="O23" i="2"/>
  <c r="L23" i="2"/>
  <c r="J23" i="2"/>
  <c r="E23" i="2"/>
  <c r="C21" i="2"/>
  <c r="U20" i="2"/>
  <c r="U27" i="2" s="1"/>
  <c r="S20" i="2"/>
  <c r="Q20" i="2"/>
  <c r="O20" i="2"/>
  <c r="O27" i="2" s="1"/>
  <c r="L20" i="2"/>
  <c r="L27" i="2" s="1"/>
  <c r="J20" i="2"/>
  <c r="J27" i="2" s="1"/>
  <c r="G20" i="2"/>
  <c r="G27" i="2" s="1"/>
  <c r="E20" i="2"/>
  <c r="V17" i="2"/>
  <c r="T17" i="2"/>
  <c r="R17" i="2"/>
  <c r="P17" i="2"/>
  <c r="M17" i="2"/>
  <c r="K17" i="2"/>
  <c r="H17" i="2"/>
  <c r="F17" i="2"/>
  <c r="V16" i="2"/>
  <c r="T16" i="2"/>
  <c r="R16" i="2"/>
  <c r="P16" i="2"/>
  <c r="M16" i="2"/>
  <c r="K16" i="2"/>
  <c r="H16" i="2"/>
  <c r="F16" i="2"/>
  <c r="C15" i="2"/>
  <c r="C17" i="2" s="1"/>
  <c r="U14" i="2"/>
  <c r="S14" i="2"/>
  <c r="Q14" i="2"/>
  <c r="O14" i="2"/>
  <c r="L14" i="2"/>
  <c r="J14" i="2"/>
  <c r="G14" i="2"/>
  <c r="E14" i="2"/>
  <c r="U13" i="2"/>
  <c r="S13" i="2"/>
  <c r="Q13" i="2"/>
  <c r="O13" i="2"/>
  <c r="L13" i="2"/>
  <c r="J13" i="2"/>
  <c r="G13" i="2"/>
  <c r="E13" i="2"/>
  <c r="U12" i="2"/>
  <c r="S12" i="2"/>
  <c r="Q12" i="2"/>
  <c r="O12" i="2"/>
  <c r="L12" i="2"/>
  <c r="J12" i="2"/>
  <c r="G12" i="2"/>
  <c r="E12" i="2"/>
  <c r="U11" i="2"/>
  <c r="S11" i="2"/>
  <c r="Q11" i="2"/>
  <c r="O11" i="2"/>
  <c r="L11" i="2"/>
  <c r="J11" i="2"/>
  <c r="G11" i="2"/>
  <c r="E11" i="2"/>
  <c r="C10" i="2"/>
  <c r="V9" i="2"/>
  <c r="T9" i="2"/>
  <c r="R9" i="2"/>
  <c r="M9" i="2"/>
  <c r="H9" i="2"/>
  <c r="F9" i="2"/>
  <c r="C9" i="2"/>
  <c r="U8" i="2"/>
  <c r="U10" i="2" s="1"/>
  <c r="S8" i="2"/>
  <c r="S9" i="2" s="1"/>
  <c r="Q8" i="2"/>
  <c r="O8" i="2"/>
  <c r="L8" i="2"/>
  <c r="J8" i="2"/>
  <c r="J10" i="2" s="1"/>
  <c r="G8" i="2"/>
  <c r="G33" i="2" s="1"/>
  <c r="E8" i="2"/>
  <c r="E10" i="2" s="1"/>
  <c r="D8" i="2"/>
  <c r="Q7" i="2"/>
  <c r="O7" i="2"/>
  <c r="J7" i="2"/>
  <c r="S7" i="2"/>
  <c r="U6" i="2"/>
  <c r="S6" i="2"/>
  <c r="Q6" i="2"/>
  <c r="O6" i="2"/>
  <c r="L6" i="2"/>
  <c r="J6" i="2"/>
  <c r="G6" i="2"/>
  <c r="E6" i="2"/>
  <c r="D6" i="2"/>
  <c r="U5" i="2"/>
  <c r="S5" i="2"/>
  <c r="Q5" i="2"/>
  <c r="O5" i="2"/>
  <c r="L5" i="2"/>
  <c r="J5" i="2"/>
  <c r="G5" i="2"/>
  <c r="E5" i="2"/>
  <c r="F6" i="2" s="1"/>
  <c r="C111" i="1"/>
  <c r="D111" i="1" s="1"/>
  <c r="B111" i="1"/>
  <c r="C110" i="1"/>
  <c r="D110" i="1" s="1"/>
  <c r="B110" i="1"/>
  <c r="C109" i="1"/>
  <c r="D109" i="1" s="1"/>
  <c r="B109" i="1"/>
  <c r="L108" i="1"/>
  <c r="M108" i="1" s="1"/>
  <c r="C108" i="1"/>
  <c r="D108" i="1" s="1"/>
  <c r="B108" i="1"/>
  <c r="L107" i="1"/>
  <c r="M107" i="1" s="1"/>
  <c r="L106" i="1"/>
  <c r="M106" i="1" s="1"/>
  <c r="L105" i="1"/>
  <c r="M105" i="1" s="1"/>
  <c r="L104" i="1"/>
  <c r="M104" i="1" s="1"/>
  <c r="L103" i="1"/>
  <c r="M103" i="1" s="1"/>
  <c r="B17" i="3" l="1"/>
  <c r="B19" i="3" s="1"/>
  <c r="B27" i="3"/>
  <c r="P6" i="2"/>
  <c r="R6" i="2"/>
  <c r="Q27" i="2"/>
  <c r="T6" i="2"/>
  <c r="Q9" i="2"/>
  <c r="E27" i="2"/>
  <c r="S27" i="2"/>
  <c r="O21" i="2"/>
  <c r="L21" i="2"/>
  <c r="Q21" i="2"/>
  <c r="E15" i="2"/>
  <c r="E17" i="2" s="1"/>
  <c r="J31" i="2"/>
  <c r="G21" i="2"/>
  <c r="J21" i="2"/>
  <c r="J15" i="2"/>
  <c r="U15" i="2"/>
  <c r="G15" i="2"/>
  <c r="U33" i="2"/>
  <c r="U37" i="2" s="1"/>
  <c r="U38" i="2" s="1"/>
  <c r="U39" i="2" s="1"/>
  <c r="G9" i="2"/>
  <c r="S15" i="2"/>
  <c r="S17" i="2" s="1"/>
  <c r="J9" i="2"/>
  <c r="U21" i="2"/>
  <c r="C22" i="2"/>
  <c r="C24" i="2" s="1"/>
  <c r="C25" i="2" s="1"/>
  <c r="C26" i="2" s="1"/>
  <c r="C28" i="2" s="1"/>
  <c r="U31" i="2"/>
  <c r="V6" i="2"/>
  <c r="T7" i="2"/>
  <c r="K7" i="2"/>
  <c r="P7" i="2"/>
  <c r="H6" i="2"/>
  <c r="R7" i="2"/>
  <c r="K6" i="2"/>
  <c r="M6" i="2"/>
  <c r="G35" i="2"/>
  <c r="G37" i="2"/>
  <c r="G38" i="2" s="1"/>
  <c r="G39" i="2" s="1"/>
  <c r="Q10" i="2"/>
  <c r="S10" i="2"/>
  <c r="L15" i="2"/>
  <c r="S21" i="2"/>
  <c r="G7" i="2"/>
  <c r="H7" i="2" s="1"/>
  <c r="U7" i="2"/>
  <c r="V7" i="2" s="1"/>
  <c r="E9" i="2"/>
  <c r="U9" i="2"/>
  <c r="O15" i="2"/>
  <c r="O31" i="2"/>
  <c r="J33" i="2"/>
  <c r="C37" i="2"/>
  <c r="C38" i="2" s="1"/>
  <c r="C39" i="2" s="1"/>
  <c r="C40" i="2" s="1"/>
  <c r="Q15" i="2"/>
  <c r="Q31" i="2"/>
  <c r="O33" i="2"/>
  <c r="O37" i="2" s="1"/>
  <c r="O38" i="2" s="1"/>
  <c r="O39" i="2" s="1"/>
  <c r="G10" i="2"/>
  <c r="O10" i="2"/>
  <c r="L7" i="2"/>
  <c r="M7" i="2" s="1"/>
  <c r="C16" i="2"/>
  <c r="C18" i="2" s="1"/>
  <c r="Q33" i="2"/>
  <c r="Q37" i="2" s="1"/>
  <c r="Q38" i="2" s="1"/>
  <c r="Q39" i="2" s="1"/>
  <c r="L9" i="2"/>
  <c r="E21" i="2"/>
  <c r="L10" i="2"/>
  <c r="O9" i="2"/>
  <c r="E7" i="2"/>
  <c r="F7" i="2" s="1"/>
  <c r="G31" i="2"/>
  <c r="B20" i="3" l="1"/>
  <c r="B21" i="3" s="1"/>
  <c r="B22" i="3"/>
  <c r="C22" i="3" s="1"/>
  <c r="E16" i="2"/>
  <c r="G22" i="2"/>
  <c r="G24" i="2" s="1"/>
  <c r="G25" i="2" s="1"/>
  <c r="G26" i="2" s="1"/>
  <c r="G28" i="2" s="1"/>
  <c r="Q22" i="2"/>
  <c r="Q24" i="2" s="1"/>
  <c r="Q25" i="2" s="1"/>
  <c r="Q26" i="2" s="1"/>
  <c r="Q28" i="2" s="1"/>
  <c r="U35" i="2"/>
  <c r="U40" i="2" s="1"/>
  <c r="U22" i="2"/>
  <c r="U24" i="2" s="1"/>
  <c r="U25" i="2" s="1"/>
  <c r="U26" i="2" s="1"/>
  <c r="U28" i="2" s="1"/>
  <c r="L22" i="2"/>
  <c r="L24" i="2" s="1"/>
  <c r="L25" i="2" s="1"/>
  <c r="L26" i="2" s="1"/>
  <c r="L28" i="2" s="1"/>
  <c r="G17" i="2"/>
  <c r="G16" i="2"/>
  <c r="G18" i="2" s="1"/>
  <c r="G19" i="2" s="1"/>
  <c r="S16" i="2"/>
  <c r="S18" i="2" s="1"/>
  <c r="S19" i="2" s="1"/>
  <c r="U17" i="2"/>
  <c r="U16" i="2"/>
  <c r="O22" i="2"/>
  <c r="O24" i="2" s="1"/>
  <c r="O25" i="2" s="1"/>
  <c r="O26" i="2" s="1"/>
  <c r="O28" i="2" s="1"/>
  <c r="J16" i="2"/>
  <c r="J17" i="2"/>
  <c r="J22" i="2"/>
  <c r="J24" i="2" s="1"/>
  <c r="J25" i="2" s="1"/>
  <c r="J26" i="2" s="1"/>
  <c r="J28" i="2" s="1"/>
  <c r="G40" i="2"/>
  <c r="C29" i="2"/>
  <c r="C19" i="2"/>
  <c r="S22" i="2"/>
  <c r="S24" i="2" s="1"/>
  <c r="S25" i="2" s="1"/>
  <c r="Q17" i="2"/>
  <c r="Q16" i="2"/>
  <c r="L17" i="2"/>
  <c r="L16" i="2"/>
  <c r="J35" i="2"/>
  <c r="J37" i="2"/>
  <c r="J38" i="2" s="1"/>
  <c r="J39" i="2" s="1"/>
  <c r="O17" i="2"/>
  <c r="O16" i="2"/>
  <c r="Q35" i="2"/>
  <c r="Q40" i="2" s="1"/>
  <c r="O35" i="2"/>
  <c r="O40" i="2" s="1"/>
  <c r="E22" i="2"/>
  <c r="E24" i="2" s="1"/>
  <c r="E25" i="2" s="1"/>
  <c r="E18" i="2"/>
  <c r="E19" i="2" s="1"/>
  <c r="L18" i="2" l="1"/>
  <c r="U18" i="2"/>
  <c r="U19" i="2" s="1"/>
  <c r="O18" i="2"/>
  <c r="O29" i="2" s="1"/>
  <c r="J18" i="2"/>
  <c r="J19" i="2" s="1"/>
  <c r="J40" i="2"/>
  <c r="G29" i="2"/>
  <c r="G41" i="2" s="1"/>
  <c r="Q18" i="2"/>
  <c r="Q19" i="2" s="1"/>
  <c r="U29" i="2"/>
  <c r="U41" i="2" s="1"/>
  <c r="E26" i="2"/>
  <c r="E28" i="2" s="1"/>
  <c r="E29" i="2" s="1"/>
  <c r="S26" i="2"/>
  <c r="S28" i="2" s="1"/>
  <c r="S29" i="2" s="1"/>
  <c r="C41" i="2"/>
  <c r="C32" i="2"/>
  <c r="L29" i="2"/>
  <c r="L19" i="2"/>
  <c r="G32" i="2" l="1"/>
  <c r="O19" i="2"/>
  <c r="J29" i="2"/>
  <c r="Q29" i="2"/>
  <c r="Q32" i="2" s="1"/>
  <c r="U32" i="2"/>
  <c r="O41" i="2"/>
  <c r="O32" i="2"/>
  <c r="J41" i="2" l="1"/>
  <c r="J32" i="2"/>
  <c r="Q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MinSiky</author>
  </authors>
  <commentList>
    <comment ref="D25" authorId="0" shapeId="0" xr:uid="{00000000-0006-0000-0000-000001000000}">
      <text>
        <r>
          <rPr>
            <b/>
            <sz val="10"/>
            <color indexed="81"/>
            <rFont val="돋움"/>
            <family val="3"/>
            <charset val="129"/>
          </rPr>
          <t xml:space="preserve">과세표준별 기본세율 (누진공제율)
</t>
        </r>
        <r>
          <rPr>
            <sz val="10"/>
            <color indexed="81"/>
            <rFont val="돋움"/>
            <family val="3"/>
            <charset val="129"/>
          </rPr>
          <t>1200만원 이하 : 6%
4600만원 이하 : 15% (108만원)
8800만원 이하 : 24% (522만원)
1.5억원 이하 : 35% (1,490만원)
3억원 이하 : 38% (1,940만원)
5억원 이하 : 40% (2,540만원)
10억원 이하 : 42% (3,540만원)
10억원 초과 : 45% (6,540만원)</t>
        </r>
      </text>
    </comment>
    <comment ref="H25" authorId="0" shapeId="0" xr:uid="{00000000-0006-0000-00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법인세 기본세율 (+주택 추가세율 20%)
</t>
        </r>
        <r>
          <rPr>
            <sz val="10"/>
            <color indexed="81"/>
            <rFont val="돋움"/>
            <family val="3"/>
            <charset val="129"/>
          </rPr>
          <t>2억원 이하 : 10%
200억원 이하 : 20%
3,000억원 이하 : 22%
3,000억원 초과 : 25%</t>
        </r>
      </text>
    </comment>
    <comment ref="K25" authorId="0" shapeId="0" xr:uid="{00000000-0006-0000-00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과세표준별 기본세율 (누진공제율)
</t>
        </r>
        <r>
          <rPr>
            <sz val="10"/>
            <color indexed="81"/>
            <rFont val="돋움"/>
            <family val="3"/>
            <charset val="129"/>
          </rPr>
          <t>1200만원 이하 : 6%
4600만원 이하 : 15% (108만원)
8800만원 이하 : 24% (522만원)
1.5억원 이하 : 35% (1,490만원)
3억원 이하 : 38% (1,940만원)
5억원 이하 : 40% (2,540만원)
10억원 이하 : 42% (3,540만원)
10억원 초과 : 45% (6,540만원)</t>
        </r>
      </text>
    </comment>
    <comment ref="P25" authorId="0" shapeId="0" xr:uid="{00000000-0006-0000-0000-000004000000}">
      <text>
        <r>
          <rPr>
            <b/>
            <sz val="10"/>
            <color indexed="81"/>
            <rFont val="돋움"/>
            <family val="3"/>
            <charset val="129"/>
          </rPr>
          <t xml:space="preserve">과세표준별 기본세율 (누진공제율)
</t>
        </r>
        <r>
          <rPr>
            <sz val="10"/>
            <color indexed="81"/>
            <rFont val="돋움"/>
            <family val="3"/>
            <charset val="129"/>
          </rPr>
          <t>1200만원 이하 : 6%
4600만원 이하 : 15% (108만원)
8800만원 이하 : 24% (522만원)
1.5억원 이하 : 35% (1,490만원)
3억원 이하 : 38% (1,940만원)
5억원 이하 : 40% (2,540만원)
10억원 이하 : 42% (3,540만원)
10억원 초과 : 45% (6,540만원)</t>
        </r>
      </text>
    </comment>
    <comment ref="R25" authorId="0" shapeId="0" xr:uid="{00000000-0006-0000-0000-000005000000}">
      <text>
        <r>
          <rPr>
            <b/>
            <sz val="10"/>
            <color indexed="81"/>
            <rFont val="돋움"/>
            <family val="3"/>
            <charset val="129"/>
          </rPr>
          <t xml:space="preserve">과세표준별 기본세율 (누진공제율)
</t>
        </r>
        <r>
          <rPr>
            <sz val="10"/>
            <color indexed="81"/>
            <rFont val="돋움"/>
            <family val="3"/>
            <charset val="129"/>
          </rPr>
          <t>1200만원 이하 : 6%
4600만원 이하 : 15% (108만원)
8800만원 이하 : 24% (522만원)
1.5억원 이하 : 35% (1,490만원)
3억원 이하 : 38% (1,940만원)
5억원 이하 : 40% (2,540만원)
10억원 이하 : 42% (3,540만원)
10억원 초과 : 45% (6,540만원)</t>
        </r>
      </text>
    </comment>
    <comment ref="V25" authorId="0" shapeId="0" xr:uid="{00000000-0006-0000-0000-000006000000}">
      <text>
        <r>
          <rPr>
            <b/>
            <sz val="10"/>
            <color indexed="81"/>
            <rFont val="돋움"/>
            <family val="3"/>
            <charset val="129"/>
          </rPr>
          <t xml:space="preserve">법인세 기본세율 (+주택 추가세율 20%)
</t>
        </r>
        <r>
          <rPr>
            <sz val="10"/>
            <color indexed="81"/>
            <rFont val="돋움"/>
            <family val="3"/>
            <charset val="129"/>
          </rPr>
          <t>2억원 이하 : 10%
200억원 이하 : 20%
3,000억원 이하 : 22%
3,000억원 초과 : 25%</t>
        </r>
      </text>
    </comment>
    <comment ref="D27" authorId="0" shapeId="0" xr:uid="{00000000-0006-0000-0000-000007000000}">
      <text>
        <r>
          <rPr>
            <b/>
            <sz val="10"/>
            <color indexed="81"/>
            <rFont val="돋움"/>
            <family val="3"/>
            <charset val="129"/>
          </rPr>
          <t>법정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중개보수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요율</t>
        </r>
        <r>
          <rPr>
            <b/>
            <sz val="10"/>
            <color indexed="81"/>
            <rFont val="Tahoma"/>
            <family val="2"/>
          </rPr>
          <t xml:space="preserve"> (</t>
        </r>
        <r>
          <rPr>
            <b/>
            <sz val="10"/>
            <color indexed="81"/>
            <rFont val="돋움"/>
            <family val="3"/>
            <charset val="129"/>
          </rPr>
          <t>매매</t>
        </r>
        <r>
          <rPr>
            <b/>
            <sz val="10"/>
            <color indexed="81"/>
            <rFont val="Tahoma"/>
            <family val="2"/>
          </rPr>
          <t>)</t>
        </r>
        <r>
          <rPr>
            <b/>
            <sz val="10"/>
            <color indexed="81"/>
            <rFont val="돋움"/>
            <family val="3"/>
            <charset val="129"/>
          </rPr>
          <t xml:space="preserve">
</t>
        </r>
        <r>
          <rPr>
            <sz val="10"/>
            <color indexed="81"/>
            <rFont val="돋움"/>
            <family val="3"/>
            <charset val="129"/>
          </rPr>
          <t>5천만원 미만 : 0.6%
2억원 미만 : 0.5%
6억원 미만 : 0.4%
9억원 미만 : 0.5%
9억원 이상 : 0.9% 이내에서 협의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 xml:space="preserve">법정 중개보수 요율 (임대)
</t>
        </r>
        <r>
          <rPr>
            <sz val="10"/>
            <color indexed="81"/>
            <rFont val="돋움"/>
            <family val="3"/>
            <charset val="129"/>
          </rPr>
          <t>5천만원 미만 : 0.5%
1억원 미만 : 0.4%
3억원 미만 : 0.3%
6억원 미만 : 0.4%
6억원 이상 : 0.8% 이내에서 협의</t>
        </r>
      </text>
    </comment>
    <comment ref="F27" authorId="0" shapeId="0" xr:uid="{00000000-0006-0000-0000-000008000000}">
      <text>
        <r>
          <rPr>
            <b/>
            <sz val="10"/>
            <color indexed="81"/>
            <rFont val="돋움"/>
            <family val="3"/>
            <charset val="129"/>
          </rPr>
          <t>법정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중개보수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요율</t>
        </r>
        <r>
          <rPr>
            <b/>
            <sz val="10"/>
            <color indexed="81"/>
            <rFont val="Tahoma"/>
            <family val="2"/>
          </rPr>
          <t xml:space="preserve"> (</t>
        </r>
        <r>
          <rPr>
            <b/>
            <sz val="10"/>
            <color indexed="81"/>
            <rFont val="돋움"/>
            <family val="3"/>
            <charset val="129"/>
          </rPr>
          <t>매매</t>
        </r>
        <r>
          <rPr>
            <b/>
            <sz val="10"/>
            <color indexed="81"/>
            <rFont val="Tahoma"/>
            <family val="2"/>
          </rPr>
          <t>)</t>
        </r>
        <r>
          <rPr>
            <b/>
            <sz val="10"/>
            <color indexed="81"/>
            <rFont val="돋움"/>
            <family val="3"/>
            <charset val="129"/>
          </rPr>
          <t xml:space="preserve">
</t>
        </r>
        <r>
          <rPr>
            <sz val="10"/>
            <color indexed="81"/>
            <rFont val="돋움"/>
            <family val="3"/>
            <charset val="129"/>
          </rPr>
          <t>5천만원 미만 : 0.6%
2억원 미만 : 0.5%
6억원 미만 : 0.4%
9억원 미만 : 0.5%
9억원 이상 : 0.9% 이내에서 협의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 xml:space="preserve">법정 중개보수 요율 (임대)
</t>
        </r>
        <r>
          <rPr>
            <sz val="10"/>
            <color indexed="81"/>
            <rFont val="돋움"/>
            <family val="3"/>
            <charset val="129"/>
          </rPr>
          <t>5천만원 미만 : 0.5%
1억원 미만 : 0.4%
3억원 미만 : 0.3%
6억원 미만 : 0.4%
6억원 이상 : 0.8% 이내에서 협의</t>
        </r>
      </text>
    </comment>
    <comment ref="H27" authorId="0" shapeId="0" xr:uid="{00000000-0006-0000-0000-000009000000}">
      <text>
        <r>
          <rPr>
            <b/>
            <sz val="10"/>
            <color indexed="81"/>
            <rFont val="돋움"/>
            <family val="3"/>
            <charset val="129"/>
          </rPr>
          <t>법정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중개보수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요율</t>
        </r>
        <r>
          <rPr>
            <b/>
            <sz val="10"/>
            <color indexed="81"/>
            <rFont val="Tahoma"/>
            <family val="2"/>
          </rPr>
          <t xml:space="preserve"> (</t>
        </r>
        <r>
          <rPr>
            <b/>
            <sz val="10"/>
            <color indexed="81"/>
            <rFont val="돋움"/>
            <family val="3"/>
            <charset val="129"/>
          </rPr>
          <t>매매</t>
        </r>
        <r>
          <rPr>
            <b/>
            <sz val="10"/>
            <color indexed="81"/>
            <rFont val="Tahoma"/>
            <family val="2"/>
          </rPr>
          <t>)</t>
        </r>
        <r>
          <rPr>
            <b/>
            <sz val="10"/>
            <color indexed="81"/>
            <rFont val="돋움"/>
            <family val="3"/>
            <charset val="129"/>
          </rPr>
          <t xml:space="preserve">
</t>
        </r>
        <r>
          <rPr>
            <sz val="10"/>
            <color indexed="81"/>
            <rFont val="돋움"/>
            <family val="3"/>
            <charset val="129"/>
          </rPr>
          <t>5천만원 미만 : 0.6%
2억원 미만 : 0.5%
6억원 미만 : 0.4%
9억원 미만 : 0.5%
9억원 이상 : 0.9% 이내에서 협의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 xml:space="preserve">법정 중개보수 요율 (임대)
</t>
        </r>
        <r>
          <rPr>
            <sz val="10"/>
            <color indexed="81"/>
            <rFont val="돋움"/>
            <family val="3"/>
            <charset val="129"/>
          </rPr>
          <t>5천만원 미만 : 0.5%
1억원 미만 : 0.4%
3억원 미만 : 0.3%
6억원 미만 : 0.4%
6억원 이상 : 0.8% 이내에서 협의</t>
        </r>
      </text>
    </comment>
    <comment ref="K27" authorId="0" shapeId="0" xr:uid="{00000000-0006-0000-0000-00000A000000}">
      <text>
        <r>
          <rPr>
            <b/>
            <sz val="10"/>
            <color indexed="81"/>
            <rFont val="돋움"/>
            <family val="3"/>
            <charset val="129"/>
          </rPr>
          <t>법정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중개보수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요율</t>
        </r>
        <r>
          <rPr>
            <b/>
            <sz val="10"/>
            <color indexed="81"/>
            <rFont val="Tahoma"/>
            <family val="2"/>
          </rPr>
          <t xml:space="preserve"> (</t>
        </r>
        <r>
          <rPr>
            <b/>
            <sz val="10"/>
            <color indexed="81"/>
            <rFont val="돋움"/>
            <family val="3"/>
            <charset val="129"/>
          </rPr>
          <t>매매</t>
        </r>
        <r>
          <rPr>
            <b/>
            <sz val="10"/>
            <color indexed="81"/>
            <rFont val="Tahoma"/>
            <family val="2"/>
          </rPr>
          <t>)</t>
        </r>
        <r>
          <rPr>
            <b/>
            <sz val="10"/>
            <color indexed="81"/>
            <rFont val="돋움"/>
            <family val="3"/>
            <charset val="129"/>
          </rPr>
          <t xml:space="preserve">
</t>
        </r>
        <r>
          <rPr>
            <sz val="10"/>
            <color indexed="81"/>
            <rFont val="돋움"/>
            <family val="3"/>
            <charset val="129"/>
          </rPr>
          <t>5천만원 미만 : 0.6%
2억원 미만 : 0.5%
6억원 미만 : 0.4%
9억원 미만 : 0.5%
9억원 이상 : 0.9% 이내에서 협의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 xml:space="preserve">법정 중개보수 요율 (임대)
</t>
        </r>
        <r>
          <rPr>
            <sz val="10"/>
            <color indexed="81"/>
            <rFont val="돋움"/>
            <family val="3"/>
            <charset val="129"/>
          </rPr>
          <t>5천만원 미만 : 0.5%
1억원 미만 : 0.4%
3억원 미만 : 0.3%
6억원 미만 : 0.4%
6억원 이상 : 0.8% 이내에서 협의</t>
        </r>
      </text>
    </comment>
    <comment ref="M27" authorId="0" shapeId="0" xr:uid="{00000000-0006-0000-0000-00000B000000}">
      <text>
        <r>
          <rPr>
            <b/>
            <sz val="10"/>
            <color indexed="81"/>
            <rFont val="돋움"/>
            <family val="3"/>
            <charset val="129"/>
          </rPr>
          <t>법정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중개보수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요율</t>
        </r>
        <r>
          <rPr>
            <b/>
            <sz val="10"/>
            <color indexed="81"/>
            <rFont val="Tahoma"/>
            <family val="2"/>
          </rPr>
          <t xml:space="preserve"> (</t>
        </r>
        <r>
          <rPr>
            <b/>
            <sz val="10"/>
            <color indexed="81"/>
            <rFont val="돋움"/>
            <family val="3"/>
            <charset val="129"/>
          </rPr>
          <t>매매</t>
        </r>
        <r>
          <rPr>
            <b/>
            <sz val="10"/>
            <color indexed="81"/>
            <rFont val="Tahoma"/>
            <family val="2"/>
          </rPr>
          <t>)</t>
        </r>
        <r>
          <rPr>
            <b/>
            <sz val="10"/>
            <color indexed="81"/>
            <rFont val="돋움"/>
            <family val="3"/>
            <charset val="129"/>
          </rPr>
          <t xml:space="preserve">
</t>
        </r>
        <r>
          <rPr>
            <sz val="10"/>
            <color indexed="81"/>
            <rFont val="돋움"/>
            <family val="3"/>
            <charset val="129"/>
          </rPr>
          <t>5천만원 미만 : 0.6%
2억원 미만 : 0.5%
6억원 미만 : 0.4%
9억원 미만 : 0.5%
9억원 이상 : 0.9% 이내에서 협의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 xml:space="preserve">법정 중개보수 요율 (임대)
</t>
        </r>
        <r>
          <rPr>
            <sz val="10"/>
            <color indexed="81"/>
            <rFont val="돋움"/>
            <family val="3"/>
            <charset val="129"/>
          </rPr>
          <t>5천만원 미만 : 0.5%
1억원 미만 : 0.4%
3억원 미만 : 0.3%
6억원 미만 : 0.4%
6억원 이상 : 0.8% 이내에서 협의</t>
        </r>
      </text>
    </comment>
    <comment ref="P27" authorId="0" shapeId="0" xr:uid="{00000000-0006-0000-0000-00000C000000}">
      <text>
        <r>
          <rPr>
            <b/>
            <sz val="10"/>
            <color indexed="81"/>
            <rFont val="돋움"/>
            <family val="3"/>
            <charset val="129"/>
          </rPr>
          <t>법정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중개보수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요율</t>
        </r>
        <r>
          <rPr>
            <b/>
            <sz val="10"/>
            <color indexed="81"/>
            <rFont val="Tahoma"/>
            <family val="2"/>
          </rPr>
          <t xml:space="preserve"> (</t>
        </r>
        <r>
          <rPr>
            <b/>
            <sz val="10"/>
            <color indexed="81"/>
            <rFont val="돋움"/>
            <family val="3"/>
            <charset val="129"/>
          </rPr>
          <t>매매</t>
        </r>
        <r>
          <rPr>
            <b/>
            <sz val="10"/>
            <color indexed="81"/>
            <rFont val="Tahoma"/>
            <family val="2"/>
          </rPr>
          <t>)</t>
        </r>
        <r>
          <rPr>
            <b/>
            <sz val="10"/>
            <color indexed="81"/>
            <rFont val="돋움"/>
            <family val="3"/>
            <charset val="129"/>
          </rPr>
          <t xml:space="preserve">
</t>
        </r>
        <r>
          <rPr>
            <sz val="10"/>
            <color indexed="81"/>
            <rFont val="돋움"/>
            <family val="3"/>
            <charset val="129"/>
          </rPr>
          <t>5천만원 미만 : 0.6%
2억원 미만 : 0.5%
6억원 미만 : 0.4%
9억원 미만 : 0.5%
9억원 이상 : 0.9% 이내에서 협의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 xml:space="preserve">법정 중개보수 요율 (임대)
</t>
        </r>
        <r>
          <rPr>
            <sz val="10"/>
            <color indexed="81"/>
            <rFont val="돋움"/>
            <family val="3"/>
            <charset val="129"/>
          </rPr>
          <t>5천만원 미만 : 0.5%
1억원 미만 : 0.4%
3억원 미만 : 0.3%
6억원 미만 : 0.4%
6억원 이상 : 0.8% 이내에서 협의</t>
        </r>
      </text>
    </comment>
    <comment ref="R27" authorId="0" shapeId="0" xr:uid="{00000000-0006-0000-0000-00000D000000}">
      <text>
        <r>
          <rPr>
            <b/>
            <sz val="10"/>
            <color indexed="81"/>
            <rFont val="돋움"/>
            <family val="3"/>
            <charset val="129"/>
          </rPr>
          <t>법정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중개보수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요율</t>
        </r>
        <r>
          <rPr>
            <b/>
            <sz val="10"/>
            <color indexed="81"/>
            <rFont val="Tahoma"/>
            <family val="2"/>
          </rPr>
          <t xml:space="preserve"> (</t>
        </r>
        <r>
          <rPr>
            <b/>
            <sz val="10"/>
            <color indexed="81"/>
            <rFont val="돋움"/>
            <family val="3"/>
            <charset val="129"/>
          </rPr>
          <t>매매</t>
        </r>
        <r>
          <rPr>
            <b/>
            <sz val="10"/>
            <color indexed="81"/>
            <rFont val="Tahoma"/>
            <family val="2"/>
          </rPr>
          <t>)</t>
        </r>
        <r>
          <rPr>
            <b/>
            <sz val="10"/>
            <color indexed="81"/>
            <rFont val="돋움"/>
            <family val="3"/>
            <charset val="129"/>
          </rPr>
          <t xml:space="preserve">
</t>
        </r>
        <r>
          <rPr>
            <sz val="10"/>
            <color indexed="81"/>
            <rFont val="돋움"/>
            <family val="3"/>
            <charset val="129"/>
          </rPr>
          <t>5천만원 미만 : 0.6%
2억원 미만 : 0.5%
6억원 미만 : 0.4%
9억원 미만 : 0.5%
9억원 이상 : 0.9% 이내에서 협의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 xml:space="preserve">법정 중개보수 요율 (임대)
</t>
        </r>
        <r>
          <rPr>
            <sz val="10"/>
            <color indexed="81"/>
            <rFont val="돋움"/>
            <family val="3"/>
            <charset val="129"/>
          </rPr>
          <t>5천만원 미만 : 0.5%
1억원 미만 : 0.4%
3억원 미만 : 0.3%
6억원 미만 : 0.4%
6억원 이상 : 0.8% 이내에서 협의</t>
        </r>
      </text>
    </comment>
    <comment ref="T27" authorId="0" shapeId="0" xr:uid="{00000000-0006-0000-0000-00000E000000}">
      <text>
        <r>
          <rPr>
            <b/>
            <sz val="10"/>
            <color indexed="81"/>
            <rFont val="돋움"/>
            <family val="3"/>
            <charset val="129"/>
          </rPr>
          <t>법정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중개보수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요율</t>
        </r>
        <r>
          <rPr>
            <b/>
            <sz val="10"/>
            <color indexed="81"/>
            <rFont val="Tahoma"/>
            <family val="2"/>
          </rPr>
          <t xml:space="preserve"> (</t>
        </r>
        <r>
          <rPr>
            <b/>
            <sz val="10"/>
            <color indexed="81"/>
            <rFont val="돋움"/>
            <family val="3"/>
            <charset val="129"/>
          </rPr>
          <t>매매</t>
        </r>
        <r>
          <rPr>
            <b/>
            <sz val="10"/>
            <color indexed="81"/>
            <rFont val="Tahoma"/>
            <family val="2"/>
          </rPr>
          <t>)</t>
        </r>
        <r>
          <rPr>
            <b/>
            <sz val="10"/>
            <color indexed="81"/>
            <rFont val="돋움"/>
            <family val="3"/>
            <charset val="129"/>
          </rPr>
          <t xml:space="preserve">
</t>
        </r>
        <r>
          <rPr>
            <sz val="10"/>
            <color indexed="81"/>
            <rFont val="돋움"/>
            <family val="3"/>
            <charset val="129"/>
          </rPr>
          <t>5천만원 미만 : 0.6%
2억원 미만 : 0.5%
6억원 미만 : 0.4%
9억원 미만 : 0.5%
9억원 이상 : 0.9% 이내에서 협의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 xml:space="preserve">법정 중개보수 요율 (임대)
</t>
        </r>
        <r>
          <rPr>
            <sz val="10"/>
            <color indexed="81"/>
            <rFont val="돋움"/>
            <family val="3"/>
            <charset val="129"/>
          </rPr>
          <t>5천만원 미만 : 0.5%
1억원 미만 : 0.4%
3억원 미만 : 0.3%
6억원 미만 : 0.4%
6억원 이상 : 0.8% 이내에서 협의</t>
        </r>
      </text>
    </comment>
    <comment ref="V27" authorId="0" shapeId="0" xr:uid="{00000000-0006-0000-0000-00000F000000}">
      <text>
        <r>
          <rPr>
            <b/>
            <sz val="10"/>
            <color indexed="81"/>
            <rFont val="돋움"/>
            <family val="3"/>
            <charset val="129"/>
          </rPr>
          <t>법정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중개보수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요율</t>
        </r>
        <r>
          <rPr>
            <b/>
            <sz val="10"/>
            <color indexed="81"/>
            <rFont val="Tahoma"/>
            <family val="2"/>
          </rPr>
          <t xml:space="preserve"> (</t>
        </r>
        <r>
          <rPr>
            <b/>
            <sz val="10"/>
            <color indexed="81"/>
            <rFont val="돋움"/>
            <family val="3"/>
            <charset val="129"/>
          </rPr>
          <t>매매</t>
        </r>
        <r>
          <rPr>
            <b/>
            <sz val="10"/>
            <color indexed="81"/>
            <rFont val="Tahoma"/>
            <family val="2"/>
          </rPr>
          <t>)</t>
        </r>
        <r>
          <rPr>
            <b/>
            <sz val="10"/>
            <color indexed="81"/>
            <rFont val="돋움"/>
            <family val="3"/>
            <charset val="129"/>
          </rPr>
          <t xml:space="preserve">
</t>
        </r>
        <r>
          <rPr>
            <sz val="10"/>
            <color indexed="81"/>
            <rFont val="돋움"/>
            <family val="3"/>
            <charset val="129"/>
          </rPr>
          <t>5천만원 미만 : 0.6%
2억원 미만 : 0.5%
6억원 미만 : 0.4%
9억원 미만 : 0.5%
9억원 이상 : 0.9% 이내에서 협의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 xml:space="preserve">법정 중개보수 요율 (임대)
</t>
        </r>
        <r>
          <rPr>
            <sz val="10"/>
            <color indexed="81"/>
            <rFont val="돋움"/>
            <family val="3"/>
            <charset val="129"/>
          </rPr>
          <t>5천만원 미만 : 0.5%
1억원 미만 : 0.4%
3억원 미만 : 0.3%
6억원 미만 : 0.4%
6억원 이상 : 0.8% 이내에서 협의</t>
        </r>
      </text>
    </comment>
  </commentList>
</comments>
</file>

<file path=xl/sharedStrings.xml><?xml version="1.0" encoding="utf-8"?>
<sst xmlns="http://schemas.openxmlformats.org/spreadsheetml/2006/main" count="201" uniqueCount="162">
  <si>
    <t>취득세</t>
    <phoneticPr fontId="4" type="noConversion"/>
  </si>
  <si>
    <t>양도세</t>
    <phoneticPr fontId="4" type="noConversion"/>
  </si>
  <si>
    <t>중개수수료</t>
    <phoneticPr fontId="4" type="noConversion"/>
  </si>
  <si>
    <t>법인 주택 취득세</t>
    <phoneticPr fontId="4" type="noConversion"/>
  </si>
  <si>
    <t>공시지가 1억이하 : 1~3%</t>
    <phoneticPr fontId="4" type="noConversion"/>
  </si>
  <si>
    <t>공시지가 1억 초과 : 12%</t>
    <phoneticPr fontId="4" type="noConversion"/>
  </si>
  <si>
    <t>전용면적(건물면적) : 실제 사용가능한 실내 공간 (발코니 제외)</t>
    <phoneticPr fontId="4" type="noConversion"/>
  </si>
  <si>
    <t>공급면적 : 전용면적 + 공용면적(계단, 복도 등)</t>
    <phoneticPr fontId="4" type="noConversion"/>
  </si>
  <si>
    <t>계약면적 : 전용면적 + 공용면적 + 기타공용면적(경비실, 관리실 등)</t>
    <phoneticPr fontId="4" type="noConversion"/>
  </si>
  <si>
    <t>전용</t>
    <phoneticPr fontId="4" type="noConversion"/>
  </si>
  <si>
    <t>공용</t>
    <phoneticPr fontId="4" type="noConversion"/>
  </si>
  <si>
    <t>공급</t>
    <phoneticPr fontId="4" type="noConversion"/>
  </si>
  <si>
    <t>평</t>
    <phoneticPr fontId="4" type="noConversion"/>
  </si>
  <si>
    <t>서비스면적 : 발코니 (전용면적에 포함X)</t>
    <phoneticPr fontId="4" type="noConversion"/>
  </si>
  <si>
    <t>오피스텔은 서비스면적이 없기때문에 더 좁음</t>
    <phoneticPr fontId="4" type="noConversion"/>
  </si>
  <si>
    <t>전용율 = 전용면적/공급면적 (아파트는 80%, 오피스텔은 50% 수준)</t>
    <phoneticPr fontId="4" type="noConversion"/>
  </si>
  <si>
    <t>전용</t>
    <phoneticPr fontId="4" type="noConversion"/>
  </si>
  <si>
    <t>공급 (전용율 80%)</t>
    <phoneticPr fontId="4" type="noConversion"/>
  </si>
  <si>
    <t>m2</t>
    <phoneticPr fontId="4" type="noConversion"/>
  </si>
  <si>
    <t>평</t>
    <phoneticPr fontId="4" type="noConversion"/>
  </si>
  <si>
    <t>m2</t>
    <phoneticPr fontId="4" type="noConversion"/>
  </si>
  <si>
    <t>주택수</t>
    <phoneticPr fontId="4" type="noConversion"/>
  </si>
  <si>
    <t>조정/비조정</t>
    <phoneticPr fontId="4" type="noConversion"/>
  </si>
  <si>
    <t>공시지가</t>
    <phoneticPr fontId="4" type="noConversion"/>
  </si>
  <si>
    <t>1~3%</t>
    <phoneticPr fontId="4" type="noConversion"/>
  </si>
  <si>
    <t>무주택</t>
    <phoneticPr fontId="4" type="noConversion"/>
  </si>
  <si>
    <t>-</t>
    <phoneticPr fontId="4" type="noConversion"/>
  </si>
  <si>
    <t>-</t>
    <phoneticPr fontId="4" type="noConversion"/>
  </si>
  <si>
    <t>2주택</t>
    <phoneticPr fontId="4" type="noConversion"/>
  </si>
  <si>
    <t>비조정</t>
    <phoneticPr fontId="4" type="noConversion"/>
  </si>
  <si>
    <t>-</t>
    <phoneticPr fontId="4" type="noConversion"/>
  </si>
  <si>
    <t>다주택/법인</t>
    <phoneticPr fontId="4" type="noConversion"/>
  </si>
  <si>
    <t>1억 이하</t>
    <phoneticPr fontId="4" type="noConversion"/>
  </si>
  <si>
    <t>2주택</t>
    <phoneticPr fontId="4" type="noConversion"/>
  </si>
  <si>
    <t>조정</t>
    <phoneticPr fontId="4" type="noConversion"/>
  </si>
  <si>
    <t>-</t>
    <phoneticPr fontId="4" type="noConversion"/>
  </si>
  <si>
    <t>1억 초과</t>
    <phoneticPr fontId="4" type="noConversion"/>
  </si>
  <si>
    <t>양도세</t>
    <phoneticPr fontId="4" type="noConversion"/>
  </si>
  <si>
    <t>주택수</t>
    <phoneticPr fontId="4" type="noConversion"/>
  </si>
  <si>
    <t>보유기간</t>
    <phoneticPr fontId="4" type="noConversion"/>
  </si>
  <si>
    <t>30~45%</t>
    <phoneticPr fontId="4" type="noConversion"/>
  </si>
  <si>
    <t>법인(보유세)</t>
    <phoneticPr fontId="4" type="noConversion"/>
  </si>
  <si>
    <t>일반과세</t>
    <phoneticPr fontId="4" type="noConversion"/>
  </si>
  <si>
    <t>무주택</t>
    <phoneticPr fontId="4" type="noConversion"/>
  </si>
  <si>
    <t>2년 이상</t>
    <phoneticPr fontId="4" type="noConversion"/>
  </si>
  <si>
    <t>2~다주택</t>
    <phoneticPr fontId="4" type="noConversion"/>
  </si>
  <si>
    <t>비조정</t>
    <phoneticPr fontId="4" type="noConversion"/>
  </si>
  <si>
    <t>2년 이상</t>
    <phoneticPr fontId="4" type="noConversion"/>
  </si>
  <si>
    <t>일반+20%</t>
    <phoneticPr fontId="4" type="noConversion"/>
  </si>
  <si>
    <t>일반+30%</t>
    <phoneticPr fontId="4" type="noConversion"/>
  </si>
  <si>
    <t>다주택</t>
    <phoneticPr fontId="4" type="noConversion"/>
  </si>
  <si>
    <t>2년 이상</t>
    <phoneticPr fontId="4" type="noConversion"/>
  </si>
  <si>
    <t>1~2년</t>
    <phoneticPr fontId="4" type="noConversion"/>
  </si>
  <si>
    <t>1년 이하</t>
    <phoneticPr fontId="4" type="noConversion"/>
  </si>
  <si>
    <t>취득세</t>
    <phoneticPr fontId="4" type="noConversion"/>
  </si>
  <si>
    <t>1~3% 기준</t>
    <phoneticPr fontId="4" type="noConversion"/>
  </si>
  <si>
    <t>8% 기준</t>
    <phoneticPr fontId="4" type="noConversion"/>
  </si>
  <si>
    <t>12% 기준</t>
    <phoneticPr fontId="4" type="noConversion"/>
  </si>
  <si>
    <t>양도세</t>
    <phoneticPr fontId="4" type="noConversion"/>
  </si>
  <si>
    <t>(장기) 일반과세</t>
    <phoneticPr fontId="4" type="noConversion"/>
  </si>
  <si>
    <t>(단기) 70%</t>
    <phoneticPr fontId="4" type="noConversion"/>
  </si>
  <si>
    <t>(법인) 30~45%</t>
    <phoneticPr fontId="4" type="noConversion"/>
  </si>
  <si>
    <t>(장기) 일반+20%</t>
    <phoneticPr fontId="4" type="noConversion"/>
  </si>
  <si>
    <t>(단기) 70%</t>
    <phoneticPr fontId="4" type="noConversion"/>
  </si>
  <si>
    <t>(법인) 30~45%</t>
    <phoneticPr fontId="4" type="noConversion"/>
  </si>
  <si>
    <t>Case</t>
    <phoneticPr fontId="4" type="noConversion"/>
  </si>
  <si>
    <t>무주택, 2주택/비조정
다주택/비조정/1억이하</t>
    <phoneticPr fontId="4" type="noConversion"/>
  </si>
  <si>
    <t>무주택, 2주택/비조정
다주택/1억 이하</t>
    <phoneticPr fontId="4" type="noConversion"/>
  </si>
  <si>
    <t>법인/1억 이하</t>
    <phoneticPr fontId="4" type="noConversion"/>
  </si>
  <si>
    <t>2주택/조정</t>
    <phoneticPr fontId="4" type="noConversion"/>
  </si>
  <si>
    <t>다주택/비조정/1억 초과</t>
    <phoneticPr fontId="4" type="noConversion"/>
  </si>
  <si>
    <t>다주택/조정/1억 초과</t>
    <phoneticPr fontId="4" type="noConversion"/>
  </si>
  <si>
    <t>다주택/1억 초과</t>
    <phoneticPr fontId="4" type="noConversion"/>
  </si>
  <si>
    <t>법인/1억 초과</t>
    <phoneticPr fontId="4" type="noConversion"/>
  </si>
  <si>
    <t>구분</t>
    <phoneticPr fontId="4" type="noConversion"/>
  </si>
  <si>
    <t>금액</t>
    <phoneticPr fontId="4" type="noConversion"/>
  </si>
  <si>
    <t>비고</t>
    <phoneticPr fontId="4" type="noConversion"/>
  </si>
  <si>
    <t>비고</t>
    <phoneticPr fontId="4" type="noConversion"/>
  </si>
  <si>
    <t>금액</t>
    <phoneticPr fontId="4" type="noConversion"/>
  </si>
  <si>
    <t>비고</t>
    <phoneticPr fontId="4" type="noConversion"/>
  </si>
  <si>
    <t>금액</t>
    <phoneticPr fontId="4" type="noConversion"/>
  </si>
  <si>
    <t>e</t>
    <phoneticPr fontId="4" type="noConversion"/>
  </si>
  <si>
    <t>기본
정보</t>
    <phoneticPr fontId="9" type="noConversion"/>
  </si>
  <si>
    <t>감정가</t>
    <phoneticPr fontId="9" type="noConversion"/>
  </si>
  <si>
    <t>최저가</t>
    <phoneticPr fontId="9" type="noConversion"/>
  </si>
  <si>
    <t>입찰보증금</t>
    <phoneticPr fontId="9" type="noConversion"/>
  </si>
  <si>
    <t>취득
비용</t>
    <phoneticPr fontId="9" type="noConversion"/>
  </si>
  <si>
    <t>낙찰가</t>
    <phoneticPr fontId="9" type="noConversion"/>
  </si>
  <si>
    <t>취득세</t>
    <phoneticPr fontId="9" type="noConversion"/>
  </si>
  <si>
    <t>채권할인</t>
    <phoneticPr fontId="9" type="noConversion"/>
  </si>
  <si>
    <t>법무비</t>
    <phoneticPr fontId="9" type="noConversion"/>
  </si>
  <si>
    <t>명도비</t>
    <phoneticPr fontId="9" type="noConversion"/>
  </si>
  <si>
    <t>청소/올수리</t>
    <phoneticPr fontId="9" type="noConversion"/>
  </si>
  <si>
    <t>기타</t>
    <phoneticPr fontId="9" type="noConversion"/>
  </si>
  <si>
    <t>관리비 등</t>
    <phoneticPr fontId="4" type="noConversion"/>
  </si>
  <si>
    <t>관리비 등</t>
    <phoneticPr fontId="4" type="noConversion"/>
  </si>
  <si>
    <t>관리비 등</t>
    <phoneticPr fontId="4" type="noConversion"/>
  </si>
  <si>
    <t>단기
대출
비용</t>
    <phoneticPr fontId="4" type="noConversion"/>
  </si>
  <si>
    <t>단기대출</t>
    <phoneticPr fontId="4" type="noConversion"/>
  </si>
  <si>
    <t>3개월 대출이자</t>
    <phoneticPr fontId="4" type="noConversion"/>
  </si>
  <si>
    <t>중도상환수수료</t>
    <phoneticPr fontId="4" type="noConversion"/>
  </si>
  <si>
    <t>합계</t>
    <phoneticPr fontId="4" type="noConversion"/>
  </si>
  <si>
    <t>취득/대출 비용</t>
    <phoneticPr fontId="4" type="noConversion"/>
  </si>
  <si>
    <t>단기 필요 자금</t>
    <phoneticPr fontId="4" type="noConversion"/>
  </si>
  <si>
    <t>양도
비용</t>
    <phoneticPr fontId="4" type="noConversion"/>
  </si>
  <si>
    <t>매도가</t>
    <phoneticPr fontId="4" type="noConversion"/>
  </si>
  <si>
    <t>양도차익</t>
    <phoneticPr fontId="4" type="noConversion"/>
  </si>
  <si>
    <t>비용제외 차익</t>
    <phoneticPr fontId="4" type="noConversion"/>
  </si>
  <si>
    <t>기본공제</t>
    <phoneticPr fontId="4" type="noConversion"/>
  </si>
  <si>
    <t>연1회</t>
    <phoneticPr fontId="4" type="noConversion"/>
  </si>
  <si>
    <t>과세표준</t>
    <phoneticPr fontId="4" type="noConversion"/>
  </si>
  <si>
    <t>지방세</t>
    <phoneticPr fontId="4" type="noConversion"/>
  </si>
  <si>
    <t>중개비</t>
    <phoneticPr fontId="4" type="noConversion"/>
  </si>
  <si>
    <t>합계</t>
    <phoneticPr fontId="4" type="noConversion"/>
  </si>
  <si>
    <t>양도 비용</t>
    <phoneticPr fontId="4" type="noConversion"/>
  </si>
  <si>
    <t>세후 시세차익</t>
    <phoneticPr fontId="4" type="noConversion"/>
  </si>
  <si>
    <t>전세
수익율</t>
    <phoneticPr fontId="4" type="noConversion"/>
  </si>
  <si>
    <t>전세 보증금</t>
    <phoneticPr fontId="4" type="noConversion"/>
  </si>
  <si>
    <t>현금 투입</t>
    <phoneticPr fontId="4" type="noConversion"/>
  </si>
  <si>
    <t>수익율</t>
    <phoneticPr fontId="4" type="noConversion"/>
  </si>
  <si>
    <t>월세
수익율</t>
    <phoneticPr fontId="4" type="noConversion"/>
  </si>
  <si>
    <t>경락대출</t>
    <phoneticPr fontId="4" type="noConversion"/>
  </si>
  <si>
    <t>월세보증금</t>
    <phoneticPr fontId="4" type="noConversion"/>
  </si>
  <si>
    <t>현금 투입</t>
    <phoneticPr fontId="4" type="noConversion"/>
  </si>
  <si>
    <t>월세</t>
    <phoneticPr fontId="4" type="noConversion"/>
  </si>
  <si>
    <t>대출 이자</t>
    <phoneticPr fontId="4" type="noConversion"/>
  </si>
  <si>
    <t>월 수입</t>
    <phoneticPr fontId="4" type="noConversion"/>
  </si>
  <si>
    <t>연 수입</t>
    <phoneticPr fontId="4" type="noConversion"/>
  </si>
  <si>
    <t>연 수익율</t>
    <phoneticPr fontId="4" type="noConversion"/>
  </si>
  <si>
    <t>총 수익율</t>
    <phoneticPr fontId="4" type="noConversion"/>
  </si>
  <si>
    <t>현금투입</t>
  </si>
  <si>
    <t>투 자 소 계</t>
  </si>
  <si>
    <t>입찰보증금+잔금</t>
  </si>
  <si>
    <t>경락자금대출</t>
  </si>
  <si>
    <t>순수익</t>
  </si>
  <si>
    <t>양도세의 10%</t>
  </si>
  <si>
    <t>지방세</t>
  </si>
  <si>
    <t>과세표준 70%</t>
  </si>
  <si>
    <t>양도세</t>
  </si>
  <si>
    <t>과세표준</t>
  </si>
  <si>
    <t>기본공제</t>
  </si>
  <si>
    <t>시세차익</t>
  </si>
  <si>
    <t>비용 합계</t>
  </si>
  <si>
    <t>명도비</t>
  </si>
  <si>
    <t>대출중도상환</t>
  </si>
  <si>
    <t>이자(3개월)</t>
  </si>
  <si>
    <t>소유권이후, 관리비</t>
  </si>
  <si>
    <t>입주청소</t>
  </si>
  <si>
    <t>올수리</t>
  </si>
  <si>
    <t>중개비</t>
  </si>
  <si>
    <t>낙찰가</t>
  </si>
  <si>
    <t>대략1.3~1.5%</t>
    <phoneticPr fontId="26" type="noConversion"/>
  </si>
  <si>
    <t>취등록및법무비</t>
  </si>
  <si>
    <t>매도가</t>
  </si>
  <si>
    <t>경락</t>
  </si>
  <si>
    <t>매수가(낙찰가)</t>
  </si>
  <si>
    <t>감정가</t>
  </si>
  <si>
    <t>비 고</t>
  </si>
  <si>
    <t>금 액</t>
  </si>
  <si>
    <t>분 류</t>
  </si>
  <si>
    <t>2020타경*****</t>
  </si>
  <si>
    <t>단기 매매 (1년미만)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</si>
</sst>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6" formatCode="0.0%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0"/>
      <color indexed="81"/>
      <name val="돋움"/>
      <family val="3"/>
      <charset val="129"/>
    </font>
    <font>
      <sz val="10"/>
      <color indexed="81"/>
      <name val="돋움"/>
      <family val="3"/>
      <charset val="129"/>
    </font>
    <font>
      <b/>
      <sz val="10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0070C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color rgb="FF568ED4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1F497D"/>
      <name val="맑은 고딕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E46C0A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DEADB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ck">
        <color rgb="FFFF0000"/>
      </right>
      <top/>
      <bottom style="thick">
        <color rgb="FFFF0000"/>
      </bottom>
      <diagonal/>
    </border>
    <border>
      <left style="thin">
        <color auto="1"/>
      </left>
      <right/>
      <top/>
      <bottom style="thick">
        <color rgb="FFFF0000"/>
      </bottom>
      <diagonal/>
    </border>
    <border>
      <left style="thick">
        <color rgb="FFFF0000"/>
      </left>
      <right style="thin">
        <color auto="1"/>
      </right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0" borderId="0">
      <alignment vertical="center"/>
    </xf>
    <xf numFmtId="41" fontId="16" fillId="0" borderId="0">
      <alignment vertical="center"/>
    </xf>
    <xf numFmtId="9" fontId="16" fillId="0" borderId="0">
      <alignment vertical="center"/>
    </xf>
  </cellStyleXfs>
  <cellXfs count="1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2" borderId="1" xfId="3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41" fontId="0" fillId="0" borderId="10" xfId="1" applyFont="1" applyBorder="1">
      <alignment vertical="center"/>
    </xf>
    <xf numFmtId="0" fontId="0" fillId="0" borderId="12" xfId="0" applyBorder="1">
      <alignment vertical="center"/>
    </xf>
    <xf numFmtId="0" fontId="0" fillId="0" borderId="14" xfId="0" applyFont="1" applyBorder="1" applyAlignment="1">
      <alignment horizontal="center" vertical="center"/>
    </xf>
    <xf numFmtId="41" fontId="0" fillId="0" borderId="13" xfId="1" applyFont="1" applyBorder="1">
      <alignment vertical="center"/>
    </xf>
    <xf numFmtId="9" fontId="10" fillId="0" borderId="15" xfId="0" applyNumberFormat="1" applyFont="1" applyBorder="1">
      <alignment vertical="center"/>
    </xf>
    <xf numFmtId="0" fontId="0" fillId="0" borderId="17" xfId="0" applyFont="1" applyBorder="1" applyAlignment="1">
      <alignment horizontal="center" vertical="center"/>
    </xf>
    <xf numFmtId="41" fontId="0" fillId="0" borderId="16" xfId="1" applyFont="1" applyBorder="1">
      <alignment vertical="center"/>
    </xf>
    <xf numFmtId="9" fontId="10" fillId="0" borderId="18" xfId="0" applyNumberFormat="1" applyFont="1" applyBorder="1">
      <alignment vertical="center"/>
    </xf>
    <xf numFmtId="0" fontId="8" fillId="8" borderId="11" xfId="0" applyFont="1" applyFill="1" applyBorder="1" applyAlignment="1">
      <alignment horizontal="center" vertical="center"/>
    </xf>
    <xf numFmtId="41" fontId="8" fillId="8" borderId="10" xfId="1" applyFont="1" applyFill="1" applyBorder="1">
      <alignment vertical="center"/>
    </xf>
    <xf numFmtId="9" fontId="7" fillId="8" borderId="12" xfId="2" applyFont="1" applyFill="1" applyBorder="1">
      <alignment vertical="center"/>
    </xf>
    <xf numFmtId="0" fontId="8" fillId="8" borderId="12" xfId="0" applyFont="1" applyFill="1" applyBorder="1">
      <alignment vertical="center"/>
    </xf>
    <xf numFmtId="41" fontId="10" fillId="0" borderId="13" xfId="1" applyFont="1" applyBorder="1">
      <alignment vertical="center"/>
    </xf>
    <xf numFmtId="10" fontId="0" fillId="0" borderId="15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right" vertical="center"/>
    </xf>
    <xf numFmtId="9" fontId="0" fillId="0" borderId="15" xfId="0" applyNumberFormat="1" applyBorder="1">
      <alignment vertical="center"/>
    </xf>
    <xf numFmtId="176" fontId="0" fillId="0" borderId="15" xfId="0" applyNumberFormat="1" applyBorder="1">
      <alignment vertical="center"/>
    </xf>
    <xf numFmtId="0" fontId="0" fillId="0" borderId="16" xfId="0" applyBorder="1" applyAlignment="1">
      <alignment horizontal="center" vertical="center"/>
    </xf>
    <xf numFmtId="0" fontId="0" fillId="9" borderId="17" xfId="0" applyFont="1" applyFill="1" applyBorder="1" applyAlignment="1">
      <alignment horizontal="center" vertical="center"/>
    </xf>
    <xf numFmtId="41" fontId="0" fillId="9" borderId="16" xfId="1" applyFont="1" applyFill="1" applyBorder="1">
      <alignment vertical="center"/>
    </xf>
    <xf numFmtId="0" fontId="0" fillId="9" borderId="18" xfId="0" applyFill="1" applyBorder="1">
      <alignment vertical="center"/>
    </xf>
    <xf numFmtId="41" fontId="2" fillId="2" borderId="22" xfId="3" applyNumberFormat="1" applyBorder="1">
      <alignment vertical="center"/>
    </xf>
    <xf numFmtId="0" fontId="2" fillId="2" borderId="22" xfId="3" applyBorder="1">
      <alignment vertical="center"/>
    </xf>
    <xf numFmtId="0" fontId="2" fillId="2" borderId="18" xfId="3" applyBorder="1">
      <alignment vertical="center"/>
    </xf>
    <xf numFmtId="41" fontId="0" fillId="0" borderId="0" xfId="0" applyNumberFormat="1">
      <alignment vertical="center"/>
    </xf>
    <xf numFmtId="41" fontId="8" fillId="8" borderId="21" xfId="1" applyFont="1" applyFill="1" applyBorder="1">
      <alignment vertical="center"/>
    </xf>
    <xf numFmtId="0" fontId="8" fillId="8" borderId="23" xfId="0" applyFont="1" applyFill="1" applyBorder="1">
      <alignment vertical="center"/>
    </xf>
    <xf numFmtId="0" fontId="8" fillId="8" borderId="14" xfId="0" applyFont="1" applyFill="1" applyBorder="1" applyAlignment="1">
      <alignment horizontal="center" vertical="center"/>
    </xf>
    <xf numFmtId="41" fontId="8" fillId="8" borderId="13" xfId="1" applyFont="1" applyFill="1" applyBorder="1">
      <alignment vertical="center"/>
    </xf>
    <xf numFmtId="0" fontId="8" fillId="8" borderId="15" xfId="0" applyFont="1" applyFill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9" borderId="24" xfId="0" applyFont="1" applyFill="1" applyBorder="1" applyAlignment="1">
      <alignment horizontal="center" vertical="center"/>
    </xf>
    <xf numFmtId="41" fontId="0" fillId="9" borderId="19" xfId="1" applyFont="1" applyFill="1" applyBorder="1">
      <alignment vertical="center"/>
    </xf>
    <xf numFmtId="0" fontId="0" fillId="9" borderId="25" xfId="0" applyFill="1" applyBorder="1">
      <alignment vertical="center"/>
    </xf>
    <xf numFmtId="41" fontId="2" fillId="2" borderId="26" xfId="3" applyNumberFormat="1" applyBorder="1">
      <alignment vertical="center"/>
    </xf>
    <xf numFmtId="0" fontId="2" fillId="2" borderId="26" xfId="3" applyBorder="1">
      <alignment vertical="center"/>
    </xf>
    <xf numFmtId="0" fontId="2" fillId="2" borderId="12" xfId="3" applyBorder="1">
      <alignment vertical="center"/>
    </xf>
    <xf numFmtId="0" fontId="0" fillId="0" borderId="27" xfId="0" applyBorder="1" applyAlignment="1">
      <alignment horizontal="center" vertical="center"/>
    </xf>
    <xf numFmtId="41" fontId="0" fillId="0" borderId="21" xfId="1" applyFont="1" applyBorder="1">
      <alignment vertical="center"/>
    </xf>
    <xf numFmtId="0" fontId="0" fillId="0" borderId="23" xfId="0" applyBorder="1">
      <alignment vertical="center"/>
    </xf>
    <xf numFmtId="0" fontId="0" fillId="6" borderId="14" xfId="0" applyFill="1" applyBorder="1" applyAlignment="1">
      <alignment horizontal="center" vertical="center"/>
    </xf>
    <xf numFmtId="41" fontId="0" fillId="6" borderId="13" xfId="1" applyFont="1" applyFill="1" applyBorder="1">
      <alignment vertical="center"/>
    </xf>
    <xf numFmtId="0" fontId="0" fillId="6" borderId="15" xfId="0" applyFill="1" applyBorder="1">
      <alignment vertical="center"/>
    </xf>
    <xf numFmtId="0" fontId="2" fillId="2" borderId="17" xfId="3" applyBorder="1" applyAlignment="1">
      <alignment horizontal="center" vertical="center"/>
    </xf>
    <xf numFmtId="10" fontId="2" fillId="2" borderId="16" xfId="3" applyNumberFormat="1" applyBorder="1">
      <alignment vertical="center"/>
    </xf>
    <xf numFmtId="0" fontId="0" fillId="0" borderId="11" xfId="0" applyBorder="1" applyAlignment="1">
      <alignment horizontal="center" vertical="center"/>
    </xf>
    <xf numFmtId="41" fontId="10" fillId="0" borderId="21" xfId="1" applyFont="1" applyBorder="1">
      <alignment vertical="center"/>
    </xf>
    <xf numFmtId="9" fontId="0" fillId="0" borderId="23" xfId="0" applyNumberFormat="1" applyBorder="1">
      <alignment vertical="center"/>
    </xf>
    <xf numFmtId="0" fontId="0" fillId="6" borderId="27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2" borderId="14" xfId="3" applyBorder="1" applyAlignment="1">
      <alignment horizontal="center" vertical="center"/>
    </xf>
    <xf numFmtId="10" fontId="2" fillId="2" borderId="13" xfId="3" applyNumberFormat="1" applyBorder="1">
      <alignment vertical="center"/>
    </xf>
    <xf numFmtId="0" fontId="2" fillId="2" borderId="15" xfId="3" applyBorder="1">
      <alignment vertical="center"/>
    </xf>
    <xf numFmtId="0" fontId="2" fillId="2" borderId="30" xfId="3" applyBorder="1" applyAlignment="1">
      <alignment horizontal="center" vertical="center"/>
    </xf>
    <xf numFmtId="0" fontId="2" fillId="2" borderId="16" xfId="3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" fillId="2" borderId="16" xfId="3" applyBorder="1" applyAlignment="1">
      <alignment horizontal="center" vertical="center"/>
    </xf>
    <xf numFmtId="0" fontId="2" fillId="2" borderId="22" xfId="3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" fillId="2" borderId="10" xfId="3" applyBorder="1" applyAlignment="1">
      <alignment horizontal="center" vertical="center"/>
    </xf>
    <xf numFmtId="0" fontId="2" fillId="2" borderId="26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6" fillId="0" borderId="0" xfId="4">
      <alignment vertical="center"/>
    </xf>
    <xf numFmtId="0" fontId="16" fillId="0" borderId="0" xfId="4" applyAlignment="1">
      <alignment horizontal="center" vertical="center"/>
    </xf>
    <xf numFmtId="43" fontId="16" fillId="0" borderId="0" xfId="4" applyNumberFormat="1">
      <alignment vertical="center"/>
    </xf>
    <xf numFmtId="0" fontId="17" fillId="0" borderId="0" xfId="4" applyFont="1" applyAlignment="1">
      <alignment horizontal="center" vertical="center"/>
    </xf>
    <xf numFmtId="41" fontId="16" fillId="0" borderId="0" xfId="4" applyNumberFormat="1">
      <alignment vertical="center"/>
    </xf>
    <xf numFmtId="0" fontId="17" fillId="0" borderId="0" xfId="4" applyFont="1">
      <alignment vertical="center"/>
    </xf>
    <xf numFmtId="0" fontId="16" fillId="10" borderId="1" xfId="4" applyFill="1" applyBorder="1">
      <alignment vertical="center"/>
    </xf>
    <xf numFmtId="41" fontId="16" fillId="10" borderId="1" xfId="4" applyNumberFormat="1" applyFill="1" applyBorder="1">
      <alignment vertical="center"/>
    </xf>
    <xf numFmtId="0" fontId="16" fillId="10" borderId="1" xfId="4" applyFill="1" applyBorder="1" applyAlignment="1">
      <alignment horizontal="center" vertical="center"/>
    </xf>
    <xf numFmtId="41" fontId="0" fillId="0" borderId="0" xfId="5" applyFont="1">
      <alignment vertical="center"/>
    </xf>
    <xf numFmtId="9" fontId="18" fillId="8" borderId="1" xfId="5" applyNumberFormat="1" applyFont="1" applyFill="1" applyBorder="1" applyAlignment="1">
      <alignment horizontal="center" vertical="center"/>
    </xf>
    <xf numFmtId="41" fontId="0" fillId="8" borderId="1" xfId="5" applyFont="1" applyFill="1" applyBorder="1">
      <alignment vertical="center"/>
    </xf>
    <xf numFmtId="41" fontId="17" fillId="8" borderId="1" xfId="5" applyFont="1" applyFill="1" applyBorder="1" applyAlignment="1">
      <alignment horizontal="center" vertical="center"/>
    </xf>
    <xf numFmtId="9" fontId="19" fillId="11" borderId="2" xfId="5" applyNumberFormat="1" applyFont="1" applyFill="1" applyBorder="1" applyAlignment="1">
      <alignment horizontal="center" vertical="center"/>
    </xf>
    <xf numFmtId="41" fontId="0" fillId="11" borderId="24" xfId="5" applyFont="1" applyFill="1" applyBorder="1">
      <alignment vertical="center"/>
    </xf>
    <xf numFmtId="41" fontId="17" fillId="11" borderId="2" xfId="5" applyFont="1" applyFill="1" applyBorder="1" applyAlignment="1">
      <alignment horizontal="center" vertical="center"/>
    </xf>
    <xf numFmtId="0" fontId="20" fillId="0" borderId="0" xfId="4" applyFont="1" applyAlignment="1">
      <alignment horizontal="center" vertical="center"/>
    </xf>
    <xf numFmtId="41" fontId="21" fillId="0" borderId="0" xfId="5" applyFont="1" applyAlignment="1">
      <alignment horizontal="center" vertical="center"/>
    </xf>
    <xf numFmtId="0" fontId="21" fillId="0" borderId="0" xfId="4" applyFont="1" applyAlignment="1">
      <alignment horizontal="center" vertical="center"/>
    </xf>
    <xf numFmtId="9" fontId="22" fillId="11" borderId="1" xfId="5" applyNumberFormat="1" applyFont="1" applyFill="1" applyBorder="1" applyAlignment="1">
      <alignment horizontal="center" vertical="center"/>
    </xf>
    <xf numFmtId="41" fontId="0" fillId="11" borderId="14" xfId="5" applyFont="1" applyFill="1" applyBorder="1">
      <alignment vertical="center"/>
    </xf>
    <xf numFmtId="41" fontId="0" fillId="11" borderId="1" xfId="5" applyFont="1" applyFill="1" applyBorder="1" applyAlignment="1">
      <alignment horizontal="center" vertical="center"/>
    </xf>
    <xf numFmtId="41" fontId="0" fillId="0" borderId="0" xfId="5" applyFont="1" applyAlignment="1">
      <alignment horizontal="center" vertical="center"/>
    </xf>
    <xf numFmtId="9" fontId="23" fillId="8" borderId="31" xfId="6" applyFont="1" applyFill="1" applyBorder="1">
      <alignment vertical="center"/>
    </xf>
    <xf numFmtId="41" fontId="24" fillId="8" borderId="32" xfId="5" applyFont="1" applyFill="1" applyBorder="1">
      <alignment vertical="center"/>
    </xf>
    <xf numFmtId="41" fontId="24" fillId="8" borderId="33" xfId="5" applyFont="1" applyFill="1" applyBorder="1" applyAlignment="1">
      <alignment horizontal="center" vertical="center"/>
    </xf>
    <xf numFmtId="9" fontId="17" fillId="12" borderId="1" xfId="4" applyNumberFormat="1" applyFont="1" applyFill="1" applyBorder="1" applyAlignment="1">
      <alignment horizontal="center" vertical="center"/>
    </xf>
    <xf numFmtId="41" fontId="16" fillId="12" borderId="1" xfId="4" applyNumberFormat="1" applyFill="1" applyBorder="1">
      <alignment vertical="center"/>
    </xf>
    <xf numFmtId="0" fontId="16" fillId="12" borderId="1" xfId="4" applyFill="1" applyBorder="1" applyAlignment="1">
      <alignment horizontal="center" vertical="center"/>
    </xf>
    <xf numFmtId="0" fontId="16" fillId="13" borderId="1" xfId="4" applyFill="1" applyBorder="1">
      <alignment vertical="center"/>
    </xf>
    <xf numFmtId="41" fontId="16" fillId="13" borderId="14" xfId="4" applyNumberFormat="1" applyFill="1" applyBorder="1">
      <alignment vertical="center"/>
    </xf>
    <xf numFmtId="0" fontId="16" fillId="13" borderId="1" xfId="4" applyFill="1" applyBorder="1" applyAlignment="1">
      <alignment horizontal="center" vertical="center"/>
    </xf>
    <xf numFmtId="0" fontId="17" fillId="13" borderId="1" xfId="4" applyFont="1" applyFill="1" applyBorder="1">
      <alignment vertical="center"/>
    </xf>
    <xf numFmtId="41" fontId="0" fillId="13" borderId="24" xfId="5" applyFont="1" applyFill="1" applyBorder="1">
      <alignment vertical="center"/>
    </xf>
    <xf numFmtId="41" fontId="0" fillId="13" borderId="2" xfId="5" applyFont="1" applyFill="1" applyBorder="1" applyAlignment="1">
      <alignment horizontal="center" vertical="center"/>
    </xf>
    <xf numFmtId="0" fontId="17" fillId="13" borderId="2" xfId="4" applyFont="1" applyFill="1" applyBorder="1">
      <alignment vertical="center"/>
    </xf>
    <xf numFmtId="0" fontId="17" fillId="14" borderId="2" xfId="4" applyFont="1" applyFill="1" applyBorder="1">
      <alignment vertical="center"/>
    </xf>
    <xf numFmtId="41" fontId="0" fillId="14" borderId="24" xfId="5" applyFont="1" applyFill="1" applyBorder="1">
      <alignment vertical="center"/>
    </xf>
    <xf numFmtId="41" fontId="0" fillId="14" borderId="2" xfId="5" applyFont="1" applyFill="1" applyBorder="1" applyAlignment="1">
      <alignment horizontal="center" vertical="center"/>
    </xf>
    <xf numFmtId="0" fontId="18" fillId="0" borderId="1" xfId="4" quotePrefix="1" applyFont="1" applyBorder="1" applyAlignment="1">
      <alignment horizontal="center" vertical="center"/>
    </xf>
    <xf numFmtId="41" fontId="0" fillId="15" borderId="14" xfId="5" applyFont="1" applyFill="1" applyBorder="1">
      <alignment vertical="center"/>
    </xf>
    <xf numFmtId="41" fontId="0" fillId="0" borderId="1" xfId="5" applyFont="1" applyBorder="1" applyAlignment="1">
      <alignment horizontal="center" vertical="center"/>
    </xf>
    <xf numFmtId="176" fontId="18" fillId="0" borderId="1" xfId="4" quotePrefix="1" applyNumberFormat="1" applyFont="1" applyBorder="1" applyAlignment="1">
      <alignment horizontal="center" vertical="center"/>
    </xf>
    <xf numFmtId="176" fontId="25" fillId="0" borderId="1" xfId="5" applyNumberFormat="1" applyFont="1" applyBorder="1" applyAlignment="1">
      <alignment horizontal="center" vertical="center"/>
    </xf>
    <xf numFmtId="0" fontId="17" fillId="0" borderId="1" xfId="4" applyFont="1" applyBorder="1" applyAlignment="1">
      <alignment horizontal="center" vertical="center"/>
    </xf>
    <xf numFmtId="176" fontId="18" fillId="0" borderId="1" xfId="4" applyNumberFormat="1" applyFont="1" applyBorder="1" applyAlignment="1">
      <alignment horizontal="center" vertical="center"/>
    </xf>
    <xf numFmtId="0" fontId="17" fillId="0" borderId="3" xfId="4" quotePrefix="1" applyFont="1" applyBorder="1" applyAlignment="1">
      <alignment horizontal="center" vertical="center"/>
    </xf>
    <xf numFmtId="41" fontId="0" fillId="13" borderId="27" xfId="5" applyFont="1" applyFill="1" applyBorder="1">
      <alignment vertical="center"/>
    </xf>
    <xf numFmtId="41" fontId="0" fillId="16" borderId="3" xfId="5" applyFont="1" applyFill="1" applyBorder="1" applyAlignment="1">
      <alignment horizontal="center" vertical="center"/>
    </xf>
    <xf numFmtId="0" fontId="22" fillId="17" borderId="34" xfId="4" applyFont="1" applyFill="1" applyBorder="1" applyAlignment="1">
      <alignment horizontal="center" vertical="center"/>
    </xf>
    <xf numFmtId="41" fontId="27" fillId="17" borderId="35" xfId="5" applyFont="1" applyFill="1" applyBorder="1">
      <alignment vertical="center"/>
    </xf>
    <xf numFmtId="41" fontId="21" fillId="17" borderId="34" xfId="5" applyFont="1" applyFill="1" applyBorder="1" applyAlignment="1">
      <alignment horizontal="center" vertical="center"/>
    </xf>
    <xf numFmtId="0" fontId="16" fillId="8" borderId="0" xfId="4" applyFill="1">
      <alignment vertical="center"/>
    </xf>
    <xf numFmtId="0" fontId="16" fillId="8" borderId="0" xfId="4" applyFill="1" applyAlignment="1">
      <alignment horizontal="center" vertical="center"/>
    </xf>
    <xf numFmtId="176" fontId="22" fillId="17" borderId="3" xfId="6" applyNumberFormat="1" applyFont="1" applyFill="1" applyBorder="1" applyAlignment="1">
      <alignment horizontal="left" vertical="center" indent="3"/>
    </xf>
    <xf numFmtId="41" fontId="27" fillId="17" borderId="27" xfId="5" applyFont="1" applyFill="1" applyBorder="1">
      <alignment vertical="center"/>
    </xf>
    <xf numFmtId="41" fontId="21" fillId="17" borderId="3" xfId="5" applyFont="1" applyFill="1" applyBorder="1" applyAlignment="1">
      <alignment horizontal="center" vertical="center"/>
    </xf>
    <xf numFmtId="0" fontId="21" fillId="17" borderId="1" xfId="4" applyFont="1" applyFill="1" applyBorder="1" applyAlignment="1">
      <alignment horizontal="center" vertical="center"/>
    </xf>
    <xf numFmtId="41" fontId="21" fillId="17" borderId="1" xfId="5" applyFont="1" applyFill="1" applyBorder="1" applyAlignment="1">
      <alignment horizontal="center" vertical="center"/>
    </xf>
    <xf numFmtId="0" fontId="21" fillId="18" borderId="2" xfId="4" applyFont="1" applyFill="1" applyBorder="1" applyAlignment="1">
      <alignment horizontal="center" vertical="center"/>
    </xf>
    <xf numFmtId="0" fontId="21" fillId="18" borderId="1" xfId="4" applyFont="1" applyFill="1" applyBorder="1" applyAlignment="1">
      <alignment horizontal="center" vertical="center"/>
    </xf>
    <xf numFmtId="49" fontId="0" fillId="18" borderId="36" xfId="5" applyNumberFormat="1" applyFont="1" applyFill="1" applyBorder="1" applyAlignment="1">
      <alignment horizontal="center" vertical="center"/>
    </xf>
    <xf numFmtId="49" fontId="0" fillId="18" borderId="37" xfId="5" applyNumberFormat="1" applyFont="1" applyFill="1" applyBorder="1" applyAlignment="1">
      <alignment horizontal="center" vertical="center"/>
    </xf>
    <xf numFmtId="49" fontId="21" fillId="18" borderId="14" xfId="5" applyNumberFormat="1" applyFont="1" applyFill="1" applyBorder="1" applyAlignment="1">
      <alignment horizontal="center" vertical="center" wrapText="1"/>
    </xf>
    <xf numFmtId="0" fontId="21" fillId="0" borderId="0" xfId="4" applyFont="1">
      <alignment vertical="center"/>
    </xf>
    <xf numFmtId="0" fontId="24" fillId="19" borderId="38" xfId="4" applyFont="1" applyFill="1" applyBorder="1" applyAlignment="1">
      <alignment horizontal="center" vertical="center"/>
    </xf>
    <xf numFmtId="0" fontId="24" fillId="19" borderId="39" xfId="4" applyFont="1" applyFill="1" applyBorder="1" applyAlignment="1">
      <alignment horizontal="center" vertical="center"/>
    </xf>
    <xf numFmtId="0" fontId="24" fillId="19" borderId="40" xfId="4" applyFont="1" applyFill="1" applyBorder="1" applyAlignment="1">
      <alignment horizontal="center" vertical="center"/>
    </xf>
  </cellXfs>
  <cellStyles count="7">
    <cellStyle name="나쁨" xfId="3" builtinId="27"/>
    <cellStyle name="백분율" xfId="2" builtinId="5"/>
    <cellStyle name="백분율 2" xfId="6" xr:uid="{8A2EE516-F1F6-46C7-B2F7-C49166AEC0A2}"/>
    <cellStyle name="쉼표 [0]" xfId="1" builtinId="6"/>
    <cellStyle name="쉼표 [0] 2" xfId="5" xr:uid="{952B6BF2-12D0-47E2-8576-ACED5B89742E}"/>
    <cellStyle name="표준" xfId="0" builtinId="0"/>
    <cellStyle name="표준 2" xfId="4" xr:uid="{49D42EC0-3FD5-4E78-8C95-BE088B8A49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215405</xdr:colOff>
      <xdr:row>26</xdr:row>
      <xdr:rowOff>73011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5016005" cy="53117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22</xdr:col>
      <xdr:colOff>685741</xdr:colOff>
      <xdr:row>24</xdr:row>
      <xdr:rowOff>101714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25225" y="209550"/>
          <a:ext cx="5010091" cy="49213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24</xdr:row>
      <xdr:rowOff>171450</xdr:rowOff>
    </xdr:from>
    <xdr:to>
      <xdr:col>23</xdr:col>
      <xdr:colOff>17686</xdr:colOff>
      <xdr:row>43</xdr:row>
      <xdr:rowOff>93966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25225" y="5200650"/>
          <a:ext cx="5027836" cy="390396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44</xdr:row>
      <xdr:rowOff>0</xdr:rowOff>
    </xdr:from>
    <xdr:to>
      <xdr:col>23</xdr:col>
      <xdr:colOff>23601</xdr:colOff>
      <xdr:row>53</xdr:row>
      <xdr:rowOff>148845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25225" y="9220200"/>
          <a:ext cx="5033751" cy="2034795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0</xdr:row>
      <xdr:rowOff>180975</xdr:rowOff>
    </xdr:from>
    <xdr:to>
      <xdr:col>15</xdr:col>
      <xdr:colOff>100106</xdr:colOff>
      <xdr:row>19</xdr:row>
      <xdr:rowOff>56170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95925" y="180975"/>
          <a:ext cx="4986431" cy="38566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19050</xdr:rowOff>
    </xdr:from>
    <xdr:to>
      <xdr:col>8</xdr:col>
      <xdr:colOff>532215</xdr:colOff>
      <xdr:row>48</xdr:row>
      <xdr:rowOff>83373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886450"/>
          <a:ext cx="6018615" cy="42553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11</xdr:col>
      <xdr:colOff>10579</xdr:colOff>
      <xdr:row>71</xdr:row>
      <xdr:rowOff>143480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687050"/>
          <a:ext cx="7554379" cy="4334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10</xdr:col>
      <xdr:colOff>343905</xdr:colOff>
      <xdr:row>97</xdr:row>
      <xdr:rowOff>29310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087600"/>
          <a:ext cx="7201905" cy="526806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72</xdr:row>
      <xdr:rowOff>0</xdr:rowOff>
    </xdr:from>
    <xdr:to>
      <xdr:col>19</xdr:col>
      <xdr:colOff>534319</xdr:colOff>
      <xdr:row>95</xdr:row>
      <xdr:rowOff>153094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43800" y="15087600"/>
          <a:ext cx="6582694" cy="49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6</xdr:col>
      <xdr:colOff>267312</xdr:colOff>
      <xdr:row>139</xdr:row>
      <xdr:rowOff>19813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3679150"/>
          <a:ext cx="4382112" cy="546811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113</xdr:row>
      <xdr:rowOff>0</xdr:rowOff>
    </xdr:from>
    <xdr:to>
      <xdr:col>13</xdr:col>
      <xdr:colOff>200627</xdr:colOff>
      <xdr:row>137</xdr:row>
      <xdr:rowOff>48334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00600" y="23679150"/>
          <a:ext cx="4315427" cy="5077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6</xdr:col>
      <xdr:colOff>333996</xdr:colOff>
      <xdr:row>161</xdr:row>
      <xdr:rowOff>200667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9337000"/>
          <a:ext cx="4448796" cy="460121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140</xdr:row>
      <xdr:rowOff>0</xdr:rowOff>
    </xdr:from>
    <xdr:to>
      <xdr:col>13</xdr:col>
      <xdr:colOff>372101</xdr:colOff>
      <xdr:row>168</xdr:row>
      <xdr:rowOff>48451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00600" y="29337000"/>
          <a:ext cx="4486901" cy="59158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6</xdr:col>
      <xdr:colOff>353049</xdr:colOff>
      <xdr:row>202</xdr:row>
      <xdr:rowOff>115281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35413950"/>
          <a:ext cx="4467849" cy="70304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169</xdr:row>
      <xdr:rowOff>0</xdr:rowOff>
    </xdr:from>
    <xdr:to>
      <xdr:col>13</xdr:col>
      <xdr:colOff>353049</xdr:colOff>
      <xdr:row>202</xdr:row>
      <xdr:rowOff>58123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00600" y="35413950"/>
          <a:ext cx="4467849" cy="6973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3845-7393-4D4E-83BB-C3831B569ECB}">
  <dimension ref="A1:L28"/>
  <sheetViews>
    <sheetView tabSelected="1" zoomScaleNormal="100" zoomScaleSheetLayoutView="75" workbookViewId="0">
      <selection activeCell="A2" sqref="A2:C2"/>
    </sheetView>
  </sheetViews>
  <sheetFormatPr defaultColWidth="9" defaultRowHeight="17" x14ac:dyDescent="0.45"/>
  <cols>
    <col min="1" max="1" width="22.5" style="107" customWidth="1"/>
    <col min="2" max="2" width="18" style="106" customWidth="1"/>
    <col min="3" max="3" width="16.58203125" style="106" customWidth="1"/>
    <col min="4" max="4" width="5.58203125" style="106" customWidth="1"/>
    <col min="5" max="5" width="6.83203125" style="106" customWidth="1"/>
    <col min="6" max="6" width="9" style="106"/>
    <col min="7" max="7" width="11.83203125" style="106" customWidth="1"/>
    <col min="8" max="8" width="16.83203125" style="106" customWidth="1"/>
    <col min="9" max="9" width="15.25" style="106" customWidth="1"/>
    <col min="10" max="10" width="13.58203125" style="106" customWidth="1"/>
    <col min="11" max="11" width="14.08203125" style="106" customWidth="1"/>
    <col min="12" max="12" width="17.25" style="106" customWidth="1"/>
    <col min="13" max="16384" width="9" style="106"/>
  </cols>
  <sheetData>
    <row r="1" spans="1:5" ht="17.5" thickBot="1" x14ac:dyDescent="0.5"/>
    <row r="2" spans="1:5" s="170" customFormat="1" ht="25" customHeight="1" thickTop="1" thickBot="1" x14ac:dyDescent="0.5">
      <c r="A2" s="173" t="s">
        <v>161</v>
      </c>
      <c r="B2" s="172"/>
      <c r="C2" s="171"/>
    </row>
    <row r="3" spans="1:5" ht="24.75" customHeight="1" thickTop="1" x14ac:dyDescent="0.45">
      <c r="A3" s="169" t="s">
        <v>160</v>
      </c>
      <c r="B3" s="168"/>
      <c r="C3" s="167"/>
    </row>
    <row r="4" spans="1:5" ht="18.75" customHeight="1" x14ac:dyDescent="0.45">
      <c r="A4" s="166" t="s">
        <v>159</v>
      </c>
      <c r="B4" s="166" t="s">
        <v>158</v>
      </c>
      <c r="C4" s="165" t="s">
        <v>157</v>
      </c>
    </row>
    <row r="5" spans="1:5" ht="22.5" customHeight="1" x14ac:dyDescent="0.45">
      <c r="A5" s="163" t="s">
        <v>156</v>
      </c>
      <c r="B5" s="164">
        <v>200000000</v>
      </c>
      <c r="C5" s="163"/>
    </row>
    <row r="6" spans="1:5" ht="22.5" customHeight="1" x14ac:dyDescent="0.45">
      <c r="A6" s="162" t="s">
        <v>155</v>
      </c>
      <c r="B6" s="161">
        <f>B5*C6</f>
        <v>200000000</v>
      </c>
      <c r="C6" s="160">
        <v>1</v>
      </c>
      <c r="D6" s="159" t="s">
        <v>154</v>
      </c>
      <c r="E6" s="158"/>
    </row>
    <row r="7" spans="1:5" ht="22.5" customHeight="1" thickBot="1" x14ac:dyDescent="0.5">
      <c r="A7" s="157" t="s">
        <v>153</v>
      </c>
      <c r="B7" s="156">
        <v>280000000</v>
      </c>
      <c r="C7" s="155"/>
    </row>
    <row r="8" spans="1:5" ht="21" customHeight="1" thickTop="1" x14ac:dyDescent="0.45">
      <c r="A8" s="154" t="s">
        <v>152</v>
      </c>
      <c r="B8" s="153">
        <f>B6*1.3%</f>
        <v>2600000</v>
      </c>
      <c r="C8" s="152" t="s">
        <v>151</v>
      </c>
      <c r="D8" s="111" t="s">
        <v>150</v>
      </c>
    </row>
    <row r="9" spans="1:5" ht="21" customHeight="1" x14ac:dyDescent="0.45">
      <c r="A9" s="147" t="s">
        <v>149</v>
      </c>
      <c r="B9" s="146">
        <f>B7*C9</f>
        <v>1120000</v>
      </c>
      <c r="C9" s="151">
        <v>4.0000000000000001E-3</v>
      </c>
    </row>
    <row r="10" spans="1:5" ht="21" customHeight="1" x14ac:dyDescent="0.45">
      <c r="A10" s="147" t="s">
        <v>148</v>
      </c>
      <c r="B10" s="146"/>
      <c r="C10" s="150"/>
    </row>
    <row r="11" spans="1:5" ht="21" customHeight="1" x14ac:dyDescent="0.45">
      <c r="A11" s="147" t="s">
        <v>147</v>
      </c>
      <c r="B11" s="146">
        <v>500000</v>
      </c>
      <c r="C11" s="150"/>
    </row>
    <row r="12" spans="1:5" ht="21" customHeight="1" x14ac:dyDescent="0.45">
      <c r="A12" s="147" t="s">
        <v>146</v>
      </c>
      <c r="B12" s="146">
        <v>300000</v>
      </c>
      <c r="C12" s="150"/>
    </row>
    <row r="13" spans="1:5" ht="21" customHeight="1" x14ac:dyDescent="0.45">
      <c r="A13" s="147" t="s">
        <v>145</v>
      </c>
      <c r="B13" s="146">
        <f>B24*C13/12*3</f>
        <v>910000.00000000012</v>
      </c>
      <c r="C13" s="149">
        <v>2.6000000000000002E-2</v>
      </c>
    </row>
    <row r="14" spans="1:5" ht="21" customHeight="1" x14ac:dyDescent="0.45">
      <c r="A14" s="147" t="s">
        <v>144</v>
      </c>
      <c r="B14" s="146">
        <f>B24*C14</f>
        <v>980000.00000000012</v>
      </c>
      <c r="C14" s="148">
        <v>7.000000000000001E-3</v>
      </c>
    </row>
    <row r="15" spans="1:5" ht="21" customHeight="1" x14ac:dyDescent="0.45">
      <c r="A15" s="147" t="s">
        <v>143</v>
      </c>
      <c r="B15" s="146">
        <v>0</v>
      </c>
      <c r="C15" s="145"/>
    </row>
    <row r="16" spans="1:5" ht="17.25" customHeight="1" x14ac:dyDescent="0.45">
      <c r="A16" s="144" t="s">
        <v>142</v>
      </c>
      <c r="B16" s="143">
        <f>SUM(B8:B15)</f>
        <v>6410000</v>
      </c>
      <c r="C16" s="142"/>
      <c r="D16" s="110"/>
    </row>
    <row r="17" spans="1:12" ht="17.25" customHeight="1" x14ac:dyDescent="0.45">
      <c r="A17" s="140" t="s">
        <v>141</v>
      </c>
      <c r="B17" s="139">
        <f>SUM(B7,-B6,-B16)</f>
        <v>73590000</v>
      </c>
      <c r="C17" s="141"/>
      <c r="D17" s="110"/>
    </row>
    <row r="18" spans="1:12" ht="17.25" customHeight="1" x14ac:dyDescent="0.45">
      <c r="A18" s="140" t="s">
        <v>140</v>
      </c>
      <c r="B18" s="139">
        <v>-2500000</v>
      </c>
      <c r="C18" s="138"/>
      <c r="D18" s="110"/>
    </row>
    <row r="19" spans="1:12" ht="17.25" customHeight="1" x14ac:dyDescent="0.45">
      <c r="A19" s="137" t="s">
        <v>139</v>
      </c>
      <c r="B19" s="136">
        <f>SUM(B17:B18)</f>
        <v>71090000</v>
      </c>
      <c r="C19" s="135"/>
    </row>
    <row r="20" spans="1:12" ht="17.25" customHeight="1" x14ac:dyDescent="0.45">
      <c r="A20" s="134" t="s">
        <v>138</v>
      </c>
      <c r="B20" s="133">
        <f>B19*70%</f>
        <v>49763000</v>
      </c>
      <c r="C20" s="132" t="s">
        <v>137</v>
      </c>
    </row>
    <row r="21" spans="1:12" ht="17.25" customHeight="1" x14ac:dyDescent="0.45">
      <c r="A21" s="134" t="s">
        <v>136</v>
      </c>
      <c r="B21" s="133">
        <f>B20*10%</f>
        <v>4976300</v>
      </c>
      <c r="C21" s="132" t="s">
        <v>135</v>
      </c>
    </row>
    <row r="22" spans="1:12" ht="23.25" customHeight="1" thickBot="1" x14ac:dyDescent="0.5">
      <c r="A22" s="131" t="s">
        <v>134</v>
      </c>
      <c r="B22" s="130">
        <f>B19-B20-B21</f>
        <v>16350700</v>
      </c>
      <c r="C22" s="129">
        <f>B22/B27</f>
        <v>0.24620840234904381</v>
      </c>
    </row>
    <row r="23" spans="1:12" ht="12.75" customHeight="1" thickTop="1" x14ac:dyDescent="0.45">
      <c r="A23" s="128"/>
      <c r="B23" s="115"/>
      <c r="C23" s="111"/>
    </row>
    <row r="24" spans="1:12" ht="23.25" customHeight="1" x14ac:dyDescent="0.45">
      <c r="A24" s="127" t="s">
        <v>133</v>
      </c>
      <c r="B24" s="126">
        <f>B6*C24</f>
        <v>140000000</v>
      </c>
      <c r="C24" s="125">
        <v>0.7</v>
      </c>
      <c r="G24" s="124"/>
      <c r="H24" s="124"/>
      <c r="I24" s="124"/>
      <c r="J24" s="123"/>
      <c r="K24" s="123"/>
      <c r="L24" s="122"/>
    </row>
    <row r="25" spans="1:12" ht="23.25" customHeight="1" x14ac:dyDescent="0.45">
      <c r="A25" s="121" t="s">
        <v>132</v>
      </c>
      <c r="B25" s="120">
        <f>B6-B24</f>
        <v>60000000</v>
      </c>
      <c r="C25" s="119"/>
      <c r="G25" s="109"/>
      <c r="H25" s="110"/>
      <c r="I25" s="115"/>
      <c r="J25" s="115"/>
      <c r="K25" s="115"/>
      <c r="L25" s="110"/>
    </row>
    <row r="26" spans="1:12" ht="23.25" customHeight="1" x14ac:dyDescent="0.45">
      <c r="A26" s="118" t="s">
        <v>131</v>
      </c>
      <c r="B26" s="117">
        <f>SUM(B24:B25)</f>
        <v>200000000</v>
      </c>
      <c r="C26" s="116"/>
      <c r="G26" s="109"/>
      <c r="H26" s="110"/>
      <c r="I26" s="115"/>
      <c r="J26" s="115"/>
      <c r="K26" s="115"/>
      <c r="L26" s="110"/>
    </row>
    <row r="27" spans="1:12" ht="23.25" customHeight="1" x14ac:dyDescent="0.45">
      <c r="A27" s="114" t="s">
        <v>130</v>
      </c>
      <c r="B27" s="113">
        <f>SUM(B25,B16)</f>
        <v>66410000</v>
      </c>
      <c r="C27" s="112"/>
      <c r="G27" s="109"/>
      <c r="H27" s="110"/>
      <c r="I27" s="111"/>
      <c r="J27" s="109"/>
    </row>
    <row r="28" spans="1:12" x14ac:dyDescent="0.45">
      <c r="B28" s="110"/>
      <c r="G28" s="109"/>
      <c r="H28" s="108"/>
    </row>
  </sheetData>
  <mergeCells count="2">
    <mergeCell ref="A2:C2"/>
    <mergeCell ref="A3:C3"/>
  </mergeCells>
  <phoneticPr fontId="4" type="noConversion"/>
  <pageMargins left="0.69972223043441772" right="0.69972223043441772" top="0.75" bottom="0.75" header="0.30000001192092896" footer="0.30000001192092896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1"/>
  <sheetViews>
    <sheetView showGridLines="0" zoomScale="85" zoomScaleNormal="85" workbookViewId="0">
      <pane xSplit="2" ySplit="4" topLeftCell="C5" activePane="bottomRight" state="frozen"/>
      <selection activeCell="F111" sqref="F111"/>
      <selection pane="topRight" activeCell="F111" sqref="F111"/>
      <selection pane="bottomLeft" activeCell="F111" sqref="F111"/>
      <selection pane="bottomRight" sqref="A1:B1"/>
    </sheetView>
  </sheetViews>
  <sheetFormatPr defaultRowHeight="17" x14ac:dyDescent="0.45"/>
  <cols>
    <col min="2" max="2" width="15.08203125" bestFit="1" customWidth="1"/>
    <col min="3" max="3" width="13.5" customWidth="1"/>
    <col min="4" max="4" width="12.58203125" bestFit="1" customWidth="1"/>
    <col min="5" max="5" width="13.5" customWidth="1"/>
    <col min="6" max="6" width="12.58203125" bestFit="1" customWidth="1"/>
    <col min="7" max="7" width="13.5" customWidth="1"/>
    <col min="8" max="8" width="12.58203125" bestFit="1" customWidth="1"/>
    <col min="9" max="9" width="0.83203125" customWidth="1"/>
    <col min="10" max="10" width="13.5" customWidth="1"/>
    <col min="11" max="11" width="12.58203125" customWidth="1"/>
    <col min="12" max="12" width="13.5" customWidth="1"/>
    <col min="13" max="13" width="12.58203125" customWidth="1"/>
    <col min="14" max="14" width="0.83203125" customWidth="1"/>
    <col min="15" max="15" width="13.5" customWidth="1"/>
    <col min="16" max="16" width="12.58203125" bestFit="1" customWidth="1"/>
    <col min="17" max="17" width="13.5" customWidth="1"/>
    <col min="18" max="18" width="12.58203125" bestFit="1" customWidth="1"/>
    <col min="19" max="19" width="13.5" customWidth="1"/>
    <col min="20" max="20" width="12.58203125" bestFit="1" customWidth="1"/>
    <col min="21" max="21" width="13.5" customWidth="1"/>
    <col min="22" max="22" width="12.58203125" bestFit="1" customWidth="1"/>
    <col min="23" max="23" width="0.83203125" customWidth="1"/>
    <col min="25" max="25" width="12.58203125" bestFit="1" customWidth="1"/>
  </cols>
  <sheetData>
    <row r="1" spans="1:22" ht="17.5" thickBot="1" x14ac:dyDescent="0.5">
      <c r="A1" s="71" t="s">
        <v>54</v>
      </c>
      <c r="B1" s="72"/>
      <c r="C1" s="73" t="s">
        <v>55</v>
      </c>
      <c r="D1" s="74"/>
      <c r="E1" s="74"/>
      <c r="F1" s="74"/>
      <c r="G1" s="74"/>
      <c r="H1" s="75"/>
      <c r="J1" s="76" t="s">
        <v>56</v>
      </c>
      <c r="K1" s="77"/>
      <c r="L1" s="77"/>
      <c r="M1" s="78"/>
      <c r="O1" s="79" t="s">
        <v>57</v>
      </c>
      <c r="P1" s="80"/>
      <c r="Q1" s="80"/>
      <c r="R1" s="80"/>
      <c r="S1" s="80"/>
      <c r="T1" s="80"/>
      <c r="U1" s="80"/>
      <c r="V1" s="81"/>
    </row>
    <row r="2" spans="1:22" ht="17.5" thickBot="1" x14ac:dyDescent="0.5">
      <c r="A2" s="71" t="s">
        <v>58</v>
      </c>
      <c r="B2" s="72"/>
      <c r="C2" s="82" t="s">
        <v>59</v>
      </c>
      <c r="D2" s="83"/>
      <c r="E2" s="84" t="s">
        <v>60</v>
      </c>
      <c r="F2" s="85"/>
      <c r="G2" s="84" t="s">
        <v>61</v>
      </c>
      <c r="H2" s="85"/>
      <c r="J2" s="84" t="s">
        <v>62</v>
      </c>
      <c r="K2" s="85"/>
      <c r="L2" s="84" t="s">
        <v>63</v>
      </c>
      <c r="M2" s="85"/>
      <c r="O2" s="82" t="s">
        <v>59</v>
      </c>
      <c r="P2" s="83"/>
      <c r="Q2" s="84" t="s">
        <v>62</v>
      </c>
      <c r="R2" s="85"/>
      <c r="S2" s="84" t="s">
        <v>60</v>
      </c>
      <c r="T2" s="85"/>
      <c r="U2" s="84" t="s">
        <v>64</v>
      </c>
      <c r="V2" s="85"/>
    </row>
    <row r="3" spans="1:22" ht="33" customHeight="1" thickBot="1" x14ac:dyDescent="0.5">
      <c r="A3" s="71" t="s">
        <v>65</v>
      </c>
      <c r="B3" s="72"/>
      <c r="C3" s="89" t="s">
        <v>66</v>
      </c>
      <c r="D3" s="90"/>
      <c r="E3" s="91" t="s">
        <v>67</v>
      </c>
      <c r="F3" s="85"/>
      <c r="G3" s="84" t="s">
        <v>68</v>
      </c>
      <c r="H3" s="85"/>
      <c r="J3" s="84" t="s">
        <v>69</v>
      </c>
      <c r="K3" s="85"/>
      <c r="L3" s="84" t="s">
        <v>69</v>
      </c>
      <c r="M3" s="85"/>
      <c r="O3" s="82" t="s">
        <v>70</v>
      </c>
      <c r="P3" s="83"/>
      <c r="Q3" s="82" t="s">
        <v>71</v>
      </c>
      <c r="R3" s="83"/>
      <c r="S3" s="82" t="s">
        <v>72</v>
      </c>
      <c r="T3" s="83"/>
      <c r="U3" s="84" t="s">
        <v>73</v>
      </c>
      <c r="V3" s="85"/>
    </row>
    <row r="4" spans="1:22" ht="17.5" thickBot="1" x14ac:dyDescent="0.5">
      <c r="A4" s="71" t="s">
        <v>74</v>
      </c>
      <c r="B4" s="72"/>
      <c r="C4" s="9" t="s">
        <v>75</v>
      </c>
      <c r="D4" s="10" t="s">
        <v>76</v>
      </c>
      <c r="E4" s="9" t="s">
        <v>75</v>
      </c>
      <c r="F4" s="10" t="s">
        <v>77</v>
      </c>
      <c r="G4" s="9" t="s">
        <v>78</v>
      </c>
      <c r="H4" s="10" t="s">
        <v>79</v>
      </c>
      <c r="J4" s="9" t="s">
        <v>75</v>
      </c>
      <c r="K4" s="10" t="s">
        <v>79</v>
      </c>
      <c r="L4" s="9" t="s">
        <v>78</v>
      </c>
      <c r="M4" s="10" t="s">
        <v>76</v>
      </c>
      <c r="O4" s="9" t="s">
        <v>78</v>
      </c>
      <c r="P4" s="10" t="s">
        <v>76</v>
      </c>
      <c r="Q4" s="9" t="s">
        <v>75</v>
      </c>
      <c r="R4" s="10" t="s">
        <v>76</v>
      </c>
      <c r="S4" s="9" t="s">
        <v>75</v>
      </c>
      <c r="T4" s="10" t="s">
        <v>79</v>
      </c>
      <c r="U4" s="9" t="s">
        <v>80</v>
      </c>
      <c r="V4" s="10" t="s">
        <v>81</v>
      </c>
    </row>
    <row r="5" spans="1:22" x14ac:dyDescent="0.45">
      <c r="A5" s="86" t="s">
        <v>82</v>
      </c>
      <c r="B5" s="11" t="s">
        <v>83</v>
      </c>
      <c r="C5" s="12"/>
      <c r="D5" s="13"/>
      <c r="E5" s="12">
        <f>$C$5</f>
        <v>0</v>
      </c>
      <c r="F5" s="13"/>
      <c r="G5" s="12">
        <f>$C$5</f>
        <v>0</v>
      </c>
      <c r="H5" s="13"/>
      <c r="J5" s="12">
        <f>$C$5</f>
        <v>0</v>
      </c>
      <c r="K5" s="13"/>
      <c r="L5" s="12">
        <f>$C$5</f>
        <v>0</v>
      </c>
      <c r="M5" s="13"/>
      <c r="O5" s="12">
        <f>$C$5</f>
        <v>0</v>
      </c>
      <c r="P5" s="13"/>
      <c r="Q5" s="12">
        <f>$C$5</f>
        <v>0</v>
      </c>
      <c r="R5" s="13"/>
      <c r="S5" s="12">
        <f>$C$5</f>
        <v>0</v>
      </c>
      <c r="T5" s="13"/>
      <c r="U5" s="12">
        <f>$C$5</f>
        <v>0</v>
      </c>
      <c r="V5" s="13"/>
    </row>
    <row r="6" spans="1:22" x14ac:dyDescent="0.45">
      <c r="A6" s="87"/>
      <c r="B6" s="14" t="s">
        <v>84</v>
      </c>
      <c r="C6" s="15"/>
      <c r="D6" s="16" t="e">
        <f>C6/C5</f>
        <v>#DIV/0!</v>
      </c>
      <c r="E6" s="15">
        <f>$C$6</f>
        <v>0</v>
      </c>
      <c r="F6" s="16" t="e">
        <f>E6/E5</f>
        <v>#DIV/0!</v>
      </c>
      <c r="G6" s="15">
        <f>$C$6</f>
        <v>0</v>
      </c>
      <c r="H6" s="16" t="e">
        <f>G6/G5</f>
        <v>#DIV/0!</v>
      </c>
      <c r="J6" s="15">
        <f>$C$6</f>
        <v>0</v>
      </c>
      <c r="K6" s="16" t="e">
        <f>J6/J5</f>
        <v>#DIV/0!</v>
      </c>
      <c r="L6" s="15">
        <f>$C$6</f>
        <v>0</v>
      </c>
      <c r="M6" s="16" t="e">
        <f>L6/L5</f>
        <v>#DIV/0!</v>
      </c>
      <c r="O6" s="15">
        <f>$C$6</f>
        <v>0</v>
      </c>
      <c r="P6" s="16" t="e">
        <f>O6/O5</f>
        <v>#DIV/0!</v>
      </c>
      <c r="Q6" s="15">
        <f>$C$6</f>
        <v>0</v>
      </c>
      <c r="R6" s="16" t="e">
        <f>Q6/Q5</f>
        <v>#DIV/0!</v>
      </c>
      <c r="S6" s="15">
        <f>$C$6</f>
        <v>0</v>
      </c>
      <c r="T6" s="16" t="e">
        <f>S6/S5</f>
        <v>#DIV/0!</v>
      </c>
      <c r="U6" s="15">
        <f>$C$6</f>
        <v>0</v>
      </c>
      <c r="V6" s="16" t="e">
        <f>U6/U5</f>
        <v>#DIV/0!</v>
      </c>
    </row>
    <row r="7" spans="1:22" ht="17.5" thickBot="1" x14ac:dyDescent="0.5">
      <c r="A7" s="88"/>
      <c r="B7" s="17" t="s">
        <v>85</v>
      </c>
      <c r="C7" s="18"/>
      <c r="D7" s="19">
        <v>0.1</v>
      </c>
      <c r="E7" s="18">
        <f>$C$7</f>
        <v>0</v>
      </c>
      <c r="F7" s="19" t="e">
        <f>E7/E6</f>
        <v>#DIV/0!</v>
      </c>
      <c r="G7" s="18">
        <f>$C$7</f>
        <v>0</v>
      </c>
      <c r="H7" s="19" t="e">
        <f>G7/G6</f>
        <v>#DIV/0!</v>
      </c>
      <c r="J7" s="18">
        <f>$C$7</f>
        <v>0</v>
      </c>
      <c r="K7" s="19" t="e">
        <f>J7/J6</f>
        <v>#DIV/0!</v>
      </c>
      <c r="L7" s="18">
        <f>$C$7</f>
        <v>0</v>
      </c>
      <c r="M7" s="19" t="e">
        <f>L7/L6</f>
        <v>#DIV/0!</v>
      </c>
      <c r="O7" s="18">
        <f>$C$7</f>
        <v>0</v>
      </c>
      <c r="P7" s="19" t="e">
        <f>O7/O6</f>
        <v>#DIV/0!</v>
      </c>
      <c r="Q7" s="18">
        <f>$C$7</f>
        <v>0</v>
      </c>
      <c r="R7" s="19" t="e">
        <f>Q7/Q6</f>
        <v>#DIV/0!</v>
      </c>
      <c r="S7" s="18">
        <f>$C$7</f>
        <v>0</v>
      </c>
      <c r="T7" s="19" t="e">
        <f>S7/S6</f>
        <v>#DIV/0!</v>
      </c>
      <c r="U7" s="18">
        <f>$C$7</f>
        <v>0</v>
      </c>
      <c r="V7" s="19" t="e">
        <f>U7/U6</f>
        <v>#DIV/0!</v>
      </c>
    </row>
    <row r="8" spans="1:22" x14ac:dyDescent="0.45">
      <c r="A8" s="86" t="s">
        <v>86</v>
      </c>
      <c r="B8" s="20" t="s">
        <v>87</v>
      </c>
      <c r="C8" s="21">
        <v>147000000</v>
      </c>
      <c r="D8" s="22" t="e">
        <f>C8/C5</f>
        <v>#DIV/0!</v>
      </c>
      <c r="E8" s="21">
        <f>$C$8</f>
        <v>147000000</v>
      </c>
      <c r="F8" s="23"/>
      <c r="G8" s="21">
        <f>$C$8</f>
        <v>147000000</v>
      </c>
      <c r="H8" s="23"/>
      <c r="J8" s="21">
        <f>$C$8</f>
        <v>147000000</v>
      </c>
      <c r="K8" s="23"/>
      <c r="L8" s="21">
        <f>$C$8</f>
        <v>147000000</v>
      </c>
      <c r="M8" s="23"/>
      <c r="O8" s="21">
        <f>$C$8</f>
        <v>147000000</v>
      </c>
      <c r="P8" s="23"/>
      <c r="Q8" s="21">
        <f>$C$8</f>
        <v>147000000</v>
      </c>
      <c r="R8" s="23"/>
      <c r="S8" s="21">
        <f>$C$8</f>
        <v>147000000</v>
      </c>
      <c r="T8" s="23"/>
      <c r="U8" s="21">
        <f>$C$8</f>
        <v>147000000</v>
      </c>
      <c r="V8" s="23"/>
    </row>
    <row r="9" spans="1:22" x14ac:dyDescent="0.45">
      <c r="A9" s="87"/>
      <c r="B9" s="14" t="s">
        <v>88</v>
      </c>
      <c r="C9" s="24">
        <f>C8*D9</f>
        <v>1911000</v>
      </c>
      <c r="D9" s="25">
        <v>1.2999999999999999E-2</v>
      </c>
      <c r="E9" s="24">
        <f>E8*F9</f>
        <v>1911000</v>
      </c>
      <c r="F9" s="25">
        <f>$D$9</f>
        <v>1.2999999999999999E-2</v>
      </c>
      <c r="G9" s="24">
        <f>G8*H9</f>
        <v>1911000</v>
      </c>
      <c r="H9" s="25">
        <f>$D$9</f>
        <v>1.2999999999999999E-2</v>
      </c>
      <c r="J9" s="24">
        <f>J8*K9</f>
        <v>11760000</v>
      </c>
      <c r="K9" s="25">
        <v>0.08</v>
      </c>
      <c r="L9" s="24">
        <f>L8*M9</f>
        <v>11760000</v>
      </c>
      <c r="M9" s="25">
        <f>$K$9</f>
        <v>0.08</v>
      </c>
      <c r="O9" s="24">
        <f>O8*P9</f>
        <v>17640000</v>
      </c>
      <c r="P9" s="25">
        <v>0.12</v>
      </c>
      <c r="Q9" s="24">
        <f>Q8*R9</f>
        <v>17640000</v>
      </c>
      <c r="R9" s="25">
        <f>$P$9</f>
        <v>0.12</v>
      </c>
      <c r="S9" s="24">
        <f>S8*T9</f>
        <v>17640000</v>
      </c>
      <c r="T9" s="25">
        <f>$P$9</f>
        <v>0.12</v>
      </c>
      <c r="U9" s="24">
        <f>U8*V9</f>
        <v>17640000</v>
      </c>
      <c r="V9" s="25">
        <f>$P$9</f>
        <v>0.12</v>
      </c>
    </row>
    <row r="10" spans="1:22" x14ac:dyDescent="0.45">
      <c r="A10" s="87"/>
      <c r="B10" s="14" t="s">
        <v>89</v>
      </c>
      <c r="C10" s="24">
        <f>ROUNDDOWN((C8*2.6%*8%),-3)</f>
        <v>305000</v>
      </c>
      <c r="D10" s="26"/>
      <c r="E10" s="24">
        <f>ROUNDDOWN((E8*2.6%*8%),-3)</f>
        <v>305000</v>
      </c>
      <c r="F10" s="26"/>
      <c r="G10" s="24">
        <f>ROUNDDOWN((G8*2.6%*8%),-3)</f>
        <v>305000</v>
      </c>
      <c r="H10" s="26"/>
      <c r="J10" s="24">
        <f>ROUNDDOWN((J8*2.6%*8%),-3)</f>
        <v>305000</v>
      </c>
      <c r="K10" s="26"/>
      <c r="L10" s="24">
        <f>ROUNDDOWN((L8*2.6%*8%),-3)</f>
        <v>305000</v>
      </c>
      <c r="M10" s="26"/>
      <c r="O10" s="24">
        <f>ROUNDDOWN((O8*2.6%*8%),-3)</f>
        <v>305000</v>
      </c>
      <c r="P10" s="26"/>
      <c r="Q10" s="24">
        <f>ROUNDDOWN((Q8*2.6%*8%),-3)</f>
        <v>305000</v>
      </c>
      <c r="R10" s="26"/>
      <c r="S10" s="24">
        <f>ROUNDDOWN((S8*2.6%*8%),-3)</f>
        <v>305000</v>
      </c>
      <c r="T10" s="26"/>
      <c r="U10" s="24">
        <f>ROUNDDOWN((U8*2.6%*8%),-3)</f>
        <v>305000</v>
      </c>
      <c r="V10" s="26"/>
    </row>
    <row r="11" spans="1:22" x14ac:dyDescent="0.45">
      <c r="A11" s="87"/>
      <c r="B11" s="14" t="s">
        <v>90</v>
      </c>
      <c r="C11" s="15">
        <v>1000000</v>
      </c>
      <c r="D11" s="26"/>
      <c r="E11" s="15">
        <f>$C$11</f>
        <v>1000000</v>
      </c>
      <c r="F11" s="26"/>
      <c r="G11" s="15">
        <f>$C$11</f>
        <v>1000000</v>
      </c>
      <c r="H11" s="26"/>
      <c r="J11" s="15">
        <f>$C$11</f>
        <v>1000000</v>
      </c>
      <c r="K11" s="26"/>
      <c r="L11" s="15">
        <f>$C$11</f>
        <v>1000000</v>
      </c>
      <c r="M11" s="26"/>
      <c r="O11" s="15">
        <f>$C$11</f>
        <v>1000000</v>
      </c>
      <c r="P11" s="26"/>
      <c r="Q11" s="15">
        <f>$C$11</f>
        <v>1000000</v>
      </c>
      <c r="R11" s="26"/>
      <c r="S11" s="15">
        <f>$C$11</f>
        <v>1000000</v>
      </c>
      <c r="T11" s="26"/>
      <c r="U11" s="15">
        <f>$C$11</f>
        <v>1000000</v>
      </c>
      <c r="V11" s="26"/>
    </row>
    <row r="12" spans="1:22" x14ac:dyDescent="0.45">
      <c r="A12" s="87"/>
      <c r="B12" s="14" t="s">
        <v>91</v>
      </c>
      <c r="C12" s="15">
        <v>1500000</v>
      </c>
      <c r="D12" s="26"/>
      <c r="E12" s="15">
        <f>$C$12</f>
        <v>1500000</v>
      </c>
      <c r="F12" s="26"/>
      <c r="G12" s="15">
        <f>$C$12</f>
        <v>1500000</v>
      </c>
      <c r="H12" s="26"/>
      <c r="J12" s="15">
        <f>$C$12</f>
        <v>1500000</v>
      </c>
      <c r="K12" s="26"/>
      <c r="L12" s="15">
        <f>$C$12</f>
        <v>1500000</v>
      </c>
      <c r="M12" s="26"/>
      <c r="O12" s="15">
        <f>$C$12</f>
        <v>1500000</v>
      </c>
      <c r="P12" s="26"/>
      <c r="Q12" s="15">
        <f>$C$12</f>
        <v>1500000</v>
      </c>
      <c r="R12" s="26"/>
      <c r="S12" s="15">
        <f>$C$12</f>
        <v>1500000</v>
      </c>
      <c r="T12" s="26"/>
      <c r="U12" s="15">
        <f>$C$12</f>
        <v>1500000</v>
      </c>
      <c r="V12" s="26"/>
    </row>
    <row r="13" spans="1:22" x14ac:dyDescent="0.45">
      <c r="A13" s="87"/>
      <c r="B13" s="14" t="s">
        <v>92</v>
      </c>
      <c r="C13" s="15">
        <v>2000000</v>
      </c>
      <c r="D13" s="26"/>
      <c r="E13" s="15">
        <f>$C$13</f>
        <v>2000000</v>
      </c>
      <c r="F13" s="26"/>
      <c r="G13" s="15">
        <f>$C$13</f>
        <v>2000000</v>
      </c>
      <c r="H13" s="26"/>
      <c r="J13" s="15">
        <f>$C$13</f>
        <v>2000000</v>
      </c>
      <c r="K13" s="26"/>
      <c r="L13" s="15">
        <f>$C$13</f>
        <v>2000000</v>
      </c>
      <c r="M13" s="26"/>
      <c r="O13" s="15">
        <f>$C$13</f>
        <v>2000000</v>
      </c>
      <c r="P13" s="26"/>
      <c r="Q13" s="15">
        <f>$C$13</f>
        <v>2000000</v>
      </c>
      <c r="R13" s="26"/>
      <c r="S13" s="15">
        <f>$C$13</f>
        <v>2000000</v>
      </c>
      <c r="T13" s="26"/>
      <c r="U13" s="15">
        <f>$C$13</f>
        <v>2000000</v>
      </c>
      <c r="V13" s="26"/>
    </row>
    <row r="14" spans="1:22" x14ac:dyDescent="0.45">
      <c r="A14" s="87"/>
      <c r="B14" s="14" t="s">
        <v>93</v>
      </c>
      <c r="C14" s="15">
        <v>0</v>
      </c>
      <c r="D14" s="27" t="s">
        <v>94</v>
      </c>
      <c r="E14" s="15">
        <f>$C$14</f>
        <v>0</v>
      </c>
      <c r="F14" s="26" t="s">
        <v>95</v>
      </c>
      <c r="G14" s="15">
        <f>$C$14</f>
        <v>0</v>
      </c>
      <c r="H14" s="26" t="s">
        <v>95</v>
      </c>
      <c r="J14" s="15">
        <f>$C$14</f>
        <v>0</v>
      </c>
      <c r="K14" s="26" t="s">
        <v>96</v>
      </c>
      <c r="L14" s="15">
        <f>$C$14</f>
        <v>0</v>
      </c>
      <c r="M14" s="26" t="s">
        <v>95</v>
      </c>
      <c r="O14" s="15">
        <f>$C$14</f>
        <v>0</v>
      </c>
      <c r="P14" s="26" t="s">
        <v>94</v>
      </c>
      <c r="Q14" s="15">
        <f>$C$14</f>
        <v>0</v>
      </c>
      <c r="R14" s="26" t="s">
        <v>96</v>
      </c>
      <c r="S14" s="15">
        <f>$C$14</f>
        <v>0</v>
      </c>
      <c r="T14" s="26" t="s">
        <v>95</v>
      </c>
      <c r="U14" s="15">
        <f>$C$14</f>
        <v>0</v>
      </c>
      <c r="V14" s="26" t="s">
        <v>94</v>
      </c>
    </row>
    <row r="15" spans="1:22" ht="16.5" customHeight="1" x14ac:dyDescent="0.45">
      <c r="A15" s="95" t="s">
        <v>97</v>
      </c>
      <c r="B15" s="14" t="s">
        <v>98</v>
      </c>
      <c r="C15" s="24">
        <f>C8*D15</f>
        <v>88200000</v>
      </c>
      <c r="D15" s="28">
        <v>0.6</v>
      </c>
      <c r="E15" s="24">
        <f>E8*F15</f>
        <v>88200000</v>
      </c>
      <c r="F15" s="28">
        <v>0.6</v>
      </c>
      <c r="G15" s="24">
        <f>G8*H15</f>
        <v>0</v>
      </c>
      <c r="H15" s="28">
        <v>0</v>
      </c>
      <c r="J15" s="24">
        <f>J8*K15</f>
        <v>0</v>
      </c>
      <c r="K15" s="28">
        <v>0</v>
      </c>
      <c r="L15" s="24">
        <f>L8*M15</f>
        <v>0</v>
      </c>
      <c r="M15" s="28">
        <v>0</v>
      </c>
      <c r="O15" s="24">
        <f>O8*P15</f>
        <v>88200000</v>
      </c>
      <c r="P15" s="28">
        <v>0.6</v>
      </c>
      <c r="Q15" s="24">
        <f>Q8*R15</f>
        <v>0</v>
      </c>
      <c r="R15" s="28">
        <v>0</v>
      </c>
      <c r="S15" s="24">
        <f>S8*T15</f>
        <v>0</v>
      </c>
      <c r="T15" s="28">
        <v>0</v>
      </c>
      <c r="U15" s="24">
        <f>U8*V15</f>
        <v>0</v>
      </c>
      <c r="V15" s="28">
        <v>0</v>
      </c>
    </row>
    <row r="16" spans="1:22" x14ac:dyDescent="0.45">
      <c r="A16" s="93"/>
      <c r="B16" s="14" t="s">
        <v>99</v>
      </c>
      <c r="C16" s="24">
        <f>C15*D16*3/12</f>
        <v>771750.00000000012</v>
      </c>
      <c r="D16" s="29">
        <v>3.5000000000000003E-2</v>
      </c>
      <c r="E16" s="24">
        <f>E15*F16*3/12</f>
        <v>771750.00000000012</v>
      </c>
      <c r="F16" s="29">
        <f>$D$16</f>
        <v>3.5000000000000003E-2</v>
      </c>
      <c r="G16" s="24">
        <f>G15*H16*3/12</f>
        <v>0</v>
      </c>
      <c r="H16" s="29">
        <f>$D$16</f>
        <v>3.5000000000000003E-2</v>
      </c>
      <c r="J16" s="24">
        <f>J15*K16*3/12</f>
        <v>0</v>
      </c>
      <c r="K16" s="29">
        <f>$D$16</f>
        <v>3.5000000000000003E-2</v>
      </c>
      <c r="L16" s="24">
        <f>L15*M16*3/12</f>
        <v>0</v>
      </c>
      <c r="M16" s="29">
        <f>$D$16</f>
        <v>3.5000000000000003E-2</v>
      </c>
      <c r="O16" s="24">
        <f>O15*P16*3/12</f>
        <v>771750.00000000012</v>
      </c>
      <c r="P16" s="29">
        <f>$D$16</f>
        <v>3.5000000000000003E-2</v>
      </c>
      <c r="Q16" s="24">
        <f>Q15*R16*3/12</f>
        <v>0</v>
      </c>
      <c r="R16" s="29">
        <f>$D$16</f>
        <v>3.5000000000000003E-2</v>
      </c>
      <c r="S16" s="24">
        <f>S15*T16*3/12</f>
        <v>0</v>
      </c>
      <c r="T16" s="29">
        <f>$D$16</f>
        <v>3.5000000000000003E-2</v>
      </c>
      <c r="U16" s="24">
        <f>U15*V16*3/12</f>
        <v>0</v>
      </c>
      <c r="V16" s="29">
        <f>$D$16</f>
        <v>3.5000000000000003E-2</v>
      </c>
    </row>
    <row r="17" spans="1:25" x14ac:dyDescent="0.45">
      <c r="A17" s="96"/>
      <c r="B17" s="14" t="s">
        <v>100</v>
      </c>
      <c r="C17" s="24">
        <f>C15*D17</f>
        <v>1323000</v>
      </c>
      <c r="D17" s="29">
        <v>1.4999999999999999E-2</v>
      </c>
      <c r="E17" s="24">
        <f>E15*F17</f>
        <v>1323000</v>
      </c>
      <c r="F17" s="29">
        <f>$D$17</f>
        <v>1.4999999999999999E-2</v>
      </c>
      <c r="G17" s="24">
        <f>G15*H17</f>
        <v>0</v>
      </c>
      <c r="H17" s="29">
        <f>$D$17</f>
        <v>1.4999999999999999E-2</v>
      </c>
      <c r="J17" s="24">
        <f>J15*K17</f>
        <v>0</v>
      </c>
      <c r="K17" s="29">
        <f>$D$17</f>
        <v>1.4999999999999999E-2</v>
      </c>
      <c r="L17" s="24">
        <f>L15*M17</f>
        <v>0</v>
      </c>
      <c r="M17" s="29">
        <f>$D$17</f>
        <v>1.4999999999999999E-2</v>
      </c>
      <c r="O17" s="24">
        <f>O15*P17</f>
        <v>1323000</v>
      </c>
      <c r="P17" s="29">
        <f>$D$17</f>
        <v>1.4999999999999999E-2</v>
      </c>
      <c r="Q17" s="24">
        <f>Q15*R17</f>
        <v>0</v>
      </c>
      <c r="R17" s="29">
        <f>$D$17</f>
        <v>1.4999999999999999E-2</v>
      </c>
      <c r="S17" s="24">
        <f>S15*T17</f>
        <v>0</v>
      </c>
      <c r="T17" s="29">
        <f>$D$17</f>
        <v>1.4999999999999999E-2</v>
      </c>
      <c r="U17" s="24">
        <f>U15*V17</f>
        <v>0</v>
      </c>
      <c r="V17" s="29">
        <f>$D$17</f>
        <v>1.4999999999999999E-2</v>
      </c>
    </row>
    <row r="18" spans="1:25" ht="17.5" thickBot="1" x14ac:dyDescent="0.5">
      <c r="A18" s="30" t="s">
        <v>101</v>
      </c>
      <c r="B18" s="31" t="s">
        <v>102</v>
      </c>
      <c r="C18" s="32">
        <f>SUM(C9,C10,C11,C12,C13,C14,C16,C17)</f>
        <v>8810750</v>
      </c>
      <c r="D18" s="33"/>
      <c r="E18" s="32">
        <f>SUM(E9,E10,E11,E12,E13,E14,E16,E17)</f>
        <v>8810750</v>
      </c>
      <c r="F18" s="33"/>
      <c r="G18" s="32">
        <f>SUM(G9,G10,G11,G12,G13,G14,G16,G17)</f>
        <v>6716000</v>
      </c>
      <c r="H18" s="33"/>
      <c r="J18" s="32">
        <f>SUM(J9,J10,J11,J12,J13,J14,J16,J17)</f>
        <v>16565000</v>
      </c>
      <c r="K18" s="33"/>
      <c r="L18" s="32">
        <f>SUM(L9,L10,L11,L12,L13,L14,L16,L17)</f>
        <v>16565000</v>
      </c>
      <c r="M18" s="33"/>
      <c r="O18" s="32">
        <f>SUM(O9,O10,O11,O12,O13,O14,O16,O17)</f>
        <v>24539750</v>
      </c>
      <c r="P18" s="33"/>
      <c r="Q18" s="32">
        <f>SUM(Q9,Q10,Q11,Q12,Q13,Q14,Q16,Q17)</f>
        <v>22445000</v>
      </c>
      <c r="R18" s="33"/>
      <c r="S18" s="32">
        <f>SUM(S9,S10,S11,S12,S13,S14,S16,S17)</f>
        <v>22445000</v>
      </c>
      <c r="T18" s="33"/>
      <c r="U18" s="32">
        <f>SUM(U9,U10,U11,U12,U13,U14,U16,U17)</f>
        <v>22445000</v>
      </c>
      <c r="V18" s="33"/>
    </row>
    <row r="19" spans="1:25" ht="16.5" customHeight="1" thickBot="1" x14ac:dyDescent="0.5">
      <c r="A19" s="97" t="s">
        <v>103</v>
      </c>
      <c r="B19" s="98"/>
      <c r="C19" s="34">
        <f>C8-C15+C18</f>
        <v>67610750</v>
      </c>
      <c r="D19" s="35"/>
      <c r="E19" s="34">
        <f>E8-E15+E18</f>
        <v>67610750</v>
      </c>
      <c r="F19" s="35"/>
      <c r="G19" s="34">
        <f>G8-G15+G18</f>
        <v>153716000</v>
      </c>
      <c r="H19" s="36"/>
      <c r="J19" s="34">
        <f>J8-J15+J18</f>
        <v>163565000</v>
      </c>
      <c r="K19" s="35"/>
      <c r="L19" s="34">
        <f>L8-L15+L18</f>
        <v>163565000</v>
      </c>
      <c r="M19" s="36"/>
      <c r="O19" s="34">
        <f>O8-O15+O18</f>
        <v>83339750</v>
      </c>
      <c r="P19" s="35"/>
      <c r="Q19" s="34">
        <f>Q8-Q15+Q18</f>
        <v>169445000</v>
      </c>
      <c r="R19" s="35"/>
      <c r="S19" s="34">
        <f>S8-S15+S18</f>
        <v>169445000</v>
      </c>
      <c r="T19" s="35"/>
      <c r="U19" s="34">
        <f>U8-U15+U18</f>
        <v>169445000</v>
      </c>
      <c r="V19" s="36"/>
      <c r="Y19" s="37"/>
    </row>
    <row r="20" spans="1:25" x14ac:dyDescent="0.45">
      <c r="A20" s="99" t="s">
        <v>104</v>
      </c>
      <c r="B20" s="20" t="s">
        <v>105</v>
      </c>
      <c r="C20" s="38">
        <v>160000000</v>
      </c>
      <c r="D20" s="39"/>
      <c r="E20" s="38">
        <f>$C$20</f>
        <v>160000000</v>
      </c>
      <c r="F20" s="39"/>
      <c r="G20" s="38">
        <f>$C$20</f>
        <v>160000000</v>
      </c>
      <c r="H20" s="39"/>
      <c r="J20" s="38">
        <f>$C$20</f>
        <v>160000000</v>
      </c>
      <c r="K20" s="39"/>
      <c r="L20" s="38">
        <f>$C$20</f>
        <v>160000000</v>
      </c>
      <c r="M20" s="39"/>
      <c r="O20" s="38">
        <f>$C$20</f>
        <v>160000000</v>
      </c>
      <c r="P20" s="39"/>
      <c r="Q20" s="38">
        <f>$C$20</f>
        <v>160000000</v>
      </c>
      <c r="R20" s="39"/>
      <c r="S20" s="38">
        <f>$C$20</f>
        <v>160000000</v>
      </c>
      <c r="T20" s="39"/>
      <c r="U20" s="38">
        <f>$C$20</f>
        <v>160000000</v>
      </c>
      <c r="V20" s="39"/>
    </row>
    <row r="21" spans="1:25" x14ac:dyDescent="0.45">
      <c r="A21" s="100"/>
      <c r="B21" s="40" t="s">
        <v>106</v>
      </c>
      <c r="C21" s="41">
        <f>C20-C8</f>
        <v>13000000</v>
      </c>
      <c r="D21" s="42"/>
      <c r="E21" s="41">
        <f>E20-E8</f>
        <v>13000000</v>
      </c>
      <c r="F21" s="42"/>
      <c r="G21" s="41">
        <f>G20-G8</f>
        <v>13000000</v>
      </c>
      <c r="H21" s="42"/>
      <c r="J21" s="41">
        <f>J20-J8</f>
        <v>13000000</v>
      </c>
      <c r="K21" s="42"/>
      <c r="L21" s="41">
        <f>L20-L8</f>
        <v>13000000</v>
      </c>
      <c r="M21" s="42"/>
      <c r="O21" s="41">
        <f>O20-O8</f>
        <v>13000000</v>
      </c>
      <c r="P21" s="42"/>
      <c r="Q21" s="41">
        <f>Q20-Q8</f>
        <v>13000000</v>
      </c>
      <c r="R21" s="42"/>
      <c r="S21" s="41">
        <f>S20-S8</f>
        <v>13000000</v>
      </c>
      <c r="T21" s="42"/>
      <c r="U21" s="41">
        <f>U20-U8</f>
        <v>13000000</v>
      </c>
      <c r="V21" s="42"/>
    </row>
    <row r="22" spans="1:25" x14ac:dyDescent="0.45">
      <c r="A22" s="100"/>
      <c r="B22" s="40" t="s">
        <v>107</v>
      </c>
      <c r="C22" s="41">
        <f>C21-SUM(C9,C10,C11,C13,C14,C27)</f>
        <v>7144000</v>
      </c>
      <c r="D22" s="42"/>
      <c r="E22" s="41">
        <f>E21-SUM(E9,E10,E11,E13,E14,E27)</f>
        <v>7144000</v>
      </c>
      <c r="F22" s="42"/>
      <c r="G22" s="41">
        <f>G21-SUM(G9,G10,G11,G13,G14,G27)</f>
        <v>7144000</v>
      </c>
      <c r="H22" s="42"/>
      <c r="J22" s="41">
        <f>J21-SUM(J9,J10,J11,J13,J14,J27)</f>
        <v>-2705000</v>
      </c>
      <c r="K22" s="42"/>
      <c r="L22" s="41">
        <f>L21-SUM(L9,L10,L11,L13,L14,L27)</f>
        <v>-2705000</v>
      </c>
      <c r="M22" s="42"/>
      <c r="O22" s="41">
        <f>O21-SUM(O9,O10,O11,O13,O14,O27)</f>
        <v>-8585000</v>
      </c>
      <c r="P22" s="42"/>
      <c r="Q22" s="41">
        <f>Q21-SUM(Q9,Q10,Q11,Q13,Q14,Q27)</f>
        <v>-8585000</v>
      </c>
      <c r="R22" s="42"/>
      <c r="S22" s="41">
        <f>S21-SUM(S9,S10,S11,S13,S14,S27)</f>
        <v>-8585000</v>
      </c>
      <c r="T22" s="42"/>
      <c r="U22" s="41">
        <f>U21-SUM(U9,U10,U11,U13,U14,U27)</f>
        <v>-8585000</v>
      </c>
      <c r="V22" s="42"/>
    </row>
    <row r="23" spans="1:25" x14ac:dyDescent="0.45">
      <c r="A23" s="100"/>
      <c r="B23" s="43" t="s">
        <v>108</v>
      </c>
      <c r="C23" s="15">
        <v>-2500000</v>
      </c>
      <c r="D23" s="27" t="s">
        <v>109</v>
      </c>
      <c r="E23" s="15">
        <f>$C$23</f>
        <v>-2500000</v>
      </c>
      <c r="F23" s="26"/>
      <c r="G23" s="15"/>
      <c r="H23" s="26"/>
      <c r="J23" s="15">
        <f>$C$23</f>
        <v>-2500000</v>
      </c>
      <c r="K23" s="26"/>
      <c r="L23" s="15">
        <f>$C$23</f>
        <v>-2500000</v>
      </c>
      <c r="M23" s="26"/>
      <c r="O23" s="15">
        <f>$C$23</f>
        <v>-2500000</v>
      </c>
      <c r="P23" s="26"/>
      <c r="Q23" s="15">
        <v>-2500000</v>
      </c>
      <c r="R23" s="26"/>
      <c r="S23" s="15">
        <v>-2500000</v>
      </c>
      <c r="T23" s="26"/>
      <c r="U23" s="15"/>
      <c r="V23" s="26"/>
    </row>
    <row r="24" spans="1:25" x14ac:dyDescent="0.45">
      <c r="A24" s="100"/>
      <c r="B24" s="44" t="s">
        <v>110</v>
      </c>
      <c r="C24" s="24">
        <f>C22+C23</f>
        <v>4644000</v>
      </c>
      <c r="D24" s="26"/>
      <c r="E24" s="24">
        <f>E22+E23</f>
        <v>4644000</v>
      </c>
      <c r="F24" s="26"/>
      <c r="G24" s="24">
        <f>G22+G23</f>
        <v>7144000</v>
      </c>
      <c r="H24" s="26"/>
      <c r="J24" s="24">
        <f>J22+J23</f>
        <v>-5205000</v>
      </c>
      <c r="K24" s="26"/>
      <c r="L24" s="24">
        <f>L22+L23</f>
        <v>-5205000</v>
      </c>
      <c r="M24" s="26"/>
      <c r="O24" s="24">
        <f>O22+O23</f>
        <v>-11085000</v>
      </c>
      <c r="P24" s="26"/>
      <c r="Q24" s="24">
        <f>Q22+Q23</f>
        <v>-11085000</v>
      </c>
      <c r="R24" s="26"/>
      <c r="S24" s="24">
        <f>S22+S23</f>
        <v>-11085000</v>
      </c>
      <c r="T24" s="26"/>
      <c r="U24" s="24">
        <f>U22+U23</f>
        <v>-8585000</v>
      </c>
      <c r="V24" s="26"/>
    </row>
    <row r="25" spans="1:25" x14ac:dyDescent="0.45">
      <c r="A25" s="100"/>
      <c r="B25" s="45" t="s">
        <v>1</v>
      </c>
      <c r="C25" s="24">
        <f>C24*D25-5220000</f>
        <v>-4523400</v>
      </c>
      <c r="D25" s="28">
        <v>0.15</v>
      </c>
      <c r="E25" s="24">
        <f>E24*F25</f>
        <v>3250800</v>
      </c>
      <c r="F25" s="28">
        <v>0.7</v>
      </c>
      <c r="G25" s="24">
        <f>G24*H25</f>
        <v>2143200</v>
      </c>
      <c r="H25" s="28">
        <v>0.3</v>
      </c>
      <c r="J25" s="24">
        <f>J24*K25-5220000</f>
        <v>-6000750</v>
      </c>
      <c r="K25" s="28">
        <v>0.15</v>
      </c>
      <c r="L25" s="24">
        <f>L24*M25</f>
        <v>-3643500</v>
      </c>
      <c r="M25" s="28">
        <v>0.7</v>
      </c>
      <c r="O25" s="24">
        <f>O24*P25</f>
        <v>-4212300</v>
      </c>
      <c r="P25" s="28">
        <v>0.38</v>
      </c>
      <c r="Q25" s="24">
        <f>Q24*R25</f>
        <v>-6429300</v>
      </c>
      <c r="R25" s="28">
        <v>0.57999999999999996</v>
      </c>
      <c r="S25" s="24">
        <f>S24*T25</f>
        <v>-7759499.9999999991</v>
      </c>
      <c r="T25" s="28">
        <v>0.7</v>
      </c>
      <c r="U25" s="24">
        <f>U24*V25</f>
        <v>-2575500</v>
      </c>
      <c r="V25" s="28">
        <v>0.3</v>
      </c>
    </row>
    <row r="26" spans="1:25" x14ac:dyDescent="0.45">
      <c r="A26" s="100"/>
      <c r="B26" s="45" t="s">
        <v>111</v>
      </c>
      <c r="C26" s="24">
        <f>C25*D26</f>
        <v>-452340</v>
      </c>
      <c r="D26" s="28">
        <v>0.1</v>
      </c>
      <c r="E26" s="24">
        <f>E25*F26</f>
        <v>325080</v>
      </c>
      <c r="F26" s="28">
        <v>0.1</v>
      </c>
      <c r="G26" s="24">
        <f>G25*H26</f>
        <v>214320</v>
      </c>
      <c r="H26" s="28">
        <v>0.1</v>
      </c>
      <c r="J26" s="24">
        <f>J25*K26</f>
        <v>-600075</v>
      </c>
      <c r="K26" s="28">
        <v>0.1</v>
      </c>
      <c r="L26" s="24">
        <f>L25*M26</f>
        <v>-364350</v>
      </c>
      <c r="M26" s="28">
        <v>0.1</v>
      </c>
      <c r="O26" s="24">
        <f>O25*P26</f>
        <v>-421230</v>
      </c>
      <c r="P26" s="28">
        <v>0.1</v>
      </c>
      <c r="Q26" s="24">
        <f>Q25*R26</f>
        <v>-642930</v>
      </c>
      <c r="R26" s="28">
        <v>0.1</v>
      </c>
      <c r="S26" s="24">
        <f>S25*T26</f>
        <v>-775950</v>
      </c>
      <c r="T26" s="28">
        <v>0.1</v>
      </c>
      <c r="U26" s="24">
        <f>U25*V26</f>
        <v>-257550</v>
      </c>
      <c r="V26" s="28">
        <v>0.1</v>
      </c>
    </row>
    <row r="27" spans="1:25" x14ac:dyDescent="0.45">
      <c r="A27" s="100"/>
      <c r="B27" s="14" t="s">
        <v>112</v>
      </c>
      <c r="C27" s="24">
        <f>C20*D27</f>
        <v>640000</v>
      </c>
      <c r="D27" s="25">
        <v>4.0000000000000001E-3</v>
      </c>
      <c r="E27" s="24">
        <f>E20*F27</f>
        <v>640000</v>
      </c>
      <c r="F27" s="25">
        <f>$D$27</f>
        <v>4.0000000000000001E-3</v>
      </c>
      <c r="G27" s="24">
        <f>G20*H27</f>
        <v>640000</v>
      </c>
      <c r="H27" s="25">
        <f>$D$27</f>
        <v>4.0000000000000001E-3</v>
      </c>
      <c r="J27" s="24">
        <f>J20*K27</f>
        <v>640000</v>
      </c>
      <c r="K27" s="25">
        <f>$D$27</f>
        <v>4.0000000000000001E-3</v>
      </c>
      <c r="L27" s="24">
        <f>L20*M27</f>
        <v>640000</v>
      </c>
      <c r="M27" s="25">
        <f>$D$27</f>
        <v>4.0000000000000001E-3</v>
      </c>
      <c r="O27" s="24">
        <f>O20*P27</f>
        <v>640000</v>
      </c>
      <c r="P27" s="25">
        <f>$D$27</f>
        <v>4.0000000000000001E-3</v>
      </c>
      <c r="Q27" s="24">
        <f>Q20*R27</f>
        <v>640000</v>
      </c>
      <c r="R27" s="25">
        <f>$D$27</f>
        <v>4.0000000000000001E-3</v>
      </c>
      <c r="S27" s="24">
        <f>S20*T27</f>
        <v>640000</v>
      </c>
      <c r="T27" s="25">
        <f>$D$27</f>
        <v>4.0000000000000001E-3</v>
      </c>
      <c r="U27" s="24">
        <f>U20*V27</f>
        <v>640000</v>
      </c>
      <c r="V27" s="25">
        <f>$D$27</f>
        <v>4.0000000000000001E-3</v>
      </c>
    </row>
    <row r="28" spans="1:25" ht="17.5" thickBot="1" x14ac:dyDescent="0.5">
      <c r="A28" s="46" t="s">
        <v>113</v>
      </c>
      <c r="B28" s="47" t="s">
        <v>114</v>
      </c>
      <c r="C28" s="48">
        <f>SUM(C25:C27)</f>
        <v>-4335740</v>
      </c>
      <c r="D28" s="49"/>
      <c r="E28" s="48">
        <f>SUM(E25:E27)</f>
        <v>4215880</v>
      </c>
      <c r="F28" s="49"/>
      <c r="G28" s="48">
        <f>SUM(G25:G27)</f>
        <v>2997520</v>
      </c>
      <c r="H28" s="49"/>
      <c r="J28" s="48">
        <f>SUM(J25:J27)</f>
        <v>-5960825</v>
      </c>
      <c r="K28" s="49"/>
      <c r="L28" s="48">
        <f>SUM(L25:L27)</f>
        <v>-3367850</v>
      </c>
      <c r="M28" s="49"/>
      <c r="O28" s="48">
        <f>SUM(O25:O27)</f>
        <v>-3993530</v>
      </c>
      <c r="P28" s="49"/>
      <c r="Q28" s="48">
        <f>SUM(Q25:Q27)</f>
        <v>-6432230</v>
      </c>
      <c r="R28" s="49"/>
      <c r="S28" s="48">
        <f>SUM(S25:S27)</f>
        <v>-7895450</v>
      </c>
      <c r="T28" s="49"/>
      <c r="U28" s="48">
        <f>SUM(U25:U27)</f>
        <v>-2193050</v>
      </c>
      <c r="V28" s="49"/>
    </row>
    <row r="29" spans="1:25" ht="16.5" customHeight="1" x14ac:dyDescent="0.45">
      <c r="A29" s="101" t="s">
        <v>115</v>
      </c>
      <c r="B29" s="102"/>
      <c r="C29" s="50">
        <f>C21-C18-C28</f>
        <v>8524990</v>
      </c>
      <c r="D29" s="51"/>
      <c r="E29" s="50">
        <f>E21-E18-E28</f>
        <v>-26630</v>
      </c>
      <c r="F29" s="51"/>
      <c r="G29" s="50">
        <f>G21-G18-G28</f>
        <v>3286480</v>
      </c>
      <c r="H29" s="52"/>
      <c r="J29" s="50">
        <f>J21-J18-J28</f>
        <v>2395825</v>
      </c>
      <c r="K29" s="51"/>
      <c r="L29" s="50">
        <f>L21-L18-L28</f>
        <v>-197150</v>
      </c>
      <c r="M29" s="52"/>
      <c r="O29" s="50">
        <f>O21-O18-O28</f>
        <v>-7546220</v>
      </c>
      <c r="P29" s="51"/>
      <c r="Q29" s="50">
        <f>Q21-Q18-Q28</f>
        <v>-3012770</v>
      </c>
      <c r="R29" s="51"/>
      <c r="S29" s="50">
        <f>S21-S18-S28</f>
        <v>-1549550</v>
      </c>
      <c r="T29" s="51"/>
      <c r="U29" s="50">
        <f>U21-U18-U28</f>
        <v>-7251950</v>
      </c>
      <c r="V29" s="52"/>
    </row>
    <row r="30" spans="1:25" ht="16.5" customHeight="1" x14ac:dyDescent="0.45">
      <c r="A30" s="93" t="s">
        <v>116</v>
      </c>
      <c r="B30" s="53" t="s">
        <v>117</v>
      </c>
      <c r="C30" s="54">
        <v>400000000</v>
      </c>
      <c r="D30" s="55"/>
      <c r="E30" s="54"/>
      <c r="F30" s="55"/>
      <c r="G30" s="54">
        <f>$C$30</f>
        <v>400000000</v>
      </c>
      <c r="H30" s="55"/>
      <c r="J30" s="54">
        <f>$C$30</f>
        <v>400000000</v>
      </c>
      <c r="K30" s="55"/>
      <c r="L30" s="54"/>
      <c r="M30" s="55"/>
      <c r="O30" s="54">
        <f>$C$30</f>
        <v>400000000</v>
      </c>
      <c r="P30" s="55"/>
      <c r="Q30" s="54">
        <f>$C$30</f>
        <v>400000000</v>
      </c>
      <c r="R30" s="55"/>
      <c r="S30" s="54"/>
      <c r="T30" s="55"/>
      <c r="U30" s="54">
        <f>$C$30</f>
        <v>400000000</v>
      </c>
      <c r="V30" s="55"/>
    </row>
    <row r="31" spans="1:25" x14ac:dyDescent="0.45">
      <c r="A31" s="93"/>
      <c r="B31" s="56" t="s">
        <v>118</v>
      </c>
      <c r="C31" s="57">
        <f>C8-C30</f>
        <v>-253000000</v>
      </c>
      <c r="D31" s="58"/>
      <c r="E31" s="57"/>
      <c r="F31" s="58"/>
      <c r="G31" s="57">
        <f>G8-G30</f>
        <v>-253000000</v>
      </c>
      <c r="H31" s="58"/>
      <c r="J31" s="57">
        <f>J8-J30</f>
        <v>-253000000</v>
      </c>
      <c r="K31" s="58"/>
      <c r="L31" s="57"/>
      <c r="M31" s="58"/>
      <c r="O31" s="57">
        <f>O8-O30</f>
        <v>-253000000</v>
      </c>
      <c r="P31" s="58"/>
      <c r="Q31" s="57">
        <f>Q8-Q30</f>
        <v>-253000000</v>
      </c>
      <c r="R31" s="58"/>
      <c r="S31" s="57"/>
      <c r="T31" s="58"/>
      <c r="U31" s="57">
        <f>U8-U30</f>
        <v>-253000000</v>
      </c>
      <c r="V31" s="58"/>
    </row>
    <row r="32" spans="1:25" ht="17.5" thickBot="1" x14ac:dyDescent="0.5">
      <c r="A32" s="94"/>
      <c r="B32" s="59" t="s">
        <v>119</v>
      </c>
      <c r="C32" s="60">
        <f>C29/C31</f>
        <v>-3.3695612648221344E-2</v>
      </c>
      <c r="D32" s="36"/>
      <c r="E32" s="60"/>
      <c r="F32" s="36"/>
      <c r="G32" s="60">
        <f>G29/G31</f>
        <v>-1.29900395256917E-2</v>
      </c>
      <c r="H32" s="36"/>
      <c r="J32" s="60">
        <f>J29/J31</f>
        <v>-9.4696640316205526E-3</v>
      </c>
      <c r="K32" s="36"/>
      <c r="L32" s="60"/>
      <c r="M32" s="36"/>
      <c r="O32" s="60">
        <f>O29/O31</f>
        <v>2.9826956521739129E-2</v>
      </c>
      <c r="P32" s="36"/>
      <c r="Q32" s="60">
        <f>Q29/Q31</f>
        <v>1.1908181818181818E-2</v>
      </c>
      <c r="R32" s="36"/>
      <c r="S32" s="60"/>
      <c r="T32" s="36"/>
      <c r="U32" s="60">
        <f>U29/U31</f>
        <v>2.8663833992094861E-2</v>
      </c>
      <c r="V32" s="36"/>
    </row>
    <row r="33" spans="1:22" ht="16.5" customHeight="1" x14ac:dyDescent="0.45">
      <c r="A33" s="92" t="s">
        <v>120</v>
      </c>
      <c r="B33" s="61" t="s">
        <v>121</v>
      </c>
      <c r="C33" s="62">
        <f>C8*D33</f>
        <v>88200000</v>
      </c>
      <c r="D33" s="63">
        <v>0.6</v>
      </c>
      <c r="E33" s="54"/>
      <c r="F33" s="63"/>
      <c r="G33" s="62">
        <f>G8*H33</f>
        <v>88200000</v>
      </c>
      <c r="H33" s="63">
        <f>$D$33</f>
        <v>0.6</v>
      </c>
      <c r="J33" s="62">
        <f>J8*K33</f>
        <v>88200000</v>
      </c>
      <c r="K33" s="63">
        <f>$D$33</f>
        <v>0.6</v>
      </c>
      <c r="L33" s="54"/>
      <c r="M33" s="63"/>
      <c r="O33" s="62">
        <f>O8*P33</f>
        <v>88200000</v>
      </c>
      <c r="P33" s="63">
        <f>$D$33</f>
        <v>0.6</v>
      </c>
      <c r="Q33" s="62">
        <f>Q8*R33</f>
        <v>88200000</v>
      </c>
      <c r="R33" s="63">
        <f>$D$33</f>
        <v>0.6</v>
      </c>
      <c r="S33" s="54"/>
      <c r="T33" s="63"/>
      <c r="U33" s="62">
        <f>U8*V33</f>
        <v>88200000</v>
      </c>
      <c r="V33" s="63">
        <f>$D$33</f>
        <v>0.6</v>
      </c>
    </row>
    <row r="34" spans="1:22" ht="16.5" customHeight="1" x14ac:dyDescent="0.45">
      <c r="A34" s="93"/>
      <c r="B34" s="53" t="s">
        <v>122</v>
      </c>
      <c r="C34" s="15">
        <v>150000000</v>
      </c>
      <c r="D34" s="26"/>
      <c r="E34" s="15"/>
      <c r="F34" s="26"/>
      <c r="G34" s="15">
        <f>$C$34</f>
        <v>150000000</v>
      </c>
      <c r="H34" s="26"/>
      <c r="J34" s="15">
        <f>$C$34</f>
        <v>150000000</v>
      </c>
      <c r="K34" s="26"/>
      <c r="L34" s="15"/>
      <c r="M34" s="26"/>
      <c r="O34" s="15">
        <f>$C$34</f>
        <v>150000000</v>
      </c>
      <c r="P34" s="26"/>
      <c r="Q34" s="15">
        <f>$C$34</f>
        <v>150000000</v>
      </c>
      <c r="R34" s="26"/>
      <c r="S34" s="15"/>
      <c r="T34" s="26"/>
      <c r="U34" s="15">
        <f>$C$34</f>
        <v>150000000</v>
      </c>
      <c r="V34" s="26"/>
    </row>
    <row r="35" spans="1:22" ht="16.5" customHeight="1" x14ac:dyDescent="0.45">
      <c r="A35" s="93"/>
      <c r="B35" s="64" t="s">
        <v>123</v>
      </c>
      <c r="C35" s="57">
        <f>C8-C33-C34</f>
        <v>-91200000</v>
      </c>
      <c r="D35" s="58"/>
      <c r="E35" s="57"/>
      <c r="F35" s="58"/>
      <c r="G35" s="57">
        <f>G8-G33-G34</f>
        <v>-91200000</v>
      </c>
      <c r="H35" s="58"/>
      <c r="J35" s="57">
        <f>J8-J33-J34</f>
        <v>-91200000</v>
      </c>
      <c r="K35" s="58"/>
      <c r="L35" s="57"/>
      <c r="M35" s="58"/>
      <c r="O35" s="57">
        <f>O8-O33-O34</f>
        <v>-91200000</v>
      </c>
      <c r="P35" s="58"/>
      <c r="Q35" s="57">
        <f>Q8-Q33-Q34</f>
        <v>-91200000</v>
      </c>
      <c r="R35" s="58"/>
      <c r="S35" s="57"/>
      <c r="T35" s="58"/>
      <c r="U35" s="57">
        <f>U8-U33-U34</f>
        <v>-91200000</v>
      </c>
      <c r="V35" s="58"/>
    </row>
    <row r="36" spans="1:22" ht="16.5" customHeight="1" x14ac:dyDescent="0.45">
      <c r="A36" s="93"/>
      <c r="B36" s="53" t="s">
        <v>124</v>
      </c>
      <c r="C36" s="15">
        <v>1100000</v>
      </c>
      <c r="D36" s="26"/>
      <c r="E36" s="15"/>
      <c r="F36" s="26"/>
      <c r="G36" s="15">
        <f>$C$36</f>
        <v>1100000</v>
      </c>
      <c r="H36" s="26"/>
      <c r="J36" s="15">
        <f>$C$36</f>
        <v>1100000</v>
      </c>
      <c r="K36" s="26"/>
      <c r="L36" s="15"/>
      <c r="M36" s="26"/>
      <c r="O36" s="15">
        <f>$C$36</f>
        <v>1100000</v>
      </c>
      <c r="P36" s="26"/>
      <c r="Q36" s="15">
        <f>$C$36</f>
        <v>1100000</v>
      </c>
      <c r="R36" s="26"/>
      <c r="S36" s="15"/>
      <c r="T36" s="26"/>
      <c r="U36" s="15">
        <f>$C$36</f>
        <v>1100000</v>
      </c>
      <c r="V36" s="26"/>
    </row>
    <row r="37" spans="1:22" ht="16.5" customHeight="1" x14ac:dyDescent="0.45">
      <c r="A37" s="93"/>
      <c r="B37" s="65" t="s">
        <v>125</v>
      </c>
      <c r="C37" s="24">
        <f>C33*D37/12</f>
        <v>294000</v>
      </c>
      <c r="D37" s="25">
        <v>0.04</v>
      </c>
      <c r="E37" s="15"/>
      <c r="F37" s="25"/>
      <c r="G37" s="24">
        <f>G33*H37/12</f>
        <v>294000</v>
      </c>
      <c r="H37" s="25">
        <f>$D$37</f>
        <v>0.04</v>
      </c>
      <c r="J37" s="24">
        <f>J33*K37/12</f>
        <v>294000</v>
      </c>
      <c r="K37" s="25">
        <f>$D$37</f>
        <v>0.04</v>
      </c>
      <c r="L37" s="15"/>
      <c r="M37" s="25"/>
      <c r="O37" s="24">
        <f>O33*P37/12</f>
        <v>294000</v>
      </c>
      <c r="P37" s="25">
        <f>$D$37</f>
        <v>0.04</v>
      </c>
      <c r="Q37" s="24">
        <f>Q33*R37/12</f>
        <v>294000</v>
      </c>
      <c r="R37" s="25">
        <f>$D$37</f>
        <v>0.04</v>
      </c>
      <c r="S37" s="15"/>
      <c r="T37" s="25"/>
      <c r="U37" s="24">
        <f>U33*V37/12</f>
        <v>294000</v>
      </c>
      <c r="V37" s="25">
        <f>$D$37</f>
        <v>0.04</v>
      </c>
    </row>
    <row r="38" spans="1:22" x14ac:dyDescent="0.45">
      <c r="A38" s="93"/>
      <c r="B38" s="65" t="s">
        <v>126</v>
      </c>
      <c r="C38" s="15">
        <f>C36-C37</f>
        <v>806000</v>
      </c>
      <c r="D38" s="26"/>
      <c r="E38" s="15"/>
      <c r="F38" s="26"/>
      <c r="G38" s="15">
        <f>G36-G37</f>
        <v>806000</v>
      </c>
      <c r="H38" s="26"/>
      <c r="J38" s="15">
        <f>J36-J37</f>
        <v>806000</v>
      </c>
      <c r="K38" s="26"/>
      <c r="L38" s="15"/>
      <c r="M38" s="26"/>
      <c r="O38" s="15">
        <f>O36-O37</f>
        <v>806000</v>
      </c>
      <c r="P38" s="26"/>
      <c r="Q38" s="15">
        <f>Q36-Q37</f>
        <v>806000</v>
      </c>
      <c r="R38" s="26"/>
      <c r="S38" s="15"/>
      <c r="T38" s="26"/>
      <c r="U38" s="15">
        <f>U36-U37</f>
        <v>806000</v>
      </c>
      <c r="V38" s="26"/>
    </row>
    <row r="39" spans="1:22" x14ac:dyDescent="0.45">
      <c r="A39" s="93"/>
      <c r="B39" s="65" t="s">
        <v>127</v>
      </c>
      <c r="C39" s="15">
        <f>C38*12</f>
        <v>9672000</v>
      </c>
      <c r="D39" s="26"/>
      <c r="E39" s="15"/>
      <c r="F39" s="26"/>
      <c r="G39" s="15">
        <f>G38*12</f>
        <v>9672000</v>
      </c>
      <c r="H39" s="26"/>
      <c r="J39" s="15">
        <f>J38*12</f>
        <v>9672000</v>
      </c>
      <c r="K39" s="26"/>
      <c r="L39" s="15"/>
      <c r="M39" s="26"/>
      <c r="O39" s="15">
        <f>O38*12</f>
        <v>9672000</v>
      </c>
      <c r="P39" s="26"/>
      <c r="Q39" s="15">
        <f>Q38*12</f>
        <v>9672000</v>
      </c>
      <c r="R39" s="26"/>
      <c r="S39" s="15"/>
      <c r="T39" s="26"/>
      <c r="U39" s="15">
        <f>U38*12</f>
        <v>9672000</v>
      </c>
      <c r="V39" s="26"/>
    </row>
    <row r="40" spans="1:22" x14ac:dyDescent="0.45">
      <c r="A40" s="93"/>
      <c r="B40" s="66" t="s">
        <v>128</v>
      </c>
      <c r="C40" s="67">
        <f>C39/C35</f>
        <v>-0.10605263157894737</v>
      </c>
      <c r="D40" s="68"/>
      <c r="E40" s="67"/>
      <c r="F40" s="68"/>
      <c r="G40" s="67">
        <f>G39/G35</f>
        <v>-0.10605263157894737</v>
      </c>
      <c r="H40" s="68"/>
      <c r="J40" s="67">
        <f>J39/J35</f>
        <v>-0.10605263157894737</v>
      </c>
      <c r="K40" s="68"/>
      <c r="L40" s="67"/>
      <c r="M40" s="68"/>
      <c r="O40" s="67">
        <f>O39/O35</f>
        <v>-0.10605263157894737</v>
      </c>
      <c r="P40" s="68"/>
      <c r="Q40" s="67">
        <f>Q39/Q35</f>
        <v>-0.10605263157894737</v>
      </c>
      <c r="R40" s="68"/>
      <c r="S40" s="67"/>
      <c r="T40" s="68"/>
      <c r="U40" s="67">
        <f>U39/U35</f>
        <v>-0.10605263157894737</v>
      </c>
      <c r="V40" s="68"/>
    </row>
    <row r="41" spans="1:22" ht="17.5" thickBot="1" x14ac:dyDescent="0.5">
      <c r="A41" s="94"/>
      <c r="B41" s="69" t="s">
        <v>129</v>
      </c>
      <c r="C41" s="60">
        <f>(C29+C39*2)/C35</f>
        <v>-0.30558103070175441</v>
      </c>
      <c r="D41" s="36"/>
      <c r="E41" s="60"/>
      <c r="F41" s="36"/>
      <c r="G41" s="60">
        <f>(G29+G39*2)/G35</f>
        <v>-0.24814122807017544</v>
      </c>
      <c r="H41" s="36"/>
      <c r="J41" s="60">
        <f>(J29+J39*2)/J35</f>
        <v>-0.23837527412280701</v>
      </c>
      <c r="K41" s="36"/>
      <c r="L41" s="60"/>
      <c r="M41" s="36"/>
      <c r="O41" s="60">
        <f>(O29+O39*2)/O35</f>
        <v>-0.12936162280701755</v>
      </c>
      <c r="P41" s="36"/>
      <c r="Q41" s="60">
        <f>(Q29+Q39*2)/Q35</f>
        <v>-0.17907050438596492</v>
      </c>
      <c r="R41" s="36"/>
      <c r="S41" s="70"/>
      <c r="T41" s="36"/>
      <c r="U41" s="60">
        <f>(U29+U39*2)/U35</f>
        <v>-0.13258826754385966</v>
      </c>
      <c r="V41" s="36"/>
    </row>
  </sheetData>
  <mergeCells count="33">
    <mergeCell ref="A33:A41"/>
    <mergeCell ref="A8:A14"/>
    <mergeCell ref="A15:A17"/>
    <mergeCell ref="A19:B19"/>
    <mergeCell ref="A20:A27"/>
    <mergeCell ref="A29:B29"/>
    <mergeCell ref="A30:A32"/>
    <mergeCell ref="A5:A7"/>
    <mergeCell ref="O2:P2"/>
    <mergeCell ref="Q2:R2"/>
    <mergeCell ref="S2:T2"/>
    <mergeCell ref="U2:V2"/>
    <mergeCell ref="A3:B3"/>
    <mergeCell ref="C3:D3"/>
    <mergeCell ref="E3:F3"/>
    <mergeCell ref="G3:H3"/>
    <mergeCell ref="J3:K3"/>
    <mergeCell ref="L3:M3"/>
    <mergeCell ref="O3:P3"/>
    <mergeCell ref="Q3:R3"/>
    <mergeCell ref="S3:T3"/>
    <mergeCell ref="U3:V3"/>
    <mergeCell ref="A4:B4"/>
    <mergeCell ref="A1:B1"/>
    <mergeCell ref="C1:H1"/>
    <mergeCell ref="J1:M1"/>
    <mergeCell ref="O1:V1"/>
    <mergeCell ref="A2:B2"/>
    <mergeCell ref="C2:D2"/>
    <mergeCell ref="E2:F2"/>
    <mergeCell ref="G2:H2"/>
    <mergeCell ref="J2:K2"/>
    <mergeCell ref="L2:M2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8"/>
  <sheetViews>
    <sheetView workbookViewId="0"/>
  </sheetViews>
  <sheetFormatPr defaultRowHeight="17" x14ac:dyDescent="0.45"/>
  <cols>
    <col min="15" max="15" width="10.25" bestFit="1" customWidth="1"/>
    <col min="16" max="16" width="12.33203125" bestFit="1" customWidth="1"/>
    <col min="17" max="17" width="11.75" bestFit="1" customWidth="1"/>
  </cols>
  <sheetData>
    <row r="1" spans="1:17" x14ac:dyDescent="0.45">
      <c r="A1" t="s">
        <v>0</v>
      </c>
      <c r="I1" t="s">
        <v>1</v>
      </c>
      <c r="Q1" t="s">
        <v>2</v>
      </c>
    </row>
    <row r="23" spans="9:9" x14ac:dyDescent="0.45">
      <c r="I23" t="s">
        <v>3</v>
      </c>
    </row>
    <row r="24" spans="9:9" x14ac:dyDescent="0.45">
      <c r="I24" t="s">
        <v>4</v>
      </c>
    </row>
    <row r="25" spans="9:9" x14ac:dyDescent="0.45">
      <c r="I25" t="s">
        <v>5</v>
      </c>
    </row>
    <row r="100" spans="1:13" x14ac:dyDescent="0.45">
      <c r="A100" t="s">
        <v>6</v>
      </c>
    </row>
    <row r="101" spans="1:13" x14ac:dyDescent="0.45">
      <c r="A101" t="s">
        <v>7</v>
      </c>
    </row>
    <row r="102" spans="1:13" x14ac:dyDescent="0.45">
      <c r="A102" t="s">
        <v>8</v>
      </c>
      <c r="J102" t="s">
        <v>9</v>
      </c>
      <c r="K102" t="s">
        <v>10</v>
      </c>
      <c r="L102" t="s">
        <v>11</v>
      </c>
      <c r="M102" t="s">
        <v>12</v>
      </c>
    </row>
    <row r="103" spans="1:13" x14ac:dyDescent="0.45">
      <c r="A103" t="s">
        <v>13</v>
      </c>
      <c r="J103">
        <v>33.270000000000003</v>
      </c>
      <c r="K103">
        <v>15.126200000000001</v>
      </c>
      <c r="L103">
        <f>J103+K103</f>
        <v>48.396200000000007</v>
      </c>
      <c r="M103">
        <f>L103/3.3</f>
        <v>14.665515151515155</v>
      </c>
    </row>
    <row r="104" spans="1:13" x14ac:dyDescent="0.45">
      <c r="A104" t="s">
        <v>14</v>
      </c>
      <c r="J104">
        <v>34.81</v>
      </c>
      <c r="K104">
        <v>15.8263</v>
      </c>
      <c r="L104">
        <f t="shared" ref="L104:L108" si="0">J104+K104</f>
        <v>50.636300000000006</v>
      </c>
      <c r="M104">
        <f t="shared" ref="M104:M108" si="1">L104/3.3</f>
        <v>15.344333333333337</v>
      </c>
    </row>
    <row r="105" spans="1:13" x14ac:dyDescent="0.45">
      <c r="A105" t="s">
        <v>15</v>
      </c>
      <c r="J105">
        <v>40.869999999999997</v>
      </c>
      <c r="K105">
        <v>18.579999999999998</v>
      </c>
      <c r="L105">
        <f t="shared" si="0"/>
        <v>59.449999999999996</v>
      </c>
      <c r="M105">
        <f t="shared" si="1"/>
        <v>18.015151515151516</v>
      </c>
    </row>
    <row r="106" spans="1:13" x14ac:dyDescent="0.45">
      <c r="A106" s="103" t="s">
        <v>16</v>
      </c>
      <c r="B106" s="103"/>
      <c r="C106" s="103" t="s">
        <v>17</v>
      </c>
      <c r="D106" s="103"/>
      <c r="J106">
        <v>42.36</v>
      </c>
      <c r="K106">
        <v>19.258900000000001</v>
      </c>
      <c r="L106">
        <f t="shared" si="0"/>
        <v>61.618899999999996</v>
      </c>
      <c r="M106">
        <f t="shared" si="1"/>
        <v>18.672393939393938</v>
      </c>
    </row>
    <row r="107" spans="1:13" x14ac:dyDescent="0.45">
      <c r="A107" s="1" t="s">
        <v>18</v>
      </c>
      <c r="B107" s="1" t="s">
        <v>19</v>
      </c>
      <c r="C107" s="1" t="s">
        <v>20</v>
      </c>
      <c r="D107" s="1" t="s">
        <v>19</v>
      </c>
      <c r="J107">
        <v>56.53</v>
      </c>
      <c r="K107">
        <v>25.7014</v>
      </c>
      <c r="L107">
        <f t="shared" si="0"/>
        <v>82.231400000000008</v>
      </c>
      <c r="M107">
        <f t="shared" si="1"/>
        <v>24.918606060606063</v>
      </c>
    </row>
    <row r="108" spans="1:13" x14ac:dyDescent="0.45">
      <c r="A108" s="1">
        <v>109</v>
      </c>
      <c r="B108" s="2">
        <f>A108/3.3</f>
        <v>33.030303030303031</v>
      </c>
      <c r="C108" s="1">
        <f>A108/0.8</f>
        <v>136.25</v>
      </c>
      <c r="D108" s="2">
        <f>C108/3.3</f>
        <v>41.287878787878789</v>
      </c>
      <c r="J108">
        <v>33.270000000000003</v>
      </c>
      <c r="K108">
        <v>15.126200000000001</v>
      </c>
      <c r="L108">
        <f t="shared" si="0"/>
        <v>48.396200000000007</v>
      </c>
      <c r="M108">
        <f t="shared" si="1"/>
        <v>14.665515151515155</v>
      </c>
    </row>
    <row r="109" spans="1:13" x14ac:dyDescent="0.45">
      <c r="A109" s="1">
        <v>84</v>
      </c>
      <c r="B109" s="2">
        <f>A109/3.3</f>
        <v>25.454545454545457</v>
      </c>
      <c r="C109" s="1">
        <f>A109/0.8</f>
        <v>105</v>
      </c>
      <c r="D109" s="2">
        <f>C109/3.3</f>
        <v>31.81818181818182</v>
      </c>
    </row>
    <row r="110" spans="1:13" x14ac:dyDescent="0.45">
      <c r="A110" s="1">
        <v>74</v>
      </c>
      <c r="B110" s="2">
        <f>A110/3.3</f>
        <v>22.424242424242426</v>
      </c>
      <c r="C110" s="1">
        <f>A110/0.8</f>
        <v>92.5</v>
      </c>
      <c r="D110" s="2">
        <f>C110/3.3</f>
        <v>28.030303030303031</v>
      </c>
    </row>
    <row r="111" spans="1:13" x14ac:dyDescent="0.45">
      <c r="A111" s="1">
        <v>59</v>
      </c>
      <c r="B111" s="2">
        <f>A111/3.3</f>
        <v>17.878787878787879</v>
      </c>
      <c r="C111" s="1">
        <f>A111/0.8</f>
        <v>73.75</v>
      </c>
      <c r="D111" s="2">
        <f>C111/3.3</f>
        <v>22.348484848484851</v>
      </c>
    </row>
    <row r="114" spans="15:18" x14ac:dyDescent="0.45">
      <c r="O114" s="3" t="s">
        <v>0</v>
      </c>
      <c r="P114" s="4" t="s">
        <v>21</v>
      </c>
      <c r="Q114" s="4" t="s">
        <v>22</v>
      </c>
      <c r="R114" s="4" t="s">
        <v>23</v>
      </c>
    </row>
    <row r="115" spans="15:18" x14ac:dyDescent="0.45">
      <c r="O115" s="103" t="s">
        <v>24</v>
      </c>
      <c r="P115" s="5" t="s">
        <v>25</v>
      </c>
      <c r="Q115" s="1" t="s">
        <v>26</v>
      </c>
      <c r="R115" s="1" t="s">
        <v>27</v>
      </c>
    </row>
    <row r="116" spans="15:18" x14ac:dyDescent="0.45">
      <c r="O116" s="103"/>
      <c r="P116" s="1" t="s">
        <v>28</v>
      </c>
      <c r="Q116" s="5" t="s">
        <v>29</v>
      </c>
      <c r="R116" s="1" t="s">
        <v>30</v>
      </c>
    </row>
    <row r="117" spans="15:18" x14ac:dyDescent="0.45">
      <c r="O117" s="103"/>
      <c r="P117" s="1" t="s">
        <v>31</v>
      </c>
      <c r="Q117" s="1" t="s">
        <v>30</v>
      </c>
      <c r="R117" s="5" t="s">
        <v>32</v>
      </c>
    </row>
    <row r="118" spans="15:18" x14ac:dyDescent="0.45">
      <c r="O118" s="6">
        <v>0.08</v>
      </c>
      <c r="P118" s="1" t="s">
        <v>33</v>
      </c>
      <c r="Q118" s="1" t="s">
        <v>34</v>
      </c>
      <c r="R118" s="1" t="s">
        <v>35</v>
      </c>
    </row>
    <row r="119" spans="15:18" x14ac:dyDescent="0.45">
      <c r="O119" s="6">
        <v>0.12</v>
      </c>
      <c r="P119" s="7" t="s">
        <v>31</v>
      </c>
      <c r="Q119" s="1" t="s">
        <v>30</v>
      </c>
      <c r="R119" s="7" t="s">
        <v>36</v>
      </c>
    </row>
    <row r="121" spans="15:18" x14ac:dyDescent="0.45">
      <c r="O121" s="3" t="s">
        <v>37</v>
      </c>
      <c r="P121" s="4" t="s">
        <v>38</v>
      </c>
      <c r="Q121" s="4" t="s">
        <v>22</v>
      </c>
      <c r="R121" s="4" t="s">
        <v>39</v>
      </c>
    </row>
    <row r="122" spans="15:18" x14ac:dyDescent="0.45">
      <c r="O122" s="1" t="s">
        <v>40</v>
      </c>
      <c r="P122" s="5" t="s">
        <v>41</v>
      </c>
      <c r="Q122" s="1" t="s">
        <v>27</v>
      </c>
      <c r="R122" s="1" t="s">
        <v>30</v>
      </c>
    </row>
    <row r="123" spans="15:18" x14ac:dyDescent="0.45">
      <c r="O123" s="104" t="s">
        <v>42</v>
      </c>
      <c r="P123" s="5" t="s">
        <v>43</v>
      </c>
      <c r="Q123" s="1" t="s">
        <v>27</v>
      </c>
      <c r="R123" s="5" t="s">
        <v>44</v>
      </c>
    </row>
    <row r="124" spans="15:18" x14ac:dyDescent="0.45">
      <c r="O124" s="105"/>
      <c r="P124" s="1" t="s">
        <v>45</v>
      </c>
      <c r="Q124" s="5" t="s">
        <v>46</v>
      </c>
      <c r="R124" s="5" t="s">
        <v>47</v>
      </c>
    </row>
    <row r="125" spans="15:18" x14ac:dyDescent="0.45">
      <c r="O125" s="1" t="s">
        <v>48</v>
      </c>
      <c r="P125" s="1" t="s">
        <v>33</v>
      </c>
      <c r="Q125" s="1" t="s">
        <v>34</v>
      </c>
      <c r="R125" s="5" t="s">
        <v>44</v>
      </c>
    </row>
    <row r="126" spans="15:18" x14ac:dyDescent="0.45">
      <c r="O126" s="1" t="s">
        <v>49</v>
      </c>
      <c r="P126" s="1" t="s">
        <v>50</v>
      </c>
      <c r="Q126" s="1" t="s">
        <v>34</v>
      </c>
      <c r="R126" s="5" t="s">
        <v>51</v>
      </c>
    </row>
    <row r="127" spans="15:18" x14ac:dyDescent="0.45">
      <c r="O127" s="6">
        <v>0.6</v>
      </c>
      <c r="P127" s="1" t="s">
        <v>35</v>
      </c>
      <c r="Q127" s="1" t="s">
        <v>35</v>
      </c>
      <c r="R127" s="7" t="s">
        <v>52</v>
      </c>
    </row>
    <row r="128" spans="15:18" x14ac:dyDescent="0.45">
      <c r="O128" s="6">
        <v>0.7</v>
      </c>
      <c r="P128" s="1" t="s">
        <v>35</v>
      </c>
      <c r="Q128" s="1" t="s">
        <v>35</v>
      </c>
      <c r="R128" s="8" t="s">
        <v>53</v>
      </c>
    </row>
  </sheetData>
  <mergeCells count="4">
    <mergeCell ref="A106:B106"/>
    <mergeCell ref="C106:D106"/>
    <mergeCell ref="O115:O117"/>
    <mergeCell ref="O123:O124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매도산정식</vt:lpstr>
      <vt:lpstr>입찰가</vt:lpstr>
      <vt:lpstr>세금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MinSiky</dc:creator>
  <cp:lastModifiedBy>HANKEDU</cp:lastModifiedBy>
  <dcterms:created xsi:type="dcterms:W3CDTF">2021-09-24T11:49:28Z</dcterms:created>
  <dcterms:modified xsi:type="dcterms:W3CDTF">2022-12-12T07:07:31Z</dcterms:modified>
</cp:coreProperties>
</file>